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showInkAnnotation="0" codeName="ThisWorkbook" hidePivotFieldList="1"/>
  <mc:AlternateContent xmlns:mc="http://schemas.openxmlformats.org/markup-compatibility/2006">
    <mc:Choice Requires="x15">
      <x15ac:absPath xmlns:x15ac="http://schemas.microsoft.com/office/spreadsheetml/2010/11/ac" url="https://hdrinc.sharepoint.com/teams/DL10393896/Shared Documents/General/BCA/"/>
    </mc:Choice>
  </mc:AlternateContent>
  <xr:revisionPtr revIDLastSave="40" documentId="8_{9EB781CE-AEA1-465C-80FA-9C0C4F1FE804}" xr6:coauthVersionLast="47" xr6:coauthVersionMax="47" xr10:uidLastSave="{E1F89660-4998-4C51-A37E-93C0D077D44B}"/>
  <bookViews>
    <workbookView xWindow="-28920" yWindow="-120" windowWidth="28110" windowHeight="16440" tabRatio="913" firstSheet="1" activeTab="2" xr2:uid="{00000000-000D-0000-FFFF-FFFF00000000}"/>
  </bookViews>
  <sheets>
    <sheet name="Disclaimer" sheetId="69" r:id="rId1"/>
    <sheet name="Contents" sheetId="219" r:id="rId2"/>
    <sheet name="Results" sheetId="8" r:id="rId3"/>
    <sheet name="PortCommodityData" sheetId="215" state="hidden" r:id="rId4"/>
    <sheet name="ShipperData" sheetId="199" r:id="rId5"/>
    <sheet name="DiversionData" sheetId="217" r:id="rId6"/>
    <sheet name="Total.CAGR" sheetId="205" r:id="rId7"/>
    <sheet name="Demand.Forecast" sheetId="170" r:id="rId8"/>
    <sheet name="Costs" sheetId="169" r:id="rId9"/>
    <sheet name="Inputs" sheetId="9" r:id="rId10"/>
    <sheet name="SHIPPERS" sheetId="121" r:id="rId11"/>
    <sheet name="EMISSIONS" sheetId="101" r:id="rId12"/>
    <sheet name="SAFETY" sheetId="103" r:id="rId13"/>
    <sheet name="PAVEMENT" sheetId="137" r:id="rId14"/>
    <sheet name="CONGESTION" sheetId="225" r:id="rId15"/>
    <sheet name="FUEL COST" sheetId="229" r:id="rId16"/>
    <sheet name="Reporting_Results" sheetId="211" r:id="rId17"/>
    <sheet name="Truck Emissions" sheetId="56" r:id="rId18"/>
    <sheet name="Rail Emissions" sheetId="52" r:id="rId19"/>
    <sheet name="Accident Costs" sheetId="47" r:id="rId20"/>
    <sheet name="Truck Accident Costs" sheetId="200" r:id="rId21"/>
    <sheet name="Emission Costs" sheetId="48" r:id="rId22"/>
    <sheet name="Miscellaneous" sheetId="78" r:id="rId23"/>
    <sheet name="Value of Time" sheetId="49" r:id="rId24"/>
    <sheet name="Prices and ECI" sheetId="94" r:id="rId25"/>
    <sheet name="Shipping Rates" sheetId="140" r:id="rId26"/>
    <sheet name="FUEL PRICES" sheetId="227" r:id="rId27"/>
  </sheets>
  <definedNames>
    <definedName name="_AtRisk_SimSetting_AutomaticallyGenerateReports" hidden="1">FALSE</definedName>
    <definedName name="_AtRisk_SimSetting_AutomaticResultsDisplayMode" hidden="1">1</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CorrelationEnabledState" hidden="1">1</definedName>
    <definedName name="_AtRisk_SimSetting_GoalSeekTargetValue" hidden="1">0</definedName>
    <definedName name="_AtRisk_SimSetting_LiveUpdate" localSheetId="19" hidden="1">FALSE</definedName>
    <definedName name="_AtRisk_SimSetting_LiveUpdate" localSheetId="21" hidden="1">FALSE</definedName>
    <definedName name="_AtRisk_SimSetting_LiveUpdate" hidden="1">FALSE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SelectiveQR" hidden="1">FALSE</definedName>
    <definedName name="_AtRisk_SimSetting_ReportsList" localSheetId="19" hidden="1">2</definedName>
    <definedName name="_AtRisk_SimSetting_ReportsList" localSheetId="21" hidden="1">2</definedName>
    <definedName name="_AtRisk_SimSetting_ReportsList" localSheetId="24" hidden="1">2</definedName>
    <definedName name="_AtRisk_SimSetting_ReportsList" localSheetId="17" hidden="1">1</definedName>
    <definedName name="_AtRisk_SimSetting_ReportsList" localSheetId="23" hidden="1">2</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FALSE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1</definedName>
    <definedName name="_AtRisk_SimSetting_StdRecalcWithoutRiskStaticPercentile" localSheetId="19" hidden="1">0.95</definedName>
    <definedName name="_AtRisk_SimSetting_StdRecalcWithoutRiskStaticPercentile" localSheetId="21" hidden="1">0.95</definedName>
    <definedName name="_AtRisk_SimSetting_StdRecalcWithoutRiskStaticPercentile" hidden="1">0.5</definedName>
    <definedName name="_Fill" localSheetId="13" hidden="1">#REF!</definedName>
    <definedName name="_Fill" localSheetId="10" hidden="1">#REF!</definedName>
    <definedName name="_Fill" hidden="1">#REF!</definedName>
    <definedName name="_xlnm._FilterDatabase" localSheetId="6" hidden="1">Total.CAGR!$I$3:$L$86</definedName>
    <definedName name="_Key1" localSheetId="13" hidden="1">#REF!</definedName>
    <definedName name="_Key1" localSheetId="10" hidden="1">#REF!</definedName>
    <definedName name="_Key1" hidden="1">#REF!</definedName>
    <definedName name="_Key2" localSheetId="13" hidden="1">#REF!</definedName>
    <definedName name="_Key2" localSheetId="10" hidden="1">#REF!</definedName>
    <definedName name="_Key2" hidden="1">#REF!</definedName>
    <definedName name="_Order1" hidden="1">255</definedName>
    <definedName name="_Order2" hidden="1">255</definedName>
    <definedName name="_Sort" localSheetId="13" hidden="1">#REF!</definedName>
    <definedName name="_Sort" localSheetId="10" hidden="1">#REF!</definedName>
    <definedName name="_Sort" hidden="1">#REF!</definedName>
    <definedName name="Base.Year">Inputs!$E$7</definedName>
    <definedName name="BIG" localSheetId="13" hidden="1">{#N/A,#N/A,FALSE,"Pricing";#N/A,#N/A,FALSE,"Summary";#N/A,#N/A,FALSE,"CompProd";#N/A,#N/A,FALSE,"CompJobhrs";#N/A,#N/A,FALSE,"Escalation";#N/A,#N/A,FALSE,"Contingency";#N/A,#N/A,FALSE,"GM";#N/A,#N/A,FALSE,"CompWage";#N/A,#N/A,FALSE,"costSum"}</definedName>
    <definedName name="BIG" hidden="1">{#N/A,#N/A,FALSE,"Pricing";#N/A,#N/A,FALSE,"Summary";#N/A,#N/A,FALSE,"CompProd";#N/A,#N/A,FALSE,"CompJobhrs";#N/A,#N/A,FALSE,"Escalation";#N/A,#N/A,FALSE,"Contingency";#N/A,#N/A,FALSE,"GM";#N/A,#N/A,FALSE,"CompWage";#N/A,#N/A,FALSE,"costSum"}</definedName>
    <definedName name="CHUCK" localSheetId="13" hidden="1">{#N/A,#N/A,FALSE,"Pricing";#N/A,#N/A,FALSE,"Summary";#N/A,#N/A,FALSE,"CompProd";#N/A,#N/A,FALSE,"CompJobhrs";#N/A,#N/A,FALSE,"Escalation";#N/A,#N/A,FALSE,"Contingency";#N/A,#N/A,FALSE,"GM";#N/A,#N/A,FALSE,"CompWage";#N/A,#N/A,FALSE,"costSum"}</definedName>
    <definedName name="CHUCK" hidden="1">{#N/A,#N/A,FALSE,"Pricing";#N/A,#N/A,FALSE,"Summary";#N/A,#N/A,FALSE,"CompProd";#N/A,#N/A,FALSE,"CompJobhrs";#N/A,#N/A,FALSE,"Escalation";#N/A,#N/A,FALSE,"Contingency";#N/A,#N/A,FALSE,"GM";#N/A,#N/A,FALSE,"CompWage";#N/A,#N/A,FALSE,"costSum"}</definedName>
    <definedName name="Client.Name">Disclaimer!$B$4</definedName>
    <definedName name="Days.per.Year">Inputs!$E$11</definedName>
    <definedName name="Disclaimer1">Disclaimer!$B$14</definedName>
    <definedName name="Disclaimer2">Disclaimer!$B$17</definedName>
    <definedName name="Disclaimer3">Disclaimer!$B$20</definedName>
    <definedName name="Disclaimer4">Disclaimer!$B$22</definedName>
    <definedName name="Feet.per.Mile">Inputs!$E$13</definedName>
    <definedName name="Final.Year">Inputs!$E$9</definedName>
    <definedName name="First.Year">Inputs!$E$8</definedName>
    <definedName name="Grams.per.Ton">Inputs!$E$14</definedName>
    <definedName name="Grant.Name">Disclaimer!$B$5</definedName>
    <definedName name="HTML_CodePage" hidden="1">1252</definedName>
    <definedName name="HTML_Control" localSheetId="13" hidden="1">{"'2-35'!$A$1:$M$48"}</definedName>
    <definedName name="HTML_Control" localSheetId="10" hidden="1">{"'2-35'!$A$1:$M$48"}</definedName>
    <definedName name="HTML_Control" localSheetId="17" hidden="1">{"'2-2'!$A$1:$R$114"}</definedName>
    <definedName name="HTML_Control" hidden="1">{"'2-35'!$A$1:$M$48"}</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localSheetId="10" hidden="1">"C:\WINNT\Profiles\dmegret\Desktop\current tasks\nts2000\nts2000\HTML\Ch2_web\2-35.htm"</definedName>
    <definedName name="HTML_PathFile" localSheetId="17" hidden="1">"C:\WINNT\Profiles\dmegret\Desktop\current tasks\nts2000\nts2000\HTML\Ch2_web\2-2.htm"</definedName>
    <definedName name="HTML_PathFile" hidden="1">"C:\WINNT\Profiles\dmegret\Desktop\current tasks\nts2000\nts2000\HTML\Ch2_web\2-35.htm"</definedName>
    <definedName name="HTML_Title" localSheetId="10" hidden="1">"Table 2-35"</definedName>
    <definedName name="HTML_Title" localSheetId="17" hidden="1">"Table 2-2"</definedName>
    <definedName name="HTML_Title" hidden="1">"Table 2-35"</definedName>
    <definedName name="JANA" localSheetId="13" hidden="1">{#N/A,#N/A,FALSE,"Pricing";#N/A,#N/A,FALSE,"Summary";#N/A,#N/A,FALSE,"CompProd";#N/A,#N/A,FALSE,"CompJobhrs";#N/A,#N/A,FALSE,"Escalation";#N/A,#N/A,FALSE,"Contingency";#N/A,#N/A,FALSE,"GM";#N/A,#N/A,FALSE,"CompWage";#N/A,#N/A,FALSE,"costSum"}</definedName>
    <definedName name="JANA" hidden="1">{#N/A,#N/A,FALSE,"Pricing";#N/A,#N/A,FALSE,"Summary";#N/A,#N/A,FALSE,"CompProd";#N/A,#N/A,FALSE,"CompJobhrs";#N/A,#N/A,FALSE,"Escalation";#N/A,#N/A,FALSE,"Contingency";#N/A,#N/A,FALSE,"GM";#N/A,#N/A,FALSE,"CompWage";#N/A,#N/A,FALSE,"costSum"}</definedName>
    <definedName name="Pal_Workbook_GUID" localSheetId="19" hidden="1">"3XHXXQSLF67LVVUJ7F3SICY8"</definedName>
    <definedName name="Pal_Workbook_GUID" localSheetId="21" hidden="1">"3XHXXQSLF67LVVUJ7F3SICY8"</definedName>
    <definedName name="Pal_Workbook_GUID" localSheetId="22" hidden="1">"3XHXXQSLF67LVVUJ7F3SICY8"</definedName>
    <definedName name="Pal_Workbook_GUID" localSheetId="24" hidden="1">"3XHXXQSLF67LVVUJ7F3SICY8"</definedName>
    <definedName name="Pal_Workbook_GUID" localSheetId="23" hidden="1">"3XHXXQSLF67LVVUJ7F3SICY8"</definedName>
    <definedName name="Pal_Workbook_GUID" hidden="1">"6UQPV5GY3NZ6N5DC9LK87FZI"</definedName>
    <definedName name="Project.Name">Disclaimer!#REF!</definedName>
    <definedName name="RiskAfterRecalcMacro" hidden="1">""</definedName>
    <definedName name="RiskAfterSimMacro" hidden="1">"CopyPaste"</definedName>
    <definedName name="riskATSSboxGraph" hidden="1">FALSE</definedName>
    <definedName name="riskATSSincludeSimtables" hidden="1">TRUE</definedName>
    <definedName name="riskATSSinputsGraphs" hidden="1">FALSE</definedName>
    <definedName name="riskATSSoutputStatistic" hidden="1">3</definedName>
    <definedName name="riskATSSpercentChangeGraph" hidden="1">TRUE</definedName>
    <definedName name="riskATSSpercentileGraph" hidden="1">TRUE</definedName>
    <definedName name="riskATSSpercentileValue" hidden="1">0.5</definedName>
    <definedName name="riskATSSprintReport" hidden="1">FALSE</definedName>
    <definedName name="riskATSSreportsInActiveBook" hidden="1">FALSE</definedName>
    <definedName name="riskATSSreportsSelected" hidden="1">TRUE</definedName>
    <definedName name="riskATSSsummaryReport" hidden="1">TRUE</definedName>
    <definedName name="riskATSStornadoGraph" hidden="1">TRUE</definedName>
    <definedName name="RiskBeforeRecalcMacro" hidden="1">""</definedName>
    <definedName name="RiskBeforeSimMacro" hidden="1">"ClearProjectSelection"</definedName>
    <definedName name="RiskCollectDistributionSamples" localSheetId="19" hidden="1">1</definedName>
    <definedName name="RiskCollectDistributionSamples" localSheetId="21" hidden="1">1</definedName>
    <definedName name="RiskCollectDistributionSamples" hidden="1">0</definedName>
    <definedName name="RiskFixedSeed" localSheetId="19" hidden="1">1917</definedName>
    <definedName name="RiskFixedSeed" localSheetId="21" hidden="1">1917</definedName>
    <definedName name="RiskFixedSeed" hidden="1">1917</definedName>
    <definedName name="RiskHasSettings" hidden="1">8</definedName>
    <definedName name="RiskMinimizeOnStart" hidden="1">FALSE</definedName>
    <definedName name="RiskMonitorConvergence" hidden="1">FALSE</definedName>
    <definedName name="RiskMultipleCPUSupportEnabled" localSheetId="19" hidden="1">TRUE</definedName>
    <definedName name="RiskMultipleCPUSupportEnabled" localSheetId="21" hidden="1">TRUE</definedName>
    <definedName name="RiskMultipleCPUSupportEnabled" hidden="1">FALSE</definedName>
    <definedName name="RiskNumIterations" localSheetId="19" hidden="1">500</definedName>
    <definedName name="RiskNumIterations" localSheetId="21" hidden="1">500</definedName>
    <definedName name="RiskNumIterations" hidden="1">1000</definedName>
    <definedName name="RiskNumSimulations" localSheetId="19" hidden="1">7</definedName>
    <definedName name="RiskNumSimulations" localSheetId="21" hidden="1">7</definedName>
    <definedName name="RiskNumSimulations" hidden="1">73</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0</definedName>
    <definedName name="RiskSwapState" hidden="1">FALSE</definedName>
    <definedName name="RiskUpdateDisplay" hidden="1">FALSE</definedName>
    <definedName name="RiskUseDifferentSeedForEachSim" hidden="1">FALSE</definedName>
    <definedName name="RiskUseFixedSeed" hidden="1">TRUE</definedName>
    <definedName name="RiskUseMultipleCPUs" localSheetId="19" hidden="1">TRUE</definedName>
    <definedName name="RiskUseMultipleCPUs" localSheetId="21" hidden="1">TRUE</definedName>
    <definedName name="RiskUseMultipleCPUs" hidden="1">FALSE</definedName>
    <definedName name="Services2" localSheetId="13"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tudy.Period">Inputs!$E$10</definedName>
    <definedName name="temp" localSheetId="13" hidden="1">{#N/A,#N/A,FALSE,"Pricing";#N/A,#N/A,FALSE,"Summary";#N/A,#N/A,FALSE,"CompProd";#N/A,#N/A,FALSE,"CompJobhrs";#N/A,#N/A,FALSE,"Escalation";#N/A,#N/A,FALSE,"Contingency";#N/A,#N/A,FALSE,"GM";#N/A,#N/A,FALSE,"CompWage";#N/A,#N/A,FALSE,"costSum"}</definedName>
    <definedName name="temp" hidden="1">{#N/A,#N/A,FALSE,"Pricing";#N/A,#N/A,FALSE,"Summary";#N/A,#N/A,FALSE,"CompProd";#N/A,#N/A,FALSE,"CompJobhrs";#N/A,#N/A,FALSE,"Escalation";#N/A,#N/A,FALSE,"Contingency";#N/A,#N/A,FALSE,"GM";#N/A,#N/A,FALSE,"CompWage";#N/A,#N/A,FALSE,"costSum"}</definedName>
    <definedName name="wrn.all." localSheetId="13" hidden="1">{"sandu",#N/A,FALSE,"sandu";"flow",#N/A,FALSE,"base";"debt",#N/A,FALSE,"base";"subdebt",#N/A,FALSE,"subdebt";"operating",#N/A,FALSE,"base";"stress1",#N/A,FALSE,"stress1";"stress2",#N/A,FALSE,"stress2"}</definedName>
    <definedName name="wrn.all." hidden="1">{"sandu",#N/A,FALSE,"sandu";"flow",#N/A,FALSE,"base";"debt",#N/A,FALSE,"base";"subdebt",#N/A,FALSE,"subdebt";"operating",#N/A,FALSE,"base";"stress1",#N/A,FALSE,"stress1";"stress2",#N/A,FALSE,"stress2"}</definedName>
    <definedName name="wrn.ESTIMATE." localSheetId="13" hidden="1">{#N/A,#N/A,FALSE,"SUM";#N/A,#N/A,FALSE,"MECH.";#N/A,#N/A,FALSE,"PIPE";#N/A,#N/A,FALSE,"ELECT";#N/A,#N/A,FALSE,"PR CONT";#N/A,#N/A,FALSE,"STRUCT"}</definedName>
    <definedName name="wrn.ESTIMATE." hidden="1">{#N/A,#N/A,FALSE,"SUM";#N/A,#N/A,FALSE,"MECH.";#N/A,#N/A,FALSE,"PIPE";#N/A,#N/A,FALSE,"ELECT";#N/A,#N/A,FALSE,"PR CONT";#N/A,#N/A,FALSE,"STRUCT"}</definedName>
    <definedName name="wrn.Labor._.Cost._.Workbook." localSheetId="13" hidden="1">{#N/A,#N/A,FALSE,"RATES";#N/A,#N/A,FALSE,"LOADED RATES"}</definedName>
    <definedName name="wrn.Labor._.Cost._.Workbook." hidden="1">{#N/A,#N/A,FALSE,"RATES";#N/A,#N/A,FALSE,"LOADED RATES"}</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7" i="199" l="1"/>
  <c r="R18" i="199" s="1"/>
  <c r="R19" i="199" s="1"/>
  <c r="R20" i="199" s="1"/>
  <c r="R21" i="199" s="1"/>
  <c r="R22" i="199" s="1"/>
  <c r="R23" i="199" s="1"/>
  <c r="R16" i="199"/>
  <c r="G9" i="48"/>
  <c r="F9" i="48"/>
  <c r="E9" i="48"/>
  <c r="D9" i="48"/>
  <c r="D27" i="169"/>
  <c r="D7" i="225"/>
  <c r="E7" i="225"/>
  <c r="F7" i="225"/>
  <c r="G7" i="225"/>
  <c r="H7" i="225"/>
  <c r="I7" i="225"/>
  <c r="J7" i="225"/>
  <c r="K7" i="225"/>
  <c r="L7" i="225"/>
  <c r="M7" i="225"/>
  <c r="N7" i="225"/>
  <c r="O7" i="225"/>
  <c r="P7" i="225"/>
  <c r="Q7" i="225"/>
  <c r="R7" i="225"/>
  <c r="S7" i="225"/>
  <c r="T7" i="225"/>
  <c r="U7" i="225"/>
  <c r="V7" i="225"/>
  <c r="W7" i="225"/>
  <c r="X7" i="225"/>
  <c r="Y7" i="225"/>
  <c r="Z7" i="225"/>
  <c r="AA7" i="225"/>
  <c r="AB7" i="225"/>
  <c r="AC7" i="225"/>
  <c r="AD7" i="225"/>
  <c r="AE7" i="225"/>
  <c r="AF7" i="225"/>
  <c r="AG7" i="225"/>
  <c r="AH7" i="225"/>
  <c r="AI7" i="225"/>
  <c r="AJ7" i="225"/>
  <c r="AK7" i="225"/>
  <c r="AL7" i="225"/>
  <c r="AM7" i="225"/>
  <c r="AN7" i="225"/>
  <c r="AO7" i="225"/>
  <c r="C7" i="225"/>
  <c r="D26" i="9"/>
  <c r="D10" i="48"/>
  <c r="E10" i="48"/>
  <c r="F10" i="48"/>
  <c r="G10" i="48"/>
  <c r="D28" i="169" l="1"/>
  <c r="D29" i="169"/>
  <c r="D30" i="169"/>
  <c r="D31" i="169"/>
  <c r="C17" i="170"/>
  <c r="K48" i="227"/>
  <c r="F46" i="211" l="1"/>
  <c r="F45" i="211"/>
  <c r="F44" i="211"/>
  <c r="F43" i="211"/>
  <c r="I95" i="169"/>
  <c r="I96" i="169"/>
  <c r="I97" i="169"/>
  <c r="I98" i="169"/>
  <c r="I99" i="169"/>
  <c r="I100" i="169"/>
  <c r="I101" i="169"/>
  <c r="I102" i="169"/>
  <c r="I103" i="169"/>
  <c r="I104" i="169"/>
  <c r="I105" i="169"/>
  <c r="I106" i="169"/>
  <c r="I107" i="169"/>
  <c r="I108" i="169"/>
  <c r="I109" i="169"/>
  <c r="I110" i="169"/>
  <c r="I111" i="169"/>
  <c r="I112" i="169"/>
  <c r="I113" i="169"/>
  <c r="I114" i="169"/>
  <c r="I115" i="169"/>
  <c r="I116" i="169"/>
  <c r="I117" i="169"/>
  <c r="I118" i="169"/>
  <c r="I119" i="169"/>
  <c r="I120" i="169"/>
  <c r="I121" i="169"/>
  <c r="I122" i="169"/>
  <c r="I123" i="169"/>
  <c r="I94" i="169"/>
  <c r="G71" i="169"/>
  <c r="G72" i="169" s="1"/>
  <c r="G73" i="169" s="1"/>
  <c r="G74" i="169" s="1"/>
  <c r="G75" i="169" s="1"/>
  <c r="G76" i="169" s="1"/>
  <c r="G77" i="169" s="1"/>
  <c r="G78" i="169" s="1"/>
  <c r="G79" i="169" s="1"/>
  <c r="G80" i="169" s="1"/>
  <c r="G81" i="169" s="1"/>
  <c r="G82" i="169" s="1"/>
  <c r="G83" i="169" s="1"/>
  <c r="G84" i="169" s="1"/>
  <c r="G85" i="169" s="1"/>
  <c r="G86" i="169" s="1"/>
  <c r="G87" i="169" s="1"/>
  <c r="G88" i="169" s="1"/>
  <c r="G89" i="169" s="1"/>
  <c r="G90" i="169" s="1"/>
  <c r="F66" i="169"/>
  <c r="F69" i="169" s="1"/>
  <c r="F72" i="169" s="1"/>
  <c r="F75" i="169" s="1"/>
  <c r="F78" i="169" s="1"/>
  <c r="F81" i="169" s="1"/>
  <c r="F84" i="169" s="1"/>
  <c r="F87" i="169" s="1"/>
  <c r="F90" i="169" s="1"/>
  <c r="E66" i="169"/>
  <c r="E69" i="169" s="1"/>
  <c r="E72" i="169" s="1"/>
  <c r="E75" i="169" s="1"/>
  <c r="E78" i="169" s="1"/>
  <c r="E81" i="169" s="1"/>
  <c r="E84" i="169" s="1"/>
  <c r="E87" i="169" s="1"/>
  <c r="E90" i="169" s="1"/>
  <c r="E65" i="169"/>
  <c r="E68" i="169" s="1"/>
  <c r="E71" i="169" s="1"/>
  <c r="E74" i="169" s="1"/>
  <c r="E77" i="169" s="1"/>
  <c r="E80" i="169" s="1"/>
  <c r="E83" i="169" s="1"/>
  <c r="E86" i="169" s="1"/>
  <c r="E89" i="169" s="1"/>
  <c r="E64" i="169"/>
  <c r="E67" i="169" s="1"/>
  <c r="E70" i="169" s="1"/>
  <c r="E73" i="169" s="1"/>
  <c r="E76" i="169" s="1"/>
  <c r="E79" i="169" s="1"/>
  <c r="E82" i="169" s="1"/>
  <c r="E85" i="169" s="1"/>
  <c r="E88" i="169" s="1"/>
  <c r="D62" i="169"/>
  <c r="D63" i="169" s="1"/>
  <c r="D64" i="169" s="1"/>
  <c r="D65" i="169" s="1"/>
  <c r="D66" i="169" s="1"/>
  <c r="D67" i="169" s="1"/>
  <c r="D68" i="169" s="1"/>
  <c r="D69" i="169" s="1"/>
  <c r="D70" i="169" s="1"/>
  <c r="D71" i="169" s="1"/>
  <c r="D72" i="169" s="1"/>
  <c r="D73" i="169" s="1"/>
  <c r="D74" i="169" s="1"/>
  <c r="D75" i="169" s="1"/>
  <c r="D76" i="169" s="1"/>
  <c r="D77" i="169" s="1"/>
  <c r="D78" i="169" s="1"/>
  <c r="D79" i="169" s="1"/>
  <c r="D80" i="169" s="1"/>
  <c r="D81" i="169" s="1"/>
  <c r="D82" i="169" s="1"/>
  <c r="D83" i="169" s="1"/>
  <c r="D84" i="169" s="1"/>
  <c r="D85" i="169" s="1"/>
  <c r="D86" i="169" s="1"/>
  <c r="D87" i="169" s="1"/>
  <c r="D88" i="169" s="1"/>
  <c r="D89" i="169" s="1"/>
  <c r="D90" i="169" s="1"/>
  <c r="D91" i="169" s="1"/>
  <c r="D61" i="169"/>
  <c r="C61" i="169"/>
  <c r="C62" i="169" s="1"/>
  <c r="C63" i="169" s="1"/>
  <c r="C64" i="169" s="1"/>
  <c r="C65" i="169" s="1"/>
  <c r="C66" i="169" s="1"/>
  <c r="C67" i="169" s="1"/>
  <c r="C68" i="169" s="1"/>
  <c r="C69" i="169" s="1"/>
  <c r="C70" i="169" s="1"/>
  <c r="C71" i="169" s="1"/>
  <c r="C72" i="169" s="1"/>
  <c r="C73" i="169" s="1"/>
  <c r="C74" i="169" s="1"/>
  <c r="C75" i="169" s="1"/>
  <c r="C76" i="169" s="1"/>
  <c r="C77" i="169" s="1"/>
  <c r="C78" i="169" s="1"/>
  <c r="C79" i="169" s="1"/>
  <c r="C80" i="169" s="1"/>
  <c r="C81" i="169" s="1"/>
  <c r="C82" i="169" s="1"/>
  <c r="C83" i="169" s="1"/>
  <c r="C84" i="169" s="1"/>
  <c r="C85" i="169" s="1"/>
  <c r="C86" i="169" s="1"/>
  <c r="C87" i="169" s="1"/>
  <c r="C88" i="169" s="1"/>
  <c r="C89" i="169" s="1"/>
  <c r="C90" i="169" s="1"/>
  <c r="AO14" i="103"/>
  <c r="AN14" i="103"/>
  <c r="AM14" i="103"/>
  <c r="AL14" i="103"/>
  <c r="AK14" i="103"/>
  <c r="AJ14" i="103"/>
  <c r="AI14" i="103"/>
  <c r="AH14" i="103"/>
  <c r="AG14" i="103"/>
  <c r="AF14" i="103"/>
  <c r="AO13" i="103"/>
  <c r="AN13" i="103"/>
  <c r="AM13" i="103"/>
  <c r="AL13" i="103"/>
  <c r="AK13" i="103"/>
  <c r="AJ13" i="103"/>
  <c r="AI13" i="103"/>
  <c r="AH13" i="103"/>
  <c r="AG13" i="103"/>
  <c r="AF13" i="103"/>
  <c r="C11" i="103"/>
  <c r="D11" i="103" s="1"/>
  <c r="E11" i="103" s="1"/>
  <c r="F11" i="103" s="1"/>
  <c r="G11" i="103" s="1"/>
  <c r="H11" i="103" s="1"/>
  <c r="I11" i="103" s="1"/>
  <c r="J11" i="103" s="1"/>
  <c r="K11" i="103" s="1"/>
  <c r="L11" i="103" s="1"/>
  <c r="M11" i="103" s="1"/>
  <c r="N11" i="103" s="1"/>
  <c r="O11" i="103" s="1"/>
  <c r="P11" i="103" s="1"/>
  <c r="Q11" i="103" s="1"/>
  <c r="R11" i="103" s="1"/>
  <c r="S11" i="103" s="1"/>
  <c r="T11" i="103" s="1"/>
  <c r="U11" i="103" s="1"/>
  <c r="V11" i="103" s="1"/>
  <c r="W11" i="103" s="1"/>
  <c r="X11" i="103" s="1"/>
  <c r="Y11" i="103" s="1"/>
  <c r="Z11" i="103" s="1"/>
  <c r="AA11" i="103" s="1"/>
  <c r="AB11" i="103" s="1"/>
  <c r="AC11" i="103" s="1"/>
  <c r="AD11" i="103" s="1"/>
  <c r="AE11" i="103" s="1"/>
  <c r="AF11" i="103" s="1"/>
  <c r="AG11" i="103" s="1"/>
  <c r="AH11" i="103" s="1"/>
  <c r="AI11" i="103" s="1"/>
  <c r="AJ11" i="103" s="1"/>
  <c r="AK11" i="103" s="1"/>
  <c r="AL11" i="103" s="1"/>
  <c r="AM11" i="103" s="1"/>
  <c r="AN11" i="103" s="1"/>
  <c r="AO11" i="103" s="1"/>
  <c r="C10" i="103"/>
  <c r="D10" i="103" s="1"/>
  <c r="E10" i="103" s="1"/>
  <c r="F10" i="103" s="1"/>
  <c r="G10" i="103" s="1"/>
  <c r="H10" i="103" s="1"/>
  <c r="I10" i="103" s="1"/>
  <c r="J10" i="103" s="1"/>
  <c r="K10" i="103" s="1"/>
  <c r="L10" i="103" s="1"/>
  <c r="M10" i="103" s="1"/>
  <c r="N10" i="103" s="1"/>
  <c r="O10" i="103" s="1"/>
  <c r="P10" i="103" s="1"/>
  <c r="Q10" i="103" s="1"/>
  <c r="R10" i="103" s="1"/>
  <c r="S10" i="103" s="1"/>
  <c r="T10" i="103" s="1"/>
  <c r="U10" i="103" s="1"/>
  <c r="V10" i="103" s="1"/>
  <c r="W10" i="103" s="1"/>
  <c r="X10" i="103" s="1"/>
  <c r="Y10" i="103" s="1"/>
  <c r="Z10" i="103" s="1"/>
  <c r="AA10" i="103" s="1"/>
  <c r="AB10" i="103" s="1"/>
  <c r="AC10" i="103" s="1"/>
  <c r="AD10" i="103" s="1"/>
  <c r="AE10" i="103" s="1"/>
  <c r="AF10" i="103" s="1"/>
  <c r="AG10" i="103" s="1"/>
  <c r="AH10" i="103" s="1"/>
  <c r="AI10" i="103" s="1"/>
  <c r="AJ10" i="103" s="1"/>
  <c r="AK10" i="103" s="1"/>
  <c r="AL10" i="103" s="1"/>
  <c r="AM10" i="103" s="1"/>
  <c r="AN10" i="103" s="1"/>
  <c r="AO10" i="103" s="1"/>
  <c r="C8" i="103"/>
  <c r="D8" i="103" s="1"/>
  <c r="E8" i="103" s="1"/>
  <c r="F8" i="103" s="1"/>
  <c r="G8" i="103" s="1"/>
  <c r="H8" i="103" s="1"/>
  <c r="I8" i="103" s="1"/>
  <c r="J8" i="103" s="1"/>
  <c r="K8" i="103" s="1"/>
  <c r="L8" i="103" s="1"/>
  <c r="M8" i="103" s="1"/>
  <c r="N8" i="103" s="1"/>
  <c r="O8" i="103" s="1"/>
  <c r="P8" i="103" s="1"/>
  <c r="Q8" i="103" s="1"/>
  <c r="R8" i="103" s="1"/>
  <c r="S8" i="103" s="1"/>
  <c r="T8" i="103" s="1"/>
  <c r="U8" i="103" s="1"/>
  <c r="V8" i="103" s="1"/>
  <c r="W8" i="103" s="1"/>
  <c r="X8" i="103" s="1"/>
  <c r="Y8" i="103" s="1"/>
  <c r="Z8" i="103" s="1"/>
  <c r="AA8" i="103" s="1"/>
  <c r="AB8" i="103" s="1"/>
  <c r="AC8" i="103" s="1"/>
  <c r="AD8" i="103" s="1"/>
  <c r="AE8" i="103" s="1"/>
  <c r="AF8" i="103" s="1"/>
  <c r="AG8" i="103" s="1"/>
  <c r="AH8" i="103" s="1"/>
  <c r="AI8" i="103" s="1"/>
  <c r="AJ8" i="103" s="1"/>
  <c r="AK8" i="103" s="1"/>
  <c r="AL8" i="103" s="1"/>
  <c r="AM8" i="103" s="1"/>
  <c r="AN8" i="103" s="1"/>
  <c r="AO8" i="103" s="1"/>
  <c r="C7" i="103"/>
  <c r="D7" i="103" s="1"/>
  <c r="E7" i="103" s="1"/>
  <c r="F7" i="103" s="1"/>
  <c r="G7" i="103" s="1"/>
  <c r="H7" i="103" s="1"/>
  <c r="I7" i="103" s="1"/>
  <c r="J7" i="103" s="1"/>
  <c r="K7" i="103" s="1"/>
  <c r="L7" i="103" s="1"/>
  <c r="M7" i="103" s="1"/>
  <c r="N7" i="103" s="1"/>
  <c r="O7" i="103" s="1"/>
  <c r="P7" i="103" s="1"/>
  <c r="Q7" i="103" s="1"/>
  <c r="R7" i="103" s="1"/>
  <c r="S7" i="103" s="1"/>
  <c r="T7" i="103" s="1"/>
  <c r="U7" i="103" s="1"/>
  <c r="V7" i="103" s="1"/>
  <c r="W7" i="103" s="1"/>
  <c r="X7" i="103" s="1"/>
  <c r="Y7" i="103" s="1"/>
  <c r="Z7" i="103" s="1"/>
  <c r="AA7" i="103" s="1"/>
  <c r="AB7" i="103" s="1"/>
  <c r="AC7" i="103" s="1"/>
  <c r="AD7" i="103" s="1"/>
  <c r="AE7" i="103" s="1"/>
  <c r="AF7" i="103" s="1"/>
  <c r="AG7" i="103" s="1"/>
  <c r="AH7" i="103" s="1"/>
  <c r="AI7" i="103" s="1"/>
  <c r="AJ7" i="103" s="1"/>
  <c r="AK7" i="103" s="1"/>
  <c r="AL7" i="103" s="1"/>
  <c r="AM7" i="103" s="1"/>
  <c r="AN7" i="103" s="1"/>
  <c r="AO7" i="103" s="1"/>
  <c r="K74" i="78"/>
  <c r="E25" i="9" s="1"/>
  <c r="C40" i="170"/>
  <c r="C21" i="170"/>
  <c r="C41" i="170" s="1"/>
  <c r="C20" i="170"/>
  <c r="C45" i="170"/>
  <c r="C44" i="170"/>
  <c r="G91" i="169" l="1"/>
  <c r="F91" i="169"/>
  <c r="E91" i="169"/>
  <c r="C91" i="169"/>
  <c r="D11" i="170"/>
  <c r="D13" i="170"/>
  <c r="D20" i="170" s="1"/>
  <c r="AF5" i="121"/>
  <c r="AF23" i="121" s="1"/>
  <c r="AF4" i="121"/>
  <c r="AO20" i="170"/>
  <c r="AN20" i="170"/>
  <c r="AL13" i="170"/>
  <c r="AL20" i="170" s="1"/>
  <c r="AK13" i="170"/>
  <c r="AK20" i="170" s="1"/>
  <c r="AJ13" i="170"/>
  <c r="AJ20" i="170" s="1"/>
  <c r="AI13" i="170"/>
  <c r="AI20" i="170" s="1"/>
  <c r="AH13" i="170"/>
  <c r="AH20" i="170" s="1"/>
  <c r="AO11" i="170"/>
  <c r="AO13" i="170" s="1"/>
  <c r="AN11" i="170"/>
  <c r="AN13" i="170" s="1"/>
  <c r="AM11" i="170"/>
  <c r="AM13" i="170" s="1"/>
  <c r="AM20" i="170" s="1"/>
  <c r="AH11" i="170"/>
  <c r="AG11" i="170"/>
  <c r="AG13" i="170" s="1"/>
  <c r="AG20" i="170" s="1"/>
  <c r="AF11" i="170"/>
  <c r="AF13" i="170" s="1"/>
  <c r="AF20" i="170" s="1"/>
  <c r="AO10" i="170"/>
  <c r="AN10" i="170"/>
  <c r="AM10" i="170"/>
  <c r="AL10" i="170"/>
  <c r="AL11" i="170" s="1"/>
  <c r="AK10" i="170"/>
  <c r="AK11" i="170" s="1"/>
  <c r="AJ10" i="170"/>
  <c r="AJ11" i="170" s="1"/>
  <c r="AI10" i="170"/>
  <c r="AI11" i="170" s="1"/>
  <c r="AH10" i="170"/>
  <c r="AG10" i="170"/>
  <c r="AF10" i="170"/>
  <c r="AF9" i="170"/>
  <c r="AF14" i="170" s="1"/>
  <c r="H90" i="169"/>
  <c r="H89" i="169"/>
  <c r="H88" i="169"/>
  <c r="H87" i="169"/>
  <c r="H86" i="169"/>
  <c r="H85" i="169"/>
  <c r="H84" i="169"/>
  <c r="H83" i="169"/>
  <c r="H82" i="169"/>
  <c r="H81" i="169"/>
  <c r="H80" i="169"/>
  <c r="H79" i="169"/>
  <c r="I78" i="169"/>
  <c r="H78" i="169"/>
  <c r="I77" i="169"/>
  <c r="I79" i="169" s="1"/>
  <c r="I81" i="169" s="1"/>
  <c r="I82" i="169" s="1"/>
  <c r="H77" i="169"/>
  <c r="H76" i="169"/>
  <c r="H75" i="169"/>
  <c r="H74" i="169"/>
  <c r="H73" i="169"/>
  <c r="H72" i="169"/>
  <c r="H71" i="169"/>
  <c r="H70" i="169"/>
  <c r="H69" i="169"/>
  <c r="H68" i="169"/>
  <c r="H67" i="169"/>
  <c r="H66" i="169"/>
  <c r="H65" i="169"/>
  <c r="H64" i="169"/>
  <c r="H63" i="169"/>
  <c r="H62" i="169"/>
  <c r="B62" i="169"/>
  <c r="B63" i="169" s="1"/>
  <c r="B64" i="169" s="1"/>
  <c r="B65" i="169" s="1"/>
  <c r="B66" i="169" s="1"/>
  <c r="B67" i="169" s="1"/>
  <c r="B68" i="169" s="1"/>
  <c r="B69" i="169" s="1"/>
  <c r="B70" i="169" s="1"/>
  <c r="B71" i="169" s="1"/>
  <c r="B72" i="169" s="1"/>
  <c r="B73" i="169" s="1"/>
  <c r="B74" i="169" s="1"/>
  <c r="B75" i="169" s="1"/>
  <c r="B76" i="169" s="1"/>
  <c r="B77" i="169" s="1"/>
  <c r="B78" i="169" s="1"/>
  <c r="B79" i="169" s="1"/>
  <c r="B80" i="169" s="1"/>
  <c r="B81" i="169" s="1"/>
  <c r="B82" i="169" s="1"/>
  <c r="B83" i="169" s="1"/>
  <c r="B84" i="169" s="1"/>
  <c r="B85" i="169" s="1"/>
  <c r="B86" i="169" s="1"/>
  <c r="B87" i="169" s="1"/>
  <c r="B88" i="169" s="1"/>
  <c r="B89" i="169" s="1"/>
  <c r="B90" i="169" s="1"/>
  <c r="H61" i="169"/>
  <c r="H91" i="169" l="1"/>
  <c r="AF35" i="121"/>
  <c r="AF11" i="121"/>
  <c r="AG4" i="121"/>
  <c r="AG9" i="170"/>
  <c r="E50" i="169"/>
  <c r="Z44" i="199"/>
  <c r="Y44" i="199"/>
  <c r="V44" i="199"/>
  <c r="T44" i="199"/>
  <c r="S44" i="199"/>
  <c r="W44" i="199"/>
  <c r="U44" i="199"/>
  <c r="Q44" i="199"/>
  <c r="P44" i="199"/>
  <c r="O44" i="199"/>
  <c r="N44" i="199"/>
  <c r="I44" i="199"/>
  <c r="H44" i="199"/>
  <c r="V39" i="199"/>
  <c r="V38" i="199"/>
  <c r="V35" i="199"/>
  <c r="V37" i="199"/>
  <c r="V36" i="199"/>
  <c r="V34" i="199"/>
  <c r="L39" i="199"/>
  <c r="L38" i="199"/>
  <c r="L37" i="199"/>
  <c r="L36" i="199"/>
  <c r="L35" i="199"/>
  <c r="L34" i="199"/>
  <c r="L33" i="199"/>
  <c r="L32" i="199"/>
  <c r="L31" i="199"/>
  <c r="L30" i="199"/>
  <c r="K39" i="199"/>
  <c r="K38" i="199"/>
  <c r="K37" i="199"/>
  <c r="K36" i="199"/>
  <c r="K35" i="199"/>
  <c r="K34" i="199"/>
  <c r="K33" i="199"/>
  <c r="K32" i="199"/>
  <c r="K31" i="199"/>
  <c r="K30" i="199"/>
  <c r="U35" i="199"/>
  <c r="U36" i="199"/>
  <c r="U37" i="199"/>
  <c r="U38" i="199"/>
  <c r="U39" i="199"/>
  <c r="U34" i="199"/>
  <c r="G44" i="217"/>
  <c r="H44" i="217"/>
  <c r="G45" i="217"/>
  <c r="H45" i="217"/>
  <c r="G46" i="217"/>
  <c r="H46" i="217"/>
  <c r="G47" i="217"/>
  <c r="H47" i="217"/>
  <c r="G48" i="217"/>
  <c r="H48" i="217"/>
  <c r="G49" i="217"/>
  <c r="H49" i="217"/>
  <c r="H43" i="217"/>
  <c r="G43" i="217"/>
  <c r="F44" i="217"/>
  <c r="F45" i="217"/>
  <c r="F46" i="217"/>
  <c r="F47" i="217"/>
  <c r="F48" i="217"/>
  <c r="F49" i="217"/>
  <c r="F43" i="217"/>
  <c r="L44" i="199" l="1"/>
  <c r="K44" i="199"/>
  <c r="AH4" i="121"/>
  <c r="AG5" i="121"/>
  <c r="AG14" i="170"/>
  <c r="AH9" i="170"/>
  <c r="Z39" i="199"/>
  <c r="Y39" i="199"/>
  <c r="Z38" i="199"/>
  <c r="Y38" i="199"/>
  <c r="Z37" i="199"/>
  <c r="Y37" i="199"/>
  <c r="Z36" i="199"/>
  <c r="Y36" i="199"/>
  <c r="Z35" i="199"/>
  <c r="Y35" i="199"/>
  <c r="Z34" i="199"/>
  <c r="Y34" i="199"/>
  <c r="W39" i="199"/>
  <c r="W38" i="199"/>
  <c r="W37" i="199"/>
  <c r="W36" i="199"/>
  <c r="W35" i="199"/>
  <c r="W34" i="199"/>
  <c r="R34" i="199"/>
  <c r="R35" i="199"/>
  <c r="R36" i="199"/>
  <c r="R37" i="199"/>
  <c r="R38" i="199"/>
  <c r="R39" i="199"/>
  <c r="Q35" i="199"/>
  <c r="Q36" i="199"/>
  <c r="Q37" i="199"/>
  <c r="Q38" i="199"/>
  <c r="Q39" i="199"/>
  <c r="P35" i="199"/>
  <c r="P36" i="199"/>
  <c r="P37" i="199"/>
  <c r="P38" i="199"/>
  <c r="P39" i="199"/>
  <c r="P34" i="199"/>
  <c r="Q34" i="199"/>
  <c r="H35" i="199"/>
  <c r="H36" i="199"/>
  <c r="H37" i="199"/>
  <c r="H38" i="199"/>
  <c r="H39" i="199"/>
  <c r="H34" i="199"/>
  <c r="E28" i="169"/>
  <c r="E29" i="169"/>
  <c r="E30" i="169"/>
  <c r="E31" i="169"/>
  <c r="D32" i="169"/>
  <c r="K29" i="169" l="1"/>
  <c r="K32" i="169"/>
  <c r="K31" i="169"/>
  <c r="K27" i="169"/>
  <c r="K30" i="169"/>
  <c r="K28" i="169"/>
  <c r="E27" i="169"/>
  <c r="AG11" i="121"/>
  <c r="AG23" i="121"/>
  <c r="AG35" i="121"/>
  <c r="AI4" i="121"/>
  <c r="AH5" i="121"/>
  <c r="AI9" i="170"/>
  <c r="AH14" i="170"/>
  <c r="C40" i="169"/>
  <c r="C32" i="169"/>
  <c r="AH11" i="121" l="1"/>
  <c r="AH35" i="121"/>
  <c r="AH23" i="121"/>
  <c r="AI5" i="121"/>
  <c r="AJ4" i="121"/>
  <c r="AI14" i="170"/>
  <c r="AJ9" i="170"/>
  <c r="B17" i="219"/>
  <c r="B18" i="219"/>
  <c r="E11" i="9"/>
  <c r="C50" i="169"/>
  <c r="D50" i="169"/>
  <c r="F50" i="169"/>
  <c r="G50" i="169"/>
  <c r="H50" i="169"/>
  <c r="I50" i="169"/>
  <c r="J50" i="169"/>
  <c r="K50" i="169"/>
  <c r="M50" i="169"/>
  <c r="N50" i="169"/>
  <c r="O50" i="169"/>
  <c r="P50" i="169"/>
  <c r="Q50" i="169"/>
  <c r="R50" i="169"/>
  <c r="B50" i="169"/>
  <c r="C49" i="169"/>
  <c r="D49" i="169"/>
  <c r="E49" i="169"/>
  <c r="F49" i="169"/>
  <c r="G49" i="169"/>
  <c r="H49" i="169"/>
  <c r="I49" i="169"/>
  <c r="J49" i="169"/>
  <c r="K49" i="169"/>
  <c r="L49" i="169"/>
  <c r="M49" i="169"/>
  <c r="N49" i="169"/>
  <c r="O49" i="169"/>
  <c r="P49" i="169"/>
  <c r="Q49" i="169"/>
  <c r="R49" i="169"/>
  <c r="S49" i="169"/>
  <c r="T49" i="169"/>
  <c r="U49" i="169"/>
  <c r="V49" i="169"/>
  <c r="W49" i="169"/>
  <c r="X49" i="169"/>
  <c r="Y49" i="169"/>
  <c r="Z49" i="169"/>
  <c r="AA49" i="169"/>
  <c r="AB49" i="169"/>
  <c r="AC49" i="169"/>
  <c r="AD49" i="169"/>
  <c r="AE49" i="169"/>
  <c r="AF49" i="169"/>
  <c r="AG49" i="169"/>
  <c r="AH49" i="169"/>
  <c r="B49" i="169"/>
  <c r="C54" i="169"/>
  <c r="AH50" i="169"/>
  <c r="AH47" i="169"/>
  <c r="AF50" i="169"/>
  <c r="AG50" i="169"/>
  <c r="AF47" i="169"/>
  <c r="AG47" i="169" s="1"/>
  <c r="S50" i="169"/>
  <c r="T50" i="169"/>
  <c r="U50" i="169"/>
  <c r="V50" i="169"/>
  <c r="W50" i="169"/>
  <c r="X50" i="169"/>
  <c r="Y50" i="169"/>
  <c r="Z50" i="169"/>
  <c r="AA50" i="169"/>
  <c r="AB50" i="169"/>
  <c r="AC50" i="169"/>
  <c r="AD50" i="169"/>
  <c r="AE50" i="169"/>
  <c r="L50" i="169"/>
  <c r="B47" i="169"/>
  <c r="C47" i="169"/>
  <c r="D47" i="169" s="1"/>
  <c r="E47" i="169" s="1"/>
  <c r="F47" i="169" s="1"/>
  <c r="G47" i="169" s="1"/>
  <c r="H47" i="169" s="1"/>
  <c r="I47" i="169" s="1"/>
  <c r="J47" i="169" s="1"/>
  <c r="K47" i="169" s="1"/>
  <c r="L47" i="169" s="1"/>
  <c r="M47" i="169" s="1"/>
  <c r="N47" i="169" s="1"/>
  <c r="O47" i="169" s="1"/>
  <c r="P47" i="169" s="1"/>
  <c r="Q47" i="169" s="1"/>
  <c r="R47" i="169" s="1"/>
  <c r="S47" i="169" s="1"/>
  <c r="T47" i="169" s="1"/>
  <c r="U47" i="169" s="1"/>
  <c r="V47" i="169" s="1"/>
  <c r="W47" i="169" s="1"/>
  <c r="X47" i="169" s="1"/>
  <c r="Y47" i="169" s="1"/>
  <c r="Z47" i="169" s="1"/>
  <c r="AA47" i="169" s="1"/>
  <c r="AB47" i="169" s="1"/>
  <c r="AC47" i="169" s="1"/>
  <c r="AD47" i="169" s="1"/>
  <c r="AE47" i="169" s="1"/>
  <c r="AK4" i="121" l="1"/>
  <c r="AJ5" i="121"/>
  <c r="AI11" i="121"/>
  <c r="AI35" i="121"/>
  <c r="AI23" i="121"/>
  <c r="AK9" i="170"/>
  <c r="AJ14" i="170"/>
  <c r="I40" i="169"/>
  <c r="J40" i="169"/>
  <c r="B35" i="169"/>
  <c r="B36" i="169"/>
  <c r="B37" i="169"/>
  <c r="B38" i="169"/>
  <c r="B34" i="169"/>
  <c r="D33" i="169"/>
  <c r="E33" i="169" s="1"/>
  <c r="F35" i="169"/>
  <c r="F36" i="169"/>
  <c r="F37" i="169"/>
  <c r="F38" i="169"/>
  <c r="E34" i="169"/>
  <c r="AJ11" i="121" l="1"/>
  <c r="AJ23" i="121"/>
  <c r="AJ35" i="121"/>
  <c r="AL4" i="121"/>
  <c r="AK5" i="121"/>
  <c r="AL9" i="170"/>
  <c r="AK14" i="170"/>
  <c r="F33" i="169"/>
  <c r="G33" i="169" s="1"/>
  <c r="H33" i="169" s="1"/>
  <c r="I33" i="169" s="1"/>
  <c r="J33" i="169" s="1"/>
  <c r="G38" i="169"/>
  <c r="D34" i="169"/>
  <c r="D40" i="169" s="1"/>
  <c r="H37" i="169"/>
  <c r="H38" i="169"/>
  <c r="G37" i="169"/>
  <c r="F40" i="169"/>
  <c r="E35" i="169"/>
  <c r="E36" i="169"/>
  <c r="AM4" i="121" l="1"/>
  <c r="AL5" i="121"/>
  <c r="AK11" i="121"/>
  <c r="AK23" i="121"/>
  <c r="AK35" i="121"/>
  <c r="AM9" i="170"/>
  <c r="AL14" i="170"/>
  <c r="E40" i="169"/>
  <c r="G40" i="169"/>
  <c r="H40" i="169"/>
  <c r="C76" i="8"/>
  <c r="C75" i="8"/>
  <c r="K40" i="169" l="1"/>
  <c r="L40" i="169" s="1"/>
  <c r="AL11" i="121"/>
  <c r="AL23" i="121"/>
  <c r="AL35" i="121"/>
  <c r="AN4" i="121"/>
  <c r="AM5" i="121"/>
  <c r="AN9" i="170"/>
  <c r="AM14" i="170"/>
  <c r="B59" i="8"/>
  <c r="B60" i="8"/>
  <c r="B40" i="8"/>
  <c r="B41" i="8"/>
  <c r="B4" i="229"/>
  <c r="C4" i="229" s="1"/>
  <c r="I9" i="227"/>
  <c r="C38" i="227"/>
  <c r="D38" i="227"/>
  <c r="E38" i="227"/>
  <c r="F38" i="227"/>
  <c r="G38" i="227"/>
  <c r="H38" i="227"/>
  <c r="C39" i="227"/>
  <c r="D39" i="227"/>
  <c r="E39" i="227"/>
  <c r="F39" i="227"/>
  <c r="G39" i="227"/>
  <c r="H39" i="227"/>
  <c r="C49" i="227"/>
  <c r="B4" i="225"/>
  <c r="C4" i="225" s="1"/>
  <c r="AO43" i="52"/>
  <c r="AO44" i="52"/>
  <c r="AO45" i="52"/>
  <c r="AO46" i="52"/>
  <c r="AO47" i="52"/>
  <c r="AO48" i="52"/>
  <c r="AO49" i="52"/>
  <c r="AO50" i="52"/>
  <c r="AO51" i="52"/>
  <c r="AO52" i="52"/>
  <c r="AO53" i="52"/>
  <c r="AO54" i="52"/>
  <c r="AO55" i="52"/>
  <c r="AO56" i="52"/>
  <c r="AO57" i="52"/>
  <c r="AO58" i="52"/>
  <c r="AO59" i="52"/>
  <c r="AO60" i="52"/>
  <c r="AO61" i="52"/>
  <c r="AO62" i="52"/>
  <c r="AO63" i="52"/>
  <c r="AO64" i="52"/>
  <c r="AO65" i="52"/>
  <c r="AO66" i="52"/>
  <c r="AO67" i="52"/>
  <c r="AO68" i="52"/>
  <c r="AO69" i="52"/>
  <c r="AO70" i="52"/>
  <c r="AO71" i="52"/>
  <c r="AO72" i="52"/>
  <c r="AO73" i="52"/>
  <c r="AO42" i="52"/>
  <c r="X43" i="52"/>
  <c r="X44" i="52"/>
  <c r="X45" i="52"/>
  <c r="X46" i="52"/>
  <c r="X47" i="52"/>
  <c r="X48" i="52"/>
  <c r="X49" i="52"/>
  <c r="X50" i="52"/>
  <c r="X51" i="52"/>
  <c r="X52" i="52"/>
  <c r="X53" i="52"/>
  <c r="X54" i="52"/>
  <c r="X55" i="52"/>
  <c r="X56" i="52"/>
  <c r="X57" i="52"/>
  <c r="X58" i="52"/>
  <c r="X59" i="52"/>
  <c r="X60" i="52"/>
  <c r="X61" i="52"/>
  <c r="X62" i="52"/>
  <c r="X63" i="52"/>
  <c r="X64" i="52"/>
  <c r="X65" i="52"/>
  <c r="X66" i="52"/>
  <c r="X67" i="52"/>
  <c r="X68" i="52"/>
  <c r="X69" i="52"/>
  <c r="X70" i="52"/>
  <c r="X71" i="52"/>
  <c r="X72" i="52"/>
  <c r="X73" i="52"/>
  <c r="X42" i="52"/>
  <c r="D62" i="227" l="1"/>
  <c r="D61" i="227"/>
  <c r="D55" i="227"/>
  <c r="D50" i="227"/>
  <c r="C62" i="227"/>
  <c r="D67" i="227"/>
  <c r="C56" i="227"/>
  <c r="C78" i="227"/>
  <c r="D66" i="227"/>
  <c r="C66" i="227"/>
  <c r="D65" i="227"/>
  <c r="D53" i="227"/>
  <c r="C76" i="227"/>
  <c r="C75" i="227"/>
  <c r="F76" i="227" s="1"/>
  <c r="D52" i="227"/>
  <c r="D49" i="227"/>
  <c r="C67" i="227"/>
  <c r="D77" i="227"/>
  <c r="C77" i="227"/>
  <c r="C65" i="227"/>
  <c r="F65" i="227" s="1"/>
  <c r="D64" i="227"/>
  <c r="C64" i="227"/>
  <c r="D63" i="227"/>
  <c r="D51" i="227"/>
  <c r="C74" i="227"/>
  <c r="D73" i="227"/>
  <c r="D71" i="227"/>
  <c r="G71" i="227" s="1"/>
  <c r="D56" i="227"/>
  <c r="D78" i="227"/>
  <c r="C55" i="227"/>
  <c r="D54" i="227"/>
  <c r="D76" i="227"/>
  <c r="C53" i="227"/>
  <c r="D75" i="227"/>
  <c r="D74" i="227"/>
  <c r="C63" i="227"/>
  <c r="C51" i="227"/>
  <c r="D72" i="227"/>
  <c r="C61" i="227"/>
  <c r="F62" i="227" s="1"/>
  <c r="D48" i="227"/>
  <c r="C72" i="227"/>
  <c r="C48" i="227"/>
  <c r="C50" i="227"/>
  <c r="C73" i="227"/>
  <c r="F73" i="227" s="1"/>
  <c r="D60" i="227"/>
  <c r="C71" i="227"/>
  <c r="F72" i="227" s="1"/>
  <c r="C60" i="227"/>
  <c r="D59" i="227"/>
  <c r="D70" i="227"/>
  <c r="C59" i="227"/>
  <c r="F60" i="227" s="1"/>
  <c r="C70" i="227"/>
  <c r="D69" i="227"/>
  <c r="D58" i="227"/>
  <c r="C69" i="227"/>
  <c r="F70" i="227" s="1"/>
  <c r="C58" i="227"/>
  <c r="D57" i="227"/>
  <c r="D68" i="227"/>
  <c r="C57" i="227"/>
  <c r="C68" i="227"/>
  <c r="AM11" i="121"/>
  <c r="AM23" i="121"/>
  <c r="AM35" i="121"/>
  <c r="AN5" i="121"/>
  <c r="AO4" i="121"/>
  <c r="AO9" i="170"/>
  <c r="AN14" i="170"/>
  <c r="C5" i="229"/>
  <c r="C7" i="229"/>
  <c r="D4" i="229"/>
  <c r="F77" i="227"/>
  <c r="F75" i="227"/>
  <c r="C54" i="227"/>
  <c r="F54" i="227" s="1"/>
  <c r="C52" i="227"/>
  <c r="C5" i="225"/>
  <c r="D4" i="225"/>
  <c r="G65" i="227" l="1"/>
  <c r="F67" i="227"/>
  <c r="F51" i="227"/>
  <c r="G57" i="227"/>
  <c r="F69" i="227"/>
  <c r="G54" i="227"/>
  <c r="F71" i="227"/>
  <c r="G61" i="227"/>
  <c r="F58" i="227"/>
  <c r="G78" i="227"/>
  <c r="G60" i="227"/>
  <c r="G72" i="227"/>
  <c r="F52" i="227"/>
  <c r="F64" i="227"/>
  <c r="G74" i="227"/>
  <c r="F57" i="227"/>
  <c r="F59" i="227"/>
  <c r="G75" i="227"/>
  <c r="G56" i="227"/>
  <c r="G63" i="227"/>
  <c r="G70" i="227"/>
  <c r="G64" i="227"/>
  <c r="G59" i="227"/>
  <c r="F66" i="227"/>
  <c r="F61" i="227"/>
  <c r="G67" i="227"/>
  <c r="G76" i="227"/>
  <c r="G55" i="227"/>
  <c r="F56" i="227"/>
  <c r="G68" i="227"/>
  <c r="G58" i="227"/>
  <c r="F78" i="227"/>
  <c r="G73" i="227"/>
  <c r="G69" i="227"/>
  <c r="G77" i="227"/>
  <c r="G66" i="227"/>
  <c r="F63" i="227"/>
  <c r="G62" i="227"/>
  <c r="G51" i="227"/>
  <c r="F68" i="227"/>
  <c r="F74" i="227"/>
  <c r="G52" i="227"/>
  <c r="G53" i="227"/>
  <c r="AO5" i="121"/>
  <c r="AN11" i="121"/>
  <c r="AN23" i="121"/>
  <c r="AN35" i="121"/>
  <c r="AO14" i="170"/>
  <c r="D5" i="229"/>
  <c r="D7" i="229"/>
  <c r="E4" i="229"/>
  <c r="C27" i="229"/>
  <c r="C18" i="229"/>
  <c r="C9" i="229"/>
  <c r="F55" i="227"/>
  <c r="F53" i="227"/>
  <c r="C23" i="225"/>
  <c r="C16" i="225"/>
  <c r="C9" i="225"/>
  <c r="E4" i="225"/>
  <c r="D5" i="225"/>
  <c r="AO23" i="121" l="1"/>
  <c r="AO11" i="121"/>
  <c r="AO35" i="121"/>
  <c r="E7" i="229"/>
  <c r="F4" i="229"/>
  <c r="E5" i="229"/>
  <c r="D27" i="229"/>
  <c r="D18" i="229"/>
  <c r="D9" i="229"/>
  <c r="F4" i="225"/>
  <c r="E5" i="225"/>
  <c r="D23" i="225"/>
  <c r="D16" i="225"/>
  <c r="D9" i="225"/>
  <c r="E18" i="229" l="1"/>
  <c r="E27" i="229"/>
  <c r="E9" i="229"/>
  <c r="F7" i="229"/>
  <c r="G4" i="229"/>
  <c r="F5" i="229"/>
  <c r="E23" i="225"/>
  <c r="E16" i="225"/>
  <c r="E9" i="225"/>
  <c r="G4" i="225"/>
  <c r="F5" i="225"/>
  <c r="F27" i="229" l="1"/>
  <c r="F18" i="229"/>
  <c r="F9" i="229"/>
  <c r="G7" i="229"/>
  <c r="H4" i="229"/>
  <c r="G5" i="229"/>
  <c r="F23" i="225"/>
  <c r="F16" i="225"/>
  <c r="F9" i="225"/>
  <c r="H4" i="225"/>
  <c r="G5" i="225"/>
  <c r="G27" i="229" l="1"/>
  <c r="G18" i="229"/>
  <c r="G9" i="229"/>
  <c r="I4" i="229"/>
  <c r="H5" i="229"/>
  <c r="H7" i="229"/>
  <c r="G23" i="225"/>
  <c r="G16" i="225"/>
  <c r="G9" i="225"/>
  <c r="H5" i="225"/>
  <c r="I4" i="225"/>
  <c r="H27" i="229" l="1"/>
  <c r="H18" i="229"/>
  <c r="H9" i="229"/>
  <c r="I5" i="229"/>
  <c r="I7" i="229"/>
  <c r="J4" i="229"/>
  <c r="I5" i="225"/>
  <c r="J4" i="225"/>
  <c r="H23" i="225"/>
  <c r="H16" i="225"/>
  <c r="H9" i="225"/>
  <c r="I18" i="229" l="1"/>
  <c r="I9" i="229"/>
  <c r="I27" i="229"/>
  <c r="J5" i="229"/>
  <c r="J7" i="229"/>
  <c r="K4" i="229"/>
  <c r="J5" i="225"/>
  <c r="K4" i="225"/>
  <c r="I23" i="225"/>
  <c r="I16" i="225"/>
  <c r="I9" i="225"/>
  <c r="J9" i="229" l="1"/>
  <c r="J27" i="229"/>
  <c r="J18" i="229"/>
  <c r="K7" i="229"/>
  <c r="K5" i="229"/>
  <c r="L4" i="229"/>
  <c r="K5" i="225"/>
  <c r="L4" i="225"/>
  <c r="J23" i="225"/>
  <c r="J16" i="225"/>
  <c r="J9" i="225"/>
  <c r="L5" i="229" l="1"/>
  <c r="L7" i="229"/>
  <c r="M4" i="229"/>
  <c r="K27" i="229"/>
  <c r="K18" i="229"/>
  <c r="K9" i="229"/>
  <c r="M4" i="225"/>
  <c r="L5" i="225"/>
  <c r="K16" i="225"/>
  <c r="K9" i="225"/>
  <c r="K23" i="225"/>
  <c r="M7" i="229" l="1"/>
  <c r="N4" i="229"/>
  <c r="M5" i="229"/>
  <c r="L27" i="229"/>
  <c r="L18" i="229"/>
  <c r="L9" i="229"/>
  <c r="N4" i="225"/>
  <c r="M5" i="225"/>
  <c r="L23" i="225"/>
  <c r="L16" i="225"/>
  <c r="L9" i="225"/>
  <c r="N7" i="229" l="1"/>
  <c r="O4" i="229"/>
  <c r="N5" i="229"/>
  <c r="M18" i="229"/>
  <c r="M27" i="229"/>
  <c r="M9" i="229"/>
  <c r="M23" i="225"/>
  <c r="M16" i="225"/>
  <c r="M9" i="225"/>
  <c r="O4" i="225"/>
  <c r="N5" i="225"/>
  <c r="N9" i="229" l="1"/>
  <c r="N27" i="229"/>
  <c r="N18" i="229"/>
  <c r="O7" i="229"/>
  <c r="P4" i="229"/>
  <c r="O5" i="229"/>
  <c r="P4" i="225"/>
  <c r="O5" i="225"/>
  <c r="N23" i="225"/>
  <c r="N16" i="225"/>
  <c r="N9" i="225"/>
  <c r="O27" i="229" l="1"/>
  <c r="O18" i="229"/>
  <c r="O9" i="229"/>
  <c r="Q4" i="229"/>
  <c r="P5" i="229"/>
  <c r="P7" i="229"/>
  <c r="O23" i="225"/>
  <c r="O16" i="225"/>
  <c r="O9" i="225"/>
  <c r="P5" i="225"/>
  <c r="Q4" i="225"/>
  <c r="Q5" i="229" l="1"/>
  <c r="R4" i="229"/>
  <c r="Q7" i="229"/>
  <c r="P27" i="229"/>
  <c r="P18" i="229"/>
  <c r="P9" i="229"/>
  <c r="P23" i="225"/>
  <c r="P16" i="225"/>
  <c r="P9" i="225"/>
  <c r="Q5" i="225"/>
  <c r="R4" i="225"/>
  <c r="R5" i="229" l="1"/>
  <c r="R7" i="229"/>
  <c r="S4" i="229"/>
  <c r="Q18" i="229"/>
  <c r="Q9" i="229"/>
  <c r="Q27" i="229"/>
  <c r="Q23" i="225"/>
  <c r="Q16" i="225"/>
  <c r="Q9" i="225"/>
  <c r="R5" i="225"/>
  <c r="S4" i="225"/>
  <c r="S5" i="229" l="1"/>
  <c r="S7" i="229"/>
  <c r="T4" i="229"/>
  <c r="R9" i="229"/>
  <c r="R27" i="229"/>
  <c r="R18" i="229"/>
  <c r="S5" i="225"/>
  <c r="T4" i="225"/>
  <c r="R16" i="225"/>
  <c r="R23" i="225"/>
  <c r="R9" i="225"/>
  <c r="S27" i="229" l="1"/>
  <c r="S18" i="229"/>
  <c r="S9" i="229"/>
  <c r="T5" i="229"/>
  <c r="T7" i="229"/>
  <c r="U4" i="229"/>
  <c r="U4" i="225"/>
  <c r="T5" i="225"/>
  <c r="S23" i="225"/>
  <c r="S16" i="225"/>
  <c r="S9" i="225"/>
  <c r="T27" i="229" l="1"/>
  <c r="T18" i="229"/>
  <c r="T9" i="229"/>
  <c r="U7" i="229"/>
  <c r="V4" i="229"/>
  <c r="U5" i="229"/>
  <c r="T23" i="225"/>
  <c r="T16" i="225"/>
  <c r="T9" i="225"/>
  <c r="V4" i="225"/>
  <c r="U5" i="225"/>
  <c r="U18" i="229" l="1"/>
  <c r="U27" i="229"/>
  <c r="U9" i="229"/>
  <c r="V7" i="229"/>
  <c r="W4" i="229"/>
  <c r="V5" i="229"/>
  <c r="W4" i="225"/>
  <c r="V5" i="225"/>
  <c r="U23" i="225"/>
  <c r="U16" i="225"/>
  <c r="U9" i="225"/>
  <c r="W7" i="229" l="1"/>
  <c r="X4" i="229"/>
  <c r="W5" i="229"/>
  <c r="V9" i="229"/>
  <c r="V27" i="229"/>
  <c r="V18" i="229"/>
  <c r="X4" i="225"/>
  <c r="W5" i="225"/>
  <c r="V16" i="225"/>
  <c r="V9" i="225"/>
  <c r="V23" i="225"/>
  <c r="Y4" i="229" l="1"/>
  <c r="X5" i="229"/>
  <c r="X7" i="229"/>
  <c r="W27" i="229"/>
  <c r="W18" i="229"/>
  <c r="W9" i="229"/>
  <c r="X5" i="225"/>
  <c r="Y4" i="225"/>
  <c r="W23" i="225"/>
  <c r="W16" i="225"/>
  <c r="W9" i="225"/>
  <c r="X27" i="229" l="1"/>
  <c r="X18" i="229"/>
  <c r="X9" i="229"/>
  <c r="Y5" i="229"/>
  <c r="Z4" i="229"/>
  <c r="Y7" i="229"/>
  <c r="X23" i="225"/>
  <c r="X16" i="225"/>
  <c r="X9" i="225"/>
  <c r="Y5" i="225"/>
  <c r="Z4" i="225"/>
  <c r="Y18" i="229" l="1"/>
  <c r="Y9" i="229"/>
  <c r="Y27" i="229"/>
  <c r="Z5" i="229"/>
  <c r="Z7" i="229"/>
  <c r="AA4" i="229"/>
  <c r="Z5" i="225"/>
  <c r="AA4" i="225"/>
  <c r="Y23" i="225"/>
  <c r="Y16" i="225"/>
  <c r="Y9" i="225"/>
  <c r="AA5" i="229" l="1"/>
  <c r="AA7" i="229"/>
  <c r="AB4" i="229"/>
  <c r="Z9" i="229"/>
  <c r="Z27" i="229"/>
  <c r="Z18" i="229"/>
  <c r="AA5" i="225"/>
  <c r="AB4" i="225"/>
  <c r="Z16" i="225"/>
  <c r="Z23" i="225"/>
  <c r="Z9" i="225"/>
  <c r="AA27" i="229" l="1"/>
  <c r="AA18" i="229"/>
  <c r="AA9" i="229"/>
  <c r="AB5" i="229"/>
  <c r="AB7" i="229"/>
  <c r="AC4" i="229"/>
  <c r="AC4" i="225"/>
  <c r="AB5" i="225"/>
  <c r="AA16" i="225"/>
  <c r="AA9" i="225"/>
  <c r="AA23" i="225"/>
  <c r="AB27" i="229" l="1"/>
  <c r="AB18" i="229"/>
  <c r="AB9" i="229"/>
  <c r="AC7" i="229"/>
  <c r="AD4" i="229"/>
  <c r="AC5" i="229"/>
  <c r="AB23" i="225"/>
  <c r="AB16" i="225"/>
  <c r="AB9" i="225"/>
  <c r="AD4" i="225"/>
  <c r="AC5" i="225"/>
  <c r="AC18" i="229" l="1"/>
  <c r="AC27" i="229"/>
  <c r="AC9" i="229"/>
  <c r="AD7" i="229"/>
  <c r="AE4" i="229"/>
  <c r="AF4" i="229" s="1"/>
  <c r="AD5" i="229"/>
  <c r="AE4" i="225"/>
  <c r="AD5" i="225"/>
  <c r="AC23" i="225"/>
  <c r="AC16" i="225"/>
  <c r="AC9" i="225"/>
  <c r="AF4" i="225" l="1"/>
  <c r="AF7" i="229"/>
  <c r="AF5" i="229"/>
  <c r="AG4" i="229"/>
  <c r="AD27" i="229"/>
  <c r="AD9" i="229"/>
  <c r="AD18" i="229"/>
  <c r="AE7" i="229"/>
  <c r="AE5" i="229"/>
  <c r="AD23" i="225"/>
  <c r="AD16" i="225"/>
  <c r="AD9" i="225"/>
  <c r="AE5" i="225"/>
  <c r="AG5" i="229" l="1"/>
  <c r="AG7" i="229"/>
  <c r="AH4" i="229"/>
  <c r="AG4" i="225"/>
  <c r="AF5" i="225"/>
  <c r="AF27" i="229"/>
  <c r="AF9" i="229"/>
  <c r="AF18" i="229"/>
  <c r="AE27" i="229"/>
  <c r="AE18" i="229"/>
  <c r="AE9" i="229"/>
  <c r="AE23" i="225"/>
  <c r="AE16" i="225"/>
  <c r="AE9" i="225"/>
  <c r="AF9" i="225" l="1"/>
  <c r="AF23" i="225"/>
  <c r="AF16" i="225"/>
  <c r="AH4" i="225"/>
  <c r="AG5" i="225"/>
  <c r="AH5" i="229"/>
  <c r="AH7" i="229"/>
  <c r="AI4" i="229"/>
  <c r="AG27" i="229"/>
  <c r="AG9" i="229"/>
  <c r="AG18" i="229"/>
  <c r="D71" i="170"/>
  <c r="D62" i="170"/>
  <c r="D54" i="170"/>
  <c r="AI4" i="225" l="1"/>
  <c r="AH5" i="225"/>
  <c r="AI5" i="229"/>
  <c r="AI7" i="229"/>
  <c r="AJ4" i="229"/>
  <c r="AG9" i="225"/>
  <c r="AG23" i="225"/>
  <c r="AG16" i="225"/>
  <c r="AH9" i="229"/>
  <c r="AH27" i="229"/>
  <c r="AH18" i="229"/>
  <c r="E54" i="170"/>
  <c r="F54" i="170" s="1"/>
  <c r="G54" i="170" s="1"/>
  <c r="H54" i="170" s="1"/>
  <c r="I54" i="170" s="1"/>
  <c r="J54" i="170" s="1"/>
  <c r="K54" i="170" s="1"/>
  <c r="L54" i="170" s="1"/>
  <c r="M54" i="170" s="1"/>
  <c r="N54" i="170" s="1"/>
  <c r="O54" i="170" s="1"/>
  <c r="P54" i="170" s="1"/>
  <c r="Q54" i="170" s="1"/>
  <c r="R54" i="170" s="1"/>
  <c r="S54" i="170" s="1"/>
  <c r="T54" i="170" s="1"/>
  <c r="U54" i="170" s="1"/>
  <c r="V54" i="170" s="1"/>
  <c r="W54" i="170" s="1"/>
  <c r="X54" i="170" s="1"/>
  <c r="Y54" i="170" s="1"/>
  <c r="Z54" i="170" s="1"/>
  <c r="AA54" i="170" s="1"/>
  <c r="AB54" i="170" s="1"/>
  <c r="AC54" i="170" s="1"/>
  <c r="AD54" i="170" s="1"/>
  <c r="AE54" i="170" s="1"/>
  <c r="D60" i="170"/>
  <c r="D63" i="170"/>
  <c r="D64" i="170" s="1"/>
  <c r="D67" i="170" s="1"/>
  <c r="E71" i="170"/>
  <c r="D59" i="170"/>
  <c r="D66" i="170" s="1"/>
  <c r="AE60" i="170" l="1"/>
  <c r="AF54" i="170"/>
  <c r="AJ5" i="229"/>
  <c r="AJ7" i="229"/>
  <c r="AK4" i="229"/>
  <c r="AH23" i="225"/>
  <c r="AH16" i="225"/>
  <c r="AH9" i="225"/>
  <c r="AI5" i="225"/>
  <c r="AJ4" i="225"/>
  <c r="AI9" i="229"/>
  <c r="AI18" i="229"/>
  <c r="AI27" i="229"/>
  <c r="X59" i="170"/>
  <c r="X66" i="170" s="1"/>
  <c r="AD60" i="170"/>
  <c r="E60" i="170"/>
  <c r="I60" i="170"/>
  <c r="M60" i="170"/>
  <c r="I59" i="170"/>
  <c r="I66" i="170" s="1"/>
  <c r="AC60" i="170"/>
  <c r="Q59" i="170"/>
  <c r="Q66" i="170" s="1"/>
  <c r="K60" i="170"/>
  <c r="W59" i="170"/>
  <c r="W66" i="170" s="1"/>
  <c r="T60" i="170"/>
  <c r="AA59" i="170"/>
  <c r="AA66" i="170" s="1"/>
  <c r="F60" i="170"/>
  <c r="AA60" i="170"/>
  <c r="G59" i="170"/>
  <c r="G66" i="170" s="1"/>
  <c r="L60" i="170"/>
  <c r="W60" i="170"/>
  <c r="K59" i="170"/>
  <c r="K66" i="170" s="1"/>
  <c r="N60" i="170"/>
  <c r="V60" i="170"/>
  <c r="S60" i="170"/>
  <c r="O59" i="170"/>
  <c r="O66" i="170" s="1"/>
  <c r="AE59" i="170"/>
  <c r="AE66" i="170" s="1"/>
  <c r="AB60" i="170"/>
  <c r="H59" i="170"/>
  <c r="H66" i="170" s="1"/>
  <c r="S59" i="170"/>
  <c r="S66" i="170" s="1"/>
  <c r="P59" i="170"/>
  <c r="P66" i="170" s="1"/>
  <c r="Q60" i="170"/>
  <c r="E59" i="170"/>
  <c r="E66" i="170" s="1"/>
  <c r="U59" i="170"/>
  <c r="U66" i="170" s="1"/>
  <c r="J60" i="170"/>
  <c r="N59" i="170"/>
  <c r="N66" i="170" s="1"/>
  <c r="J59" i="170"/>
  <c r="J66" i="170" s="1"/>
  <c r="R59" i="170"/>
  <c r="R66" i="170" s="1"/>
  <c r="P60" i="170"/>
  <c r="H60" i="170"/>
  <c r="L59" i="170"/>
  <c r="L66" i="170" s="1"/>
  <c r="Y59" i="170"/>
  <c r="Y66" i="170" s="1"/>
  <c r="AD59" i="170"/>
  <c r="AD66" i="170" s="1"/>
  <c r="X60" i="170"/>
  <c r="Z59" i="170"/>
  <c r="Z66" i="170" s="1"/>
  <c r="T59" i="170"/>
  <c r="T66" i="170" s="1"/>
  <c r="AB59" i="170"/>
  <c r="AB66" i="170" s="1"/>
  <c r="AC59" i="170"/>
  <c r="AC66" i="170" s="1"/>
  <c r="Z60" i="170"/>
  <c r="U60" i="170"/>
  <c r="R60" i="170"/>
  <c r="G60" i="170"/>
  <c r="F59" i="170"/>
  <c r="F66" i="170" s="1"/>
  <c r="Y60" i="170"/>
  <c r="M59" i="170"/>
  <c r="M66" i="170" s="1"/>
  <c r="O60" i="170"/>
  <c r="V59" i="170"/>
  <c r="V66" i="170" s="1"/>
  <c r="F71" i="170"/>
  <c r="E9" i="9"/>
  <c r="D21" i="9" s="1"/>
  <c r="D24" i="9" l="1"/>
  <c r="D23" i="9"/>
  <c r="AG54" i="170"/>
  <c r="AF60" i="170"/>
  <c r="AF59" i="170"/>
  <c r="AF66" i="170" s="1"/>
  <c r="AI23" i="225"/>
  <c r="AI16" i="225"/>
  <c r="AI9" i="225"/>
  <c r="AK5" i="229"/>
  <c r="AL4" i="229"/>
  <c r="AK7" i="229"/>
  <c r="AJ9" i="229"/>
  <c r="AJ18" i="229"/>
  <c r="AJ27" i="229"/>
  <c r="AK4" i="225"/>
  <c r="AJ5" i="225"/>
  <c r="G71" i="170"/>
  <c r="AH54" i="170" l="1"/>
  <c r="AG60" i="170"/>
  <c r="AG59" i="170"/>
  <c r="AG66" i="170" s="1"/>
  <c r="AJ23" i="225"/>
  <c r="AJ16" i="225"/>
  <c r="AJ9" i="225"/>
  <c r="AK5" i="225"/>
  <c r="AL4" i="225"/>
  <c r="AK9" i="229"/>
  <c r="AK18" i="229"/>
  <c r="AK27" i="229"/>
  <c r="AL5" i="229"/>
  <c r="AM4" i="229"/>
  <c r="AL7" i="229"/>
  <c r="H71" i="170"/>
  <c r="AC13" i="103"/>
  <c r="AD13" i="103"/>
  <c r="AE13" i="103"/>
  <c r="AC14" i="103"/>
  <c r="AD14" i="103"/>
  <c r="AE14" i="103"/>
  <c r="AC10" i="170"/>
  <c r="AC11" i="170" s="1"/>
  <c r="AC13" i="170" s="1"/>
  <c r="AC20" i="170" s="1"/>
  <c r="AD10" i="170"/>
  <c r="AD11" i="170" s="1"/>
  <c r="AD13" i="170" s="1"/>
  <c r="AD20" i="170" s="1"/>
  <c r="AE10" i="170"/>
  <c r="AE11" i="170" s="1"/>
  <c r="AE13" i="170" s="1"/>
  <c r="AE20" i="170" s="1"/>
  <c r="AH60" i="170" l="1"/>
  <c r="AI54" i="170"/>
  <c r="AH59" i="170"/>
  <c r="AH66" i="170" s="1"/>
  <c r="AL27" i="229"/>
  <c r="AL18" i="229"/>
  <c r="AL9" i="229"/>
  <c r="AM5" i="229"/>
  <c r="AM7" i="229"/>
  <c r="AN4" i="229"/>
  <c r="AL5" i="225"/>
  <c r="AM4" i="225"/>
  <c r="AK23" i="225"/>
  <c r="AK16" i="225"/>
  <c r="AK9" i="225"/>
  <c r="I71" i="170"/>
  <c r="AI60" i="170" l="1"/>
  <c r="AI59" i="170"/>
  <c r="AI66" i="170" s="1"/>
  <c r="AJ54" i="170"/>
  <c r="AL16" i="225"/>
  <c r="AL9" i="225"/>
  <c r="AL23" i="225"/>
  <c r="AN5" i="229"/>
  <c r="AN7" i="229"/>
  <c r="AO4" i="229"/>
  <c r="AM18" i="229"/>
  <c r="AM9" i="229"/>
  <c r="AM27" i="229"/>
  <c r="AM5" i="225"/>
  <c r="AN4" i="225"/>
  <c r="J71" i="170"/>
  <c r="C35" i="217"/>
  <c r="C36" i="217"/>
  <c r="D38" i="217"/>
  <c r="D36" i="217"/>
  <c r="AJ59" i="170" l="1"/>
  <c r="AJ66" i="170" s="1"/>
  <c r="AK54" i="170"/>
  <c r="AJ60" i="170"/>
  <c r="AN5" i="225"/>
  <c r="AO4" i="225"/>
  <c r="AO7" i="229"/>
  <c r="AO5" i="229"/>
  <c r="AM16" i="225"/>
  <c r="AM9" i="225"/>
  <c r="AM23" i="225"/>
  <c r="AN9" i="229"/>
  <c r="AN27" i="229"/>
  <c r="AN18" i="229"/>
  <c r="K71" i="170"/>
  <c r="B8" i="219"/>
  <c r="B9" i="219" s="1"/>
  <c r="B10" i="219" s="1"/>
  <c r="B11" i="219" s="1"/>
  <c r="B12" i="219" s="1"/>
  <c r="B13" i="219" s="1"/>
  <c r="B14" i="219" s="1"/>
  <c r="B15" i="219" s="1"/>
  <c r="B16" i="219" s="1"/>
  <c r="B19" i="219" s="1"/>
  <c r="B20" i="219" s="1"/>
  <c r="B21" i="219" s="1"/>
  <c r="B22" i="219" s="1"/>
  <c r="B23" i="219" s="1"/>
  <c r="B24" i="219" s="1"/>
  <c r="B25" i="219" s="1"/>
  <c r="B26" i="219" s="1"/>
  <c r="B27" i="219" s="1"/>
  <c r="B28" i="219" s="1"/>
  <c r="AK60" i="170" l="1"/>
  <c r="AL54" i="170"/>
  <c r="AK59" i="170"/>
  <c r="AK66" i="170" s="1"/>
  <c r="AN23" i="225"/>
  <c r="AN16" i="225"/>
  <c r="AN9" i="225"/>
  <c r="AO18" i="229"/>
  <c r="AO9" i="229"/>
  <c r="AO27" i="229"/>
  <c r="AO5" i="225"/>
  <c r="L71" i="170"/>
  <c r="AL60" i="170" l="1"/>
  <c r="AM54" i="170"/>
  <c r="AL59" i="170"/>
  <c r="AL66" i="170" s="1"/>
  <c r="AO23" i="225"/>
  <c r="AO16" i="225"/>
  <c r="AO9" i="225"/>
  <c r="M71" i="170"/>
  <c r="H42" i="199"/>
  <c r="K42" i="199"/>
  <c r="N42" i="199"/>
  <c r="P42" i="199"/>
  <c r="AN54" i="170" l="1"/>
  <c r="AM60" i="170"/>
  <c r="AM59" i="170"/>
  <c r="AM66" i="170" s="1"/>
  <c r="N71" i="170"/>
  <c r="V33" i="199"/>
  <c r="V32" i="199"/>
  <c r="V31" i="199"/>
  <c r="V30" i="199"/>
  <c r="AO54" i="170" l="1"/>
  <c r="AN59" i="170"/>
  <c r="AN66" i="170" s="1"/>
  <c r="AN60" i="170"/>
  <c r="O71" i="170"/>
  <c r="H10" i="169"/>
  <c r="AO60" i="170" l="1"/>
  <c r="AO59" i="170"/>
  <c r="AO66" i="170" s="1"/>
  <c r="P71" i="170"/>
  <c r="C60" i="217"/>
  <c r="C3" i="170" s="1"/>
  <c r="C59" i="217"/>
  <c r="C4" i="170" s="1"/>
  <c r="Q71" i="170" l="1"/>
  <c r="W33" i="199"/>
  <c r="Y33" i="199"/>
  <c r="Z33" i="199"/>
  <c r="R71" i="170" l="1"/>
  <c r="E81" i="205"/>
  <c r="E82" i="205"/>
  <c r="E83" i="205"/>
  <c r="E80" i="205"/>
  <c r="E77" i="205"/>
  <c r="E78" i="205"/>
  <c r="E79" i="205"/>
  <c r="E76" i="205"/>
  <c r="C75" i="217"/>
  <c r="B75" i="217"/>
  <c r="E19" i="9" s="1"/>
  <c r="C73" i="217"/>
  <c r="E22" i="9" s="1"/>
  <c r="B73" i="217"/>
  <c r="B38" i="217"/>
  <c r="B37" i="217"/>
  <c r="B36" i="217"/>
  <c r="B35" i="217"/>
  <c r="D22" i="217"/>
  <c r="C22" i="217" s="1"/>
  <c r="C38" i="217" s="1"/>
  <c r="G18" i="217"/>
  <c r="E10" i="217"/>
  <c r="D35" i="217" s="1"/>
  <c r="E18" i="217"/>
  <c r="D37" i="217" s="1"/>
  <c r="C18" i="217"/>
  <c r="D14" i="217"/>
  <c r="D10" i="217"/>
  <c r="AM9" i="121" l="1"/>
  <c r="AO9" i="121"/>
  <c r="AN9" i="121"/>
  <c r="AL9" i="121"/>
  <c r="AG9" i="121"/>
  <c r="AK9" i="121"/>
  <c r="AJ9" i="121"/>
  <c r="AI9" i="121"/>
  <c r="AH9" i="121"/>
  <c r="AF9" i="121"/>
  <c r="AK7" i="121"/>
  <c r="AN7" i="121"/>
  <c r="AO7" i="121"/>
  <c r="AM7" i="121"/>
  <c r="AL7" i="121"/>
  <c r="AJ7" i="121"/>
  <c r="AH7" i="121"/>
  <c r="AG7" i="121"/>
  <c r="AF7" i="121"/>
  <c r="AI7" i="121"/>
  <c r="N31" i="199"/>
  <c r="C37" i="217"/>
  <c r="U32" i="199" s="1"/>
  <c r="R32" i="199" s="1"/>
  <c r="C27" i="170" s="1"/>
  <c r="U31" i="199"/>
  <c r="R31" i="199" s="1"/>
  <c r="N33" i="199"/>
  <c r="N32" i="199"/>
  <c r="N30" i="199"/>
  <c r="U30" i="199"/>
  <c r="U33" i="199"/>
  <c r="AE9" i="121"/>
  <c r="AD9" i="121"/>
  <c r="AC9" i="121"/>
  <c r="AE7" i="121"/>
  <c r="AC7" i="121"/>
  <c r="AD7" i="121"/>
  <c r="S71" i="170"/>
  <c r="C39" i="217"/>
  <c r="D39" i="217"/>
  <c r="G9" i="215"/>
  <c r="W30" i="199"/>
  <c r="W31" i="199"/>
  <c r="W32" i="199"/>
  <c r="E5" i="205"/>
  <c r="D50" i="205"/>
  <c r="D7" i="140"/>
  <c r="D6" i="140"/>
  <c r="D5" i="140"/>
  <c r="K33" i="49"/>
  <c r="M33" i="49" s="1"/>
  <c r="K34" i="49"/>
  <c r="M34" i="49" s="1"/>
  <c r="F52" i="49"/>
  <c r="F51" i="49"/>
  <c r="F50" i="49"/>
  <c r="F49" i="49"/>
  <c r="F48" i="49"/>
  <c r="F46" i="49"/>
  <c r="F45" i="49"/>
  <c r="F43" i="49"/>
  <c r="F42" i="49"/>
  <c r="F40" i="49"/>
  <c r="F39" i="49"/>
  <c r="F36" i="49"/>
  <c r="F35" i="49"/>
  <c r="F18" i="49"/>
  <c r="F21" i="49"/>
  <c r="F24" i="49"/>
  <c r="F25" i="49"/>
  <c r="F26" i="49"/>
  <c r="F23" i="49"/>
  <c r="F20" i="49"/>
  <c r="F17" i="49"/>
  <c r="F15" i="49"/>
  <c r="F14" i="49"/>
  <c r="F11" i="49"/>
  <c r="F10" i="49"/>
  <c r="C21" i="49"/>
  <c r="C20" i="49"/>
  <c r="F72" i="78"/>
  <c r="E10" i="205"/>
  <c r="E9" i="205"/>
  <c r="E8" i="205"/>
  <c r="E21" i="205" s="1"/>
  <c r="E7" i="205"/>
  <c r="E20" i="205" s="1"/>
  <c r="E6" i="205"/>
  <c r="E18" i="205" s="1"/>
  <c r="E4" i="205"/>
  <c r="E17" i="205" s="1"/>
  <c r="E3" i="205"/>
  <c r="E15" i="205" s="1"/>
  <c r="F35" i="205"/>
  <c r="D59" i="205" s="1"/>
  <c r="F34" i="205"/>
  <c r="D57" i="205" s="1"/>
  <c r="D56" i="205"/>
  <c r="F33" i="205"/>
  <c r="D55" i="205" s="1"/>
  <c r="F32" i="205"/>
  <c r="D54" i="205" s="1"/>
  <c r="F31" i="205"/>
  <c r="D53" i="205" s="1"/>
  <c r="F30" i="205"/>
  <c r="D52" i="205" s="1"/>
  <c r="F29" i="205"/>
  <c r="D51" i="205" s="1"/>
  <c r="F28" i="205"/>
  <c r="D49" i="205" s="1"/>
  <c r="D43" i="205"/>
  <c r="F43" i="205" s="1"/>
  <c r="D72" i="205" s="1"/>
  <c r="D42" i="205"/>
  <c r="F42" i="205" s="1"/>
  <c r="D41" i="205"/>
  <c r="F41" i="205"/>
  <c r="D68" i="205"/>
  <c r="D40" i="205"/>
  <c r="F40" i="205" s="1"/>
  <c r="D67" i="205"/>
  <c r="D39" i="205"/>
  <c r="F39" i="205"/>
  <c r="D66" i="205"/>
  <c r="D38" i="205"/>
  <c r="F38" i="205" s="1"/>
  <c r="D65" i="205" s="1"/>
  <c r="D37" i="205"/>
  <c r="F37" i="205" s="1"/>
  <c r="D64" i="205" s="1"/>
  <c r="D36" i="205"/>
  <c r="F36" i="205" s="1"/>
  <c r="C43" i="205"/>
  <c r="C42" i="205"/>
  <c r="C41" i="205"/>
  <c r="C40" i="205"/>
  <c r="C39" i="205"/>
  <c r="C38" i="205"/>
  <c r="C37" i="205"/>
  <c r="C36" i="205"/>
  <c r="F42" i="215"/>
  <c r="E42" i="215"/>
  <c r="I19" i="215"/>
  <c r="K22" i="215" s="1"/>
  <c r="J19" i="215"/>
  <c r="N7" i="215"/>
  <c r="K7" i="215"/>
  <c r="L7" i="215"/>
  <c r="M7" i="215"/>
  <c r="J27" i="215"/>
  <c r="I27" i="215"/>
  <c r="J31" i="215"/>
  <c r="J12" i="215"/>
  <c r="I31" i="215"/>
  <c r="I12" i="215"/>
  <c r="D7" i="199"/>
  <c r="G72" i="56"/>
  <c r="F72" i="56"/>
  <c r="E72" i="56"/>
  <c r="D72" i="56"/>
  <c r="D73" i="56"/>
  <c r="D74" i="56" s="1"/>
  <c r="C72" i="56"/>
  <c r="B72" i="56"/>
  <c r="B73" i="56" s="1"/>
  <c r="B33" i="56"/>
  <c r="B34" i="56" s="1"/>
  <c r="B35" i="56" s="1"/>
  <c r="B36" i="56" s="1"/>
  <c r="B32" i="56"/>
  <c r="B6" i="211"/>
  <c r="B5" i="211"/>
  <c r="B7" i="211"/>
  <c r="B4" i="211"/>
  <c r="B3" i="211"/>
  <c r="L72" i="56"/>
  <c r="T72" i="56"/>
  <c r="L73" i="56"/>
  <c r="T73" i="56"/>
  <c r="B17" i="69"/>
  <c r="B57" i="8"/>
  <c r="B38" i="8"/>
  <c r="I2" i="169"/>
  <c r="I3" i="169" s="1"/>
  <c r="D5" i="170"/>
  <c r="E5" i="170" s="1"/>
  <c r="F5" i="170" s="1"/>
  <c r="G5" i="170" s="1"/>
  <c r="H5" i="170" s="1"/>
  <c r="I5" i="170" s="1"/>
  <c r="J5" i="170" s="1"/>
  <c r="K5" i="170" s="1"/>
  <c r="L5" i="170" s="1"/>
  <c r="M5" i="170" s="1"/>
  <c r="N5" i="170" s="1"/>
  <c r="O5" i="170" s="1"/>
  <c r="P5" i="170" s="1"/>
  <c r="Q5" i="170" s="1"/>
  <c r="R5" i="170" s="1"/>
  <c r="S5" i="170" s="1"/>
  <c r="T5" i="170" s="1"/>
  <c r="U5" i="170" s="1"/>
  <c r="V5" i="170" s="1"/>
  <c r="W5" i="170" s="1"/>
  <c r="X5" i="170" s="1"/>
  <c r="Y5" i="170" s="1"/>
  <c r="Z5" i="170" s="1"/>
  <c r="AA5" i="170" s="1"/>
  <c r="AB5" i="170" s="1"/>
  <c r="AC5" i="170" s="1"/>
  <c r="AD5" i="170" s="1"/>
  <c r="AE5" i="170" s="1"/>
  <c r="AF5" i="170" s="1"/>
  <c r="AG5" i="170" s="1"/>
  <c r="AH5" i="170" s="1"/>
  <c r="AI5" i="170" s="1"/>
  <c r="AJ5" i="170" s="1"/>
  <c r="AK5" i="170" s="1"/>
  <c r="AL5" i="170" s="1"/>
  <c r="AM5" i="170" s="1"/>
  <c r="AN5" i="170" s="1"/>
  <c r="AO5" i="170" s="1"/>
  <c r="B7" i="140"/>
  <c r="B6" i="140"/>
  <c r="B5" i="140"/>
  <c r="C52" i="49"/>
  <c r="D52" i="49"/>
  <c r="C51" i="49"/>
  <c r="C50" i="49"/>
  <c r="C49" i="49"/>
  <c r="C48" i="49"/>
  <c r="C46" i="49"/>
  <c r="C43" i="49"/>
  <c r="C42" i="49"/>
  <c r="E42" i="49" s="1"/>
  <c r="C40" i="49"/>
  <c r="C39" i="49"/>
  <c r="C36" i="49"/>
  <c r="C35" i="49"/>
  <c r="C34" i="49"/>
  <c r="I9" i="48"/>
  <c r="J9" i="48"/>
  <c r="K9" i="48"/>
  <c r="L9" i="48"/>
  <c r="I10" i="48"/>
  <c r="J10" i="48"/>
  <c r="K10" i="48"/>
  <c r="L10" i="48"/>
  <c r="I11" i="48"/>
  <c r="J11" i="48"/>
  <c r="K11" i="48"/>
  <c r="L11" i="48"/>
  <c r="I12" i="48"/>
  <c r="J12" i="48"/>
  <c r="K12" i="48"/>
  <c r="L12" i="48"/>
  <c r="I13" i="48"/>
  <c r="J13" i="48"/>
  <c r="K13" i="48"/>
  <c r="L13" i="48"/>
  <c r="I14" i="48"/>
  <c r="J14" i="48"/>
  <c r="K14" i="48"/>
  <c r="L14" i="48"/>
  <c r="I15" i="48"/>
  <c r="J15" i="48"/>
  <c r="K15" i="48"/>
  <c r="L15" i="48"/>
  <c r="I16" i="48"/>
  <c r="J16" i="48"/>
  <c r="K16" i="48"/>
  <c r="L16" i="48"/>
  <c r="I17" i="48"/>
  <c r="J17" i="48"/>
  <c r="K17" i="48"/>
  <c r="L17" i="48"/>
  <c r="I18" i="48"/>
  <c r="J18" i="48"/>
  <c r="K18" i="48"/>
  <c r="L18" i="48"/>
  <c r="I19" i="48"/>
  <c r="J19" i="48"/>
  <c r="K19" i="48"/>
  <c r="L19" i="48"/>
  <c r="I20" i="48"/>
  <c r="J20" i="48"/>
  <c r="K20" i="48"/>
  <c r="L20" i="48"/>
  <c r="I21" i="48"/>
  <c r="J21" i="48"/>
  <c r="K21" i="48"/>
  <c r="L21" i="48"/>
  <c r="I22" i="48"/>
  <c r="J22" i="48"/>
  <c r="K22" i="48"/>
  <c r="L22" i="48"/>
  <c r="I23" i="48"/>
  <c r="J23" i="48"/>
  <c r="K23" i="48"/>
  <c r="L23" i="48"/>
  <c r="I24" i="48"/>
  <c r="J24" i="48"/>
  <c r="K24" i="48"/>
  <c r="L24" i="48"/>
  <c r="I25" i="48"/>
  <c r="J25" i="48"/>
  <c r="K25" i="48"/>
  <c r="L25" i="48"/>
  <c r="I26" i="48"/>
  <c r="J26" i="48"/>
  <c r="K26" i="48"/>
  <c r="L26" i="48"/>
  <c r="I27" i="48"/>
  <c r="J27" i="48"/>
  <c r="K27" i="48"/>
  <c r="L27" i="48"/>
  <c r="I28" i="48"/>
  <c r="J28" i="48"/>
  <c r="K28" i="48"/>
  <c r="L28" i="48"/>
  <c r="I29" i="48"/>
  <c r="J29" i="48"/>
  <c r="K29" i="48"/>
  <c r="L29" i="48"/>
  <c r="I30" i="48"/>
  <c r="J30" i="48"/>
  <c r="K30" i="48"/>
  <c r="L30" i="48"/>
  <c r="I31" i="48"/>
  <c r="J31" i="48"/>
  <c r="K31" i="48"/>
  <c r="L31" i="48"/>
  <c r="I32" i="48"/>
  <c r="J32" i="48"/>
  <c r="K32" i="48"/>
  <c r="L32" i="48"/>
  <c r="I33" i="48"/>
  <c r="J33" i="48"/>
  <c r="K33" i="48"/>
  <c r="L33" i="48"/>
  <c r="I34" i="48"/>
  <c r="J34" i="48"/>
  <c r="K34" i="48"/>
  <c r="L34" i="48"/>
  <c r="I35" i="48"/>
  <c r="J35" i="48"/>
  <c r="K35" i="48"/>
  <c r="L35" i="48"/>
  <c r="I36" i="48"/>
  <c r="J36" i="48"/>
  <c r="K36" i="48"/>
  <c r="L36" i="48"/>
  <c r="I37" i="48"/>
  <c r="J37" i="48"/>
  <c r="K37" i="48"/>
  <c r="L37" i="48"/>
  <c r="I38" i="48"/>
  <c r="J38" i="48"/>
  <c r="K38" i="48"/>
  <c r="L38" i="48"/>
  <c r="AG18" i="94"/>
  <c r="AH18" i="94"/>
  <c r="AG10" i="94"/>
  <c r="AH10" i="94"/>
  <c r="AG7" i="94"/>
  <c r="AH7" i="94"/>
  <c r="AF18" i="94"/>
  <c r="AE18" i="94"/>
  <c r="AF10" i="94"/>
  <c r="AE10" i="94"/>
  <c r="AF7" i="94"/>
  <c r="AE7" i="94"/>
  <c r="D52" i="47"/>
  <c r="D51" i="47"/>
  <c r="D50" i="47"/>
  <c r="C19" i="200"/>
  <c r="D49" i="47"/>
  <c r="D48" i="47"/>
  <c r="D47" i="47"/>
  <c r="F5" i="47"/>
  <c r="E5" i="47"/>
  <c r="D66" i="47"/>
  <c r="D363" i="9"/>
  <c r="D327" i="9"/>
  <c r="D291" i="9"/>
  <c r="D255" i="9"/>
  <c r="D219" i="9"/>
  <c r="D181" i="9"/>
  <c r="D145" i="9"/>
  <c r="D109" i="9"/>
  <c r="D110" i="9" s="1"/>
  <c r="D111" i="9" s="1"/>
  <c r="D112" i="9" s="1"/>
  <c r="D113" i="9" s="1"/>
  <c r="D114" i="9" s="1"/>
  <c r="D115" i="9" s="1"/>
  <c r="D116" i="9" s="1"/>
  <c r="D117" i="9" s="1"/>
  <c r="D118" i="9" s="1"/>
  <c r="D119" i="9" s="1"/>
  <c r="D120" i="9" s="1"/>
  <c r="D121" i="9" s="1"/>
  <c r="D122" i="9" s="1"/>
  <c r="D123" i="9" s="1"/>
  <c r="D124" i="9" s="1"/>
  <c r="D125" i="9" s="1"/>
  <c r="D126" i="9" s="1"/>
  <c r="D127" i="9" s="1"/>
  <c r="D128" i="9" s="1"/>
  <c r="D129" i="9" s="1"/>
  <c r="D130" i="9" s="1"/>
  <c r="D131" i="9" s="1"/>
  <c r="D73" i="9"/>
  <c r="D37" i="9"/>
  <c r="D35" i="8"/>
  <c r="E35" i="8" s="1"/>
  <c r="C20" i="200"/>
  <c r="C17" i="200"/>
  <c r="D13" i="200"/>
  <c r="D12" i="200"/>
  <c r="C12" i="200"/>
  <c r="C13" i="200"/>
  <c r="E11" i="200"/>
  <c r="E10" i="200"/>
  <c r="E9" i="200"/>
  <c r="E8" i="200"/>
  <c r="E7" i="200"/>
  <c r="D1" i="170"/>
  <c r="B4" i="137"/>
  <c r="C4" i="137" s="1"/>
  <c r="B4" i="103"/>
  <c r="C4" i="103" s="1"/>
  <c r="B4" i="101"/>
  <c r="C4" i="101" s="1"/>
  <c r="C4" i="121"/>
  <c r="D4" i="121" s="1"/>
  <c r="Q43" i="56"/>
  <c r="Q44" i="56" s="1"/>
  <c r="Q45" i="56" s="1"/>
  <c r="J68" i="56"/>
  <c r="R68" i="56" s="1"/>
  <c r="K68" i="56"/>
  <c r="S68" i="56" s="1"/>
  <c r="L68" i="56"/>
  <c r="T68" i="56"/>
  <c r="M68" i="56"/>
  <c r="U68" i="56" s="1"/>
  <c r="N68" i="56"/>
  <c r="V68" i="56" s="1"/>
  <c r="O68" i="56"/>
  <c r="W68" i="56" s="1"/>
  <c r="X68" i="56" s="1"/>
  <c r="J69" i="56"/>
  <c r="R69" i="56"/>
  <c r="K69" i="56"/>
  <c r="S69" i="56" s="1"/>
  <c r="L69" i="56"/>
  <c r="T69" i="56"/>
  <c r="M69" i="56"/>
  <c r="U69" i="56"/>
  <c r="N69" i="56"/>
  <c r="V69" i="56"/>
  <c r="O69" i="56"/>
  <c r="W69" i="56" s="1"/>
  <c r="X69" i="56" s="1"/>
  <c r="J70" i="56"/>
  <c r="R70" i="56" s="1"/>
  <c r="K70" i="56"/>
  <c r="S70" i="56"/>
  <c r="L70" i="56"/>
  <c r="T70" i="56" s="1"/>
  <c r="M70" i="56"/>
  <c r="U70" i="56" s="1"/>
  <c r="N70" i="56"/>
  <c r="V70" i="56" s="1"/>
  <c r="O70" i="56"/>
  <c r="W70" i="56"/>
  <c r="X70" i="56"/>
  <c r="J71" i="56"/>
  <c r="R71" i="56" s="1"/>
  <c r="K71" i="56"/>
  <c r="S71" i="56"/>
  <c r="L71" i="56"/>
  <c r="T71" i="56"/>
  <c r="M71" i="56"/>
  <c r="U71" i="56"/>
  <c r="N71" i="56"/>
  <c r="V71" i="56" s="1"/>
  <c r="O71" i="56"/>
  <c r="W71" i="56"/>
  <c r="X71" i="56" s="1"/>
  <c r="I43" i="56"/>
  <c r="I44" i="56"/>
  <c r="I45" i="56"/>
  <c r="I46" i="56" s="1"/>
  <c r="I47" i="56" s="1"/>
  <c r="I48" i="56" s="1"/>
  <c r="I49" i="56"/>
  <c r="I50" i="56" s="1"/>
  <c r="I51" i="56" s="1"/>
  <c r="I52" i="56" s="1"/>
  <c r="I53" i="56"/>
  <c r="I54" i="56" s="1"/>
  <c r="I55" i="56" s="1"/>
  <c r="I56" i="56" s="1"/>
  <c r="I57" i="56"/>
  <c r="I58" i="56" s="1"/>
  <c r="I59" i="56" s="1"/>
  <c r="I60" i="56" s="1"/>
  <c r="I61" i="56" s="1"/>
  <c r="I62" i="56" s="1"/>
  <c r="I63" i="56" s="1"/>
  <c r="I64" i="56" s="1"/>
  <c r="I65" i="56" s="1"/>
  <c r="I66" i="56" s="1"/>
  <c r="I67" i="56" s="1"/>
  <c r="I68" i="56" s="1"/>
  <c r="I69" i="56" s="1"/>
  <c r="I70" i="56" s="1"/>
  <c r="I71" i="56" s="1"/>
  <c r="I72" i="56" s="1"/>
  <c r="I73" i="56" s="1"/>
  <c r="I74" i="56" s="1"/>
  <c r="I75" i="56" s="1"/>
  <c r="I76" i="56" s="1"/>
  <c r="I77" i="56" s="1"/>
  <c r="I78" i="56" s="1"/>
  <c r="I79" i="56" s="1"/>
  <c r="I80" i="56" s="1"/>
  <c r="I81" i="56" s="1"/>
  <c r="I82" i="56" s="1"/>
  <c r="I83" i="56" s="1"/>
  <c r="I84" i="56" s="1"/>
  <c r="I85" i="56" s="1"/>
  <c r="A43" i="56"/>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A67" i="56" s="1"/>
  <c r="A68" i="56" s="1"/>
  <c r="A69" i="56" s="1"/>
  <c r="A70" i="56" s="1"/>
  <c r="A71" i="56" s="1"/>
  <c r="A72" i="56" s="1"/>
  <c r="A73" i="56" s="1"/>
  <c r="A74" i="56" s="1"/>
  <c r="A75" i="56" s="1"/>
  <c r="A76" i="56" s="1"/>
  <c r="A77" i="56" s="1"/>
  <c r="A78" i="56" s="1"/>
  <c r="A79" i="56" s="1"/>
  <c r="A80" i="56" s="1"/>
  <c r="A81" i="56" s="1"/>
  <c r="A82" i="56" s="1"/>
  <c r="A83" i="56" s="1"/>
  <c r="A84" i="56" s="1"/>
  <c r="A85" i="56" s="1"/>
  <c r="AD18" i="94"/>
  <c r="AC18" i="94"/>
  <c r="AB18" i="94"/>
  <c r="AA18" i="94"/>
  <c r="Z18" i="94"/>
  <c r="Y18" i="94"/>
  <c r="X18" i="94"/>
  <c r="W18" i="94"/>
  <c r="V18" i="94"/>
  <c r="U18" i="94"/>
  <c r="T18" i="94"/>
  <c r="S18" i="94"/>
  <c r="R18" i="94"/>
  <c r="Q18" i="94"/>
  <c r="P18" i="94"/>
  <c r="O18" i="94"/>
  <c r="N18" i="94"/>
  <c r="M18" i="94"/>
  <c r="L18" i="94"/>
  <c r="K18" i="94"/>
  <c r="J18" i="94"/>
  <c r="I18" i="94"/>
  <c r="H18" i="94"/>
  <c r="G18" i="94"/>
  <c r="F18" i="94"/>
  <c r="E18" i="94"/>
  <c r="D18" i="94"/>
  <c r="C18" i="94"/>
  <c r="AD10" i="94"/>
  <c r="AC10" i="94"/>
  <c r="AB10" i="94"/>
  <c r="AA10" i="94"/>
  <c r="Z10" i="94"/>
  <c r="Y10" i="94"/>
  <c r="X10" i="94"/>
  <c r="W10" i="94"/>
  <c r="V10" i="94"/>
  <c r="U10" i="94"/>
  <c r="T10" i="94"/>
  <c r="S10" i="94"/>
  <c r="R10" i="94"/>
  <c r="Q10" i="94"/>
  <c r="P10" i="94"/>
  <c r="O10" i="94"/>
  <c r="N10" i="94"/>
  <c r="M10" i="94"/>
  <c r="L10" i="94"/>
  <c r="K10" i="94"/>
  <c r="J10" i="94"/>
  <c r="I10" i="94"/>
  <c r="H10" i="94"/>
  <c r="G10" i="94"/>
  <c r="F10" i="94"/>
  <c r="E10" i="94"/>
  <c r="D10" i="94"/>
  <c r="AD7" i="94"/>
  <c r="AC7" i="94"/>
  <c r="AB7" i="94"/>
  <c r="AA7" i="94"/>
  <c r="Z7" i="94"/>
  <c r="Y7" i="94"/>
  <c r="X7" i="94"/>
  <c r="W7" i="94"/>
  <c r="V7" i="94"/>
  <c r="U7" i="94"/>
  <c r="T7" i="94"/>
  <c r="S7" i="94"/>
  <c r="R7" i="94"/>
  <c r="Q7" i="94"/>
  <c r="P7" i="94"/>
  <c r="O7" i="94"/>
  <c r="N7" i="94"/>
  <c r="M7" i="94"/>
  <c r="L7" i="94"/>
  <c r="K7" i="94"/>
  <c r="J7" i="94"/>
  <c r="I7" i="94"/>
  <c r="H7" i="94"/>
  <c r="G7" i="94"/>
  <c r="F7" i="94"/>
  <c r="E7" i="94"/>
  <c r="D7" i="94"/>
  <c r="H88" i="78"/>
  <c r="H87" i="78"/>
  <c r="H86" i="78"/>
  <c r="H83" i="78"/>
  <c r="H82" i="78"/>
  <c r="H81" i="78"/>
  <c r="H78" i="78"/>
  <c r="H77" i="78"/>
  <c r="H76" i="78"/>
  <c r="H73" i="78"/>
  <c r="H72" i="78"/>
  <c r="E43" i="78"/>
  <c r="F43" i="78" s="1"/>
  <c r="D43" i="78"/>
  <c r="C43" i="78"/>
  <c r="B60" i="49"/>
  <c r="P27" i="49"/>
  <c r="O27" i="49"/>
  <c r="P26" i="49"/>
  <c r="E26" i="49" s="1"/>
  <c r="O26" i="49"/>
  <c r="D26" i="49" s="1"/>
  <c r="P25" i="49"/>
  <c r="O25" i="49"/>
  <c r="D50" i="49"/>
  <c r="P24" i="49"/>
  <c r="O24" i="49"/>
  <c r="P23" i="49"/>
  <c r="E48" i="49"/>
  <c r="O23" i="49"/>
  <c r="D48" i="49" s="1"/>
  <c r="P21" i="49"/>
  <c r="O21" i="49"/>
  <c r="D21" i="49" s="1"/>
  <c r="P20" i="49"/>
  <c r="O20" i="49"/>
  <c r="P18" i="49"/>
  <c r="E43" i="49"/>
  <c r="O18" i="49"/>
  <c r="D43" i="49" s="1"/>
  <c r="P17" i="49"/>
  <c r="O17" i="49"/>
  <c r="P15" i="49"/>
  <c r="E15" i="49"/>
  <c r="O15" i="49"/>
  <c r="P14" i="49"/>
  <c r="E39" i="49"/>
  <c r="O14" i="49"/>
  <c r="E14" i="49"/>
  <c r="P11" i="49"/>
  <c r="E11" i="49" s="1"/>
  <c r="E36" i="49"/>
  <c r="O11" i="49"/>
  <c r="D36" i="49" s="1"/>
  <c r="P10" i="49"/>
  <c r="O10" i="49"/>
  <c r="P9" i="49"/>
  <c r="E9" i="49" s="1"/>
  <c r="E34" i="49"/>
  <c r="O9" i="49"/>
  <c r="F52" i="47"/>
  <c r="E52" i="47"/>
  <c r="F51" i="47"/>
  <c r="E51" i="47"/>
  <c r="F50" i="47"/>
  <c r="D79" i="47" s="1"/>
  <c r="E50" i="47"/>
  <c r="F49" i="47"/>
  <c r="E49" i="47"/>
  <c r="F48" i="47"/>
  <c r="E48" i="47"/>
  <c r="E56" i="47" s="1"/>
  <c r="F47" i="47"/>
  <c r="E79" i="47" s="1"/>
  <c r="E47" i="47"/>
  <c r="F36" i="47"/>
  <c r="C37" i="47" s="1"/>
  <c r="E24" i="49"/>
  <c r="E49" i="49"/>
  <c r="E27" i="49"/>
  <c r="D25" i="49"/>
  <c r="E40" i="49"/>
  <c r="E21" i="49"/>
  <c r="E46" i="49"/>
  <c r="D51" i="49"/>
  <c r="E51" i="49"/>
  <c r="D27" i="49"/>
  <c r="E37" i="47"/>
  <c r="D11" i="49"/>
  <c r="E72" i="78"/>
  <c r="F73" i="78"/>
  <c r="E82" i="78"/>
  <c r="E77" i="78"/>
  <c r="E86" i="78"/>
  <c r="E76" i="78"/>
  <c r="E87" i="78"/>
  <c r="G82" i="78"/>
  <c r="E78" i="78"/>
  <c r="E71" i="78"/>
  <c r="G76" i="78"/>
  <c r="F39" i="78"/>
  <c r="F40" i="78"/>
  <c r="F71" i="78"/>
  <c r="G73" i="78"/>
  <c r="F77" i="78"/>
  <c r="F83" i="78"/>
  <c r="F87" i="78"/>
  <c r="F41" i="78"/>
  <c r="G71" i="78"/>
  <c r="G77" i="78"/>
  <c r="G81" i="78"/>
  <c r="G83" i="78"/>
  <c r="G87" i="78"/>
  <c r="F42" i="78"/>
  <c r="G72" i="78"/>
  <c r="F76" i="78"/>
  <c r="F78" i="78"/>
  <c r="F82" i="78"/>
  <c r="F86" i="78"/>
  <c r="F88" i="78"/>
  <c r="F38" i="78"/>
  <c r="D23" i="49"/>
  <c r="D18" i="49"/>
  <c r="E23" i="49"/>
  <c r="E18" i="49"/>
  <c r="D37" i="47"/>
  <c r="F59" i="47"/>
  <c r="F37" i="47"/>
  <c r="F57" i="47"/>
  <c r="F60" i="47"/>
  <c r="Q46" i="56"/>
  <c r="Q47" i="56"/>
  <c r="Q48" i="56" s="1"/>
  <c r="U10" i="170"/>
  <c r="U11" i="170" s="1"/>
  <c r="U13" i="170" s="1"/>
  <c r="U20" i="170" s="1"/>
  <c r="V10" i="170"/>
  <c r="V11" i="170" s="1"/>
  <c r="V13" i="170" s="1"/>
  <c r="V20" i="170" s="1"/>
  <c r="W10" i="170"/>
  <c r="W11" i="170" s="1"/>
  <c r="W13" i="170" s="1"/>
  <c r="W20" i="170" s="1"/>
  <c r="X10" i="170"/>
  <c r="X11" i="170" s="1"/>
  <c r="X13" i="170" s="1"/>
  <c r="X20" i="170" s="1"/>
  <c r="Y10" i="170"/>
  <c r="Y11" i="170" s="1"/>
  <c r="Y13" i="170" s="1"/>
  <c r="Y20" i="170" s="1"/>
  <c r="Z10" i="170"/>
  <c r="Z11" i="170" s="1"/>
  <c r="Z13" i="170" s="1"/>
  <c r="Z20" i="170" s="1"/>
  <c r="AA10" i="170"/>
  <c r="AA11" i="170" s="1"/>
  <c r="AA13" i="170" s="1"/>
  <c r="AA20" i="170" s="1"/>
  <c r="AB10" i="170"/>
  <c r="AB11" i="170" s="1"/>
  <c r="AB13" i="170" s="1"/>
  <c r="AB20" i="170" s="1"/>
  <c r="T10" i="170"/>
  <c r="T11" i="170" s="1"/>
  <c r="T13" i="170" s="1"/>
  <c r="T20" i="170" s="1"/>
  <c r="S10" i="170"/>
  <c r="S11" i="170" s="1"/>
  <c r="S13" i="170" s="1"/>
  <c r="S20" i="170" s="1"/>
  <c r="R10" i="170"/>
  <c r="Q10" i="170"/>
  <c r="Q11" i="170" s="1"/>
  <c r="Q13" i="170" s="1"/>
  <c r="Q20" i="170" s="1"/>
  <c r="P10" i="170"/>
  <c r="P11" i="170" s="1"/>
  <c r="P13" i="170" s="1"/>
  <c r="P20" i="170" s="1"/>
  <c r="O10" i="170"/>
  <c r="O11" i="170" s="1"/>
  <c r="O13" i="170" s="1"/>
  <c r="O20" i="170" s="1"/>
  <c r="N10" i="170"/>
  <c r="N11" i="170" s="1"/>
  <c r="N13" i="170" s="1"/>
  <c r="N20" i="170" s="1"/>
  <c r="M10" i="170"/>
  <c r="M11" i="170" s="1"/>
  <c r="M13" i="170" s="1"/>
  <c r="M20" i="170" s="1"/>
  <c r="L10" i="170"/>
  <c r="L11" i="170" s="1"/>
  <c r="L13" i="170" s="1"/>
  <c r="L20" i="170" s="1"/>
  <c r="K10" i="170"/>
  <c r="K11" i="170" s="1"/>
  <c r="K13" i="170" s="1"/>
  <c r="K20" i="170" s="1"/>
  <c r="J10" i="170"/>
  <c r="J11" i="170" s="1"/>
  <c r="J13" i="170" s="1"/>
  <c r="J20" i="170" s="1"/>
  <c r="I10" i="170"/>
  <c r="I11" i="170" s="1"/>
  <c r="I13" i="170" s="1"/>
  <c r="I20" i="170" s="1"/>
  <c r="H10" i="170"/>
  <c r="H11" i="170" s="1"/>
  <c r="H13" i="170" s="1"/>
  <c r="H20" i="170" s="1"/>
  <c r="G10" i="170"/>
  <c r="G11" i="170" s="1"/>
  <c r="G13" i="170" s="1"/>
  <c r="G20" i="170" s="1"/>
  <c r="F10" i="170"/>
  <c r="F11" i="170" s="1"/>
  <c r="F13" i="170" s="1"/>
  <c r="F20" i="170" s="1"/>
  <c r="E10" i="170"/>
  <c r="E11" i="170" s="1"/>
  <c r="D10" i="170"/>
  <c r="C46" i="170"/>
  <c r="E6" i="140"/>
  <c r="S43" i="52"/>
  <c r="A43" i="52"/>
  <c r="U42" i="52"/>
  <c r="T42" i="52"/>
  <c r="S42" i="52"/>
  <c r="R42" i="52"/>
  <c r="Q42" i="52"/>
  <c r="N42" i="52"/>
  <c r="M42" i="52"/>
  <c r="L42" i="52"/>
  <c r="K42" i="52"/>
  <c r="J42" i="52"/>
  <c r="G42" i="52"/>
  <c r="F42" i="52"/>
  <c r="E42" i="52"/>
  <c r="D42" i="52"/>
  <c r="C42" i="52"/>
  <c r="AL35" i="52"/>
  <c r="AK35" i="52"/>
  <c r="AJ35" i="52"/>
  <c r="AI35" i="52"/>
  <c r="AH35" i="52"/>
  <c r="AE35" i="52"/>
  <c r="AD35" i="52"/>
  <c r="AC35" i="52"/>
  <c r="AB35" i="52"/>
  <c r="AA35" i="52"/>
  <c r="AL34" i="52"/>
  <c r="AK34" i="52"/>
  <c r="AJ34" i="52"/>
  <c r="AI34" i="52"/>
  <c r="AH34" i="52"/>
  <c r="AE34" i="52"/>
  <c r="AD34" i="52"/>
  <c r="AC34" i="52"/>
  <c r="AB34" i="52"/>
  <c r="AA34" i="52"/>
  <c r="AL33" i="52"/>
  <c r="AK33" i="52"/>
  <c r="AJ33" i="52"/>
  <c r="AI33" i="52"/>
  <c r="AH33" i="52"/>
  <c r="AE33" i="52"/>
  <c r="AD33" i="52"/>
  <c r="AC33" i="52"/>
  <c r="AB33" i="52"/>
  <c r="AA33" i="52"/>
  <c r="AL32" i="52"/>
  <c r="AK32" i="52"/>
  <c r="AJ32" i="52"/>
  <c r="AI32" i="52"/>
  <c r="AH32" i="52"/>
  <c r="AE32" i="52"/>
  <c r="AD32" i="52"/>
  <c r="AC32" i="52"/>
  <c r="AB32" i="52"/>
  <c r="AA32" i="52"/>
  <c r="AL31" i="52"/>
  <c r="AK31" i="52"/>
  <c r="AJ31" i="52"/>
  <c r="AI31" i="52"/>
  <c r="AH31" i="52"/>
  <c r="AE31" i="52"/>
  <c r="AD31" i="52"/>
  <c r="AC31" i="52"/>
  <c r="AB31" i="52"/>
  <c r="AA31" i="52"/>
  <c r="AL30" i="52"/>
  <c r="AK30" i="52"/>
  <c r="AJ30" i="52"/>
  <c r="AI30" i="52"/>
  <c r="AH30" i="52"/>
  <c r="AE30" i="52"/>
  <c r="AD30" i="52"/>
  <c r="AC30" i="52"/>
  <c r="AB30" i="52"/>
  <c r="AA30" i="52"/>
  <c r="AL29" i="52"/>
  <c r="AK29" i="52"/>
  <c r="AJ29" i="52"/>
  <c r="AI29" i="52"/>
  <c r="AH29" i="52"/>
  <c r="AE29" i="52"/>
  <c r="AD29" i="52"/>
  <c r="AC29" i="52"/>
  <c r="AB29" i="52"/>
  <c r="AA29" i="52"/>
  <c r="AL28" i="52"/>
  <c r="AK28" i="52"/>
  <c r="AJ28" i="52"/>
  <c r="AI28" i="52"/>
  <c r="AH28" i="52"/>
  <c r="AE28" i="52"/>
  <c r="AD28" i="52"/>
  <c r="AC28" i="52"/>
  <c r="AB28" i="52"/>
  <c r="AA28" i="52"/>
  <c r="AL27" i="52"/>
  <c r="AK27" i="52"/>
  <c r="AJ27" i="52"/>
  <c r="AI27" i="52"/>
  <c r="AH27" i="52"/>
  <c r="AE27" i="52"/>
  <c r="AD27" i="52"/>
  <c r="AC27" i="52"/>
  <c r="AB27" i="52"/>
  <c r="AA27" i="52"/>
  <c r="AL26" i="52"/>
  <c r="AK26" i="52"/>
  <c r="AJ26" i="52"/>
  <c r="AI26" i="52"/>
  <c r="AH26" i="52"/>
  <c r="AE26" i="52"/>
  <c r="AD26" i="52"/>
  <c r="AC26" i="52"/>
  <c r="AB26" i="52"/>
  <c r="AA26" i="52"/>
  <c r="AL25" i="52"/>
  <c r="AK25" i="52"/>
  <c r="AJ25" i="52"/>
  <c r="AI25" i="52"/>
  <c r="AH25" i="52"/>
  <c r="AE25" i="52"/>
  <c r="AD25" i="52"/>
  <c r="AC25" i="52"/>
  <c r="AB25" i="52"/>
  <c r="AA25" i="52"/>
  <c r="AL24" i="52"/>
  <c r="AK24" i="52"/>
  <c r="AJ24" i="52"/>
  <c r="AI24" i="52"/>
  <c r="AH24" i="52"/>
  <c r="AE24" i="52"/>
  <c r="AD24" i="52"/>
  <c r="AC24" i="52"/>
  <c r="AB24" i="52"/>
  <c r="AA24" i="52"/>
  <c r="AL23" i="52"/>
  <c r="AK23" i="52"/>
  <c r="AJ23" i="52"/>
  <c r="AI23" i="52"/>
  <c r="AH23" i="52"/>
  <c r="AE23" i="52"/>
  <c r="AD23" i="52"/>
  <c r="AC23" i="52"/>
  <c r="AB23" i="52"/>
  <c r="AA23" i="52"/>
  <c r="AL22" i="52"/>
  <c r="AK22" i="52"/>
  <c r="AJ22" i="52"/>
  <c r="AI22" i="52"/>
  <c r="AH22" i="52"/>
  <c r="AE22" i="52"/>
  <c r="AD22" i="52"/>
  <c r="AC22" i="52"/>
  <c r="AB22" i="52"/>
  <c r="AA22" i="52"/>
  <c r="AL21" i="52"/>
  <c r="AK21" i="52"/>
  <c r="AJ21" i="52"/>
  <c r="AI21" i="52"/>
  <c r="AH21" i="52"/>
  <c r="AE21" i="52"/>
  <c r="AD21" i="52"/>
  <c r="AC21" i="52"/>
  <c r="AB21" i="52"/>
  <c r="AA21" i="52"/>
  <c r="AL20" i="52"/>
  <c r="AK20" i="52"/>
  <c r="AJ20" i="52"/>
  <c r="AI20" i="52"/>
  <c r="AH20" i="52"/>
  <c r="AE20" i="52"/>
  <c r="AD20" i="52"/>
  <c r="AC20" i="52"/>
  <c r="AB20" i="52"/>
  <c r="AA20" i="52"/>
  <c r="AL19" i="52"/>
  <c r="AK19" i="52"/>
  <c r="AJ19" i="52"/>
  <c r="AI19" i="52"/>
  <c r="AH19" i="52"/>
  <c r="AE19" i="52"/>
  <c r="AD19" i="52"/>
  <c r="AC19" i="52"/>
  <c r="AB19" i="52"/>
  <c r="AA19" i="52"/>
  <c r="AL18" i="52"/>
  <c r="AK18" i="52"/>
  <c r="AJ18" i="52"/>
  <c r="AI18" i="52"/>
  <c r="AH18" i="52"/>
  <c r="AE18" i="52"/>
  <c r="AD18" i="52"/>
  <c r="AC18" i="52"/>
  <c r="AB18" i="52"/>
  <c r="AA18" i="52"/>
  <c r="AL17" i="52"/>
  <c r="AK17" i="52"/>
  <c r="AJ17" i="52"/>
  <c r="AI17" i="52"/>
  <c r="AH17" i="52"/>
  <c r="AE17" i="52"/>
  <c r="AD17" i="52"/>
  <c r="AC17" i="52"/>
  <c r="AB17" i="52"/>
  <c r="AA17" i="52"/>
  <c r="AL16" i="52"/>
  <c r="AK16" i="52"/>
  <c r="AJ16" i="52"/>
  <c r="AI16" i="52"/>
  <c r="AH16" i="52"/>
  <c r="AE16" i="52"/>
  <c r="AD16" i="52"/>
  <c r="AC16" i="52"/>
  <c r="AB16" i="52"/>
  <c r="AA16" i="52"/>
  <c r="AL15" i="52"/>
  <c r="AK15" i="52"/>
  <c r="AJ15" i="52"/>
  <c r="AI15" i="52"/>
  <c r="AH15" i="52"/>
  <c r="AE15" i="52"/>
  <c r="AD15" i="52"/>
  <c r="AC15" i="52"/>
  <c r="AB15" i="52"/>
  <c r="AA15" i="52"/>
  <c r="AL14" i="52"/>
  <c r="AK14" i="52"/>
  <c r="AJ14" i="52"/>
  <c r="AI14" i="52"/>
  <c r="AH14" i="52"/>
  <c r="AE14" i="52"/>
  <c r="AD14" i="52"/>
  <c r="AC14" i="52"/>
  <c r="AB14" i="52"/>
  <c r="AA14" i="52"/>
  <c r="AL13" i="52"/>
  <c r="AK13" i="52"/>
  <c r="AJ13" i="52"/>
  <c r="AI13" i="52"/>
  <c r="AH13" i="52"/>
  <c r="AE13" i="52"/>
  <c r="AD13" i="52"/>
  <c r="AC13" i="52"/>
  <c r="AB13" i="52"/>
  <c r="AA13" i="52"/>
  <c r="AL12" i="52"/>
  <c r="AK12" i="52"/>
  <c r="AJ12" i="52"/>
  <c r="AI12" i="52"/>
  <c r="AH12" i="52"/>
  <c r="AE12" i="52"/>
  <c r="AD12" i="52"/>
  <c r="AC12" i="52"/>
  <c r="AB12" i="52"/>
  <c r="AA12" i="52"/>
  <c r="AL11" i="52"/>
  <c r="AK11" i="52"/>
  <c r="AJ11" i="52"/>
  <c r="AI11" i="52"/>
  <c r="AH11" i="52"/>
  <c r="AE11" i="52"/>
  <c r="AD11" i="52"/>
  <c r="AC11" i="52"/>
  <c r="AB11" i="52"/>
  <c r="AA11" i="52"/>
  <c r="AL10" i="52"/>
  <c r="AK10" i="52"/>
  <c r="AJ10" i="52"/>
  <c r="AI10" i="52"/>
  <c r="AH10" i="52"/>
  <c r="AE10" i="52"/>
  <c r="AD10" i="52"/>
  <c r="AC10" i="52"/>
  <c r="AB10" i="52"/>
  <c r="AA10" i="52"/>
  <c r="AL9" i="52"/>
  <c r="AK9" i="52"/>
  <c r="AJ9" i="52"/>
  <c r="AI9" i="52"/>
  <c r="AH9" i="52"/>
  <c r="AE9" i="52"/>
  <c r="AD9" i="52"/>
  <c r="AC9" i="52"/>
  <c r="AB9" i="52"/>
  <c r="AA9" i="52"/>
  <c r="AL8" i="52"/>
  <c r="AK8" i="52"/>
  <c r="AJ8" i="52"/>
  <c r="AI8" i="52"/>
  <c r="AH8" i="52"/>
  <c r="AE8" i="52"/>
  <c r="AD8" i="52"/>
  <c r="AC8" i="52"/>
  <c r="AB8" i="52"/>
  <c r="AA8" i="52"/>
  <c r="AL7" i="52"/>
  <c r="AK7" i="52"/>
  <c r="AJ7" i="52"/>
  <c r="AI7" i="52"/>
  <c r="AH7" i="52"/>
  <c r="AE7" i="52"/>
  <c r="AD7" i="52"/>
  <c r="AC7" i="52"/>
  <c r="AB7" i="52"/>
  <c r="AA7" i="52"/>
  <c r="AL6" i="52"/>
  <c r="AK6" i="52"/>
  <c r="AJ6" i="52"/>
  <c r="AJ44" i="52" s="1"/>
  <c r="AI6" i="52"/>
  <c r="AH6" i="52"/>
  <c r="AE6" i="52"/>
  <c r="AD6" i="52"/>
  <c r="AC6" i="52"/>
  <c r="AB6" i="52"/>
  <c r="AA6" i="52"/>
  <c r="AO5" i="52"/>
  <c r="AL5" i="52"/>
  <c r="AL43" i="52"/>
  <c r="AK5" i="52"/>
  <c r="AK43" i="52" s="1"/>
  <c r="AJ5" i="52"/>
  <c r="AI5" i="52"/>
  <c r="AI43" i="52"/>
  <c r="AH5" i="52"/>
  <c r="AE5" i="52"/>
  <c r="AE43" i="52"/>
  <c r="AD5" i="52"/>
  <c r="AD43" i="52" s="1"/>
  <c r="AC5" i="52"/>
  <c r="AC43" i="52"/>
  <c r="AB5" i="52"/>
  <c r="AB43" i="52" s="1"/>
  <c r="AA5" i="52"/>
  <c r="AA43" i="52"/>
  <c r="X5" i="52"/>
  <c r="X6" i="52" s="1"/>
  <c r="X7" i="52" s="1"/>
  <c r="X8" i="52" s="1"/>
  <c r="X9" i="52" s="1"/>
  <c r="X10" i="52" s="1"/>
  <c r="X11" i="52" s="1"/>
  <c r="X12" i="52" s="1"/>
  <c r="AL4" i="52"/>
  <c r="AL42" i="52"/>
  <c r="AK4" i="52"/>
  <c r="AK42" i="52" s="1"/>
  <c r="AJ4" i="52"/>
  <c r="AJ42" i="52"/>
  <c r="AI4" i="52"/>
  <c r="AI42" i="52" s="1"/>
  <c r="AH4" i="52"/>
  <c r="AH42" i="52"/>
  <c r="AE4" i="52"/>
  <c r="AE42" i="52" s="1"/>
  <c r="AD4" i="52"/>
  <c r="AD42" i="52"/>
  <c r="AC4" i="52"/>
  <c r="AC42" i="52" s="1"/>
  <c r="AB4" i="52"/>
  <c r="AB42" i="52"/>
  <c r="AA4" i="52"/>
  <c r="AA42" i="52" s="1"/>
  <c r="O67" i="56"/>
  <c r="W67" i="56"/>
  <c r="X67" i="56" s="1"/>
  <c r="N67" i="56"/>
  <c r="V67" i="56" s="1"/>
  <c r="M67" i="56"/>
  <c r="U67" i="56"/>
  <c r="L67" i="56"/>
  <c r="T67" i="56"/>
  <c r="K67" i="56"/>
  <c r="S67" i="56" s="1"/>
  <c r="J67" i="56"/>
  <c r="R67" i="56" s="1"/>
  <c r="O66" i="56"/>
  <c r="W66" i="56"/>
  <c r="X66" i="56" s="1"/>
  <c r="N66" i="56"/>
  <c r="V66" i="56"/>
  <c r="M66" i="56"/>
  <c r="U66" i="56" s="1"/>
  <c r="L66" i="56"/>
  <c r="T66" i="56"/>
  <c r="K66" i="56"/>
  <c r="S66" i="56" s="1"/>
  <c r="J66" i="56"/>
  <c r="R66" i="56"/>
  <c r="O65" i="56"/>
  <c r="W65" i="56" s="1"/>
  <c r="X65" i="56" s="1"/>
  <c r="N65" i="56"/>
  <c r="V65" i="56"/>
  <c r="M65" i="56"/>
  <c r="U65" i="56"/>
  <c r="L65" i="56"/>
  <c r="T65" i="56" s="1"/>
  <c r="K65" i="56"/>
  <c r="S65" i="56" s="1"/>
  <c r="J65" i="56"/>
  <c r="R65" i="56"/>
  <c r="O64" i="56"/>
  <c r="W64" i="56"/>
  <c r="X64" i="56"/>
  <c r="N64" i="56"/>
  <c r="V64" i="56" s="1"/>
  <c r="M64" i="56"/>
  <c r="U64" i="56"/>
  <c r="L64" i="56"/>
  <c r="T64" i="56" s="1"/>
  <c r="K64" i="56"/>
  <c r="S64" i="56"/>
  <c r="J64" i="56"/>
  <c r="R64" i="56" s="1"/>
  <c r="O63" i="56"/>
  <c r="W63" i="56"/>
  <c r="X63" i="56"/>
  <c r="N63" i="56"/>
  <c r="V63" i="56"/>
  <c r="M63" i="56"/>
  <c r="U63" i="56" s="1"/>
  <c r="L63" i="56"/>
  <c r="T63" i="56"/>
  <c r="K63" i="56"/>
  <c r="S63" i="56"/>
  <c r="J63" i="56"/>
  <c r="R63" i="56"/>
  <c r="O62" i="56"/>
  <c r="W62" i="56" s="1"/>
  <c r="X62" i="56" s="1"/>
  <c r="N62" i="56"/>
  <c r="V62" i="56"/>
  <c r="M62" i="56"/>
  <c r="U62" i="56" s="1"/>
  <c r="L62" i="56"/>
  <c r="T62" i="56"/>
  <c r="K62" i="56"/>
  <c r="S62" i="56" s="1"/>
  <c r="J62" i="56"/>
  <c r="R62" i="56"/>
  <c r="O61" i="56"/>
  <c r="W61" i="56" s="1"/>
  <c r="X61" i="56" s="1"/>
  <c r="N61" i="56"/>
  <c r="V61" i="56" s="1"/>
  <c r="M61" i="56"/>
  <c r="U61" i="56"/>
  <c r="L61" i="56"/>
  <c r="T61" i="56"/>
  <c r="K61" i="56"/>
  <c r="S61" i="56"/>
  <c r="J61" i="56"/>
  <c r="R61" i="56" s="1"/>
  <c r="O60" i="56"/>
  <c r="W60" i="56" s="1"/>
  <c r="X60" i="56" s="1"/>
  <c r="N60" i="56"/>
  <c r="V60" i="56" s="1"/>
  <c r="M60" i="56"/>
  <c r="U60" i="56"/>
  <c r="L60" i="56"/>
  <c r="T60" i="56" s="1"/>
  <c r="K60" i="56"/>
  <c r="S60" i="56"/>
  <c r="J60" i="56"/>
  <c r="R60" i="56" s="1"/>
  <c r="O59" i="56"/>
  <c r="W59" i="56"/>
  <c r="X59" i="56" s="1"/>
  <c r="N59" i="56"/>
  <c r="V59" i="56"/>
  <c r="M59" i="56"/>
  <c r="U59" i="56"/>
  <c r="L59" i="56"/>
  <c r="T59" i="56"/>
  <c r="K59" i="56"/>
  <c r="S59" i="56" s="1"/>
  <c r="J59" i="56"/>
  <c r="R59" i="56"/>
  <c r="O58" i="56"/>
  <c r="W58" i="56"/>
  <c r="X58" i="56" s="1"/>
  <c r="N58" i="56"/>
  <c r="V58" i="56"/>
  <c r="M58" i="56"/>
  <c r="U58" i="56" s="1"/>
  <c r="L58" i="56"/>
  <c r="T58" i="56"/>
  <c r="K58" i="56"/>
  <c r="S58" i="56" s="1"/>
  <c r="J58" i="56"/>
  <c r="R58" i="56"/>
  <c r="O57" i="56"/>
  <c r="W57" i="56" s="1"/>
  <c r="X57" i="56" s="1"/>
  <c r="N57" i="56"/>
  <c r="V57" i="56"/>
  <c r="M57" i="56"/>
  <c r="U57" i="56"/>
  <c r="L57" i="56"/>
  <c r="T57" i="56" s="1"/>
  <c r="K57" i="56"/>
  <c r="S57" i="56"/>
  <c r="J57" i="56"/>
  <c r="R57" i="56"/>
  <c r="O56" i="56"/>
  <c r="W56" i="56"/>
  <c r="X56" i="56" s="1"/>
  <c r="N56" i="56"/>
  <c r="V56" i="56"/>
  <c r="M56" i="56"/>
  <c r="U56" i="56"/>
  <c r="L56" i="56"/>
  <c r="T56" i="56"/>
  <c r="K56" i="56"/>
  <c r="S56" i="56" s="1"/>
  <c r="J56" i="56"/>
  <c r="R56" i="56" s="1"/>
  <c r="O55" i="56"/>
  <c r="W55" i="56"/>
  <c r="X55" i="56"/>
  <c r="N55" i="56"/>
  <c r="V55" i="56"/>
  <c r="M55" i="56"/>
  <c r="U55" i="56" s="1"/>
  <c r="L55" i="56"/>
  <c r="T55" i="56"/>
  <c r="K55" i="56"/>
  <c r="S55" i="56"/>
  <c r="J55" i="56"/>
  <c r="R55" i="56"/>
  <c r="O54" i="56"/>
  <c r="W54" i="56" s="1"/>
  <c r="X54" i="56" s="1"/>
  <c r="N54" i="56"/>
  <c r="V54" i="56"/>
  <c r="M54" i="56"/>
  <c r="U54" i="56" s="1"/>
  <c r="L54" i="56"/>
  <c r="T54" i="56"/>
  <c r="K54" i="56"/>
  <c r="S54" i="56" s="1"/>
  <c r="J54" i="56"/>
  <c r="R54" i="56"/>
  <c r="O53" i="56"/>
  <c r="W53" i="56" s="1"/>
  <c r="X53" i="56" s="1"/>
  <c r="N53" i="56"/>
  <c r="V53" i="56" s="1"/>
  <c r="M53" i="56"/>
  <c r="U53" i="56"/>
  <c r="L53" i="56"/>
  <c r="T53" i="56"/>
  <c r="K53" i="56"/>
  <c r="S53" i="56"/>
  <c r="J53" i="56"/>
  <c r="R53" i="56" s="1"/>
  <c r="O52" i="56"/>
  <c r="W52" i="56"/>
  <c r="X52" i="56"/>
  <c r="N52" i="56"/>
  <c r="V52" i="56" s="1"/>
  <c r="M52" i="56"/>
  <c r="U52" i="56"/>
  <c r="L52" i="56"/>
  <c r="T52" i="56" s="1"/>
  <c r="K52" i="56"/>
  <c r="S52" i="56"/>
  <c r="J52" i="56"/>
  <c r="R52" i="56" s="1"/>
  <c r="O51" i="56"/>
  <c r="W51" i="56"/>
  <c r="X51" i="56" s="1"/>
  <c r="N51" i="56"/>
  <c r="V51" i="56"/>
  <c r="M51" i="56"/>
  <c r="U51" i="56"/>
  <c r="L51" i="56"/>
  <c r="T51" i="56"/>
  <c r="K51" i="56"/>
  <c r="S51" i="56" s="1"/>
  <c r="J51" i="56"/>
  <c r="R51" i="56"/>
  <c r="O50" i="56"/>
  <c r="W50" i="56"/>
  <c r="X50" i="56" s="1"/>
  <c r="N50" i="56"/>
  <c r="V50" i="56"/>
  <c r="M50" i="56"/>
  <c r="U50" i="56" s="1"/>
  <c r="L50" i="56"/>
  <c r="T50" i="56"/>
  <c r="K50" i="56"/>
  <c r="S50" i="56" s="1"/>
  <c r="J50" i="56"/>
  <c r="R50" i="56"/>
  <c r="O49" i="56"/>
  <c r="W49" i="56" s="1"/>
  <c r="X49" i="56" s="1"/>
  <c r="N49" i="56"/>
  <c r="V49" i="56"/>
  <c r="M49" i="56"/>
  <c r="U49" i="56"/>
  <c r="L49" i="56"/>
  <c r="T49" i="56" s="1"/>
  <c r="K49" i="56"/>
  <c r="S49" i="56"/>
  <c r="J49" i="56"/>
  <c r="R49" i="56"/>
  <c r="O48" i="56"/>
  <c r="W48" i="56"/>
  <c r="X48" i="56"/>
  <c r="N48" i="56"/>
  <c r="V48" i="56" s="1"/>
  <c r="M48" i="56"/>
  <c r="U48" i="56"/>
  <c r="L48" i="56"/>
  <c r="T48" i="56" s="1"/>
  <c r="K48" i="56"/>
  <c r="S48" i="56"/>
  <c r="J48" i="56"/>
  <c r="R48" i="56" s="1"/>
  <c r="O47" i="56"/>
  <c r="W47" i="56"/>
  <c r="X47" i="56"/>
  <c r="N47" i="56"/>
  <c r="V47" i="56"/>
  <c r="M47" i="56"/>
  <c r="U47" i="56" s="1"/>
  <c r="L47" i="56"/>
  <c r="T47" i="56"/>
  <c r="K47" i="56"/>
  <c r="S47" i="56"/>
  <c r="J47" i="56"/>
  <c r="R47" i="56"/>
  <c r="O46" i="56"/>
  <c r="W46" i="56" s="1"/>
  <c r="X46" i="56" s="1"/>
  <c r="N46" i="56"/>
  <c r="V46" i="56"/>
  <c r="M46" i="56"/>
  <c r="U46" i="56" s="1"/>
  <c r="L46" i="56"/>
  <c r="T46" i="56"/>
  <c r="K46" i="56"/>
  <c r="S46" i="56" s="1"/>
  <c r="J46" i="56"/>
  <c r="R46" i="56"/>
  <c r="O45" i="56"/>
  <c r="W45" i="56" s="1"/>
  <c r="X45" i="56" s="1"/>
  <c r="N45" i="56"/>
  <c r="V45" i="56" s="1"/>
  <c r="M45" i="56"/>
  <c r="U45" i="56"/>
  <c r="L45" i="56"/>
  <c r="T45" i="56"/>
  <c r="K45" i="56"/>
  <c r="S45" i="56"/>
  <c r="J45" i="56"/>
  <c r="R45" i="56" s="1"/>
  <c r="O44" i="56"/>
  <c r="W44" i="56"/>
  <c r="X44" i="56"/>
  <c r="N44" i="56"/>
  <c r="V44" i="56" s="1"/>
  <c r="M44" i="56"/>
  <c r="U44" i="56"/>
  <c r="L44" i="56"/>
  <c r="T44" i="56" s="1"/>
  <c r="K44" i="56"/>
  <c r="S44" i="56"/>
  <c r="J44" i="56"/>
  <c r="R44" i="56" s="1"/>
  <c r="O43" i="56"/>
  <c r="W43" i="56"/>
  <c r="X43" i="56" s="1"/>
  <c r="N43" i="56"/>
  <c r="V43" i="56"/>
  <c r="M43" i="56"/>
  <c r="U43" i="56"/>
  <c r="L43" i="56"/>
  <c r="T43" i="56"/>
  <c r="K43" i="56"/>
  <c r="S43" i="56" s="1"/>
  <c r="J43" i="56"/>
  <c r="R43" i="56"/>
  <c r="O42" i="56"/>
  <c r="W42" i="56"/>
  <c r="X42" i="56" s="1"/>
  <c r="N42" i="56"/>
  <c r="V42" i="56"/>
  <c r="M42" i="56"/>
  <c r="U42" i="56" s="1"/>
  <c r="L42" i="56"/>
  <c r="T42" i="56"/>
  <c r="K42" i="56"/>
  <c r="S42" i="56" s="1"/>
  <c r="J42" i="56"/>
  <c r="R42" i="56"/>
  <c r="G32" i="56"/>
  <c r="G33" i="56" s="1"/>
  <c r="G34" i="56" s="1"/>
  <c r="G35" i="56" s="1"/>
  <c r="G36" i="56"/>
  <c r="F32" i="56"/>
  <c r="F33" i="56"/>
  <c r="F34" i="56"/>
  <c r="F35" i="56" s="1"/>
  <c r="F36" i="56" s="1"/>
  <c r="E32" i="56"/>
  <c r="E33" i="56"/>
  <c r="E34" i="56"/>
  <c r="E35" i="56" s="1"/>
  <c r="E36" i="56" s="1"/>
  <c r="D32" i="56"/>
  <c r="D33" i="56" s="1"/>
  <c r="D34" i="56" s="1"/>
  <c r="D35" i="56" s="1"/>
  <c r="D36" i="56" s="1"/>
  <c r="C32" i="56"/>
  <c r="C33" i="56" s="1"/>
  <c r="C34" i="56" s="1"/>
  <c r="C35" i="56" s="1"/>
  <c r="C36" i="56" s="1"/>
  <c r="O31" i="56"/>
  <c r="O32" i="56"/>
  <c r="O33" i="56"/>
  <c r="O34" i="56"/>
  <c r="O35" i="56" s="1"/>
  <c r="O36" i="56" s="1"/>
  <c r="N31" i="56"/>
  <c r="N32" i="56" s="1"/>
  <c r="N33" i="56" s="1"/>
  <c r="N34" i="56" s="1"/>
  <c r="N35" i="56" s="1"/>
  <c r="N36" i="56"/>
  <c r="M31" i="56"/>
  <c r="M32" i="56"/>
  <c r="M33" i="56"/>
  <c r="M34" i="56" s="1"/>
  <c r="M35" i="56" s="1"/>
  <c r="M36" i="56" s="1"/>
  <c r="L31" i="56"/>
  <c r="L32" i="56"/>
  <c r="L33" i="56" s="1"/>
  <c r="L34" i="56" s="1"/>
  <c r="L35" i="56" s="1"/>
  <c r="L36" i="56" s="1"/>
  <c r="K31" i="56"/>
  <c r="K32" i="56"/>
  <c r="K33" i="56"/>
  <c r="K34" i="56"/>
  <c r="K35" i="56" s="1"/>
  <c r="K36" i="56" s="1"/>
  <c r="J31" i="56"/>
  <c r="J32" i="56" s="1"/>
  <c r="J33" i="56" s="1"/>
  <c r="J34" i="56" s="1"/>
  <c r="J35" i="56" s="1"/>
  <c r="J36" i="56"/>
  <c r="O30" i="56"/>
  <c r="P30" i="56"/>
  <c r="N30" i="56"/>
  <c r="M30" i="56"/>
  <c r="L30" i="56"/>
  <c r="K30" i="56"/>
  <c r="J30" i="56"/>
  <c r="O29" i="56"/>
  <c r="P29" i="56" s="1"/>
  <c r="N29" i="56"/>
  <c r="M29" i="56"/>
  <c r="L29" i="56"/>
  <c r="K29" i="56"/>
  <c r="J29" i="56"/>
  <c r="O28" i="56"/>
  <c r="P28" i="56"/>
  <c r="N28" i="56"/>
  <c r="M28" i="56"/>
  <c r="L28" i="56"/>
  <c r="K28" i="56"/>
  <c r="J28" i="56"/>
  <c r="O27" i="56"/>
  <c r="P27" i="56"/>
  <c r="N27" i="56"/>
  <c r="M27" i="56"/>
  <c r="L27" i="56"/>
  <c r="K27" i="56"/>
  <c r="J27" i="56"/>
  <c r="O26" i="56"/>
  <c r="P26" i="56"/>
  <c r="N26" i="56"/>
  <c r="M26" i="56"/>
  <c r="L26" i="56"/>
  <c r="K26" i="56"/>
  <c r="J26" i="56"/>
  <c r="O25" i="56"/>
  <c r="P25" i="56" s="1"/>
  <c r="N25" i="56"/>
  <c r="M25" i="56"/>
  <c r="L25" i="56"/>
  <c r="K25" i="56"/>
  <c r="J25" i="56"/>
  <c r="O24" i="56"/>
  <c r="P24" i="56" s="1"/>
  <c r="N24" i="56"/>
  <c r="M24" i="56"/>
  <c r="L24" i="56"/>
  <c r="K24" i="56"/>
  <c r="J24" i="56"/>
  <c r="O23" i="56"/>
  <c r="P23" i="56"/>
  <c r="N23" i="56"/>
  <c r="M23" i="56"/>
  <c r="L23" i="56"/>
  <c r="K23" i="56"/>
  <c r="J23" i="56"/>
  <c r="O22" i="56"/>
  <c r="P22" i="56"/>
  <c r="N22" i="56"/>
  <c r="M22" i="56"/>
  <c r="L22" i="56"/>
  <c r="K22" i="56"/>
  <c r="J22" i="56"/>
  <c r="O21" i="56"/>
  <c r="P21" i="56" s="1"/>
  <c r="N21" i="56"/>
  <c r="M21" i="56"/>
  <c r="L21" i="56"/>
  <c r="K21" i="56"/>
  <c r="J21" i="56"/>
  <c r="O20" i="56"/>
  <c r="P20" i="56"/>
  <c r="N20" i="56"/>
  <c r="M20" i="56"/>
  <c r="L20" i="56"/>
  <c r="K20" i="56"/>
  <c r="J20" i="56"/>
  <c r="O19" i="56"/>
  <c r="P19" i="56"/>
  <c r="N19" i="56"/>
  <c r="M19" i="56"/>
  <c r="L19" i="56"/>
  <c r="K19" i="56"/>
  <c r="J19" i="56"/>
  <c r="O18" i="56"/>
  <c r="P18" i="56"/>
  <c r="N18" i="56"/>
  <c r="M18" i="56"/>
  <c r="L18" i="56"/>
  <c r="K18" i="56"/>
  <c r="J18" i="56"/>
  <c r="O17" i="56"/>
  <c r="P17" i="56" s="1"/>
  <c r="N17" i="56"/>
  <c r="M17" i="56"/>
  <c r="L17" i="56"/>
  <c r="K17" i="56"/>
  <c r="J17" i="56"/>
  <c r="O16" i="56"/>
  <c r="P16" i="56" s="1"/>
  <c r="N16" i="56"/>
  <c r="M16" i="56"/>
  <c r="L16" i="56"/>
  <c r="K16" i="56"/>
  <c r="J16" i="56"/>
  <c r="O15" i="56"/>
  <c r="P15" i="56"/>
  <c r="N15" i="56"/>
  <c r="M15" i="56"/>
  <c r="L15" i="56"/>
  <c r="K15" i="56"/>
  <c r="J15" i="56"/>
  <c r="O14" i="56"/>
  <c r="P14" i="56"/>
  <c r="N14" i="56"/>
  <c r="M14" i="56"/>
  <c r="L14" i="56"/>
  <c r="K14" i="56"/>
  <c r="J14" i="56"/>
  <c r="O13" i="56"/>
  <c r="P13" i="56" s="1"/>
  <c r="N13" i="56"/>
  <c r="M13" i="56"/>
  <c r="L13" i="56"/>
  <c r="K13" i="56"/>
  <c r="J13" i="56"/>
  <c r="O12" i="56"/>
  <c r="P12" i="56"/>
  <c r="N12" i="56"/>
  <c r="M12" i="56"/>
  <c r="L12" i="56"/>
  <c r="K12" i="56"/>
  <c r="J12" i="56"/>
  <c r="O11" i="56"/>
  <c r="P11" i="56"/>
  <c r="N11" i="56"/>
  <c r="M11" i="56"/>
  <c r="L11" i="56"/>
  <c r="K11" i="56"/>
  <c r="J11" i="56"/>
  <c r="O10" i="56"/>
  <c r="P10" i="56"/>
  <c r="N10" i="56"/>
  <c r="M10" i="56"/>
  <c r="L10" i="56"/>
  <c r="K10" i="56"/>
  <c r="J10" i="56"/>
  <c r="O9" i="56"/>
  <c r="P9" i="56" s="1"/>
  <c r="N9" i="56"/>
  <c r="M9" i="56"/>
  <c r="L9" i="56"/>
  <c r="K9" i="56"/>
  <c r="J9" i="56"/>
  <c r="O8" i="56"/>
  <c r="P8" i="56" s="1"/>
  <c r="N8" i="56"/>
  <c r="M8" i="56"/>
  <c r="L8" i="56"/>
  <c r="K8" i="56"/>
  <c r="J8" i="56"/>
  <c r="O7" i="56"/>
  <c r="P7" i="56"/>
  <c r="N7" i="56"/>
  <c r="M7" i="56"/>
  <c r="L7" i="56"/>
  <c r="K7" i="56"/>
  <c r="J7" i="56"/>
  <c r="O6" i="56"/>
  <c r="P6" i="56"/>
  <c r="N6" i="56"/>
  <c r="M6" i="56"/>
  <c r="L6" i="56"/>
  <c r="K6" i="56"/>
  <c r="J6" i="56"/>
  <c r="B64" i="8"/>
  <c r="B63" i="8"/>
  <c r="B62" i="8"/>
  <c r="B61" i="8"/>
  <c r="B58" i="8"/>
  <c r="B56" i="8"/>
  <c r="B55" i="8"/>
  <c r="B45" i="8"/>
  <c r="B44" i="8"/>
  <c r="B43" i="8"/>
  <c r="B42" i="8"/>
  <c r="B39" i="8"/>
  <c r="B37" i="8"/>
  <c r="B36" i="8"/>
  <c r="B14" i="69"/>
  <c r="E7" i="140"/>
  <c r="AJ43" i="52"/>
  <c r="M43" i="52"/>
  <c r="Q43" i="52"/>
  <c r="U43" i="52"/>
  <c r="C43" i="52"/>
  <c r="E43" i="52"/>
  <c r="E5" i="140"/>
  <c r="AH43" i="52"/>
  <c r="G43" i="52"/>
  <c r="P31" i="56"/>
  <c r="P32" i="56"/>
  <c r="P33" i="56" s="1"/>
  <c r="P34" i="56" s="1"/>
  <c r="P35" i="56" s="1"/>
  <c r="P36" i="56"/>
  <c r="D43" i="52"/>
  <c r="J43" i="52"/>
  <c r="N43" i="52"/>
  <c r="T43" i="52"/>
  <c r="F43" i="52"/>
  <c r="L43" i="52"/>
  <c r="R43" i="52"/>
  <c r="D20" i="9"/>
  <c r="G86" i="78"/>
  <c r="G78" i="78"/>
  <c r="E81" i="78"/>
  <c r="G88" i="78"/>
  <c r="E52" i="49"/>
  <c r="E83" i="78"/>
  <c r="E88" i="78"/>
  <c r="F81" i="78"/>
  <c r="E73" i="78"/>
  <c r="D25" i="9"/>
  <c r="D35" i="49"/>
  <c r="D10" i="49"/>
  <c r="Q49" i="56"/>
  <c r="D17" i="49"/>
  <c r="D42" i="49"/>
  <c r="D57" i="47"/>
  <c r="D55" i="47"/>
  <c r="D58" i="47"/>
  <c r="D13" i="103" s="1"/>
  <c r="C18" i="200"/>
  <c r="D56" i="47"/>
  <c r="D54" i="47"/>
  <c r="E60" i="47"/>
  <c r="E55" i="47"/>
  <c r="E59" i="47"/>
  <c r="E58" i="47"/>
  <c r="E54" i="47"/>
  <c r="D75" i="47"/>
  <c r="F75" i="47" s="1"/>
  <c r="D49" i="49"/>
  <c r="D24" i="49"/>
  <c r="A44" i="52"/>
  <c r="AD44" i="52" s="1"/>
  <c r="K43" i="52"/>
  <c r="E75" i="47"/>
  <c r="E57" i="47"/>
  <c r="F55" i="47"/>
  <c r="F54" i="47"/>
  <c r="E10" i="49"/>
  <c r="E35" i="49"/>
  <c r="F58" i="47"/>
  <c r="F71" i="47"/>
  <c r="F56" i="47"/>
  <c r="C75" i="47"/>
  <c r="E17" i="49"/>
  <c r="D60" i="47"/>
  <c r="K28" i="215"/>
  <c r="K29" i="215"/>
  <c r="K30" i="215"/>
  <c r="D71" i="205"/>
  <c r="D70" i="205"/>
  <c r="D69" i="205"/>
  <c r="M72" i="56"/>
  <c r="U72" i="56"/>
  <c r="E73" i="56"/>
  <c r="E12" i="200"/>
  <c r="E13" i="200" s="1"/>
  <c r="K24" i="215"/>
  <c r="K23" i="215"/>
  <c r="K20" i="215"/>
  <c r="K21" i="215"/>
  <c r="B74" i="56"/>
  <c r="B75" i="56" s="1"/>
  <c r="B76" i="56" s="1"/>
  <c r="J73" i="56"/>
  <c r="R73" i="56"/>
  <c r="L74" i="56"/>
  <c r="T74" i="56"/>
  <c r="D75" i="56"/>
  <c r="L75" i="56" s="1"/>
  <c r="T75" i="56" s="1"/>
  <c r="F73" i="56"/>
  <c r="F74" i="56" s="1"/>
  <c r="N74" i="56" s="1"/>
  <c r="N72" i="56"/>
  <c r="V72" i="56"/>
  <c r="C16" i="200"/>
  <c r="D63" i="205"/>
  <c r="D62" i="205"/>
  <c r="D61" i="205"/>
  <c r="D60" i="205"/>
  <c r="E23" i="205"/>
  <c r="E22" i="205"/>
  <c r="D59" i="47"/>
  <c r="I9" i="215"/>
  <c r="K13" i="215"/>
  <c r="K14" i="215"/>
  <c r="K15" i="215"/>
  <c r="K16" i="215"/>
  <c r="E19" i="205"/>
  <c r="D58" i="205"/>
  <c r="E14" i="205"/>
  <c r="N73" i="56"/>
  <c r="V73" i="56" s="1"/>
  <c r="D76" i="56"/>
  <c r="M73" i="56"/>
  <c r="U73" i="56" s="1"/>
  <c r="E74" i="56"/>
  <c r="E75" i="56" s="1"/>
  <c r="AL44" i="52"/>
  <c r="AE44" i="52"/>
  <c r="E44" i="52"/>
  <c r="AA44" i="52"/>
  <c r="L44" i="52"/>
  <c r="S44" i="52"/>
  <c r="F44" i="52"/>
  <c r="N44" i="52"/>
  <c r="AI44" i="52"/>
  <c r="J44" i="52"/>
  <c r="A45" i="52"/>
  <c r="F45" i="52" s="1"/>
  <c r="AK44" i="52"/>
  <c r="K44" i="52"/>
  <c r="U44" i="52"/>
  <c r="D44" i="52"/>
  <c r="G44" i="52"/>
  <c r="AH44" i="52"/>
  <c r="Q50" i="56"/>
  <c r="J74" i="56"/>
  <c r="R74" i="56" s="1"/>
  <c r="H13" i="103"/>
  <c r="X13" i="103"/>
  <c r="V13" i="103"/>
  <c r="W13" i="103"/>
  <c r="C13" i="103"/>
  <c r="E13" i="103"/>
  <c r="I9" i="200"/>
  <c r="D17" i="200" s="1"/>
  <c r="G9" i="200"/>
  <c r="I13" i="200"/>
  <c r="H12" i="200"/>
  <c r="G11" i="200"/>
  <c r="H11" i="200"/>
  <c r="H7" i="200"/>
  <c r="H9" i="200"/>
  <c r="I10" i="200"/>
  <c r="D18" i="200" s="1"/>
  <c r="G8" i="200"/>
  <c r="G13" i="200"/>
  <c r="H13" i="200"/>
  <c r="G12" i="200"/>
  <c r="I7" i="200"/>
  <c r="Q51" i="56"/>
  <c r="T45" i="52"/>
  <c r="AA45" i="52"/>
  <c r="D45" i="52"/>
  <c r="K45" i="52"/>
  <c r="AJ45" i="52"/>
  <c r="U45" i="52"/>
  <c r="F75" i="56"/>
  <c r="V74" i="56"/>
  <c r="I12" i="200"/>
  <c r="D20" i="200" s="1"/>
  <c r="D77" i="56"/>
  <c r="L76" i="56"/>
  <c r="T76" i="56" s="1"/>
  <c r="F76" i="56"/>
  <c r="N75" i="56"/>
  <c r="V75" i="56" s="1"/>
  <c r="X13" i="52"/>
  <c r="D78" i="56"/>
  <c r="L77" i="56"/>
  <c r="T77" i="56"/>
  <c r="Q52" i="56"/>
  <c r="X14" i="52"/>
  <c r="Q53" i="56"/>
  <c r="Q54" i="56" s="1"/>
  <c r="D79" i="56"/>
  <c r="L78" i="56"/>
  <c r="T78" i="56" s="1"/>
  <c r="N76" i="56"/>
  <c r="V76" i="56" s="1"/>
  <c r="F77" i="56"/>
  <c r="X15" i="52"/>
  <c r="X16" i="52" s="1"/>
  <c r="N77" i="56"/>
  <c r="V77" i="56" s="1"/>
  <c r="F78" i="56"/>
  <c r="F79" i="56" s="1"/>
  <c r="N79" i="56" s="1"/>
  <c r="D80" i="56"/>
  <c r="L79" i="56"/>
  <c r="T79" i="56" s="1"/>
  <c r="N78" i="56"/>
  <c r="V78" i="56" s="1"/>
  <c r="Q55" i="56"/>
  <c r="L80" i="56"/>
  <c r="T80" i="56"/>
  <c r="D81" i="56"/>
  <c r="L81" i="56" s="1"/>
  <c r="T81" i="56" s="1"/>
  <c r="D82" i="56"/>
  <c r="L82" i="56" s="1"/>
  <c r="Q56" i="56"/>
  <c r="Q57" i="56" s="1"/>
  <c r="Q58" i="56" s="1"/>
  <c r="Q59" i="56" s="1"/>
  <c r="V79" i="56"/>
  <c r="F80" i="56"/>
  <c r="F81" i="56" s="1"/>
  <c r="X17" i="52"/>
  <c r="X18" i="52" s="1"/>
  <c r="T82" i="56"/>
  <c r="D83" i="56"/>
  <c r="L83" i="56" s="1"/>
  <c r="N80" i="56"/>
  <c r="V80" i="56" s="1"/>
  <c r="T83" i="56"/>
  <c r="D84" i="56"/>
  <c r="L84" i="56" s="1"/>
  <c r="X19" i="52"/>
  <c r="X20" i="52" s="1"/>
  <c r="F82" i="56"/>
  <c r="N81" i="56"/>
  <c r="V81" i="56" s="1"/>
  <c r="F83" i="56"/>
  <c r="F84" i="56" s="1"/>
  <c r="N84" i="56" s="1"/>
  <c r="V84" i="56" s="1"/>
  <c r="N82" i="56"/>
  <c r="V82" i="56" s="1"/>
  <c r="D85" i="56"/>
  <c r="L85" i="56" s="1"/>
  <c r="T85" i="56" s="1"/>
  <c r="T84" i="56"/>
  <c r="Q60" i="56"/>
  <c r="X21" i="52"/>
  <c r="X22" i="52" s="1"/>
  <c r="X23" i="52" s="1"/>
  <c r="X24" i="52" s="1"/>
  <c r="X25" i="52" s="1"/>
  <c r="X26" i="52" s="1"/>
  <c r="F85" i="56"/>
  <c r="N85" i="56" s="1"/>
  <c r="V85" i="56" s="1"/>
  <c r="Q61" i="56"/>
  <c r="Q62" i="56"/>
  <c r="Q63" i="56"/>
  <c r="Q64" i="56" s="1"/>
  <c r="Q65" i="56" s="1"/>
  <c r="Q66" i="56" s="1"/>
  <c r="Q67" i="56" s="1"/>
  <c r="Q68" i="56" s="1"/>
  <c r="Q69" i="56"/>
  <c r="Q70" i="56" s="1"/>
  <c r="Q71" i="56" s="1"/>
  <c r="Q72" i="56" s="1"/>
  <c r="Q73" i="56" s="1"/>
  <c r="R11" i="170"/>
  <c r="R13" i="170" s="1"/>
  <c r="R20" i="170" s="1"/>
  <c r="D4" i="101" l="1"/>
  <c r="D4" i="103"/>
  <c r="AI7" i="137"/>
  <c r="AH7" i="137"/>
  <c r="AG7" i="137"/>
  <c r="AF7" i="137"/>
  <c r="AO7" i="137"/>
  <c r="AN7" i="137"/>
  <c r="AM7" i="137"/>
  <c r="AL7" i="137"/>
  <c r="AK7" i="137"/>
  <c r="AJ7" i="137"/>
  <c r="R30" i="199"/>
  <c r="R44" i="199" s="1"/>
  <c r="H30" i="199"/>
  <c r="T33" i="199"/>
  <c r="T39" i="199"/>
  <c r="T38" i="199"/>
  <c r="T37" i="199"/>
  <c r="T36" i="199"/>
  <c r="T35" i="199"/>
  <c r="T34" i="199"/>
  <c r="E18" i="9"/>
  <c r="T32" i="199"/>
  <c r="K7" i="137"/>
  <c r="J7" i="137"/>
  <c r="I7" i="137"/>
  <c r="V7" i="137"/>
  <c r="H7" i="137"/>
  <c r="G7" i="137"/>
  <c r="F7" i="137"/>
  <c r="W7" i="137"/>
  <c r="E7" i="137"/>
  <c r="D7" i="137"/>
  <c r="AE7" i="137"/>
  <c r="C7" i="137"/>
  <c r="Y7" i="137"/>
  <c r="AD7" i="137"/>
  <c r="X7" i="137"/>
  <c r="AC7" i="137"/>
  <c r="AB7" i="137"/>
  <c r="AA7" i="137"/>
  <c r="Z7" i="137"/>
  <c r="U7" i="137"/>
  <c r="T7" i="137"/>
  <c r="N7" i="137"/>
  <c r="S7" i="137"/>
  <c r="O7" i="137"/>
  <c r="M7" i="137"/>
  <c r="R7" i="137"/>
  <c r="Q7" i="137"/>
  <c r="P7" i="137"/>
  <c r="L7" i="137"/>
  <c r="C5" i="101"/>
  <c r="C45" i="101" s="1"/>
  <c r="D4" i="137"/>
  <c r="D146" i="9"/>
  <c r="D147" i="9" s="1"/>
  <c r="D148" i="9" s="1"/>
  <c r="D149" i="9" s="1"/>
  <c r="D150" i="9" s="1"/>
  <c r="D151" i="9" s="1"/>
  <c r="D152" i="9" s="1"/>
  <c r="D153" i="9" s="1"/>
  <c r="D154" i="9" s="1"/>
  <c r="D155" i="9" s="1"/>
  <c r="D156" i="9" s="1"/>
  <c r="D157" i="9" s="1"/>
  <c r="D158" i="9" s="1"/>
  <c r="D159" i="9" s="1"/>
  <c r="D160" i="9" s="1"/>
  <c r="D161" i="9" s="1"/>
  <c r="D162" i="9" s="1"/>
  <c r="D163" i="9" s="1"/>
  <c r="D164" i="9" s="1"/>
  <c r="D165" i="9" s="1"/>
  <c r="D166" i="9" s="1"/>
  <c r="D167" i="9" s="1"/>
  <c r="D168" i="9" s="1"/>
  <c r="D169" i="9" s="1"/>
  <c r="D292" i="9"/>
  <c r="D293" i="9" s="1"/>
  <c r="D294" i="9" s="1"/>
  <c r="D295" i="9" s="1"/>
  <c r="D296" i="9" s="1"/>
  <c r="D297" i="9" s="1"/>
  <c r="D298" i="9" s="1"/>
  <c r="D299" i="9" s="1"/>
  <c r="D300" i="9" s="1"/>
  <c r="D301" i="9" s="1"/>
  <c r="D302" i="9" s="1"/>
  <c r="D303" i="9" s="1"/>
  <c r="D304" i="9" s="1"/>
  <c r="D305" i="9" s="1"/>
  <c r="D306" i="9" s="1"/>
  <c r="D307" i="9" s="1"/>
  <c r="D308" i="9" s="1"/>
  <c r="D309" i="9" s="1"/>
  <c r="D310" i="9" s="1"/>
  <c r="D311" i="9" s="1"/>
  <c r="D312" i="9" s="1"/>
  <c r="D313" i="9" s="1"/>
  <c r="D314" i="9" s="1"/>
  <c r="D315" i="9" s="1"/>
  <c r="D316" i="9" s="1"/>
  <c r="D317" i="9" s="1"/>
  <c r="D318" i="9" s="1"/>
  <c r="D319" i="9" s="1"/>
  <c r="D320" i="9" s="1"/>
  <c r="D321" i="9" s="1"/>
  <c r="D322" i="9" s="1"/>
  <c r="D323" i="9" s="1"/>
  <c r="D324" i="9" s="1"/>
  <c r="D325" i="9" s="1"/>
  <c r="D326" i="9" s="1"/>
  <c r="D38" i="9"/>
  <c r="D39" i="9" s="1"/>
  <c r="D40" i="9" s="1"/>
  <c r="D41" i="9" s="1"/>
  <c r="D42" i="9" s="1"/>
  <c r="D43" i="9" s="1"/>
  <c r="D44" i="9" s="1"/>
  <c r="D45" i="9" s="1"/>
  <c r="D46" i="9" s="1"/>
  <c r="D47" i="9" s="1"/>
  <c r="D48" i="9" s="1"/>
  <c r="D49" i="9" s="1"/>
  <c r="D50" i="9" s="1"/>
  <c r="D51" i="9" s="1"/>
  <c r="D52" i="9" s="1"/>
  <c r="D53" i="9" s="1"/>
  <c r="D54" i="9" s="1"/>
  <c r="D55" i="9" s="1"/>
  <c r="D56" i="9" s="1"/>
  <c r="D57" i="9" s="1"/>
  <c r="D58" i="9" s="1"/>
  <c r="D59" i="9" s="1"/>
  <c r="D60" i="9" s="1"/>
  <c r="D61" i="9" s="1"/>
  <c r="D62" i="9" s="1"/>
  <c r="D328" i="9"/>
  <c r="D329" i="9" s="1"/>
  <c r="D330" i="9" s="1"/>
  <c r="D331" i="9" s="1"/>
  <c r="D332" i="9" s="1"/>
  <c r="D333" i="9" s="1"/>
  <c r="D334" i="9" s="1"/>
  <c r="D335" i="9" s="1"/>
  <c r="D336" i="9" s="1"/>
  <c r="D74" i="9"/>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364" i="9"/>
  <c r="D365" i="9" s="1"/>
  <c r="D366" i="9" s="1"/>
  <c r="D367" i="9" s="1"/>
  <c r="D368" i="9" s="1"/>
  <c r="D369" i="9" s="1"/>
  <c r="D370" i="9" s="1"/>
  <c r="D371" i="9" s="1"/>
  <c r="D372" i="9" s="1"/>
  <c r="D256" i="9"/>
  <c r="D257" i="9" s="1"/>
  <c r="D258" i="9" s="1"/>
  <c r="D259" i="9" s="1"/>
  <c r="D260" i="9" s="1"/>
  <c r="D261" i="9" s="1"/>
  <c r="D262" i="9" s="1"/>
  <c r="D263" i="9" s="1"/>
  <c r="D264" i="9" s="1"/>
  <c r="D265" i="9" s="1"/>
  <c r="D266" i="9" s="1"/>
  <c r="D267" i="9" s="1"/>
  <c r="D268" i="9" s="1"/>
  <c r="D269" i="9" s="1"/>
  <c r="D270" i="9" s="1"/>
  <c r="D271" i="9" s="1"/>
  <c r="D272" i="9" s="1"/>
  <c r="D273" i="9" s="1"/>
  <c r="D274" i="9" s="1"/>
  <c r="D275" i="9" s="1"/>
  <c r="D276" i="9" s="1"/>
  <c r="D277" i="9" s="1"/>
  <c r="D278" i="9" s="1"/>
  <c r="D279" i="9" s="1"/>
  <c r="D280" i="9" s="1"/>
  <c r="D281" i="9" s="1"/>
  <c r="D282" i="9" s="1"/>
  <c r="D283" i="9" s="1"/>
  <c r="D284" i="9" s="1"/>
  <c r="D285" i="9" s="1"/>
  <c r="D182" i="9"/>
  <c r="D183" i="9" s="1"/>
  <c r="D184" i="9" s="1"/>
  <c r="D185" i="9" s="1"/>
  <c r="D186" i="9" s="1"/>
  <c r="D187" i="9" s="1"/>
  <c r="D188" i="9" s="1"/>
  <c r="D189" i="9" s="1"/>
  <c r="D190" i="9" s="1"/>
  <c r="D191" i="9" s="1"/>
  <c r="D192" i="9" s="1"/>
  <c r="D193" i="9" s="1"/>
  <c r="D194" i="9" s="1"/>
  <c r="D195" i="9" s="1"/>
  <c r="D196" i="9" s="1"/>
  <c r="D197" i="9" s="1"/>
  <c r="D198" i="9" s="1"/>
  <c r="D199" i="9" s="1"/>
  <c r="D200" i="9" s="1"/>
  <c r="D201" i="9" s="1"/>
  <c r="D202" i="9" s="1"/>
  <c r="D203" i="9" s="1"/>
  <c r="D204" i="9" s="1"/>
  <c r="D205" i="9" s="1"/>
  <c r="D206" i="9" s="1"/>
  <c r="D207" i="9" s="1"/>
  <c r="D208" i="9" s="1"/>
  <c r="D209" i="9" s="1"/>
  <c r="D210" i="9" s="1"/>
  <c r="D211" i="9" s="1"/>
  <c r="D212" i="9" s="1"/>
  <c r="D213" i="9" s="1"/>
  <c r="D214" i="9" s="1"/>
  <c r="D215" i="9" s="1"/>
  <c r="D216" i="9" s="1"/>
  <c r="D220" i="9"/>
  <c r="D221" i="9" s="1"/>
  <c r="D222" i="9" s="1"/>
  <c r="D223" i="9" s="1"/>
  <c r="D224" i="9" s="1"/>
  <c r="D225" i="9" s="1"/>
  <c r="D226" i="9" s="1"/>
  <c r="C5" i="121"/>
  <c r="C35" i="121" s="1"/>
  <c r="C23" i="101"/>
  <c r="C22" i="101"/>
  <c r="C20" i="101"/>
  <c r="C19" i="101"/>
  <c r="E4" i="101"/>
  <c r="D22" i="101"/>
  <c r="D23" i="101"/>
  <c r="D20" i="101"/>
  <c r="D19" i="101"/>
  <c r="C5" i="137"/>
  <c r="C9" i="137" s="1"/>
  <c r="D2" i="170"/>
  <c r="D74" i="170"/>
  <c r="D77" i="170"/>
  <c r="D79" i="170"/>
  <c r="D80" i="170" s="1"/>
  <c r="D76" i="170"/>
  <c r="D83" i="170" s="1"/>
  <c r="T71" i="170"/>
  <c r="D9" i="199"/>
  <c r="E10" i="199"/>
  <c r="D10" i="199"/>
  <c r="E9" i="199"/>
  <c r="D28" i="9"/>
  <c r="I5" i="169"/>
  <c r="D45" i="8" s="1"/>
  <c r="I13" i="103"/>
  <c r="Z13" i="103"/>
  <c r="T13" i="103"/>
  <c r="D132" i="9"/>
  <c r="D133" i="9" s="1"/>
  <c r="D134" i="9" s="1"/>
  <c r="D135" i="9" s="1"/>
  <c r="D136" i="9" s="1"/>
  <c r="D137" i="9" s="1"/>
  <c r="D138" i="9" s="1"/>
  <c r="D139" i="9" s="1"/>
  <c r="D140" i="9" s="1"/>
  <c r="D141" i="9" s="1"/>
  <c r="D142" i="9" s="1"/>
  <c r="D143" i="9" s="1"/>
  <c r="D144" i="9" s="1"/>
  <c r="U13" i="103"/>
  <c r="D5" i="121"/>
  <c r="D35" i="121" s="1"/>
  <c r="E4" i="121"/>
  <c r="F4" i="121" s="1"/>
  <c r="G4" i="121" s="1"/>
  <c r="F35" i="8"/>
  <c r="D54" i="8"/>
  <c r="C16" i="170"/>
  <c r="I11" i="169"/>
  <c r="D29" i="9"/>
  <c r="D33" i="9"/>
  <c r="D30" i="9"/>
  <c r="D22" i="9"/>
  <c r="D19" i="9"/>
  <c r="D18" i="9"/>
  <c r="D31" i="9"/>
  <c r="D32" i="9"/>
  <c r="D27" i="9"/>
  <c r="D17" i="9"/>
  <c r="D34" i="9"/>
  <c r="E1" i="170"/>
  <c r="D4" i="170"/>
  <c r="D3" i="170"/>
  <c r="H33" i="199"/>
  <c r="R33" i="199"/>
  <c r="C28" i="170" s="1"/>
  <c r="Q33" i="199"/>
  <c r="P33" i="199"/>
  <c r="P31" i="199"/>
  <c r="Q31" i="199"/>
  <c r="Q30" i="199"/>
  <c r="P30" i="199"/>
  <c r="P32" i="199"/>
  <c r="Q32" i="199"/>
  <c r="C5" i="103"/>
  <c r="D5" i="103"/>
  <c r="D5" i="101"/>
  <c r="D25" i="101" s="1"/>
  <c r="H2" i="169"/>
  <c r="H3" i="169" s="1"/>
  <c r="J2" i="169"/>
  <c r="J3" i="169" s="1"/>
  <c r="I7" i="169"/>
  <c r="I8" i="169" s="1"/>
  <c r="D44" i="8" s="1"/>
  <c r="E13" i="170"/>
  <c r="E20" i="170" s="1"/>
  <c r="T30" i="199"/>
  <c r="T31" i="199"/>
  <c r="Q74" i="56"/>
  <c r="X27" i="52"/>
  <c r="N83" i="56"/>
  <c r="V83" i="56" s="1"/>
  <c r="B77" i="56"/>
  <c r="J76" i="56"/>
  <c r="R76" i="56" s="1"/>
  <c r="E76" i="56"/>
  <c r="M75" i="56"/>
  <c r="U75" i="56" s="1"/>
  <c r="Q45" i="52"/>
  <c r="AC45" i="52"/>
  <c r="AE45" i="52"/>
  <c r="J75" i="56"/>
  <c r="R75" i="56" s="1"/>
  <c r="G45" i="52"/>
  <c r="M45" i="52"/>
  <c r="AD45" i="52"/>
  <c r="M74" i="56"/>
  <c r="U74" i="56" s="1"/>
  <c r="J45" i="52"/>
  <c r="L13" i="103"/>
  <c r="P13" i="103"/>
  <c r="S13" i="103"/>
  <c r="O13" i="103"/>
  <c r="N13" i="103"/>
  <c r="AB13" i="103"/>
  <c r="K13" i="103"/>
  <c r="J13" i="103"/>
  <c r="F13" i="103"/>
  <c r="M13" i="103"/>
  <c r="G13" i="103"/>
  <c r="R13" i="103"/>
  <c r="AA13" i="103"/>
  <c r="Y13" i="103"/>
  <c r="Q13" i="103"/>
  <c r="E45" i="52"/>
  <c r="AI45" i="52"/>
  <c r="AK45" i="52"/>
  <c r="S45" i="52"/>
  <c r="G7" i="200"/>
  <c r="H10" i="200"/>
  <c r="G10" i="200"/>
  <c r="I11" i="200"/>
  <c r="D19" i="200" s="1"/>
  <c r="H8" i="200"/>
  <c r="I8" i="200"/>
  <c r="D16" i="200" s="1"/>
  <c r="C21" i="200" s="1"/>
  <c r="AL45" i="52"/>
  <c r="F5" i="121"/>
  <c r="L45" i="52"/>
  <c r="R45" i="52"/>
  <c r="AB45" i="52"/>
  <c r="N45" i="52"/>
  <c r="A46" i="52"/>
  <c r="C45" i="52"/>
  <c r="K19" i="215"/>
  <c r="AO6" i="52"/>
  <c r="AH45" i="52"/>
  <c r="Z31" i="199"/>
  <c r="Z32" i="199"/>
  <c r="Z30" i="199"/>
  <c r="AC44" i="52"/>
  <c r="M44" i="52"/>
  <c r="R44" i="52"/>
  <c r="E50" i="49"/>
  <c r="E25" i="49"/>
  <c r="C73" i="56"/>
  <c r="K72" i="56"/>
  <c r="S72" i="56" s="1"/>
  <c r="D14" i="49"/>
  <c r="D39" i="49"/>
  <c r="AB44" i="52"/>
  <c r="C44" i="52"/>
  <c r="Q44" i="52"/>
  <c r="T44" i="52"/>
  <c r="F79" i="47"/>
  <c r="Y30" i="199"/>
  <c r="Y31" i="199"/>
  <c r="D46" i="49"/>
  <c r="D40" i="49"/>
  <c r="D15" i="49"/>
  <c r="G73" i="56"/>
  <c r="O72" i="56"/>
  <c r="W72" i="56" s="1"/>
  <c r="X72" i="56" s="1"/>
  <c r="E20" i="49"/>
  <c r="C45" i="49"/>
  <c r="D20" i="49"/>
  <c r="J9" i="215"/>
  <c r="Y32" i="199"/>
  <c r="D34" i="49"/>
  <c r="D9" i="49"/>
  <c r="J72" i="56"/>
  <c r="R72" i="56" s="1"/>
  <c r="D47" i="205"/>
  <c r="D48" i="205"/>
  <c r="C79" i="47"/>
  <c r="E16" i="205"/>
  <c r="D5" i="137" l="1"/>
  <c r="D23" i="137" s="1"/>
  <c r="E4" i="103"/>
  <c r="E5" i="101"/>
  <c r="E65" i="101" s="1"/>
  <c r="D73" i="8"/>
  <c r="C16" i="137"/>
  <c r="C23" i="137"/>
  <c r="K2" i="169"/>
  <c r="D63" i="9"/>
  <c r="D64" i="9" s="1"/>
  <c r="D65" i="9" s="1"/>
  <c r="D66" i="9" s="1"/>
  <c r="D67" i="9" s="1"/>
  <c r="D68" i="9" s="1"/>
  <c r="D69" i="9" s="1"/>
  <c r="D70" i="9" s="1"/>
  <c r="D71" i="9" s="1"/>
  <c r="D72" i="9" s="1"/>
  <c r="C65" i="101"/>
  <c r="C25" i="101"/>
  <c r="D9" i="137"/>
  <c r="E4" i="137"/>
  <c r="C16" i="101"/>
  <c r="C7" i="101"/>
  <c r="D81" i="170"/>
  <c r="C23" i="121"/>
  <c r="C11" i="121"/>
  <c r="D11" i="121"/>
  <c r="E45" i="101"/>
  <c r="F4" i="101"/>
  <c r="E19" i="101"/>
  <c r="E20" i="101"/>
  <c r="E22" i="101"/>
  <c r="E23" i="101"/>
  <c r="D16" i="137"/>
  <c r="E76" i="170"/>
  <c r="E77" i="170"/>
  <c r="U71" i="170"/>
  <c r="D47" i="8"/>
  <c r="J7" i="169"/>
  <c r="C10" i="101"/>
  <c r="D23" i="121"/>
  <c r="E5" i="121"/>
  <c r="E11" i="121" s="1"/>
  <c r="G35" i="8"/>
  <c r="D62" i="211"/>
  <c r="E54" i="8"/>
  <c r="C36" i="170"/>
  <c r="F1" i="170"/>
  <c r="E2" i="170"/>
  <c r="E4" i="170"/>
  <c r="E3" i="170"/>
  <c r="D48" i="103"/>
  <c r="D16" i="103"/>
  <c r="D32" i="103"/>
  <c r="C32" i="103"/>
  <c r="C48" i="103"/>
  <c r="C16" i="103"/>
  <c r="E25" i="101"/>
  <c r="D65" i="101"/>
  <c r="D45" i="101"/>
  <c r="J5" i="169"/>
  <c r="E45" i="8" s="1"/>
  <c r="I16" i="169"/>
  <c r="I17" i="169" s="1"/>
  <c r="L2" i="169"/>
  <c r="L3" i="169" s="1"/>
  <c r="K7" i="169"/>
  <c r="K8" i="169" s="1"/>
  <c r="F44" i="8" s="1"/>
  <c r="H7" i="169"/>
  <c r="H8" i="169" s="1"/>
  <c r="E9" i="215"/>
  <c r="F9" i="215" s="1"/>
  <c r="E45" i="49"/>
  <c r="D45" i="49"/>
  <c r="C74" i="56"/>
  <c r="K73" i="56"/>
  <c r="S73" i="56" s="1"/>
  <c r="D101" i="9"/>
  <c r="F35" i="121"/>
  <c r="F11" i="121"/>
  <c r="F23" i="121"/>
  <c r="J7" i="215"/>
  <c r="K27" i="215"/>
  <c r="G27" i="215" s="1"/>
  <c r="K31" i="215"/>
  <c r="G31" i="215" s="1"/>
  <c r="K12" i="215"/>
  <c r="G12" i="215" s="1"/>
  <c r="I7" i="215"/>
  <c r="G19" i="215"/>
  <c r="A47" i="52"/>
  <c r="AE46" i="52"/>
  <c r="U46" i="52"/>
  <c r="J46" i="52"/>
  <c r="K46" i="52"/>
  <c r="L46" i="52"/>
  <c r="AD46" i="52"/>
  <c r="D46" i="52"/>
  <c r="AJ46" i="52"/>
  <c r="T46" i="52"/>
  <c r="C46" i="52"/>
  <c r="S46" i="52"/>
  <c r="AH46" i="52"/>
  <c r="Q46" i="52"/>
  <c r="AK46" i="52"/>
  <c r="AA46" i="52"/>
  <c r="AL46" i="52"/>
  <c r="R46" i="52"/>
  <c r="F46" i="52"/>
  <c r="M46" i="52"/>
  <c r="E46" i="52"/>
  <c r="N46" i="52"/>
  <c r="AI46" i="52"/>
  <c r="AB46" i="52"/>
  <c r="AC46" i="52"/>
  <c r="G46" i="52"/>
  <c r="D227" i="9"/>
  <c r="T14" i="103"/>
  <c r="R14" i="103"/>
  <c r="L14" i="103"/>
  <c r="C14" i="103"/>
  <c r="I14" i="103"/>
  <c r="U14" i="103"/>
  <c r="G14" i="103"/>
  <c r="K14" i="103"/>
  <c r="V14" i="103"/>
  <c r="S14" i="103"/>
  <c r="E14" i="103"/>
  <c r="J14" i="103"/>
  <c r="Y14" i="103"/>
  <c r="AA14" i="103"/>
  <c r="M14" i="103"/>
  <c r="AB14" i="103"/>
  <c r="F14" i="103"/>
  <c r="X14" i="103"/>
  <c r="O14" i="103"/>
  <c r="Z14" i="103"/>
  <c r="H14" i="103"/>
  <c r="Q14" i="103"/>
  <c r="P14" i="103"/>
  <c r="D14" i="103"/>
  <c r="N14" i="103"/>
  <c r="W14" i="103"/>
  <c r="D286" i="9"/>
  <c r="D170" i="9"/>
  <c r="G74" i="56"/>
  <c r="O73" i="56"/>
  <c r="W73" i="56" s="1"/>
  <c r="X73" i="56" s="1"/>
  <c r="D337" i="9"/>
  <c r="E77" i="56"/>
  <c r="M76" i="56"/>
  <c r="U76" i="56" s="1"/>
  <c r="B78" i="56"/>
  <c r="J77" i="56"/>
  <c r="R77" i="56" s="1"/>
  <c r="D373" i="9"/>
  <c r="AO7" i="52"/>
  <c r="G5" i="121"/>
  <c r="H4" i="121"/>
  <c r="X28" i="52"/>
  <c r="Q75" i="56"/>
  <c r="K3" i="169" l="1"/>
  <c r="K5" i="169" s="1"/>
  <c r="F45" i="8" s="1"/>
  <c r="F47" i="8" s="1"/>
  <c r="F51" i="8" s="1"/>
  <c r="D51" i="8"/>
  <c r="G4" i="101"/>
  <c r="E73" i="8"/>
  <c r="D76" i="8"/>
  <c r="D75" i="8"/>
  <c r="D79" i="8"/>
  <c r="E79" i="8" s="1"/>
  <c r="F79" i="8" s="1"/>
  <c r="G79" i="8" s="1"/>
  <c r="H79" i="8" s="1"/>
  <c r="I79" i="8" s="1"/>
  <c r="J79" i="8" s="1"/>
  <c r="K79" i="8" s="1"/>
  <c r="L79" i="8" s="1"/>
  <c r="M79" i="8" s="1"/>
  <c r="N79" i="8" s="1"/>
  <c r="O79" i="8" s="1"/>
  <c r="P79" i="8" s="1"/>
  <c r="Q79" i="8" s="1"/>
  <c r="R79" i="8" s="1"/>
  <c r="S79" i="8" s="1"/>
  <c r="T79" i="8" s="1"/>
  <c r="U79" i="8" s="1"/>
  <c r="V79" i="8" s="1"/>
  <c r="W79" i="8" s="1"/>
  <c r="X79" i="8" s="1"/>
  <c r="Y79" i="8" s="1"/>
  <c r="Z79" i="8" s="1"/>
  <c r="AA79" i="8" s="1"/>
  <c r="AB79" i="8" s="1"/>
  <c r="AC79" i="8" s="1"/>
  <c r="AD79" i="8" s="1"/>
  <c r="AE79" i="8" s="1"/>
  <c r="AF79" i="8" s="1"/>
  <c r="AG79" i="8" s="1"/>
  <c r="AH79" i="8" s="1"/>
  <c r="AI79" i="8" s="1"/>
  <c r="AJ79" i="8" s="1"/>
  <c r="AK79" i="8" s="1"/>
  <c r="AL79" i="8" s="1"/>
  <c r="AM79" i="8" s="1"/>
  <c r="AN79" i="8" s="1"/>
  <c r="AO79" i="8" s="1"/>
  <c r="D74" i="8"/>
  <c r="F4" i="103"/>
  <c r="E5" i="103"/>
  <c r="C8" i="101"/>
  <c r="J16" i="169"/>
  <c r="J17" i="169" s="1"/>
  <c r="J8" i="169"/>
  <c r="E44" i="8" s="1"/>
  <c r="L5" i="169"/>
  <c r="G45" i="8" s="1"/>
  <c r="E23" i="121"/>
  <c r="F5" i="101"/>
  <c r="F65" i="101" s="1"/>
  <c r="F4" i="137"/>
  <c r="E5" i="137"/>
  <c r="D84" i="170"/>
  <c r="I18" i="169"/>
  <c r="I19" i="169" s="1"/>
  <c r="D43" i="8" s="1"/>
  <c r="G20" i="101"/>
  <c r="G19" i="101"/>
  <c r="G22" i="101"/>
  <c r="G23" i="101"/>
  <c r="F20" i="101"/>
  <c r="F22" i="101"/>
  <c r="F19" i="101"/>
  <c r="F23" i="101"/>
  <c r="E83" i="170"/>
  <c r="F2" i="170"/>
  <c r="F76" i="170"/>
  <c r="F83" i="170" s="1"/>
  <c r="F77" i="170"/>
  <c r="V71" i="170"/>
  <c r="E35" i="121"/>
  <c r="F3" i="170"/>
  <c r="G1" i="170"/>
  <c r="F4" i="170"/>
  <c r="F54" i="8"/>
  <c r="E62" i="211"/>
  <c r="H35" i="8"/>
  <c r="D64" i="8"/>
  <c r="H4" i="101"/>
  <c r="G5" i="101"/>
  <c r="H5" i="169"/>
  <c r="H16" i="169"/>
  <c r="H17" i="169" s="1"/>
  <c r="K16" i="169"/>
  <c r="L7" i="169"/>
  <c r="L8" i="169" s="1"/>
  <c r="G44" i="8" s="1"/>
  <c r="M2" i="169"/>
  <c r="M3" i="169" s="1"/>
  <c r="D171" i="9"/>
  <c r="Q76" i="56"/>
  <c r="D228" i="9"/>
  <c r="AH47" i="52"/>
  <c r="AC47" i="52"/>
  <c r="AJ47" i="52"/>
  <c r="AA47" i="52"/>
  <c r="D47" i="52"/>
  <c r="G47" i="52"/>
  <c r="F47" i="52"/>
  <c r="A48" i="52"/>
  <c r="C47" i="52"/>
  <c r="N47" i="52"/>
  <c r="K47" i="52"/>
  <c r="U47" i="52"/>
  <c r="S47" i="52"/>
  <c r="AB47" i="52"/>
  <c r="AL47" i="52"/>
  <c r="AE47" i="52"/>
  <c r="AI47" i="52"/>
  <c r="AK47" i="52"/>
  <c r="Q47" i="52"/>
  <c r="R47" i="52"/>
  <c r="E47" i="52"/>
  <c r="L47" i="52"/>
  <c r="AD47" i="52"/>
  <c r="T47" i="52"/>
  <c r="J47" i="52"/>
  <c r="M47" i="52"/>
  <c r="G13" i="215"/>
  <c r="E12" i="215"/>
  <c r="G15" i="215"/>
  <c r="F12" i="215"/>
  <c r="G14" i="215"/>
  <c r="G16" i="215"/>
  <c r="X29" i="52"/>
  <c r="B79" i="56"/>
  <c r="J78" i="56"/>
  <c r="R78" i="56" s="1"/>
  <c r="G75" i="56"/>
  <c r="O74" i="56"/>
  <c r="W74" i="56" s="1"/>
  <c r="X74" i="56" s="1"/>
  <c r="D287" i="9"/>
  <c r="E31" i="215"/>
  <c r="F31" i="215" s="1"/>
  <c r="G32" i="215"/>
  <c r="G21" i="215"/>
  <c r="E19" i="215"/>
  <c r="F19" i="215"/>
  <c r="G23" i="215"/>
  <c r="G22" i="215"/>
  <c r="G20" i="215"/>
  <c r="D102" i="9"/>
  <c r="I4" i="121"/>
  <c r="H5" i="121"/>
  <c r="E27" i="215"/>
  <c r="F27" i="215"/>
  <c r="G29" i="215"/>
  <c r="G28" i="215"/>
  <c r="G30" i="215" s="1"/>
  <c r="K74" i="56"/>
  <c r="S74" i="56" s="1"/>
  <c r="C75" i="56"/>
  <c r="G11" i="121"/>
  <c r="G35" i="121"/>
  <c r="G23" i="121"/>
  <c r="D374" i="9"/>
  <c r="E78" i="56"/>
  <c r="M77" i="56"/>
  <c r="U77" i="56" s="1"/>
  <c r="D338" i="9"/>
  <c r="AO8" i="52"/>
  <c r="F45" i="101" l="1"/>
  <c r="J18" i="169"/>
  <c r="J19" i="169" s="1"/>
  <c r="E43" i="8" s="1"/>
  <c r="E16" i="103"/>
  <c r="E32" i="103"/>
  <c r="E48" i="103"/>
  <c r="G4" i="103"/>
  <c r="F5" i="103"/>
  <c r="E75" i="8"/>
  <c r="E63" i="8" s="1"/>
  <c r="F73" i="8"/>
  <c r="E76" i="8"/>
  <c r="E74" i="8"/>
  <c r="M5" i="169"/>
  <c r="H45" i="8" s="1"/>
  <c r="F25" i="101"/>
  <c r="G4" i="137"/>
  <c r="F5" i="137"/>
  <c r="E16" i="137"/>
  <c r="E9" i="137"/>
  <c r="E23" i="137"/>
  <c r="K17" i="169"/>
  <c r="K18" i="169"/>
  <c r="H18" i="169"/>
  <c r="H23" i="101"/>
  <c r="H20" i="101"/>
  <c r="H19" i="101"/>
  <c r="H22" i="101"/>
  <c r="G2" i="170"/>
  <c r="G77" i="170"/>
  <c r="G76" i="170"/>
  <c r="G83" i="170" s="1"/>
  <c r="W71" i="170"/>
  <c r="D62" i="8"/>
  <c r="D63" i="8"/>
  <c r="D66" i="8"/>
  <c r="E47" i="8"/>
  <c r="G3" i="170"/>
  <c r="G4" i="170"/>
  <c r="H1" i="170"/>
  <c r="F62" i="211"/>
  <c r="G54" i="8"/>
  <c r="I35" i="8"/>
  <c r="G45" i="101"/>
  <c r="G25" i="101"/>
  <c r="G65" i="101"/>
  <c r="H5" i="101"/>
  <c r="I4" i="101"/>
  <c r="M7" i="169"/>
  <c r="M8" i="169" s="1"/>
  <c r="H44" i="8" s="1"/>
  <c r="N2" i="169"/>
  <c r="N3" i="169" s="1"/>
  <c r="L16" i="169"/>
  <c r="H35" i="121"/>
  <c r="H11" i="121"/>
  <c r="H23" i="121"/>
  <c r="G76" i="56"/>
  <c r="O75" i="56"/>
  <c r="W75" i="56" s="1"/>
  <c r="X75" i="56" s="1"/>
  <c r="E16" i="215"/>
  <c r="E79" i="56"/>
  <c r="M78" i="56"/>
  <c r="U78" i="56" s="1"/>
  <c r="I5" i="121"/>
  <c r="J4" i="121"/>
  <c r="E32" i="215"/>
  <c r="E14" i="215"/>
  <c r="AD48" i="52"/>
  <c r="AE48" i="52"/>
  <c r="U48" i="52"/>
  <c r="A49" i="52"/>
  <c r="L48" i="52"/>
  <c r="AH48" i="52"/>
  <c r="K48" i="52"/>
  <c r="T48" i="52"/>
  <c r="AA48" i="52"/>
  <c r="AL48" i="52"/>
  <c r="AB48" i="52"/>
  <c r="S48" i="52"/>
  <c r="R48" i="52"/>
  <c r="AC48" i="52"/>
  <c r="AI48" i="52"/>
  <c r="AJ48" i="52"/>
  <c r="M48" i="52"/>
  <c r="C48" i="52"/>
  <c r="F48" i="52"/>
  <c r="AK48" i="52"/>
  <c r="E48" i="52"/>
  <c r="D48" i="52"/>
  <c r="G48" i="52"/>
  <c r="N48" i="52"/>
  <c r="J48" i="52"/>
  <c r="Q48" i="52"/>
  <c r="D339" i="9"/>
  <c r="E21" i="215"/>
  <c r="J79" i="56"/>
  <c r="R79" i="56" s="1"/>
  <c r="B80" i="56"/>
  <c r="AO9" i="52"/>
  <c r="C76" i="56"/>
  <c r="K75" i="56"/>
  <c r="S75" i="56" s="1"/>
  <c r="G24" i="215"/>
  <c r="X30" i="52"/>
  <c r="E15" i="215"/>
  <c r="E28" i="215"/>
  <c r="D103" i="9"/>
  <c r="D229" i="9"/>
  <c r="Q77" i="56"/>
  <c r="E29" i="215"/>
  <c r="F29" i="215"/>
  <c r="E20" i="215"/>
  <c r="D288" i="9"/>
  <c r="E13" i="215"/>
  <c r="C9" i="170" s="1"/>
  <c r="C24" i="170" s="1"/>
  <c r="D375" i="9"/>
  <c r="E30" i="215"/>
  <c r="E22" i="215"/>
  <c r="D172" i="9"/>
  <c r="E23" i="215"/>
  <c r="E51" i="8" l="1"/>
  <c r="D70" i="8"/>
  <c r="E64" i="8"/>
  <c r="F32" i="103"/>
  <c r="F48" i="103"/>
  <c r="F16" i="103"/>
  <c r="H4" i="103"/>
  <c r="G5" i="103"/>
  <c r="E62" i="8"/>
  <c r="G73" i="8"/>
  <c r="F76" i="8"/>
  <c r="F75" i="8"/>
  <c r="F74" i="8"/>
  <c r="E66" i="8"/>
  <c r="E70" i="8" s="1"/>
  <c r="N5" i="169"/>
  <c r="I45" i="8" s="1"/>
  <c r="K19" i="169"/>
  <c r="F43" i="8" s="1"/>
  <c r="F16" i="137"/>
  <c r="F23" i="137"/>
  <c r="F9" i="137"/>
  <c r="H4" i="137"/>
  <c r="G5" i="137"/>
  <c r="L17" i="169"/>
  <c r="L18" i="169"/>
  <c r="H19" i="169"/>
  <c r="I23" i="101"/>
  <c r="I19" i="101"/>
  <c r="I20" i="101"/>
  <c r="I22" i="101"/>
  <c r="H2" i="170"/>
  <c r="H76" i="170"/>
  <c r="H83" i="170" s="1"/>
  <c r="H77" i="170"/>
  <c r="H4" i="170"/>
  <c r="H27" i="170" s="1"/>
  <c r="I1" i="170"/>
  <c r="X71" i="170"/>
  <c r="H3" i="170"/>
  <c r="J35" i="8"/>
  <c r="G47" i="8"/>
  <c r="G51" i="8" s="1"/>
  <c r="G62" i="211"/>
  <c r="H54" i="8"/>
  <c r="H45" i="101"/>
  <c r="H65" i="101"/>
  <c r="H25" i="101"/>
  <c r="J4" i="101"/>
  <c r="I5" i="101"/>
  <c r="M16" i="169"/>
  <c r="N7" i="169"/>
  <c r="N8" i="169" s="1"/>
  <c r="I44" i="8" s="1"/>
  <c r="O2" i="169"/>
  <c r="O3" i="169" s="1"/>
  <c r="C26" i="170"/>
  <c r="H31" i="199"/>
  <c r="F32" i="215"/>
  <c r="F16" i="215"/>
  <c r="H32" i="199"/>
  <c r="F30" i="215"/>
  <c r="F13" i="215"/>
  <c r="F23" i="215"/>
  <c r="F14" i="215"/>
  <c r="F15" i="215"/>
  <c r="K76" i="56"/>
  <c r="S76" i="56" s="1"/>
  <c r="C77" i="56"/>
  <c r="F21" i="215"/>
  <c r="D230" i="9"/>
  <c r="F22" i="215"/>
  <c r="D289" i="9"/>
  <c r="D340" i="9"/>
  <c r="D49" i="52"/>
  <c r="AA49" i="52"/>
  <c r="C49" i="52"/>
  <c r="G49" i="52"/>
  <c r="F49" i="52"/>
  <c r="AL49" i="52"/>
  <c r="AE49" i="52"/>
  <c r="AK49" i="52"/>
  <c r="AI49" i="52"/>
  <c r="M49" i="52"/>
  <c r="K49" i="52"/>
  <c r="AB49" i="52"/>
  <c r="AC49" i="52"/>
  <c r="E49" i="52"/>
  <c r="U49" i="52"/>
  <c r="S49" i="52"/>
  <c r="AH49" i="52"/>
  <c r="J49" i="52"/>
  <c r="L49" i="52"/>
  <c r="A50" i="52"/>
  <c r="T49" i="52"/>
  <c r="AD49" i="52"/>
  <c r="AJ49" i="52"/>
  <c r="R49" i="52"/>
  <c r="N49" i="52"/>
  <c r="Q49" i="52"/>
  <c r="K4" i="121"/>
  <c r="J5" i="121"/>
  <c r="F20" i="215"/>
  <c r="Q78" i="56"/>
  <c r="D104" i="9"/>
  <c r="X31" i="52"/>
  <c r="I23" i="121"/>
  <c r="I11" i="121"/>
  <c r="I35" i="121"/>
  <c r="F28" i="215"/>
  <c r="E24" i="215"/>
  <c r="AO10" i="52"/>
  <c r="J80" i="56"/>
  <c r="R80" i="56" s="1"/>
  <c r="B81" i="56"/>
  <c r="D173" i="9"/>
  <c r="D376" i="9"/>
  <c r="E80" i="56"/>
  <c r="M79" i="56"/>
  <c r="U79" i="56" s="1"/>
  <c r="G77" i="56"/>
  <c r="O76" i="56"/>
  <c r="W76" i="56" s="1"/>
  <c r="X76" i="56" s="1"/>
  <c r="F62" i="8" l="1"/>
  <c r="H73" i="8"/>
  <c r="G76" i="8"/>
  <c r="G75" i="8"/>
  <c r="G64" i="8" s="1"/>
  <c r="G66" i="8" s="1"/>
  <c r="G74" i="8"/>
  <c r="G32" i="103"/>
  <c r="G48" i="103"/>
  <c r="G16" i="103"/>
  <c r="I4" i="103"/>
  <c r="H5" i="103"/>
  <c r="F64" i="8"/>
  <c r="F66" i="8" s="1"/>
  <c r="F70" i="8" s="1"/>
  <c r="F63" i="8"/>
  <c r="L19" i="169"/>
  <c r="G43" i="8" s="1"/>
  <c r="I4" i="137"/>
  <c r="H5" i="137"/>
  <c r="G23" i="137"/>
  <c r="G9" i="137"/>
  <c r="G16" i="137"/>
  <c r="M17" i="169"/>
  <c r="M18" i="169"/>
  <c r="J19" i="101"/>
  <c r="J22" i="101"/>
  <c r="J23" i="101"/>
  <c r="J20" i="101"/>
  <c r="I4" i="170"/>
  <c r="I27" i="170" s="1"/>
  <c r="I3" i="170"/>
  <c r="I26" i="170" s="1"/>
  <c r="I2" i="170"/>
  <c r="I28" i="170" s="1"/>
  <c r="I76" i="170"/>
  <c r="I83" i="170" s="1"/>
  <c r="I77" i="170"/>
  <c r="J1" i="170"/>
  <c r="Y71" i="170"/>
  <c r="I54" i="8"/>
  <c r="H62" i="211"/>
  <c r="K35" i="8"/>
  <c r="C14" i="170"/>
  <c r="G26" i="170"/>
  <c r="F26" i="170"/>
  <c r="E26" i="170"/>
  <c r="D26" i="170"/>
  <c r="H26" i="170"/>
  <c r="D28" i="170"/>
  <c r="F28" i="170"/>
  <c r="E28" i="170"/>
  <c r="H28" i="170"/>
  <c r="G28" i="170"/>
  <c r="D27" i="170"/>
  <c r="E27" i="170"/>
  <c r="F27" i="170"/>
  <c r="G27" i="170"/>
  <c r="I25" i="101"/>
  <c r="I65" i="101"/>
  <c r="I45" i="101"/>
  <c r="K4" i="101"/>
  <c r="J5" i="101"/>
  <c r="I47" i="8"/>
  <c r="N16" i="169"/>
  <c r="H47" i="8"/>
  <c r="H51" i="8" s="1"/>
  <c r="O7" i="169"/>
  <c r="O8" i="169" s="1"/>
  <c r="J44" i="8" s="1"/>
  <c r="P2" i="169"/>
  <c r="P3" i="169" s="1"/>
  <c r="O5" i="169"/>
  <c r="J45" i="8" s="1"/>
  <c r="M80" i="56"/>
  <c r="U80" i="56" s="1"/>
  <c r="E81" i="56"/>
  <c r="D105" i="9"/>
  <c r="D341" i="9"/>
  <c r="G78" i="56"/>
  <c r="O77" i="56"/>
  <c r="W77" i="56" s="1"/>
  <c r="X77" i="56" s="1"/>
  <c r="D290" i="9"/>
  <c r="Q79" i="56"/>
  <c r="J35" i="121"/>
  <c r="J11" i="121"/>
  <c r="J23" i="121"/>
  <c r="C50" i="52"/>
  <c r="J50" i="52"/>
  <c r="L50" i="52"/>
  <c r="E50" i="52"/>
  <c r="Q50" i="52"/>
  <c r="M50" i="52"/>
  <c r="AJ50" i="52"/>
  <c r="AA50" i="52"/>
  <c r="K50" i="52"/>
  <c r="G50" i="52"/>
  <c r="AE50" i="52"/>
  <c r="AD50" i="52"/>
  <c r="F50" i="52"/>
  <c r="S50" i="52"/>
  <c r="U50" i="52"/>
  <c r="AI50" i="52"/>
  <c r="T50" i="52"/>
  <c r="AC50" i="52"/>
  <c r="AK50" i="52"/>
  <c r="D50" i="52"/>
  <c r="N50" i="52"/>
  <c r="AB50" i="52"/>
  <c r="AH50" i="52"/>
  <c r="R50" i="52"/>
  <c r="A51" i="52"/>
  <c r="AL50" i="52"/>
  <c r="D174" i="9"/>
  <c r="D377" i="9"/>
  <c r="B82" i="56"/>
  <c r="J81" i="56"/>
  <c r="R81" i="56" s="1"/>
  <c r="AO11" i="52"/>
  <c r="K5" i="121"/>
  <c r="L4" i="121"/>
  <c r="X32" i="52"/>
  <c r="F24" i="215"/>
  <c r="C78" i="56"/>
  <c r="K77" i="56"/>
  <c r="S77" i="56" s="1"/>
  <c r="D231" i="9"/>
  <c r="I51" i="8" l="1"/>
  <c r="G63" i="8"/>
  <c r="G62" i="8"/>
  <c r="G70" i="8"/>
  <c r="I73" i="8"/>
  <c r="H76" i="8"/>
  <c r="H75" i="8"/>
  <c r="H74" i="8"/>
  <c r="H48" i="103"/>
  <c r="H32" i="103"/>
  <c r="H16" i="103"/>
  <c r="J4" i="103"/>
  <c r="I5" i="103"/>
  <c r="M19" i="169"/>
  <c r="H43" i="8" s="1"/>
  <c r="H16" i="137"/>
  <c r="H9" i="137"/>
  <c r="H23" i="137"/>
  <c r="I5" i="137"/>
  <c r="J4" i="137"/>
  <c r="N17" i="169"/>
  <c r="N18" i="169"/>
  <c r="K22" i="101"/>
  <c r="K23" i="101"/>
  <c r="K20" i="101"/>
  <c r="K19" i="101"/>
  <c r="J2" i="170"/>
  <c r="J77" i="170"/>
  <c r="J76" i="170"/>
  <c r="J83" i="170" s="1"/>
  <c r="J4" i="170"/>
  <c r="J27" i="170" s="1"/>
  <c r="J3" i="170"/>
  <c r="J26" i="170" s="1"/>
  <c r="K1" i="170"/>
  <c r="Z71" i="170"/>
  <c r="I62" i="211"/>
  <c r="J54" i="8"/>
  <c r="L35" i="8"/>
  <c r="I25" i="170"/>
  <c r="G25" i="170"/>
  <c r="E25" i="170"/>
  <c r="F25" i="170"/>
  <c r="H25" i="170"/>
  <c r="D25" i="170"/>
  <c r="J45" i="101"/>
  <c r="J25" i="101"/>
  <c r="J65" i="101"/>
  <c r="K5" i="101"/>
  <c r="L4" i="101"/>
  <c r="O16" i="169"/>
  <c r="P7" i="169"/>
  <c r="P8" i="169" s="1"/>
  <c r="K44" i="8" s="1"/>
  <c r="Q2" i="169"/>
  <c r="Q3" i="169" s="1"/>
  <c r="P5" i="169"/>
  <c r="K45" i="8" s="1"/>
  <c r="C33" i="170"/>
  <c r="D13" i="199"/>
  <c r="C13" i="170"/>
  <c r="E7" i="199"/>
  <c r="C15" i="101"/>
  <c r="D378" i="9"/>
  <c r="Q80" i="56"/>
  <c r="D342" i="9"/>
  <c r="G79" i="56"/>
  <c r="O78" i="56"/>
  <c r="W78" i="56" s="1"/>
  <c r="X78" i="56" s="1"/>
  <c r="M81" i="56"/>
  <c r="U81" i="56" s="1"/>
  <c r="E82" i="56"/>
  <c r="X33" i="52"/>
  <c r="L5" i="121"/>
  <c r="M4" i="121"/>
  <c r="D175" i="9"/>
  <c r="D232" i="9"/>
  <c r="D106" i="9"/>
  <c r="C79" i="56"/>
  <c r="K78" i="56"/>
  <c r="S78" i="56" s="1"/>
  <c r="K35" i="121"/>
  <c r="K23" i="121"/>
  <c r="K11" i="121"/>
  <c r="N51" i="52"/>
  <c r="AB51" i="52"/>
  <c r="AL51" i="52"/>
  <c r="R51" i="52"/>
  <c r="AK51" i="52"/>
  <c r="AH51" i="52"/>
  <c r="M51" i="52"/>
  <c r="F51" i="52"/>
  <c r="AD51" i="52"/>
  <c r="AE51" i="52"/>
  <c r="D51" i="52"/>
  <c r="T51" i="52"/>
  <c r="E51" i="52"/>
  <c r="AA51" i="52"/>
  <c r="C51" i="52"/>
  <c r="A52" i="52"/>
  <c r="AI51" i="52"/>
  <c r="U51" i="52"/>
  <c r="Q51" i="52"/>
  <c r="S51" i="52"/>
  <c r="AJ51" i="52"/>
  <c r="AC51" i="52"/>
  <c r="L51" i="52"/>
  <c r="G51" i="52"/>
  <c r="J51" i="52"/>
  <c r="K51" i="52"/>
  <c r="D5" i="199"/>
  <c r="AO12" i="52"/>
  <c r="B83" i="56"/>
  <c r="J82" i="56"/>
  <c r="R82" i="56" s="1"/>
  <c r="H62" i="8" l="1"/>
  <c r="K4" i="103"/>
  <c r="J5" i="103"/>
  <c r="H64" i="8"/>
  <c r="H63" i="8"/>
  <c r="J73" i="8"/>
  <c r="I76" i="8"/>
  <c r="I75" i="8"/>
  <c r="I74" i="8"/>
  <c r="I48" i="103"/>
  <c r="I16" i="103"/>
  <c r="I32" i="103"/>
  <c r="N19" i="169"/>
  <c r="I43" i="8" s="1"/>
  <c r="K4" i="137"/>
  <c r="J5" i="137"/>
  <c r="I16" i="137"/>
  <c r="I9" i="137"/>
  <c r="I23" i="137"/>
  <c r="O17" i="169"/>
  <c r="O18" i="169"/>
  <c r="L22" i="101"/>
  <c r="L23" i="101"/>
  <c r="L20" i="101"/>
  <c r="L19" i="101"/>
  <c r="K2" i="170"/>
  <c r="K77" i="170"/>
  <c r="K76" i="170"/>
  <c r="K83" i="170" s="1"/>
  <c r="K3" i="170"/>
  <c r="K26" i="170" s="1"/>
  <c r="L1" i="170"/>
  <c r="K4" i="170"/>
  <c r="K27" i="170" s="1"/>
  <c r="J28" i="170"/>
  <c r="J25" i="170" s="1"/>
  <c r="AA71" i="170"/>
  <c r="D12" i="199"/>
  <c r="J47" i="8"/>
  <c r="J51" i="8" s="1"/>
  <c r="K54" i="8"/>
  <c r="J62" i="211"/>
  <c r="M35" i="8"/>
  <c r="M4" i="101"/>
  <c r="L5" i="101"/>
  <c r="K25" i="101"/>
  <c r="K45" i="101"/>
  <c r="K65" i="101"/>
  <c r="K47" i="8"/>
  <c r="Q7" i="169"/>
  <c r="Q8" i="169" s="1"/>
  <c r="L44" i="8" s="1"/>
  <c r="R2" i="169"/>
  <c r="R3" i="169" s="1"/>
  <c r="P16" i="169"/>
  <c r="E17" i="9"/>
  <c r="C32" i="170"/>
  <c r="C47" i="170" s="1"/>
  <c r="C34" i="170"/>
  <c r="E6" i="199"/>
  <c r="D12" i="170" s="1"/>
  <c r="D16" i="170" s="1"/>
  <c r="D11" i="199"/>
  <c r="L35" i="121"/>
  <c r="L11" i="121"/>
  <c r="L23" i="121"/>
  <c r="M82" i="56"/>
  <c r="U82" i="56" s="1"/>
  <c r="E83" i="56"/>
  <c r="D379" i="9"/>
  <c r="B84" i="56"/>
  <c r="J83" i="56"/>
  <c r="R83" i="56" s="1"/>
  <c r="D6" i="199"/>
  <c r="C80" i="56"/>
  <c r="K79" i="56"/>
  <c r="S79" i="56" s="1"/>
  <c r="X34" i="52"/>
  <c r="AE52" i="52"/>
  <c r="M52" i="52"/>
  <c r="AJ52" i="52"/>
  <c r="S52" i="52"/>
  <c r="E52" i="52"/>
  <c r="AI52" i="52"/>
  <c r="G52" i="52"/>
  <c r="L52" i="52"/>
  <c r="AL52" i="52"/>
  <c r="D52" i="52"/>
  <c r="AC52" i="52"/>
  <c r="T52" i="52"/>
  <c r="AA52" i="52"/>
  <c r="C52" i="52"/>
  <c r="AD52" i="52"/>
  <c r="R52" i="52"/>
  <c r="U52" i="52"/>
  <c r="AK52" i="52"/>
  <c r="N52" i="52"/>
  <c r="AB52" i="52"/>
  <c r="A53" i="52"/>
  <c r="F52" i="52"/>
  <c r="AH52" i="52"/>
  <c r="J52" i="52"/>
  <c r="Q52" i="52"/>
  <c r="K52" i="52"/>
  <c r="AO13" i="52"/>
  <c r="G80" i="56"/>
  <c r="O79" i="56"/>
  <c r="W79" i="56" s="1"/>
  <c r="X79" i="56" s="1"/>
  <c r="E11" i="199"/>
  <c r="Q81" i="56"/>
  <c r="D107" i="9"/>
  <c r="D176" i="9"/>
  <c r="E5" i="199"/>
  <c r="D9" i="170" s="1"/>
  <c r="D233" i="9"/>
  <c r="N4" i="121"/>
  <c r="M5" i="121"/>
  <c r="D343" i="9"/>
  <c r="K51" i="8" l="1"/>
  <c r="O19" i="169"/>
  <c r="J43" i="8" s="1"/>
  <c r="H66" i="8"/>
  <c r="I62" i="8"/>
  <c r="I64" i="8"/>
  <c r="I66" i="8" s="1"/>
  <c r="I63" i="8"/>
  <c r="K73" i="8"/>
  <c r="J76" i="8"/>
  <c r="J75" i="8"/>
  <c r="J74" i="8"/>
  <c r="J16" i="103"/>
  <c r="J32" i="103"/>
  <c r="J48" i="103"/>
  <c r="K5" i="103"/>
  <c r="L4" i="103"/>
  <c r="D17" i="170"/>
  <c r="D18" i="170" s="1"/>
  <c r="D21" i="170" s="1"/>
  <c r="D36" i="170"/>
  <c r="D37" i="170" s="1"/>
  <c r="D38" i="170" s="1"/>
  <c r="J9" i="137"/>
  <c r="J16" i="137"/>
  <c r="J23" i="137"/>
  <c r="K5" i="137"/>
  <c r="L4" i="137"/>
  <c r="P17" i="169"/>
  <c r="P18" i="169"/>
  <c r="M23" i="101"/>
  <c r="M22" i="101"/>
  <c r="M19" i="101"/>
  <c r="M20" i="101"/>
  <c r="L2" i="170"/>
  <c r="L77" i="170"/>
  <c r="L76" i="170"/>
  <c r="L83" i="170" s="1"/>
  <c r="L3" i="170"/>
  <c r="L26" i="170" s="1"/>
  <c r="L4" i="170"/>
  <c r="L27" i="170" s="1"/>
  <c r="M1" i="170"/>
  <c r="K28" i="170"/>
  <c r="K25" i="170" s="1"/>
  <c r="AB71" i="170"/>
  <c r="K62" i="211"/>
  <c r="L54" i="8"/>
  <c r="N35" i="8"/>
  <c r="L25" i="101"/>
  <c r="L65" i="101"/>
  <c r="L45" i="101"/>
  <c r="N4" i="101"/>
  <c r="M5" i="101"/>
  <c r="S2" i="169"/>
  <c r="S3" i="169" s="1"/>
  <c r="R5" i="169"/>
  <c r="M45" i="8" s="1"/>
  <c r="R7" i="169"/>
  <c r="R8" i="169" s="1"/>
  <c r="M44" i="8" s="1"/>
  <c r="Q5" i="169"/>
  <c r="L45" i="8" s="1"/>
  <c r="Q16" i="169"/>
  <c r="D24" i="170"/>
  <c r="E9" i="170"/>
  <c r="E57" i="170" s="1"/>
  <c r="I33" i="170"/>
  <c r="E27" i="9"/>
  <c r="J84" i="56"/>
  <c r="R84" i="56" s="1"/>
  <c r="B85" i="56"/>
  <c r="J85" i="56" s="1"/>
  <c r="R85" i="56" s="1"/>
  <c r="Z9" i="121"/>
  <c r="X9" i="121"/>
  <c r="M9" i="121"/>
  <c r="G9" i="121"/>
  <c r="K9" i="121"/>
  <c r="S9" i="121"/>
  <c r="L9" i="121"/>
  <c r="I9" i="121"/>
  <c r="U9" i="121"/>
  <c r="R9" i="121"/>
  <c r="P9" i="121"/>
  <c r="V9" i="121"/>
  <c r="D9" i="121"/>
  <c r="T9" i="121"/>
  <c r="J9" i="121"/>
  <c r="AB9" i="121"/>
  <c r="Q9" i="121"/>
  <c r="F9" i="121"/>
  <c r="W9" i="121"/>
  <c r="O9" i="121"/>
  <c r="C9" i="121"/>
  <c r="E9" i="121"/>
  <c r="AA9" i="121"/>
  <c r="N9" i="121"/>
  <c r="H9" i="121"/>
  <c r="Y9" i="121"/>
  <c r="D177" i="9"/>
  <c r="D108" i="9"/>
  <c r="AO14" i="52"/>
  <c r="H7" i="121"/>
  <c r="V7" i="121"/>
  <c r="F7" i="121"/>
  <c r="O7" i="121"/>
  <c r="P7" i="121"/>
  <c r="L7" i="121"/>
  <c r="R7" i="121"/>
  <c r="AB7" i="121"/>
  <c r="Y7" i="121"/>
  <c r="S7" i="121"/>
  <c r="C7" i="121"/>
  <c r="E20" i="9"/>
  <c r="AA7" i="121"/>
  <c r="Q7" i="121"/>
  <c r="I7" i="121"/>
  <c r="D7" i="121"/>
  <c r="M7" i="121"/>
  <c r="G7" i="121"/>
  <c r="J7" i="121"/>
  <c r="K7" i="121"/>
  <c r="Z7" i="121"/>
  <c r="X7" i="121"/>
  <c r="W7" i="121"/>
  <c r="T7" i="121"/>
  <c r="E7" i="121"/>
  <c r="N7" i="121"/>
  <c r="U7" i="121"/>
  <c r="D380" i="9"/>
  <c r="D234" i="9"/>
  <c r="Q82" i="56"/>
  <c r="X35" i="52"/>
  <c r="E84" i="56"/>
  <c r="M83" i="56"/>
  <c r="U83" i="56" s="1"/>
  <c r="D344" i="9"/>
  <c r="C49" i="170"/>
  <c r="G81" i="56"/>
  <c r="O80" i="56"/>
  <c r="W80" i="56" s="1"/>
  <c r="X80" i="56" s="1"/>
  <c r="AH53" i="52"/>
  <c r="E291" i="9" s="1"/>
  <c r="N53" i="52"/>
  <c r="AC53" i="52"/>
  <c r="AK53" i="52"/>
  <c r="G53" i="52"/>
  <c r="AE53" i="52"/>
  <c r="K53" i="52"/>
  <c r="S53" i="52"/>
  <c r="L53" i="52"/>
  <c r="J53" i="52"/>
  <c r="Q53" i="52"/>
  <c r="R53" i="52"/>
  <c r="M53" i="52"/>
  <c r="AD53" i="52"/>
  <c r="C53" i="52"/>
  <c r="E219" i="9" s="1"/>
  <c r="E363" i="9"/>
  <c r="D53" i="52"/>
  <c r="E53" i="52"/>
  <c r="A54" i="52"/>
  <c r="T53" i="52"/>
  <c r="AB53" i="52"/>
  <c r="F53" i="52"/>
  <c r="AJ53" i="52"/>
  <c r="AL53" i="52"/>
  <c r="U53" i="52"/>
  <c r="AI53" i="52"/>
  <c r="AA53" i="52"/>
  <c r="E255" i="9" s="1"/>
  <c r="O4" i="121"/>
  <c r="N5" i="121"/>
  <c r="M11" i="121"/>
  <c r="M23" i="121"/>
  <c r="M35" i="121"/>
  <c r="D14" i="170"/>
  <c r="C81" i="56"/>
  <c r="K80" i="56"/>
  <c r="S80" i="56" s="1"/>
  <c r="AL8" i="121" l="1"/>
  <c r="AJ8" i="121"/>
  <c r="AH8" i="121"/>
  <c r="AG8" i="121"/>
  <c r="AF8" i="121"/>
  <c r="AK8" i="121"/>
  <c r="AO8" i="121"/>
  <c r="AN8" i="121"/>
  <c r="AM8" i="121"/>
  <c r="AI8" i="121"/>
  <c r="M4" i="103"/>
  <c r="L5" i="103"/>
  <c r="K16" i="103"/>
  <c r="K32" i="103"/>
  <c r="K48" i="103"/>
  <c r="H70" i="8"/>
  <c r="I70" i="8" s="1"/>
  <c r="I40" i="170"/>
  <c r="J64" i="8"/>
  <c r="J63" i="8"/>
  <c r="L73" i="8"/>
  <c r="K76" i="8"/>
  <c r="K75" i="8"/>
  <c r="K74" i="8"/>
  <c r="J62" i="8"/>
  <c r="D41" i="170"/>
  <c r="P19" i="169"/>
  <c r="K43" i="8" s="1"/>
  <c r="K62" i="8" s="1"/>
  <c r="M4" i="137"/>
  <c r="L5" i="137"/>
  <c r="K16" i="137"/>
  <c r="K23" i="137"/>
  <c r="K9" i="137"/>
  <c r="D15" i="101"/>
  <c r="Q17" i="169"/>
  <c r="Q18" i="169"/>
  <c r="D16" i="101"/>
  <c r="N20" i="101"/>
  <c r="N22" i="101"/>
  <c r="N19" i="101"/>
  <c r="N23" i="101"/>
  <c r="D34" i="170"/>
  <c r="M2" i="170"/>
  <c r="M76" i="170"/>
  <c r="M83" i="170" s="1"/>
  <c r="M77" i="170"/>
  <c r="N1" i="170"/>
  <c r="M4" i="170"/>
  <c r="M27" i="170" s="1"/>
  <c r="M3" i="170"/>
  <c r="M26" i="170" s="1"/>
  <c r="E62" i="170"/>
  <c r="E74" i="170"/>
  <c r="L28" i="170"/>
  <c r="L25" i="170" s="1"/>
  <c r="L33" i="170" s="1"/>
  <c r="AC71" i="170"/>
  <c r="AD8" i="121"/>
  <c r="AE8" i="121"/>
  <c r="AC8" i="121"/>
  <c r="M47" i="8"/>
  <c r="O35" i="8"/>
  <c r="M54" i="8"/>
  <c r="L62" i="211"/>
  <c r="E14" i="170"/>
  <c r="F9" i="170"/>
  <c r="G9" i="170" s="1"/>
  <c r="H9" i="170" s="1"/>
  <c r="I9" i="170" s="1"/>
  <c r="J9" i="170" s="1"/>
  <c r="K9" i="170" s="1"/>
  <c r="L9" i="170" s="1"/>
  <c r="M9" i="170" s="1"/>
  <c r="N9" i="170" s="1"/>
  <c r="D29" i="170"/>
  <c r="D32" i="170" s="1"/>
  <c r="D47" i="170" s="1"/>
  <c r="M65" i="101"/>
  <c r="M25" i="101"/>
  <c r="M45" i="101"/>
  <c r="O4" i="101"/>
  <c r="N5" i="101"/>
  <c r="L47" i="8"/>
  <c r="L51" i="8" s="1"/>
  <c r="R16" i="169"/>
  <c r="T2" i="169"/>
  <c r="T3" i="169" s="1"/>
  <c r="S7" i="169"/>
  <c r="S8" i="169" s="1"/>
  <c r="N44" i="8" s="1"/>
  <c r="S5" i="169"/>
  <c r="N45" i="8" s="1"/>
  <c r="E24" i="170"/>
  <c r="E44" i="170" s="1"/>
  <c r="E12" i="170"/>
  <c r="E16" i="170" s="1"/>
  <c r="G33" i="170"/>
  <c r="F33" i="170"/>
  <c r="E33" i="170"/>
  <c r="D33" i="170"/>
  <c r="H33" i="170"/>
  <c r="K33" i="170"/>
  <c r="J33" i="170"/>
  <c r="C48" i="170"/>
  <c r="D23" i="170"/>
  <c r="D44" i="170"/>
  <c r="G82" i="56"/>
  <c r="O81" i="56"/>
  <c r="W81" i="56" s="1"/>
  <c r="X81" i="56" s="1"/>
  <c r="C82" i="56"/>
  <c r="K81" i="56"/>
  <c r="S81" i="56" s="1"/>
  <c r="D381" i="9"/>
  <c r="C9" i="101"/>
  <c r="AO15" i="52"/>
  <c r="H8" i="121"/>
  <c r="D8" i="121"/>
  <c r="J8" i="121"/>
  <c r="V8" i="121"/>
  <c r="S8" i="121"/>
  <c r="N8" i="121"/>
  <c r="O8" i="121"/>
  <c r="X8" i="121"/>
  <c r="C8" i="121"/>
  <c r="I8" i="121"/>
  <c r="U8" i="121"/>
  <c r="E8" i="121"/>
  <c r="P8" i="121"/>
  <c r="AA8" i="121"/>
  <c r="Q8" i="121"/>
  <c r="F8" i="121"/>
  <c r="G8" i="121"/>
  <c r="M8" i="121"/>
  <c r="T8" i="121"/>
  <c r="R8" i="121"/>
  <c r="Z8" i="121"/>
  <c r="AB8" i="121"/>
  <c r="K8" i="121"/>
  <c r="Y8" i="121"/>
  <c r="L8" i="121"/>
  <c r="W8" i="121"/>
  <c r="D178" i="9"/>
  <c r="D345" i="9"/>
  <c r="E85" i="56"/>
  <c r="M85" i="56" s="1"/>
  <c r="U85" i="56" s="1"/>
  <c r="M84" i="56"/>
  <c r="U84" i="56" s="1"/>
  <c r="D235" i="9"/>
  <c r="N35" i="121"/>
  <c r="N23" i="121"/>
  <c r="N11" i="121"/>
  <c r="AA54" i="52"/>
  <c r="E256" i="9" s="1"/>
  <c r="U54" i="52"/>
  <c r="T54" i="52"/>
  <c r="N54" i="52"/>
  <c r="AE54" i="52"/>
  <c r="AJ54" i="52"/>
  <c r="AC54" i="52"/>
  <c r="K54" i="52"/>
  <c r="G54" i="52"/>
  <c r="F54" i="52"/>
  <c r="R54" i="52"/>
  <c r="AI54" i="52"/>
  <c r="E364" i="9"/>
  <c r="AK54" i="52"/>
  <c r="E54" i="52"/>
  <c r="J54" i="52"/>
  <c r="AD54" i="52"/>
  <c r="AB54" i="52"/>
  <c r="M54" i="52"/>
  <c r="A55" i="52"/>
  <c r="S54" i="52"/>
  <c r="D54" i="52"/>
  <c r="Q54" i="52"/>
  <c r="L54" i="52"/>
  <c r="C54" i="52"/>
  <c r="E220" i="9" s="1"/>
  <c r="AL54" i="52"/>
  <c r="AH54" i="52"/>
  <c r="E292" i="9" s="1"/>
  <c r="O5" i="121"/>
  <c r="P4" i="121"/>
  <c r="Q83" i="56"/>
  <c r="M51" i="8" l="1"/>
  <c r="K64" i="8"/>
  <c r="K66" i="8" s="1"/>
  <c r="K63" i="8"/>
  <c r="M73" i="8"/>
  <c r="L76" i="8"/>
  <c r="L75" i="8"/>
  <c r="L64" i="8" s="1"/>
  <c r="L74" i="8"/>
  <c r="D49" i="170"/>
  <c r="J66" i="8"/>
  <c r="J70" i="8" s="1"/>
  <c r="H40" i="170"/>
  <c r="D40" i="170"/>
  <c r="J40" i="170"/>
  <c r="K40" i="170"/>
  <c r="L40" i="170"/>
  <c r="L48" i="170"/>
  <c r="E40" i="170"/>
  <c r="E48" i="170"/>
  <c r="F40" i="170"/>
  <c r="G40" i="170"/>
  <c r="L32" i="103"/>
  <c r="L16" i="103"/>
  <c r="L48" i="103"/>
  <c r="M5" i="103"/>
  <c r="N4" i="103"/>
  <c r="E17" i="170"/>
  <c r="E18" i="170" s="1"/>
  <c r="E21" i="170" s="1"/>
  <c r="E36" i="170"/>
  <c r="E37" i="170" s="1"/>
  <c r="E38" i="170" s="1"/>
  <c r="Q19" i="169"/>
  <c r="L43" i="8" s="1"/>
  <c r="L62" i="8" s="1"/>
  <c r="L9" i="137"/>
  <c r="L23" i="137"/>
  <c r="L16" i="137"/>
  <c r="N4" i="137"/>
  <c r="M5" i="137"/>
  <c r="E15" i="101"/>
  <c r="R17" i="169"/>
  <c r="R18" i="169"/>
  <c r="E16" i="101"/>
  <c r="O20" i="101"/>
  <c r="O19" i="101"/>
  <c r="O22" i="101"/>
  <c r="O23" i="101"/>
  <c r="E34" i="170"/>
  <c r="N2" i="170"/>
  <c r="N76" i="170"/>
  <c r="N83" i="170" s="1"/>
  <c r="N77" i="170"/>
  <c r="N4" i="170"/>
  <c r="N27" i="170" s="1"/>
  <c r="N3" i="170"/>
  <c r="N26" i="170" s="1"/>
  <c r="O1" i="170"/>
  <c r="E63" i="170"/>
  <c r="E64" i="170" s="1"/>
  <c r="E67" i="170" s="1"/>
  <c r="E79" i="170"/>
  <c r="E80" i="170" s="1"/>
  <c r="M28" i="170"/>
  <c r="M25" i="170" s="1"/>
  <c r="AD71" i="170"/>
  <c r="F57" i="170"/>
  <c r="I30" i="170"/>
  <c r="I31" i="170" s="1"/>
  <c r="L66" i="8"/>
  <c r="M62" i="211"/>
  <c r="N54" i="8"/>
  <c r="N47" i="8"/>
  <c r="N51" i="8" s="1"/>
  <c r="P35" i="8"/>
  <c r="O9" i="170"/>
  <c r="P9" i="170" s="1"/>
  <c r="Q9" i="170" s="1"/>
  <c r="R9" i="170" s="1"/>
  <c r="S9" i="170" s="1"/>
  <c r="T9" i="170" s="1"/>
  <c r="U9" i="170" s="1"/>
  <c r="V9" i="170" s="1"/>
  <c r="W9" i="170" s="1"/>
  <c r="X9" i="170" s="1"/>
  <c r="Y9" i="170" s="1"/>
  <c r="Z9" i="170" s="1"/>
  <c r="AA9" i="170" s="1"/>
  <c r="AB9" i="170" s="1"/>
  <c r="AC9" i="170" s="1"/>
  <c r="N14" i="170"/>
  <c r="F24" i="170"/>
  <c r="E29" i="170"/>
  <c r="O5" i="101"/>
  <c r="P4" i="101"/>
  <c r="N25" i="101"/>
  <c r="N65" i="101"/>
  <c r="N45" i="101"/>
  <c r="T5" i="169"/>
  <c r="O45" i="8" s="1"/>
  <c r="T7" i="169"/>
  <c r="T8" i="169" s="1"/>
  <c r="O44" i="8" s="1"/>
  <c r="U2" i="169"/>
  <c r="U3" i="169" s="1"/>
  <c r="S16" i="169"/>
  <c r="F12" i="170"/>
  <c r="F16" i="170" s="1"/>
  <c r="D48" i="170"/>
  <c r="D30" i="170"/>
  <c r="D31" i="170" s="1"/>
  <c r="D46" i="170" s="1"/>
  <c r="E30" i="170"/>
  <c r="E45" i="170" s="1"/>
  <c r="H30" i="170"/>
  <c r="L30" i="170"/>
  <c r="L45" i="170" s="1"/>
  <c r="J30" i="170"/>
  <c r="F30" i="170"/>
  <c r="K30" i="170"/>
  <c r="G30" i="170"/>
  <c r="O35" i="121"/>
  <c r="O23" i="121"/>
  <c r="O11" i="121"/>
  <c r="G83" i="56"/>
  <c r="O82" i="56"/>
  <c r="W82" i="56" s="1"/>
  <c r="X82" i="56" s="1"/>
  <c r="Q4" i="121"/>
  <c r="P5" i="121"/>
  <c r="D346" i="9"/>
  <c r="F14" i="170"/>
  <c r="D382" i="9"/>
  <c r="K82" i="56"/>
  <c r="S82" i="56" s="1"/>
  <c r="C83" i="56"/>
  <c r="AE55" i="52"/>
  <c r="K55" i="52"/>
  <c r="AH55" i="52"/>
  <c r="E293" i="9" s="1"/>
  <c r="G55" i="52"/>
  <c r="AA55" i="52"/>
  <c r="E257" i="9" s="1"/>
  <c r="T55" i="52"/>
  <c r="AC55" i="52"/>
  <c r="D55" i="52"/>
  <c r="AB55" i="52"/>
  <c r="J55" i="52"/>
  <c r="R55" i="52"/>
  <c r="M55" i="52"/>
  <c r="AL55" i="52"/>
  <c r="A56" i="52"/>
  <c r="E55" i="52"/>
  <c r="F55" i="52"/>
  <c r="AI55" i="52"/>
  <c r="Q55" i="52"/>
  <c r="AJ55" i="52"/>
  <c r="N55" i="52"/>
  <c r="U55" i="52"/>
  <c r="AD55" i="52"/>
  <c r="S55" i="52"/>
  <c r="C55" i="52"/>
  <c r="E221" i="9" s="1"/>
  <c r="AK55" i="52"/>
  <c r="L55" i="52"/>
  <c r="E365" i="9"/>
  <c r="AO16" i="52"/>
  <c r="E327" i="9"/>
  <c r="Q84" i="56"/>
  <c r="D236" i="9"/>
  <c r="D179" i="9"/>
  <c r="L63" i="8" l="1"/>
  <c r="E41" i="170"/>
  <c r="M16" i="103"/>
  <c r="M32" i="103"/>
  <c r="M48" i="103"/>
  <c r="O4" i="103"/>
  <c r="N5" i="103"/>
  <c r="K70" i="8"/>
  <c r="L70" i="8" s="1"/>
  <c r="E49" i="170"/>
  <c r="N73" i="8"/>
  <c r="M76" i="8"/>
  <c r="M75" i="8"/>
  <c r="M74" i="8"/>
  <c r="F17" i="170"/>
  <c r="F18" i="170" s="1"/>
  <c r="F21" i="170" s="1"/>
  <c r="F36" i="170"/>
  <c r="F37" i="170" s="1"/>
  <c r="F38" i="170" s="1"/>
  <c r="R19" i="169"/>
  <c r="M43" i="8" s="1"/>
  <c r="M23" i="137"/>
  <c r="M9" i="137"/>
  <c r="M16" i="137"/>
  <c r="O4" i="137"/>
  <c r="N5" i="137"/>
  <c r="F15" i="101"/>
  <c r="F16" i="101"/>
  <c r="S17" i="169"/>
  <c r="S18" i="169"/>
  <c r="E81" i="170"/>
  <c r="P23" i="101"/>
  <c r="P22" i="101"/>
  <c r="P20" i="101"/>
  <c r="P19" i="101"/>
  <c r="F34" i="170"/>
  <c r="M33" i="170"/>
  <c r="M30" i="170"/>
  <c r="G57" i="170"/>
  <c r="F62" i="170"/>
  <c r="F74" i="170"/>
  <c r="N28" i="170"/>
  <c r="N25" i="170" s="1"/>
  <c r="O2" i="170"/>
  <c r="O77" i="170"/>
  <c r="O76" i="170"/>
  <c r="O83" i="170" s="1"/>
  <c r="O3" i="170"/>
  <c r="O26" i="170" s="1"/>
  <c r="O4" i="170"/>
  <c r="O27" i="170" s="1"/>
  <c r="P1" i="170"/>
  <c r="AE71" i="170"/>
  <c r="AF71" i="170" s="1"/>
  <c r="AG71" i="170" s="1"/>
  <c r="AH71" i="170" s="1"/>
  <c r="AI71" i="170" s="1"/>
  <c r="AJ71" i="170" s="1"/>
  <c r="AK71" i="170" s="1"/>
  <c r="AL71" i="170" s="1"/>
  <c r="AM71" i="170" s="1"/>
  <c r="AN71" i="170" s="1"/>
  <c r="AO71" i="170" s="1"/>
  <c r="AD9" i="170"/>
  <c r="AC14" i="170"/>
  <c r="Q35" i="8"/>
  <c r="N62" i="211"/>
  <c r="O54" i="8"/>
  <c r="G24" i="170"/>
  <c r="H24" i="170" s="1"/>
  <c r="I24" i="170" s="1"/>
  <c r="F29" i="170"/>
  <c r="P5" i="101"/>
  <c r="Q4" i="101"/>
  <c r="O45" i="101"/>
  <c r="O25" i="101"/>
  <c r="O65" i="101"/>
  <c r="V2" i="169"/>
  <c r="V3" i="169" s="1"/>
  <c r="U5" i="169"/>
  <c r="P45" i="8" s="1"/>
  <c r="U7" i="169"/>
  <c r="U8" i="169" s="1"/>
  <c r="P44" i="8" s="1"/>
  <c r="T16" i="169"/>
  <c r="O47" i="8"/>
  <c r="O51" i="8" s="1"/>
  <c r="D45" i="170"/>
  <c r="G14" i="170"/>
  <c r="D237" i="9"/>
  <c r="E31" i="170"/>
  <c r="E46" i="170" s="1"/>
  <c r="C84" i="56"/>
  <c r="K83" i="56"/>
  <c r="S83" i="56" s="1"/>
  <c r="F44" i="170"/>
  <c r="D347" i="9"/>
  <c r="D180" i="9"/>
  <c r="AO17" i="52"/>
  <c r="E328" i="9"/>
  <c r="D383" i="9"/>
  <c r="P11" i="121"/>
  <c r="P23" i="121"/>
  <c r="P35" i="121"/>
  <c r="O83" i="56"/>
  <c r="W83" i="56" s="1"/>
  <c r="X83" i="56" s="1"/>
  <c r="G84" i="56"/>
  <c r="Q85" i="56"/>
  <c r="E102" i="9"/>
  <c r="E103" i="9"/>
  <c r="E104" i="9"/>
  <c r="E108" i="9"/>
  <c r="E173" i="9"/>
  <c r="E175" i="9"/>
  <c r="E106" i="9"/>
  <c r="AE56" i="52"/>
  <c r="R56" i="52"/>
  <c r="AI56" i="52"/>
  <c r="C56" i="52"/>
  <c r="E222" i="9" s="1"/>
  <c r="Q56" i="52"/>
  <c r="AL56" i="52"/>
  <c r="N56" i="52"/>
  <c r="AK56" i="52"/>
  <c r="AA56" i="52"/>
  <c r="E258" i="9" s="1"/>
  <c r="S56" i="52"/>
  <c r="D56" i="52"/>
  <c r="M56" i="52"/>
  <c r="U56" i="52"/>
  <c r="L56" i="52"/>
  <c r="AB56" i="52"/>
  <c r="E366" i="9"/>
  <c r="K56" i="52"/>
  <c r="AJ56" i="52"/>
  <c r="AC56" i="52"/>
  <c r="G56" i="52"/>
  <c r="AH56" i="52"/>
  <c r="E294" i="9" s="1"/>
  <c r="J56" i="52"/>
  <c r="F56" i="52"/>
  <c r="A57" i="52"/>
  <c r="AD56" i="52"/>
  <c r="E56" i="52"/>
  <c r="T56" i="52"/>
  <c r="R4" i="121"/>
  <c r="Q5" i="121"/>
  <c r="G12" i="170"/>
  <c r="G16" i="170" s="1"/>
  <c r="M63" i="8" l="1"/>
  <c r="M64" i="8"/>
  <c r="M66" i="8" s="1"/>
  <c r="M70" i="8" s="1"/>
  <c r="N76" i="8"/>
  <c r="N75" i="8"/>
  <c r="N64" i="8" s="1"/>
  <c r="N66" i="8" s="1"/>
  <c r="O73" i="8"/>
  <c r="N74" i="8"/>
  <c r="M62" i="8"/>
  <c r="F41" i="170"/>
  <c r="N16" i="103"/>
  <c r="N48" i="103"/>
  <c r="N32" i="103"/>
  <c r="M40" i="170"/>
  <c r="P4" i="103"/>
  <c r="O5" i="103"/>
  <c r="G17" i="170"/>
  <c r="G18" i="170"/>
  <c r="G21" i="170" s="1"/>
  <c r="G36" i="170"/>
  <c r="S19" i="169"/>
  <c r="N43" i="8" s="1"/>
  <c r="N16" i="137"/>
  <c r="N9" i="137"/>
  <c r="N23" i="137"/>
  <c r="O5" i="137"/>
  <c r="P4" i="137"/>
  <c r="G16" i="101"/>
  <c r="E84" i="170"/>
  <c r="G15" i="101"/>
  <c r="T17" i="169"/>
  <c r="T18" i="169"/>
  <c r="Q23" i="101"/>
  <c r="Q19" i="101"/>
  <c r="Q20" i="101"/>
  <c r="Q22" i="101"/>
  <c r="G34" i="170"/>
  <c r="N33" i="170"/>
  <c r="N30" i="170"/>
  <c r="P2" i="170"/>
  <c r="P76" i="170"/>
  <c r="P83" i="170" s="1"/>
  <c r="P77" i="170"/>
  <c r="Q1" i="170"/>
  <c r="P3" i="170"/>
  <c r="P26" i="170" s="1"/>
  <c r="P4" i="170"/>
  <c r="P27" i="170" s="1"/>
  <c r="H57" i="170"/>
  <c r="G62" i="170"/>
  <c r="G74" i="170"/>
  <c r="F63" i="170"/>
  <c r="F64" i="170" s="1"/>
  <c r="F67" i="170" s="1"/>
  <c r="F79" i="170"/>
  <c r="F80" i="170" s="1"/>
  <c r="O28" i="170"/>
  <c r="O25" i="170" s="1"/>
  <c r="AE9" i="170"/>
  <c r="AE14" i="170" s="1"/>
  <c r="AD14" i="170"/>
  <c r="R35" i="8"/>
  <c r="O62" i="211"/>
  <c r="P54" i="8"/>
  <c r="J24" i="170"/>
  <c r="K24" i="170" s="1"/>
  <c r="L24" i="170" s="1"/>
  <c r="M24" i="170" s="1"/>
  <c r="I29" i="170"/>
  <c r="R4" i="101"/>
  <c r="Q5" i="101"/>
  <c r="P65" i="101"/>
  <c r="P45" i="101"/>
  <c r="P25" i="101"/>
  <c r="U16" i="169"/>
  <c r="P47" i="8"/>
  <c r="P51" i="8" s="1"/>
  <c r="V7" i="169"/>
  <c r="V8" i="169" s="1"/>
  <c r="Q44" i="8" s="1"/>
  <c r="V5" i="169"/>
  <c r="Q45" i="8" s="1"/>
  <c r="W2" i="169"/>
  <c r="W3" i="169" s="1"/>
  <c r="E32" i="170"/>
  <c r="E47" i="170" s="1"/>
  <c r="O84" i="56"/>
  <c r="W84" i="56" s="1"/>
  <c r="X84" i="56" s="1"/>
  <c r="G85" i="56"/>
  <c r="O85" i="56" s="1"/>
  <c r="W85" i="56" s="1"/>
  <c r="X85" i="56" s="1"/>
  <c r="E141" i="9" s="1"/>
  <c r="H14" i="170"/>
  <c r="F48" i="170"/>
  <c r="E109" i="9"/>
  <c r="E136" i="9"/>
  <c r="E202" i="9"/>
  <c r="E63" i="9"/>
  <c r="E135" i="9"/>
  <c r="E100" i="9"/>
  <c r="E69" i="9"/>
  <c r="E65" i="9"/>
  <c r="E137" i="9"/>
  <c r="E67" i="9"/>
  <c r="E66" i="9"/>
  <c r="E95" i="9"/>
  <c r="E92" i="9"/>
  <c r="E93" i="9"/>
  <c r="E138" i="9"/>
  <c r="E139" i="9"/>
  <c r="E200" i="9"/>
  <c r="E195" i="9"/>
  <c r="E214" i="9"/>
  <c r="E172" i="9"/>
  <c r="E169" i="9"/>
  <c r="E64" i="9"/>
  <c r="E142" i="9"/>
  <c r="E70" i="9"/>
  <c r="E140" i="9"/>
  <c r="E68" i="9"/>
  <c r="E71" i="9"/>
  <c r="E208" i="9"/>
  <c r="E119" i="9"/>
  <c r="E116" i="9"/>
  <c r="E114" i="9"/>
  <c r="E130" i="9"/>
  <c r="E134" i="9"/>
  <c r="E159" i="9"/>
  <c r="E38" i="9"/>
  <c r="E125" i="9"/>
  <c r="E42" i="9"/>
  <c r="E110" i="9"/>
  <c r="E101" i="9"/>
  <c r="E168" i="9"/>
  <c r="E194" i="9"/>
  <c r="E151" i="9"/>
  <c r="E131" i="9"/>
  <c r="E127" i="9"/>
  <c r="E124" i="9"/>
  <c r="E167" i="9"/>
  <c r="E146" i="9"/>
  <c r="E213" i="9"/>
  <c r="E148" i="9"/>
  <c r="E83" i="9"/>
  <c r="E123" i="9"/>
  <c r="E98" i="9"/>
  <c r="E143" i="9"/>
  <c r="E165" i="9"/>
  <c r="E160" i="9"/>
  <c r="E96" i="9"/>
  <c r="E153" i="9"/>
  <c r="E44" i="9"/>
  <c r="E211" i="9"/>
  <c r="E128" i="9"/>
  <c r="E190" i="9"/>
  <c r="E37" i="9"/>
  <c r="E150" i="9"/>
  <c r="E205" i="9"/>
  <c r="E189" i="9"/>
  <c r="E192" i="9"/>
  <c r="E48" i="9"/>
  <c r="E206" i="9"/>
  <c r="E207" i="9"/>
  <c r="E121" i="9"/>
  <c r="E122" i="9"/>
  <c r="E49" i="9"/>
  <c r="E212" i="9"/>
  <c r="E89" i="9"/>
  <c r="E197" i="9"/>
  <c r="E198" i="9"/>
  <c r="E204" i="9"/>
  <c r="E41" i="9"/>
  <c r="E39" i="9"/>
  <c r="E91" i="9"/>
  <c r="E94" i="9"/>
  <c r="E111" i="9"/>
  <c r="E55" i="9"/>
  <c r="E118" i="9"/>
  <c r="E97" i="9"/>
  <c r="E129" i="9"/>
  <c r="E203" i="9"/>
  <c r="E155" i="9"/>
  <c r="E191" i="9"/>
  <c r="E99" i="9"/>
  <c r="E181" i="9"/>
  <c r="E53" i="9"/>
  <c r="E157" i="9"/>
  <c r="E210" i="9"/>
  <c r="E187" i="9"/>
  <c r="E81" i="9"/>
  <c r="E209" i="9"/>
  <c r="E79" i="9"/>
  <c r="E186" i="9"/>
  <c r="E57" i="9"/>
  <c r="E183" i="9"/>
  <c r="E193" i="9"/>
  <c r="E184" i="9"/>
  <c r="E145" i="9"/>
  <c r="E46" i="9"/>
  <c r="E147" i="9"/>
  <c r="E215" i="9"/>
  <c r="E132" i="9"/>
  <c r="E152" i="9"/>
  <c r="E47" i="9"/>
  <c r="E88" i="9"/>
  <c r="E78" i="9"/>
  <c r="E43" i="9"/>
  <c r="E52" i="9"/>
  <c r="E84" i="9"/>
  <c r="E112" i="9"/>
  <c r="E216" i="9"/>
  <c r="E50" i="9"/>
  <c r="E120" i="9"/>
  <c r="E113" i="9"/>
  <c r="E82" i="9"/>
  <c r="E185" i="9"/>
  <c r="E149" i="9"/>
  <c r="E73" i="9"/>
  <c r="E62" i="9"/>
  <c r="E182" i="9"/>
  <c r="E201" i="9"/>
  <c r="E60" i="9"/>
  <c r="E170" i="9"/>
  <c r="E61" i="9"/>
  <c r="E161" i="9"/>
  <c r="E133" i="9"/>
  <c r="E164" i="9"/>
  <c r="E58" i="9"/>
  <c r="E115" i="9"/>
  <c r="E54" i="9"/>
  <c r="E154" i="9"/>
  <c r="E196" i="9"/>
  <c r="E126" i="9"/>
  <c r="E51" i="9"/>
  <c r="E90" i="9"/>
  <c r="E158" i="9"/>
  <c r="E80" i="9"/>
  <c r="E59" i="9"/>
  <c r="E85" i="9"/>
  <c r="E45" i="9"/>
  <c r="E117" i="9"/>
  <c r="E76" i="9"/>
  <c r="E86" i="9"/>
  <c r="E40" i="9"/>
  <c r="E156" i="9"/>
  <c r="E166" i="9"/>
  <c r="E162" i="9"/>
  <c r="E188" i="9"/>
  <c r="E56" i="9"/>
  <c r="E77" i="9"/>
  <c r="E163" i="9"/>
  <c r="E74" i="9"/>
  <c r="E75" i="9"/>
  <c r="E199" i="9"/>
  <c r="E87" i="9"/>
  <c r="E171" i="9"/>
  <c r="E72" i="9"/>
  <c r="E176" i="9"/>
  <c r="E174" i="9"/>
  <c r="E144" i="9"/>
  <c r="E177" i="9"/>
  <c r="E105" i="9"/>
  <c r="E178" i="9"/>
  <c r="E107" i="9"/>
  <c r="G44" i="170"/>
  <c r="H12" i="170"/>
  <c r="H16" i="170" s="1"/>
  <c r="Q35" i="121"/>
  <c r="Q11" i="121"/>
  <c r="Q23" i="121"/>
  <c r="S4" i="121"/>
  <c r="R5" i="121"/>
  <c r="D384" i="9"/>
  <c r="J57" i="52"/>
  <c r="U57" i="52"/>
  <c r="E57" i="52"/>
  <c r="M57" i="52"/>
  <c r="C57" i="52"/>
  <c r="E223" i="9" s="1"/>
  <c r="T57" i="52"/>
  <c r="S57" i="52"/>
  <c r="F57" i="52"/>
  <c r="AL57" i="52"/>
  <c r="E367" i="9"/>
  <c r="N57" i="52"/>
  <c r="AE57" i="52"/>
  <c r="AB57" i="52"/>
  <c r="G57" i="52"/>
  <c r="D57" i="52"/>
  <c r="Q57" i="52"/>
  <c r="K57" i="52"/>
  <c r="AI57" i="52"/>
  <c r="L57" i="52"/>
  <c r="AA57" i="52"/>
  <c r="E259" i="9" s="1"/>
  <c r="AC57" i="52"/>
  <c r="AK57" i="52"/>
  <c r="AH57" i="52"/>
  <c r="E295" i="9" s="1"/>
  <c r="A58" i="52"/>
  <c r="R57" i="52"/>
  <c r="AJ57" i="52"/>
  <c r="AD57" i="52"/>
  <c r="D348" i="9"/>
  <c r="E179" i="9"/>
  <c r="C85" i="56"/>
  <c r="K85" i="56" s="1"/>
  <c r="S85" i="56" s="1"/>
  <c r="K84" i="56"/>
  <c r="S84" i="56" s="1"/>
  <c r="D238" i="9"/>
  <c r="AO18" i="52"/>
  <c r="E329" i="9"/>
  <c r="E180" i="9"/>
  <c r="C11" i="101"/>
  <c r="F45" i="170"/>
  <c r="F31" i="170"/>
  <c r="F46" i="170" s="1"/>
  <c r="N70" i="8" l="1"/>
  <c r="N63" i="8"/>
  <c r="N62" i="8"/>
  <c r="O76" i="8"/>
  <c r="O75" i="8"/>
  <c r="P73" i="8"/>
  <c r="O74" i="8"/>
  <c r="O16" i="103"/>
  <c r="O32" i="103"/>
  <c r="O48" i="103"/>
  <c r="Q4" i="103"/>
  <c r="P5" i="103"/>
  <c r="N40" i="170"/>
  <c r="H17" i="170"/>
  <c r="H18" i="170" s="1"/>
  <c r="H21" i="170" s="1"/>
  <c r="H36" i="170"/>
  <c r="G37" i="170"/>
  <c r="G38" i="170" s="1"/>
  <c r="T19" i="169"/>
  <c r="O43" i="8" s="1"/>
  <c r="Q4" i="137"/>
  <c r="P5" i="137"/>
  <c r="O16" i="137"/>
  <c r="O9" i="137"/>
  <c r="O23" i="137"/>
  <c r="Q8" i="101"/>
  <c r="E10" i="101"/>
  <c r="G9" i="101"/>
  <c r="H10" i="101"/>
  <c r="I9" i="101"/>
  <c r="D11" i="101"/>
  <c r="L9" i="101"/>
  <c r="N11" i="101"/>
  <c r="P8" i="101"/>
  <c r="N8" i="101"/>
  <c r="P10" i="101"/>
  <c r="F9" i="101"/>
  <c r="O11" i="101"/>
  <c r="K9" i="101"/>
  <c r="J10" i="101"/>
  <c r="O10" i="101"/>
  <c r="G7" i="101"/>
  <c r="J7" i="101"/>
  <c r="F8" i="101"/>
  <c r="Q10" i="101"/>
  <c r="I11" i="101"/>
  <c r="E11" i="101"/>
  <c r="I10" i="101"/>
  <c r="P7" i="101"/>
  <c r="D8" i="101"/>
  <c r="K11" i="101"/>
  <c r="F7" i="101"/>
  <c r="P11" i="101"/>
  <c r="M7" i="101"/>
  <c r="I8" i="101"/>
  <c r="N10" i="101"/>
  <c r="E7" i="101"/>
  <c r="K10" i="101"/>
  <c r="Q9" i="101"/>
  <c r="R8" i="101"/>
  <c r="D9" i="101"/>
  <c r="G10" i="101"/>
  <c r="M10" i="101"/>
  <c r="U17" i="169"/>
  <c r="U18" i="169"/>
  <c r="E9" i="101"/>
  <c r="H9" i="101"/>
  <c r="H15" i="101"/>
  <c r="L10" i="101"/>
  <c r="H11" i="101"/>
  <c r="O9" i="101"/>
  <c r="I7" i="101"/>
  <c r="D7" i="101"/>
  <c r="O8" i="101"/>
  <c r="R10" i="101"/>
  <c r="E8" i="101"/>
  <c r="H16" i="101"/>
  <c r="G8" i="101"/>
  <c r="K7" i="101"/>
  <c r="L8" i="101"/>
  <c r="H7" i="101"/>
  <c r="F11" i="101"/>
  <c r="J9" i="101"/>
  <c r="F10" i="101"/>
  <c r="O7" i="101"/>
  <c r="K8" i="101"/>
  <c r="N9" i="101"/>
  <c r="J11" i="101"/>
  <c r="R11" i="101"/>
  <c r="R7" i="101"/>
  <c r="Q11" i="101"/>
  <c r="H8" i="101"/>
  <c r="R9" i="101"/>
  <c r="P9" i="101"/>
  <c r="M11" i="101"/>
  <c r="M9" i="101"/>
  <c r="J8" i="101"/>
  <c r="M8" i="101"/>
  <c r="N7" i="101"/>
  <c r="L7" i="101"/>
  <c r="L11" i="101"/>
  <c r="G11" i="101"/>
  <c r="Q7" i="101"/>
  <c r="D10" i="101"/>
  <c r="F81" i="170"/>
  <c r="R19" i="101"/>
  <c r="R23" i="101"/>
  <c r="R22" i="101"/>
  <c r="R20" i="101"/>
  <c r="H34" i="170"/>
  <c r="Q2" i="170"/>
  <c r="Q76" i="170"/>
  <c r="Q83" i="170" s="1"/>
  <c r="Q77" i="170"/>
  <c r="R1" i="170"/>
  <c r="Q3" i="170"/>
  <c r="Q26" i="170" s="1"/>
  <c r="Q4" i="170"/>
  <c r="Q27" i="170" s="1"/>
  <c r="O33" i="170"/>
  <c r="O30" i="170"/>
  <c r="G63" i="170"/>
  <c r="G64" i="170" s="1"/>
  <c r="G67" i="170" s="1"/>
  <c r="G79" i="170"/>
  <c r="G80" i="170" s="1"/>
  <c r="P28" i="170"/>
  <c r="P25" i="170" s="1"/>
  <c r="I57" i="170"/>
  <c r="H62" i="170"/>
  <c r="H74" i="170"/>
  <c r="P62" i="211"/>
  <c r="Q54" i="8"/>
  <c r="Q47" i="8"/>
  <c r="Q51" i="8" s="1"/>
  <c r="S35" i="8"/>
  <c r="N24" i="170"/>
  <c r="O24" i="170" s="1"/>
  <c r="P24" i="170" s="1"/>
  <c r="Q24" i="170" s="1"/>
  <c r="R24" i="170" s="1"/>
  <c r="S24" i="170" s="1"/>
  <c r="T24" i="170" s="1"/>
  <c r="U24" i="170" s="1"/>
  <c r="V24" i="170" s="1"/>
  <c r="W24" i="170" s="1"/>
  <c r="X24" i="170" s="1"/>
  <c r="Y24" i="170" s="1"/>
  <c r="Z24" i="170" s="1"/>
  <c r="AA24" i="170" s="1"/>
  <c r="AB24" i="170" s="1"/>
  <c r="AC24" i="170" s="1"/>
  <c r="I32" i="170"/>
  <c r="Q65" i="101"/>
  <c r="Q45" i="101"/>
  <c r="Q25" i="101"/>
  <c r="S4" i="101"/>
  <c r="R5" i="101"/>
  <c r="W5" i="169"/>
  <c r="R45" i="8" s="1"/>
  <c r="X2" i="169"/>
  <c r="X3" i="169" s="1"/>
  <c r="W7" i="169"/>
  <c r="W8" i="169" s="1"/>
  <c r="R44" i="8" s="1"/>
  <c r="V16" i="169"/>
  <c r="F32" i="170"/>
  <c r="F47" i="170" s="1"/>
  <c r="T4" i="121"/>
  <c r="S5" i="121"/>
  <c r="D385" i="9"/>
  <c r="H44" i="170"/>
  <c r="G29" i="170"/>
  <c r="D239" i="9"/>
  <c r="AD58" i="52"/>
  <c r="N58" i="52"/>
  <c r="AC58" i="52"/>
  <c r="AA58" i="52"/>
  <c r="E260" i="9" s="1"/>
  <c r="AJ58" i="52"/>
  <c r="D58" i="52"/>
  <c r="T58" i="52"/>
  <c r="J58" i="52"/>
  <c r="Q58" i="52"/>
  <c r="K58" i="52"/>
  <c r="F58" i="52"/>
  <c r="AH58" i="52"/>
  <c r="E296" i="9" s="1"/>
  <c r="G58" i="52"/>
  <c r="R58" i="52"/>
  <c r="AI58" i="52"/>
  <c r="E58" i="52"/>
  <c r="C58" i="52"/>
  <c r="E224" i="9" s="1"/>
  <c r="S58" i="52"/>
  <c r="AK58" i="52"/>
  <c r="L58" i="52"/>
  <c r="AB58" i="52"/>
  <c r="AL58" i="52"/>
  <c r="AE58" i="52"/>
  <c r="U58" i="52"/>
  <c r="M58" i="52"/>
  <c r="A59" i="52"/>
  <c r="E368" i="9"/>
  <c r="G45" i="170"/>
  <c r="G31" i="170"/>
  <c r="G46" i="170" s="1"/>
  <c r="R35" i="121"/>
  <c r="R23" i="121"/>
  <c r="R11" i="121"/>
  <c r="AO19" i="52"/>
  <c r="E330" i="9"/>
  <c r="D349" i="9"/>
  <c r="I12" i="170"/>
  <c r="I16" i="170" s="1"/>
  <c r="I14" i="170"/>
  <c r="G48" i="170"/>
  <c r="O62" i="8" l="1"/>
  <c r="P76" i="8"/>
  <c r="Q73" i="8"/>
  <c r="P75" i="8"/>
  <c r="P74" i="8"/>
  <c r="O64" i="8"/>
  <c r="O66" i="8" s="1"/>
  <c r="O70" i="8" s="1"/>
  <c r="O63" i="8"/>
  <c r="P16" i="103"/>
  <c r="P32" i="103"/>
  <c r="P48" i="103"/>
  <c r="R4" i="103"/>
  <c r="Q5" i="103"/>
  <c r="G41" i="170"/>
  <c r="O40" i="170"/>
  <c r="H37" i="170"/>
  <c r="H38" i="170" s="1"/>
  <c r="I17" i="170"/>
  <c r="I18" i="170"/>
  <c r="I21" i="170" s="1"/>
  <c r="I36" i="170"/>
  <c r="I37" i="170" s="1"/>
  <c r="I38" i="170" s="1"/>
  <c r="U19" i="169"/>
  <c r="P43" i="8" s="1"/>
  <c r="P62" i="8" s="1"/>
  <c r="P9" i="137"/>
  <c r="P23" i="137"/>
  <c r="P16" i="137"/>
  <c r="Q5" i="137"/>
  <c r="R4" i="137"/>
  <c r="F84" i="170"/>
  <c r="I15" i="101"/>
  <c r="V17" i="169"/>
  <c r="V18" i="169"/>
  <c r="I16" i="101"/>
  <c r="G81" i="170"/>
  <c r="S9" i="101"/>
  <c r="S22" i="101"/>
  <c r="S19" i="101"/>
  <c r="S23" i="101"/>
  <c r="S20" i="101"/>
  <c r="I34" i="170"/>
  <c r="P33" i="170"/>
  <c r="P30" i="170"/>
  <c r="J57" i="170"/>
  <c r="I62" i="170"/>
  <c r="I74" i="170"/>
  <c r="R2" i="170"/>
  <c r="R77" i="170"/>
  <c r="R76" i="170"/>
  <c r="R83" i="170" s="1"/>
  <c r="R3" i="170"/>
  <c r="R26" i="170" s="1"/>
  <c r="R4" i="170"/>
  <c r="R27" i="170" s="1"/>
  <c r="S1" i="170"/>
  <c r="Q28" i="170"/>
  <c r="Q25" i="170" s="1"/>
  <c r="H63" i="170"/>
  <c r="H64" i="170" s="1"/>
  <c r="H67" i="170" s="1"/>
  <c r="H79" i="170"/>
  <c r="H80" i="170" s="1"/>
  <c r="AD24" i="170"/>
  <c r="AC44" i="170"/>
  <c r="S8" i="101"/>
  <c r="S7" i="101"/>
  <c r="T35" i="8"/>
  <c r="R54" i="8"/>
  <c r="Q62" i="211"/>
  <c r="S10" i="101"/>
  <c r="R45" i="101"/>
  <c r="R25" i="101"/>
  <c r="R65" i="101"/>
  <c r="S5" i="101"/>
  <c r="T4" i="101"/>
  <c r="S11" i="101"/>
  <c r="W16" i="169"/>
  <c r="X7" i="169"/>
  <c r="X8" i="169" s="1"/>
  <c r="S44" i="8" s="1"/>
  <c r="X5" i="169"/>
  <c r="S45" i="8" s="1"/>
  <c r="Y2" i="169"/>
  <c r="Y3" i="169" s="1"/>
  <c r="R47" i="8"/>
  <c r="R51" i="8" s="1"/>
  <c r="F49" i="170"/>
  <c r="G32" i="170"/>
  <c r="G47" i="170" s="1"/>
  <c r="I44" i="170"/>
  <c r="J14" i="170"/>
  <c r="H48" i="170"/>
  <c r="J12" i="170"/>
  <c r="J16" i="170" s="1"/>
  <c r="I47" i="170"/>
  <c r="D350" i="9"/>
  <c r="H29" i="170"/>
  <c r="D386" i="9"/>
  <c r="S23" i="121"/>
  <c r="S11" i="121"/>
  <c r="S35" i="121"/>
  <c r="U4" i="121"/>
  <c r="T5" i="121"/>
  <c r="D240" i="9"/>
  <c r="AO20" i="52"/>
  <c r="E331" i="9"/>
  <c r="N59" i="52"/>
  <c r="AK59" i="52"/>
  <c r="A60" i="52"/>
  <c r="C59" i="52"/>
  <c r="E225" i="9" s="1"/>
  <c r="AA59" i="52"/>
  <c r="E261" i="9" s="1"/>
  <c r="L59" i="52"/>
  <c r="S59" i="52"/>
  <c r="M59" i="52"/>
  <c r="U59" i="52"/>
  <c r="AL59" i="52"/>
  <c r="T59" i="52"/>
  <c r="F59" i="52"/>
  <c r="AB59" i="52"/>
  <c r="AI59" i="52"/>
  <c r="E369" i="9"/>
  <c r="AD59" i="52"/>
  <c r="G59" i="52"/>
  <c r="J59" i="52"/>
  <c r="K59" i="52"/>
  <c r="AJ59" i="52"/>
  <c r="AH59" i="52"/>
  <c r="E297" i="9" s="1"/>
  <c r="AE59" i="52"/>
  <c r="AC59" i="52"/>
  <c r="Q59" i="52"/>
  <c r="D59" i="52"/>
  <c r="R59" i="52"/>
  <c r="E59" i="52"/>
  <c r="H45" i="170"/>
  <c r="H31" i="170"/>
  <c r="H46" i="170" s="1"/>
  <c r="V19" i="169" l="1"/>
  <c r="Q43" i="8" s="1"/>
  <c r="S4" i="103"/>
  <c r="R5" i="103"/>
  <c r="P40" i="170"/>
  <c r="Q48" i="103"/>
  <c r="Q16" i="103"/>
  <c r="Q32" i="103"/>
  <c r="P64" i="8"/>
  <c r="P66" i="8" s="1"/>
  <c r="P70" i="8" s="1"/>
  <c r="P63" i="8"/>
  <c r="R73" i="8"/>
  <c r="Q75" i="8"/>
  <c r="Q62" i="8" s="1"/>
  <c r="Q76" i="8"/>
  <c r="Q74" i="8"/>
  <c r="I41" i="170"/>
  <c r="H41" i="170"/>
  <c r="J17" i="170"/>
  <c r="J18" i="170" s="1"/>
  <c r="J21" i="170" s="1"/>
  <c r="Q16" i="137"/>
  <c r="Q23" i="137"/>
  <c r="Q9" i="137"/>
  <c r="S4" i="137"/>
  <c r="R5" i="137"/>
  <c r="G84" i="170"/>
  <c r="W17" i="169"/>
  <c r="W18" i="169"/>
  <c r="J16" i="101"/>
  <c r="J15" i="101"/>
  <c r="H81" i="170"/>
  <c r="T22" i="101"/>
  <c r="T23" i="101"/>
  <c r="T20" i="101"/>
  <c r="T19" i="101"/>
  <c r="Q33" i="170"/>
  <c r="Q30" i="170"/>
  <c r="S2" i="170"/>
  <c r="S77" i="170"/>
  <c r="S76" i="170"/>
  <c r="S83" i="170" s="1"/>
  <c r="S3" i="170"/>
  <c r="S26" i="170" s="1"/>
  <c r="S4" i="170"/>
  <c r="S27" i="170" s="1"/>
  <c r="T1" i="170"/>
  <c r="I63" i="170"/>
  <c r="I64" i="170" s="1"/>
  <c r="I67" i="170" s="1"/>
  <c r="I79" i="170"/>
  <c r="I80" i="170" s="1"/>
  <c r="K57" i="170"/>
  <c r="J62" i="170"/>
  <c r="J74" i="170"/>
  <c r="R28" i="170"/>
  <c r="R25" i="170" s="1"/>
  <c r="AD44" i="170"/>
  <c r="AE24" i="170"/>
  <c r="AF24" i="170" s="1"/>
  <c r="R62" i="211"/>
  <c r="S54" i="8"/>
  <c r="U35" i="8"/>
  <c r="T5" i="101"/>
  <c r="U4" i="101"/>
  <c r="T9" i="101"/>
  <c r="T7" i="101"/>
  <c r="T10" i="101"/>
  <c r="T8" i="101"/>
  <c r="T11" i="101"/>
  <c r="S65" i="101"/>
  <c r="S45" i="101"/>
  <c r="S25" i="101"/>
  <c r="Y5" i="169"/>
  <c r="T45" i="8" s="1"/>
  <c r="Z2" i="169"/>
  <c r="Z3" i="169" s="1"/>
  <c r="Y7" i="169"/>
  <c r="Y8" i="169" s="1"/>
  <c r="T44" i="8" s="1"/>
  <c r="X16" i="169"/>
  <c r="G49" i="170"/>
  <c r="H32" i="170"/>
  <c r="H47" i="170" s="1"/>
  <c r="J44" i="170"/>
  <c r="T35" i="121"/>
  <c r="T23" i="121"/>
  <c r="T11" i="121"/>
  <c r="I48" i="170"/>
  <c r="K12" i="170"/>
  <c r="K16" i="170" s="1"/>
  <c r="AO21" i="52"/>
  <c r="E332" i="9"/>
  <c r="D351" i="9"/>
  <c r="AJ60" i="52"/>
  <c r="C60" i="52"/>
  <c r="E226" i="9" s="1"/>
  <c r="AA60" i="52"/>
  <c r="E262" i="9" s="1"/>
  <c r="F60" i="52"/>
  <c r="G60" i="52"/>
  <c r="D60" i="52"/>
  <c r="T60" i="52"/>
  <c r="S60" i="52"/>
  <c r="AI60" i="52"/>
  <c r="M60" i="52"/>
  <c r="AK60" i="52"/>
  <c r="Q60" i="52"/>
  <c r="U60" i="52"/>
  <c r="AH60" i="52"/>
  <c r="E298" i="9" s="1"/>
  <c r="A61" i="52"/>
  <c r="N60" i="52"/>
  <c r="AD60" i="52"/>
  <c r="R60" i="52"/>
  <c r="L60" i="52"/>
  <c r="AE60" i="52"/>
  <c r="AC60" i="52"/>
  <c r="K60" i="52"/>
  <c r="AL60" i="52"/>
  <c r="E370" i="9"/>
  <c r="E60" i="52"/>
  <c r="J60" i="52"/>
  <c r="AB60" i="52"/>
  <c r="D387" i="9"/>
  <c r="I45" i="170"/>
  <c r="I46" i="170"/>
  <c r="D241" i="9"/>
  <c r="V4" i="121"/>
  <c r="U5" i="121"/>
  <c r="K14" i="170"/>
  <c r="Q40" i="170" l="1"/>
  <c r="R32" i="103"/>
  <c r="R16" i="103"/>
  <c r="R48" i="103"/>
  <c r="R76" i="8"/>
  <c r="R75" i="8"/>
  <c r="S73" i="8"/>
  <c r="R74" i="8"/>
  <c r="T4" i="103"/>
  <c r="S5" i="103"/>
  <c r="AG24" i="170"/>
  <c r="AF44" i="170"/>
  <c r="Q64" i="8"/>
  <c r="Q66" i="8" s="1"/>
  <c r="Q70" i="8" s="1"/>
  <c r="Q63" i="8"/>
  <c r="K17" i="170"/>
  <c r="K18" i="170" s="1"/>
  <c r="K21" i="170" s="1"/>
  <c r="W19" i="169"/>
  <c r="R43" i="8" s="1"/>
  <c r="R9" i="137"/>
  <c r="R16" i="137"/>
  <c r="R23" i="137"/>
  <c r="T4" i="137"/>
  <c r="S5" i="137"/>
  <c r="H84" i="170"/>
  <c r="K16" i="101"/>
  <c r="X17" i="169"/>
  <c r="X18" i="169"/>
  <c r="K15" i="101"/>
  <c r="I81" i="170"/>
  <c r="I84" i="170" s="1"/>
  <c r="U22" i="101"/>
  <c r="U23" i="101"/>
  <c r="U19" i="101"/>
  <c r="U20" i="101"/>
  <c r="R33" i="170"/>
  <c r="R30" i="170"/>
  <c r="J63" i="170"/>
  <c r="J64" i="170" s="1"/>
  <c r="J67" i="170" s="1"/>
  <c r="J79" i="170"/>
  <c r="J80" i="170" s="1"/>
  <c r="S28" i="170"/>
  <c r="S25" i="170" s="1"/>
  <c r="L57" i="170"/>
  <c r="K62" i="170"/>
  <c r="K74" i="170"/>
  <c r="T2" i="170"/>
  <c r="T77" i="170"/>
  <c r="T76" i="170"/>
  <c r="T83" i="170" s="1"/>
  <c r="T4" i="170"/>
  <c r="T27" i="170" s="1"/>
  <c r="U1" i="170"/>
  <c r="T3" i="170"/>
  <c r="T26" i="170" s="1"/>
  <c r="AE44" i="170"/>
  <c r="V35" i="8"/>
  <c r="S47" i="8"/>
  <c r="S51" i="8" s="1"/>
  <c r="T51" i="8" s="1"/>
  <c r="S62" i="211"/>
  <c r="T54" i="8"/>
  <c r="U5" i="101"/>
  <c r="V4" i="101"/>
  <c r="U7" i="101"/>
  <c r="U8" i="101"/>
  <c r="U10" i="101"/>
  <c r="U9" i="101"/>
  <c r="U11" i="101"/>
  <c r="T65" i="101"/>
  <c r="T45" i="101"/>
  <c r="T25" i="101"/>
  <c r="T47" i="8"/>
  <c r="Z7" i="169"/>
  <c r="Z8" i="169" s="1"/>
  <c r="U44" i="8" s="1"/>
  <c r="Z5" i="169"/>
  <c r="U45" i="8" s="1"/>
  <c r="AA2" i="169"/>
  <c r="AA3" i="169" s="1"/>
  <c r="Y16" i="169"/>
  <c r="H49" i="170"/>
  <c r="D242" i="9"/>
  <c r="F61" i="52"/>
  <c r="T61" i="52"/>
  <c r="AE61" i="52"/>
  <c r="S61" i="52"/>
  <c r="R61" i="52"/>
  <c r="A62" i="52"/>
  <c r="AK61" i="52"/>
  <c r="AA61" i="52"/>
  <c r="E263" i="9" s="1"/>
  <c r="G61" i="52"/>
  <c r="K61" i="52"/>
  <c r="U61" i="52"/>
  <c r="C61" i="52"/>
  <c r="E227" i="9" s="1"/>
  <c r="AD61" i="52"/>
  <c r="L61" i="52"/>
  <c r="M61" i="52"/>
  <c r="D61" i="52"/>
  <c r="AC61" i="52"/>
  <c r="N61" i="52"/>
  <c r="AI61" i="52"/>
  <c r="Q61" i="52"/>
  <c r="J61" i="52"/>
  <c r="AB61" i="52"/>
  <c r="E61" i="52"/>
  <c r="AH61" i="52"/>
  <c r="E299" i="9" s="1"/>
  <c r="AJ61" i="52"/>
  <c r="E371" i="9"/>
  <c r="AL61" i="52"/>
  <c r="J48" i="170"/>
  <c r="D352" i="9"/>
  <c r="K44" i="170"/>
  <c r="J29" i="170"/>
  <c r="J34" i="170" s="1"/>
  <c r="L14" i="170"/>
  <c r="I49" i="170"/>
  <c r="AO22" i="52"/>
  <c r="E333" i="9"/>
  <c r="L12" i="170"/>
  <c r="L16" i="170" s="1"/>
  <c r="D388" i="9"/>
  <c r="J45" i="170"/>
  <c r="J31" i="170"/>
  <c r="J46" i="170" s="1"/>
  <c r="U11" i="121"/>
  <c r="U35" i="121"/>
  <c r="U23" i="121"/>
  <c r="W4" i="121"/>
  <c r="V5" i="121"/>
  <c r="AH24" i="170" l="1"/>
  <c r="AG44" i="170"/>
  <c r="R40" i="170"/>
  <c r="S32" i="103"/>
  <c r="S48" i="103"/>
  <c r="S16" i="103"/>
  <c r="T5" i="103"/>
  <c r="U4" i="103"/>
  <c r="S76" i="8"/>
  <c r="T73" i="8"/>
  <c r="S75" i="8"/>
  <c r="S74" i="8"/>
  <c r="R64" i="8"/>
  <c r="R66" i="8" s="1"/>
  <c r="R70" i="8" s="1"/>
  <c r="R63" i="8"/>
  <c r="R62" i="8"/>
  <c r="L17" i="170"/>
  <c r="L18" i="170" s="1"/>
  <c r="L21" i="170" s="1"/>
  <c r="X19" i="169"/>
  <c r="S43" i="8" s="1"/>
  <c r="S23" i="137"/>
  <c r="S16" i="137"/>
  <c r="S9" i="137"/>
  <c r="U4" i="137"/>
  <c r="T5" i="137"/>
  <c r="L16" i="101"/>
  <c r="L15" i="101"/>
  <c r="Y17" i="169"/>
  <c r="Y18" i="169"/>
  <c r="J81" i="170"/>
  <c r="J84" i="170" s="1"/>
  <c r="V20" i="101"/>
  <c r="V22" i="101"/>
  <c r="V19" i="101"/>
  <c r="V23" i="101"/>
  <c r="S33" i="170"/>
  <c r="S30" i="170"/>
  <c r="M57" i="170"/>
  <c r="L62" i="170"/>
  <c r="L74" i="170"/>
  <c r="L79" i="170" s="1"/>
  <c r="L80" i="170" s="1"/>
  <c r="U2" i="170"/>
  <c r="U76" i="170"/>
  <c r="U83" i="170" s="1"/>
  <c r="U77" i="170"/>
  <c r="U3" i="170"/>
  <c r="U26" i="170" s="1"/>
  <c r="U4" i="170"/>
  <c r="U27" i="170" s="1"/>
  <c r="V1" i="170"/>
  <c r="T28" i="170"/>
  <c r="T25" i="170" s="1"/>
  <c r="K63" i="170"/>
  <c r="K64" i="170" s="1"/>
  <c r="K67" i="170" s="1"/>
  <c r="K79" i="170"/>
  <c r="K80" i="170" s="1"/>
  <c r="U54" i="8"/>
  <c r="T62" i="211"/>
  <c r="W35" i="8"/>
  <c r="W4" i="101"/>
  <c r="V5" i="101"/>
  <c r="V7" i="101"/>
  <c r="V11" i="101"/>
  <c r="V8" i="101"/>
  <c r="V10" i="101"/>
  <c r="V9" i="101"/>
  <c r="U45" i="101"/>
  <c r="U25" i="101"/>
  <c r="U65" i="101"/>
  <c r="U47" i="8"/>
  <c r="U51" i="8" s="1"/>
  <c r="Z16" i="169"/>
  <c r="AA5" i="169"/>
  <c r="V45" i="8" s="1"/>
  <c r="AB2" i="169"/>
  <c r="AB3" i="169" s="1"/>
  <c r="AA7" i="169"/>
  <c r="AA8" i="169" s="1"/>
  <c r="V44" i="8" s="1"/>
  <c r="J32" i="170"/>
  <c r="K29" i="170"/>
  <c r="K34" i="170" s="1"/>
  <c r="M12" i="170"/>
  <c r="M16" i="170" s="1"/>
  <c r="X4" i="121"/>
  <c r="W5" i="121"/>
  <c r="D243" i="9"/>
  <c r="D389" i="9"/>
  <c r="AO23" i="52"/>
  <c r="E334" i="9"/>
  <c r="M14" i="170"/>
  <c r="V11" i="121"/>
  <c r="V23" i="121"/>
  <c r="V35" i="121"/>
  <c r="K48" i="170"/>
  <c r="K45" i="170"/>
  <c r="K31" i="170"/>
  <c r="K46" i="170" s="1"/>
  <c r="D353" i="9"/>
  <c r="L44" i="170"/>
  <c r="F62" i="52"/>
  <c r="AA62" i="52"/>
  <c r="E264" i="9" s="1"/>
  <c r="U62" i="52"/>
  <c r="AK62" i="52"/>
  <c r="T62" i="52"/>
  <c r="AI62" i="52"/>
  <c r="R62" i="52"/>
  <c r="AH62" i="52"/>
  <c r="E300" i="9" s="1"/>
  <c r="K62" i="52"/>
  <c r="Q62" i="52"/>
  <c r="N62" i="52"/>
  <c r="E62" i="52"/>
  <c r="D62" i="52"/>
  <c r="G62" i="52"/>
  <c r="AB62" i="52"/>
  <c r="AD62" i="52"/>
  <c r="S62" i="52"/>
  <c r="J62" i="52"/>
  <c r="A63" i="52"/>
  <c r="C62" i="52"/>
  <c r="E228" i="9" s="1"/>
  <c r="L62" i="52"/>
  <c r="AL62" i="52"/>
  <c r="M62" i="52"/>
  <c r="AE62" i="52"/>
  <c r="AJ62" i="52"/>
  <c r="AC62" i="52"/>
  <c r="E372" i="9"/>
  <c r="S62" i="8" l="1"/>
  <c r="U5" i="103"/>
  <c r="V4" i="103"/>
  <c r="S40" i="170"/>
  <c r="AI24" i="170"/>
  <c r="AH44" i="170"/>
  <c r="T32" i="103"/>
  <c r="T48" i="103"/>
  <c r="T16" i="103"/>
  <c r="S64" i="8"/>
  <c r="S66" i="8" s="1"/>
  <c r="S70" i="8" s="1"/>
  <c r="S63" i="8"/>
  <c r="T76" i="8"/>
  <c r="T75" i="8"/>
  <c r="U73" i="8"/>
  <c r="T74" i="8"/>
  <c r="M17" i="170"/>
  <c r="M18" i="170" s="1"/>
  <c r="M21" i="170" s="1"/>
  <c r="Y19" i="169"/>
  <c r="T43" i="8" s="1"/>
  <c r="J47" i="170"/>
  <c r="J36" i="170"/>
  <c r="V4" i="137"/>
  <c r="U5" i="137"/>
  <c r="T9" i="137"/>
  <c r="T23" i="137"/>
  <c r="T16" i="137"/>
  <c r="M15" i="101"/>
  <c r="M16" i="101"/>
  <c r="Z17" i="169"/>
  <c r="Z18" i="169"/>
  <c r="K81" i="170"/>
  <c r="K84" i="170" s="1"/>
  <c r="L81" i="170"/>
  <c r="L84" i="170" s="1"/>
  <c r="W20" i="101"/>
  <c r="W19" i="101"/>
  <c r="W22" i="101"/>
  <c r="W23" i="101"/>
  <c r="L63" i="170"/>
  <c r="L64" i="170" s="1"/>
  <c r="L67" i="170" s="1"/>
  <c r="T30" i="170"/>
  <c r="T33" i="170"/>
  <c r="V2" i="170"/>
  <c r="V77" i="170"/>
  <c r="V76" i="170"/>
  <c r="V83" i="170" s="1"/>
  <c r="V4" i="170"/>
  <c r="V27" i="170" s="1"/>
  <c r="V3" i="170"/>
  <c r="V26" i="170" s="1"/>
  <c r="W1" i="170"/>
  <c r="N57" i="170"/>
  <c r="M62" i="170"/>
  <c r="M74" i="170"/>
  <c r="M79" i="170" s="1"/>
  <c r="M80" i="170" s="1"/>
  <c r="U28" i="170"/>
  <c r="U25" i="170" s="1"/>
  <c r="X35" i="8"/>
  <c r="U62" i="211"/>
  <c r="V54" i="8"/>
  <c r="V25" i="101"/>
  <c r="V45" i="101"/>
  <c r="V65" i="101"/>
  <c r="W5" i="101"/>
  <c r="X4" i="101"/>
  <c r="W10" i="101"/>
  <c r="W11" i="101"/>
  <c r="W8" i="101"/>
  <c r="W9" i="101"/>
  <c r="W7" i="101"/>
  <c r="AA16" i="169"/>
  <c r="AC2" i="169"/>
  <c r="AC3" i="169" s="1"/>
  <c r="AB7" i="169"/>
  <c r="AB8" i="169" s="1"/>
  <c r="W44" i="8" s="1"/>
  <c r="AB5" i="169"/>
  <c r="W45" i="8" s="1"/>
  <c r="V47" i="8"/>
  <c r="V51" i="8" s="1"/>
  <c r="J49" i="170"/>
  <c r="K32" i="170"/>
  <c r="E335" i="9"/>
  <c r="AO24" i="52"/>
  <c r="D354" i="9"/>
  <c r="K63" i="52"/>
  <c r="AK63" i="52"/>
  <c r="N63" i="52"/>
  <c r="S63" i="52"/>
  <c r="AL63" i="52"/>
  <c r="D63" i="52"/>
  <c r="J63" i="52"/>
  <c r="T63" i="52"/>
  <c r="A64" i="52"/>
  <c r="AJ63" i="52"/>
  <c r="AC63" i="52"/>
  <c r="AA63" i="52"/>
  <c r="E265" i="9" s="1"/>
  <c r="AH63" i="52"/>
  <c r="E301" i="9" s="1"/>
  <c r="Q63" i="52"/>
  <c r="F63" i="52"/>
  <c r="AD63" i="52"/>
  <c r="AI63" i="52"/>
  <c r="R63" i="52"/>
  <c r="AB63" i="52"/>
  <c r="M63" i="52"/>
  <c r="L63" i="52"/>
  <c r="G63" i="52"/>
  <c r="E63" i="52"/>
  <c r="U63" i="52"/>
  <c r="AE63" i="52"/>
  <c r="C63" i="52"/>
  <c r="E229" i="9" s="1"/>
  <c r="E373" i="9"/>
  <c r="L31" i="170"/>
  <c r="L46" i="170" s="1"/>
  <c r="L29" i="170"/>
  <c r="L34" i="170" s="1"/>
  <c r="D390" i="9"/>
  <c r="D244" i="9"/>
  <c r="M44" i="170"/>
  <c r="W23" i="121"/>
  <c r="W11" i="121"/>
  <c r="W35" i="121"/>
  <c r="N12" i="170"/>
  <c r="N16" i="170" s="1"/>
  <c r="X5" i="121"/>
  <c r="Y4" i="121"/>
  <c r="T40" i="170" l="1"/>
  <c r="AJ24" i="170"/>
  <c r="AI44" i="170"/>
  <c r="U75" i="8"/>
  <c r="V73" i="8"/>
  <c r="U76" i="8"/>
  <c r="U74" i="8"/>
  <c r="T64" i="8"/>
  <c r="T66" i="8" s="1"/>
  <c r="T70" i="8" s="1"/>
  <c r="T63" i="8"/>
  <c r="V5" i="103"/>
  <c r="W4" i="103"/>
  <c r="U16" i="103"/>
  <c r="U48" i="103"/>
  <c r="U32" i="103"/>
  <c r="L49" i="170"/>
  <c r="T62" i="8"/>
  <c r="N17" i="170"/>
  <c r="N18" i="170" s="1"/>
  <c r="N21" i="170" s="1"/>
  <c r="Z19" i="169"/>
  <c r="U43" i="8" s="1"/>
  <c r="U62" i="8" s="1"/>
  <c r="J37" i="170"/>
  <c r="J38" i="170" s="1"/>
  <c r="K47" i="170"/>
  <c r="K36" i="170"/>
  <c r="U16" i="137"/>
  <c r="U23" i="137"/>
  <c r="U9" i="137"/>
  <c r="W4" i="137"/>
  <c r="V5" i="137"/>
  <c r="N16" i="101"/>
  <c r="N15" i="101"/>
  <c r="AA17" i="169"/>
  <c r="AA18" i="169"/>
  <c r="M81" i="170"/>
  <c r="M84" i="170" s="1"/>
  <c r="X23" i="101"/>
  <c r="X20" i="101"/>
  <c r="X19" i="101"/>
  <c r="X22" i="101"/>
  <c r="M63" i="170"/>
  <c r="M64" i="170" s="1"/>
  <c r="M67" i="170" s="1"/>
  <c r="U33" i="170"/>
  <c r="U30" i="170"/>
  <c r="V28" i="170"/>
  <c r="V25" i="170" s="1"/>
  <c r="O57" i="170"/>
  <c r="N62" i="170"/>
  <c r="N74" i="170"/>
  <c r="N79" i="170" s="1"/>
  <c r="N80" i="170" s="1"/>
  <c r="W2" i="170"/>
  <c r="W76" i="170"/>
  <c r="W83" i="170" s="1"/>
  <c r="W77" i="170"/>
  <c r="W4" i="170"/>
  <c r="W27" i="170" s="1"/>
  <c r="W3" i="170"/>
  <c r="W26" i="170" s="1"/>
  <c r="X1" i="170"/>
  <c r="W54" i="8"/>
  <c r="V62" i="211"/>
  <c r="Y35" i="8"/>
  <c r="W25" i="101"/>
  <c r="W45" i="101"/>
  <c r="W65" i="101"/>
  <c r="Y4" i="101"/>
  <c r="X8" i="101"/>
  <c r="X10" i="101"/>
  <c r="X7" i="101"/>
  <c r="X5" i="101"/>
  <c r="X9" i="101"/>
  <c r="X11" i="101"/>
  <c r="AB16" i="169"/>
  <c r="AC5" i="169"/>
  <c r="X45" i="8" s="1"/>
  <c r="AC7" i="169"/>
  <c r="AC8" i="169" s="1"/>
  <c r="X44" i="8" s="1"/>
  <c r="AD2" i="169"/>
  <c r="AD3" i="169" s="1"/>
  <c r="K49" i="170"/>
  <c r="L32" i="170"/>
  <c r="L47" i="170" s="1"/>
  <c r="M29" i="170"/>
  <c r="M34" i="170" s="1"/>
  <c r="D355" i="9"/>
  <c r="AO25" i="52"/>
  <c r="E336" i="9"/>
  <c r="L64" i="52"/>
  <c r="AE64" i="52"/>
  <c r="AI64" i="52"/>
  <c r="AA64" i="52"/>
  <c r="E266" i="9" s="1"/>
  <c r="AJ64" i="52"/>
  <c r="Q64" i="52"/>
  <c r="D64" i="52"/>
  <c r="U64" i="52"/>
  <c r="N64" i="52"/>
  <c r="AL64" i="52"/>
  <c r="AD64" i="52"/>
  <c r="J64" i="52"/>
  <c r="F64" i="52"/>
  <c r="S64" i="52"/>
  <c r="C64" i="52"/>
  <c r="E230" i="9" s="1"/>
  <c r="T64" i="52"/>
  <c r="AK64" i="52"/>
  <c r="R64" i="52"/>
  <c r="AH64" i="52"/>
  <c r="E302" i="9" s="1"/>
  <c r="AC64" i="52"/>
  <c r="AB64" i="52"/>
  <c r="A65" i="52"/>
  <c r="E64" i="52"/>
  <c r="M64" i="52"/>
  <c r="G64" i="52"/>
  <c r="K64" i="52"/>
  <c r="E374" i="9"/>
  <c r="N44" i="170"/>
  <c r="M48" i="170"/>
  <c r="D391" i="9"/>
  <c r="D245" i="9"/>
  <c r="Z4" i="121"/>
  <c r="Y5" i="121"/>
  <c r="O14" i="170"/>
  <c r="X11" i="121"/>
  <c r="X35" i="121"/>
  <c r="X23" i="121"/>
  <c r="O12" i="170"/>
  <c r="O16" i="170" s="1"/>
  <c r="M45" i="170"/>
  <c r="M31" i="170"/>
  <c r="M46" i="170" s="1"/>
  <c r="W73" i="8" l="1"/>
  <c r="V76" i="8"/>
  <c r="V75" i="8"/>
  <c r="V74" i="8"/>
  <c r="U64" i="8"/>
  <c r="U66" i="8" s="1"/>
  <c r="U70" i="8" s="1"/>
  <c r="U63" i="8"/>
  <c r="X4" i="103"/>
  <c r="W5" i="103"/>
  <c r="V48" i="103"/>
  <c r="V16" i="103"/>
  <c r="V32" i="103"/>
  <c r="AK24" i="170"/>
  <c r="AJ44" i="170"/>
  <c r="U40" i="170"/>
  <c r="O17" i="170"/>
  <c r="O18" i="170" s="1"/>
  <c r="O21" i="170" s="1"/>
  <c r="AA19" i="169"/>
  <c r="V43" i="8" s="1"/>
  <c r="V62" i="8" s="1"/>
  <c r="L36" i="170"/>
  <c r="K37" i="170"/>
  <c r="K38" i="170" s="1"/>
  <c r="J41" i="170"/>
  <c r="X4" i="137"/>
  <c r="W5" i="137"/>
  <c r="V9" i="137"/>
  <c r="V16" i="137"/>
  <c r="V23" i="137"/>
  <c r="AB17" i="169"/>
  <c r="AB18" i="169"/>
  <c r="O15" i="101"/>
  <c r="O16" i="101"/>
  <c r="N81" i="170"/>
  <c r="N84" i="170" s="1"/>
  <c r="Y23" i="101"/>
  <c r="Y19" i="101"/>
  <c r="Y20" i="101"/>
  <c r="Y22" i="101"/>
  <c r="N63" i="170"/>
  <c r="N64" i="170" s="1"/>
  <c r="N67" i="170" s="1"/>
  <c r="W28" i="170"/>
  <c r="W25" i="170" s="1"/>
  <c r="W33" i="170" s="1"/>
  <c r="V33" i="170"/>
  <c r="V30" i="170"/>
  <c r="X2" i="170"/>
  <c r="X76" i="170"/>
  <c r="X83" i="170" s="1"/>
  <c r="X77" i="170"/>
  <c r="X3" i="170"/>
  <c r="X26" i="170" s="1"/>
  <c r="X4" i="170"/>
  <c r="X27" i="170" s="1"/>
  <c r="Y1" i="170"/>
  <c r="P57" i="170"/>
  <c r="O62" i="170"/>
  <c r="O74" i="170"/>
  <c r="O79" i="170" s="1"/>
  <c r="O80" i="170" s="1"/>
  <c r="Z35" i="8"/>
  <c r="W47" i="8"/>
  <c r="W51" i="8" s="1"/>
  <c r="X54" i="8"/>
  <c r="W62" i="211"/>
  <c r="Y11" i="101"/>
  <c r="Y5" i="101"/>
  <c r="Y10" i="101"/>
  <c r="Z4" i="101"/>
  <c r="Y7" i="101"/>
  <c r="Y9" i="101"/>
  <c r="Y8" i="101"/>
  <c r="X25" i="101"/>
  <c r="X45" i="101"/>
  <c r="X65" i="101"/>
  <c r="AD5" i="169"/>
  <c r="Y45" i="8" s="1"/>
  <c r="AE2" i="169"/>
  <c r="AE3" i="169" s="1"/>
  <c r="AD7" i="169"/>
  <c r="AD8" i="169" s="1"/>
  <c r="Y44" i="8" s="1"/>
  <c r="AC16" i="169"/>
  <c r="X47" i="8"/>
  <c r="M32" i="170"/>
  <c r="D356" i="9"/>
  <c r="P14" i="170"/>
  <c r="D392" i="9"/>
  <c r="Y23" i="121"/>
  <c r="Y35" i="121"/>
  <c r="Y11" i="121"/>
  <c r="O44" i="170"/>
  <c r="N48" i="170"/>
  <c r="Z5" i="121"/>
  <c r="AA4" i="121"/>
  <c r="N29" i="170"/>
  <c r="N34" i="170" s="1"/>
  <c r="P12" i="170"/>
  <c r="P16" i="170" s="1"/>
  <c r="D246" i="9"/>
  <c r="F65" i="52"/>
  <c r="AJ65" i="52"/>
  <c r="AK65" i="52"/>
  <c r="U65" i="52"/>
  <c r="K65" i="52"/>
  <c r="AE65" i="52"/>
  <c r="AI65" i="52"/>
  <c r="AL65" i="52"/>
  <c r="T65" i="52"/>
  <c r="Q65" i="52"/>
  <c r="R65" i="52"/>
  <c r="D65" i="52"/>
  <c r="AH65" i="52"/>
  <c r="E303" i="9" s="1"/>
  <c r="E65" i="52"/>
  <c r="C65" i="52"/>
  <c r="E231" i="9" s="1"/>
  <c r="L65" i="52"/>
  <c r="A66" i="52"/>
  <c r="AA65" i="52"/>
  <c r="E267" i="9" s="1"/>
  <c r="M65" i="52"/>
  <c r="S65" i="52"/>
  <c r="N65" i="52"/>
  <c r="AC65" i="52"/>
  <c r="G65" i="52"/>
  <c r="AD65" i="52"/>
  <c r="AB65" i="52"/>
  <c r="J65" i="52"/>
  <c r="E375" i="9"/>
  <c r="E337" i="9"/>
  <c r="AO26" i="52"/>
  <c r="N45" i="170"/>
  <c r="N31" i="170"/>
  <c r="N46" i="170" s="1"/>
  <c r="X51" i="8" l="1"/>
  <c r="V40" i="170"/>
  <c r="V64" i="8"/>
  <c r="V66" i="8" s="1"/>
  <c r="V70" i="8" s="1"/>
  <c r="V63" i="8"/>
  <c r="W16" i="103"/>
  <c r="W32" i="103"/>
  <c r="W48" i="103"/>
  <c r="Y4" i="103"/>
  <c r="X5" i="103"/>
  <c r="X73" i="8"/>
  <c r="W76" i="8"/>
  <c r="W75" i="8"/>
  <c r="W74" i="8"/>
  <c r="W40" i="170"/>
  <c r="AL24" i="170"/>
  <c r="AK44" i="170"/>
  <c r="P17" i="170"/>
  <c r="P18" i="170" s="1"/>
  <c r="P21" i="170" s="1"/>
  <c r="AB19" i="169"/>
  <c r="W43" i="8" s="1"/>
  <c r="K41" i="170"/>
  <c r="M47" i="170"/>
  <c r="M36" i="170"/>
  <c r="L37" i="170"/>
  <c r="L38" i="170" s="1"/>
  <c r="W9" i="137"/>
  <c r="W16" i="137"/>
  <c r="W23" i="137"/>
  <c r="Y4" i="137"/>
  <c r="X5" i="137"/>
  <c r="AC17" i="169"/>
  <c r="AC18" i="169"/>
  <c r="P15" i="101"/>
  <c r="P16" i="101"/>
  <c r="O81" i="170"/>
  <c r="O84" i="170" s="1"/>
  <c r="Z19" i="101"/>
  <c r="Z23" i="101"/>
  <c r="Z22" i="101"/>
  <c r="Z20" i="101"/>
  <c r="O63" i="170"/>
  <c r="O64" i="170" s="1"/>
  <c r="O67" i="170" s="1"/>
  <c r="W30" i="170"/>
  <c r="X28" i="170"/>
  <c r="X25" i="170" s="1"/>
  <c r="Q57" i="170"/>
  <c r="P62" i="170"/>
  <c r="P74" i="170"/>
  <c r="P79" i="170" s="1"/>
  <c r="P80" i="170" s="1"/>
  <c r="Y2" i="170"/>
  <c r="Y76" i="170"/>
  <c r="Y83" i="170" s="1"/>
  <c r="Y77" i="170"/>
  <c r="Y3" i="170"/>
  <c r="Y26" i="170" s="1"/>
  <c r="Y4" i="170"/>
  <c r="Y27" i="170" s="1"/>
  <c r="Z1" i="170"/>
  <c r="C25" i="211"/>
  <c r="X62" i="211"/>
  <c r="Y54" i="8"/>
  <c r="AA35" i="8"/>
  <c r="Z10" i="101"/>
  <c r="Z9" i="101"/>
  <c r="AA4" i="101"/>
  <c r="Z5" i="101"/>
  <c r="Z7" i="101"/>
  <c r="Z8" i="101"/>
  <c r="Z11" i="101"/>
  <c r="Y45" i="101"/>
  <c r="Y65" i="101"/>
  <c r="Y25" i="101"/>
  <c r="AD16" i="169"/>
  <c r="AE7" i="169"/>
  <c r="AE8" i="169" s="1"/>
  <c r="Z44" i="8" s="1"/>
  <c r="AE5" i="169"/>
  <c r="Z45" i="8" s="1"/>
  <c r="AF2" i="169"/>
  <c r="AF3" i="169" s="1"/>
  <c r="Y47" i="8"/>
  <c r="Y51" i="8" s="1"/>
  <c r="M49" i="170"/>
  <c r="N32" i="170"/>
  <c r="O29" i="170"/>
  <c r="O34" i="170" s="1"/>
  <c r="AA5" i="121"/>
  <c r="AB4" i="121"/>
  <c r="AC4" i="121" s="1"/>
  <c r="Z11" i="121"/>
  <c r="Z23" i="121"/>
  <c r="Z35" i="121"/>
  <c r="Q14" i="170"/>
  <c r="O45" i="170"/>
  <c r="O31" i="170"/>
  <c r="O46" i="170" s="1"/>
  <c r="D393" i="9"/>
  <c r="U66" i="52"/>
  <c r="N66" i="52"/>
  <c r="D66" i="52"/>
  <c r="AC66" i="52"/>
  <c r="S66" i="52"/>
  <c r="C66" i="52"/>
  <c r="E232" i="9" s="1"/>
  <c r="AH66" i="52"/>
  <c r="E304" i="9" s="1"/>
  <c r="AE66" i="52"/>
  <c r="AB66" i="52"/>
  <c r="G66" i="52"/>
  <c r="L66" i="52"/>
  <c r="E66" i="52"/>
  <c r="AI66" i="52"/>
  <c r="T66" i="52"/>
  <c r="A67" i="52"/>
  <c r="K66" i="52"/>
  <c r="AL66" i="52"/>
  <c r="J66" i="52"/>
  <c r="AA66" i="52"/>
  <c r="E268" i="9" s="1"/>
  <c r="M66" i="52"/>
  <c r="R66" i="52"/>
  <c r="F66" i="52"/>
  <c r="AJ66" i="52"/>
  <c r="AD66" i="52"/>
  <c r="Q66" i="52"/>
  <c r="AK66" i="52"/>
  <c r="E376" i="9"/>
  <c r="O48" i="170"/>
  <c r="Q12" i="170"/>
  <c r="Q16" i="170" s="1"/>
  <c r="D357" i="9"/>
  <c r="D247" i="9"/>
  <c r="AO27" i="52"/>
  <c r="E338" i="9"/>
  <c r="P44" i="170"/>
  <c r="W62" i="8" l="1"/>
  <c r="W64" i="8"/>
  <c r="W66" i="8" s="1"/>
  <c r="W70" i="8" s="1"/>
  <c r="W63" i="8"/>
  <c r="X75" i="8"/>
  <c r="X76" i="8"/>
  <c r="Y73" i="8"/>
  <c r="X74" i="8"/>
  <c r="X48" i="103"/>
  <c r="X32" i="103"/>
  <c r="X16" i="103"/>
  <c r="Z4" i="103"/>
  <c r="Y5" i="103"/>
  <c r="AM24" i="170"/>
  <c r="AL44" i="170"/>
  <c r="Q17" i="170"/>
  <c r="Q18" i="170" s="1"/>
  <c r="Q21" i="170" s="1"/>
  <c r="AC19" i="169"/>
  <c r="X43" i="8" s="1"/>
  <c r="X62" i="8" s="1"/>
  <c r="L41" i="170"/>
  <c r="N47" i="170"/>
  <c r="N36" i="170"/>
  <c r="M37" i="170"/>
  <c r="M38" i="170" s="1"/>
  <c r="X9" i="137"/>
  <c r="X16" i="137"/>
  <c r="X23" i="137"/>
  <c r="Z4" i="137"/>
  <c r="Y5" i="137"/>
  <c r="Q16" i="101"/>
  <c r="AD17" i="169"/>
  <c r="AD18" i="169"/>
  <c r="Q15" i="101"/>
  <c r="P81" i="170"/>
  <c r="P84" i="170" s="1"/>
  <c r="AA22" i="101"/>
  <c r="AA19" i="101"/>
  <c r="AA20" i="101"/>
  <c r="AA23" i="101"/>
  <c r="P63" i="170"/>
  <c r="P64" i="170" s="1"/>
  <c r="P67" i="170" s="1"/>
  <c r="Y28" i="170"/>
  <c r="Y25" i="170" s="1"/>
  <c r="X33" i="170"/>
  <c r="X30" i="170"/>
  <c r="R57" i="170"/>
  <c r="Q62" i="170"/>
  <c r="Q74" i="170"/>
  <c r="Q79" i="170" s="1"/>
  <c r="Q80" i="170" s="1"/>
  <c r="Z2" i="170"/>
  <c r="Z77" i="170"/>
  <c r="Z76" i="170"/>
  <c r="Z83" i="170" s="1"/>
  <c r="Z3" i="170"/>
  <c r="Z26" i="170" s="1"/>
  <c r="Z4" i="170"/>
  <c r="Z27" i="170" s="1"/>
  <c r="AA1" i="170"/>
  <c r="AD4" i="121"/>
  <c r="AC5" i="121"/>
  <c r="AB35" i="8"/>
  <c r="AC35" i="8" s="1"/>
  <c r="AD35" i="8" s="1"/>
  <c r="AE35" i="8" s="1"/>
  <c r="AF35" i="8" s="1"/>
  <c r="AG35" i="8" s="1"/>
  <c r="AH35" i="8" s="1"/>
  <c r="AI35" i="8" s="1"/>
  <c r="AJ35" i="8" s="1"/>
  <c r="AK35" i="8" s="1"/>
  <c r="AL35" i="8" s="1"/>
  <c r="AM35" i="8" s="1"/>
  <c r="AN35" i="8" s="1"/>
  <c r="AO35" i="8" s="1"/>
  <c r="Y62" i="211"/>
  <c r="Z54" i="8"/>
  <c r="Z25" i="101"/>
  <c r="Z65" i="101"/>
  <c r="Z45" i="101"/>
  <c r="AA9" i="101"/>
  <c r="AA8" i="101"/>
  <c r="AA5" i="101"/>
  <c r="AA7" i="101"/>
  <c r="AA11" i="101"/>
  <c r="AA10" i="101"/>
  <c r="AB4" i="101"/>
  <c r="Z47" i="8"/>
  <c r="Z51" i="8" s="1"/>
  <c r="AE16" i="169"/>
  <c r="AG2" i="169"/>
  <c r="AG3" i="169" s="1"/>
  <c r="AF7" i="169"/>
  <c r="AF8" i="169" s="1"/>
  <c r="AA44" i="8" s="1"/>
  <c r="AF5" i="169"/>
  <c r="AA45" i="8" s="1"/>
  <c r="N49" i="170"/>
  <c r="O32" i="170"/>
  <c r="P29" i="170"/>
  <c r="P34" i="170" s="1"/>
  <c r="D358" i="9"/>
  <c r="R14" i="170"/>
  <c r="AB5" i="121"/>
  <c r="P48" i="170"/>
  <c r="AA23" i="121"/>
  <c r="AA35" i="121"/>
  <c r="AA11" i="121"/>
  <c r="D248" i="9"/>
  <c r="P45" i="170"/>
  <c r="P31" i="170"/>
  <c r="P46" i="170" s="1"/>
  <c r="D394" i="9"/>
  <c r="AD67" i="52"/>
  <c r="K67" i="52"/>
  <c r="T67" i="52"/>
  <c r="A68" i="52"/>
  <c r="AI67" i="52"/>
  <c r="AB67" i="52"/>
  <c r="F67" i="52"/>
  <c r="AA67" i="52"/>
  <c r="E269" i="9" s="1"/>
  <c r="N67" i="52"/>
  <c r="G67" i="52"/>
  <c r="AC67" i="52"/>
  <c r="E67" i="52"/>
  <c r="J67" i="52"/>
  <c r="U67" i="52"/>
  <c r="R67" i="52"/>
  <c r="AE67" i="52"/>
  <c r="AK67" i="52"/>
  <c r="AL67" i="52"/>
  <c r="AJ67" i="52"/>
  <c r="AH67" i="52"/>
  <c r="E305" i="9" s="1"/>
  <c r="D67" i="52"/>
  <c r="Q67" i="52"/>
  <c r="M67" i="52"/>
  <c r="L67" i="52"/>
  <c r="S67" i="52"/>
  <c r="C67" i="52"/>
  <c r="E233" i="9" s="1"/>
  <c r="E377" i="9"/>
  <c r="Q44" i="170"/>
  <c r="AO28" i="52"/>
  <c r="E339" i="9"/>
  <c r="R12" i="170"/>
  <c r="R16" i="170" s="1"/>
  <c r="X40" i="170" l="1"/>
  <c r="Y76" i="8"/>
  <c r="Y75" i="8"/>
  <c r="Z73" i="8"/>
  <c r="Y74" i="8"/>
  <c r="AN24" i="170"/>
  <c r="AM44" i="170"/>
  <c r="X64" i="8"/>
  <c r="X66" i="8" s="1"/>
  <c r="X70" i="8" s="1"/>
  <c r="X63" i="8"/>
  <c r="Y16" i="103"/>
  <c r="Y32" i="103"/>
  <c r="Y48" i="103"/>
  <c r="AA4" i="103"/>
  <c r="Z5" i="103"/>
  <c r="R17" i="170"/>
  <c r="R18" i="170" s="1"/>
  <c r="R21" i="170" s="1"/>
  <c r="AD19" i="169"/>
  <c r="Y43" i="8" s="1"/>
  <c r="M41" i="170"/>
  <c r="O47" i="170"/>
  <c r="O36" i="170"/>
  <c r="N37" i="170"/>
  <c r="N38" i="170" s="1"/>
  <c r="Z5" i="137"/>
  <c r="AA4" i="137"/>
  <c r="Y16" i="137"/>
  <c r="Y9" i="137"/>
  <c r="Y23" i="137"/>
  <c r="R16" i="101"/>
  <c r="R15" i="101"/>
  <c r="AE17" i="169"/>
  <c r="AE18" i="169"/>
  <c r="Q81" i="170"/>
  <c r="Q84" i="170" s="1"/>
  <c r="AB22" i="101"/>
  <c r="AB23" i="101"/>
  <c r="AB20" i="101"/>
  <c r="AB19" i="101"/>
  <c r="AC4" i="101"/>
  <c r="Q63" i="170"/>
  <c r="Q64" i="170" s="1"/>
  <c r="Q67" i="170" s="1"/>
  <c r="S57" i="170"/>
  <c r="R62" i="170"/>
  <c r="R74" i="170"/>
  <c r="R79" i="170" s="1"/>
  <c r="R80" i="170" s="1"/>
  <c r="AA2" i="170"/>
  <c r="AA77" i="170"/>
  <c r="AA76" i="170"/>
  <c r="AA83" i="170" s="1"/>
  <c r="AA4" i="170"/>
  <c r="AA27" i="170" s="1"/>
  <c r="AA3" i="170"/>
  <c r="AA26" i="170" s="1"/>
  <c r="AB1" i="170"/>
  <c r="Z28" i="170"/>
  <c r="Z25" i="170" s="1"/>
  <c r="Y33" i="170"/>
  <c r="Y30" i="170"/>
  <c r="AC35" i="121"/>
  <c r="AC23" i="121"/>
  <c r="AC11" i="121"/>
  <c r="AD5" i="121"/>
  <c r="AE4" i="121"/>
  <c r="AE5" i="121" s="1"/>
  <c r="AA54" i="8"/>
  <c r="Z62" i="211"/>
  <c r="AB9" i="101"/>
  <c r="AB11" i="101"/>
  <c r="AB10" i="101"/>
  <c r="AB8" i="101"/>
  <c r="AB5" i="101"/>
  <c r="AB7" i="101"/>
  <c r="AA45" i="101"/>
  <c r="AA65" i="101"/>
  <c r="AA25" i="101"/>
  <c r="AF16" i="169"/>
  <c r="AA47" i="8"/>
  <c r="AA51" i="8" s="1"/>
  <c r="AG7" i="169"/>
  <c r="AG8" i="169" s="1"/>
  <c r="AB44" i="8" s="1"/>
  <c r="AH2" i="169"/>
  <c r="AH3" i="169" s="1"/>
  <c r="AG5" i="169"/>
  <c r="AB45" i="8" s="1"/>
  <c r="O49" i="170"/>
  <c r="P32" i="170"/>
  <c r="E340" i="9"/>
  <c r="AO29" i="52"/>
  <c r="D359" i="9"/>
  <c r="Q45" i="170"/>
  <c r="Q31" i="170"/>
  <c r="Q46" i="170" s="1"/>
  <c r="Q29" i="170"/>
  <c r="Q34" i="170" s="1"/>
  <c r="D395" i="9"/>
  <c r="D249" i="9"/>
  <c r="AB11" i="121"/>
  <c r="AB35" i="121"/>
  <c r="AB23" i="121"/>
  <c r="S14" i="170"/>
  <c r="Q48" i="170"/>
  <c r="R44" i="170"/>
  <c r="S12" i="170"/>
  <c r="S16" i="170" s="1"/>
  <c r="R68" i="52"/>
  <c r="AB68" i="52"/>
  <c r="N68" i="52"/>
  <c r="S68" i="52"/>
  <c r="AI68" i="52"/>
  <c r="AL68" i="52"/>
  <c r="AJ68" i="52"/>
  <c r="E68" i="52"/>
  <c r="J68" i="52"/>
  <c r="T68" i="52"/>
  <c r="AA68" i="52"/>
  <c r="E270" i="9" s="1"/>
  <c r="G68" i="52"/>
  <c r="C68" i="52"/>
  <c r="E234" i="9" s="1"/>
  <c r="AD68" i="52"/>
  <c r="AK68" i="52"/>
  <c r="U68" i="52"/>
  <c r="AC68" i="52"/>
  <c r="AE68" i="52"/>
  <c r="Q68" i="52"/>
  <c r="L68" i="52"/>
  <c r="F68" i="52"/>
  <c r="AH68" i="52"/>
  <c r="E306" i="9" s="1"/>
  <c r="M68" i="52"/>
  <c r="A69" i="52"/>
  <c r="K68" i="52"/>
  <c r="D68" i="52"/>
  <c r="E378" i="9"/>
  <c r="AO24" i="170" l="1"/>
  <c r="AO44" i="170" s="1"/>
  <c r="AN44" i="170"/>
  <c r="Z76" i="8"/>
  <c r="AA73" i="8"/>
  <c r="Z75" i="8"/>
  <c r="Z74" i="8"/>
  <c r="Y40" i="170"/>
  <c r="Y64" i="8"/>
  <c r="Y66" i="8" s="1"/>
  <c r="Y70" i="8" s="1"/>
  <c r="Y63" i="8"/>
  <c r="Y62" i="8"/>
  <c r="Z48" i="103"/>
  <c r="Z16" i="103"/>
  <c r="Z32" i="103"/>
  <c r="AB4" i="103"/>
  <c r="AA5" i="103"/>
  <c r="S17" i="170"/>
  <c r="S18" i="170" s="1"/>
  <c r="S21" i="170" s="1"/>
  <c r="AE19" i="169"/>
  <c r="Z43" i="8" s="1"/>
  <c r="Z62" i="8" s="1"/>
  <c r="N41" i="170"/>
  <c r="P47" i="170"/>
  <c r="P36" i="170"/>
  <c r="O37" i="170"/>
  <c r="O38" i="170" s="1"/>
  <c r="AB4" i="137"/>
  <c r="AA5" i="137"/>
  <c r="Z23" i="137"/>
  <c r="Z16" i="137"/>
  <c r="Z9" i="137"/>
  <c r="S15" i="101"/>
  <c r="AF17" i="169"/>
  <c r="AF18" i="169"/>
  <c r="S16" i="101"/>
  <c r="R81" i="170"/>
  <c r="R84" i="170" s="1"/>
  <c r="AD4" i="101"/>
  <c r="AC23" i="101"/>
  <c r="AC22" i="101"/>
  <c r="AC19" i="101"/>
  <c r="AC20" i="101"/>
  <c r="AC7" i="101"/>
  <c r="AC9" i="101"/>
  <c r="AC10" i="101"/>
  <c r="AC11" i="101"/>
  <c r="AC5" i="101"/>
  <c r="AC8" i="101"/>
  <c r="R63" i="170"/>
  <c r="R64" i="170" s="1"/>
  <c r="R67" i="170" s="1"/>
  <c r="Z33" i="170"/>
  <c r="Z30" i="170"/>
  <c r="AA28" i="170"/>
  <c r="AA25" i="170" s="1"/>
  <c r="AB77" i="170"/>
  <c r="AB76" i="170"/>
  <c r="AB83" i="170" s="1"/>
  <c r="AC1" i="170"/>
  <c r="AB3" i="170"/>
  <c r="AB26" i="170" s="1"/>
  <c r="AB4" i="170"/>
  <c r="AB27" i="170" s="1"/>
  <c r="AB2" i="170"/>
  <c r="T57" i="170"/>
  <c r="S62" i="170"/>
  <c r="S74" i="170"/>
  <c r="S79" i="170" s="1"/>
  <c r="S80" i="170" s="1"/>
  <c r="AE35" i="121"/>
  <c r="AE11" i="121"/>
  <c r="AE23" i="121"/>
  <c r="AD11" i="121"/>
  <c r="AD23" i="121"/>
  <c r="AD35" i="121"/>
  <c r="AA62" i="211"/>
  <c r="AB54" i="8"/>
  <c r="AB25" i="101"/>
  <c r="AB45" i="101"/>
  <c r="AB65" i="101"/>
  <c r="AB47" i="8"/>
  <c r="AB51" i="8" s="1"/>
  <c r="AH5" i="169"/>
  <c r="AC45" i="8" s="1"/>
  <c r="AI2" i="169"/>
  <c r="AI3" i="169" s="1"/>
  <c r="AH7" i="169"/>
  <c r="AH8" i="169" s="1"/>
  <c r="AC44" i="8" s="1"/>
  <c r="AG16" i="169"/>
  <c r="P49" i="170"/>
  <c r="Q32" i="170"/>
  <c r="R29" i="170"/>
  <c r="R34" i="170" s="1"/>
  <c r="D250" i="9"/>
  <c r="D360" i="9"/>
  <c r="R45" i="170"/>
  <c r="R31" i="170"/>
  <c r="R46" i="170" s="1"/>
  <c r="T14" i="170"/>
  <c r="S44" i="170"/>
  <c r="AI69" i="52"/>
  <c r="AC69" i="52"/>
  <c r="M69" i="52"/>
  <c r="K69" i="52"/>
  <c r="D69" i="52"/>
  <c r="S69" i="52"/>
  <c r="A70" i="52"/>
  <c r="N69" i="52"/>
  <c r="AB69" i="52"/>
  <c r="AJ69" i="52"/>
  <c r="G69" i="52"/>
  <c r="E69" i="52"/>
  <c r="R69" i="52"/>
  <c r="J69" i="52"/>
  <c r="AL69" i="52"/>
  <c r="L69" i="52"/>
  <c r="AH69" i="52"/>
  <c r="E307" i="9" s="1"/>
  <c r="F69" i="52"/>
  <c r="C69" i="52"/>
  <c r="E235" i="9" s="1"/>
  <c r="T69" i="52"/>
  <c r="AD69" i="52"/>
  <c r="AK69" i="52"/>
  <c r="AE69" i="52"/>
  <c r="AA69" i="52"/>
  <c r="E271" i="9" s="1"/>
  <c r="Q69" i="52"/>
  <c r="U69" i="52"/>
  <c r="E379" i="9"/>
  <c r="R48" i="170"/>
  <c r="AO30" i="52"/>
  <c r="E341" i="9"/>
  <c r="D396" i="9"/>
  <c r="T12" i="170"/>
  <c r="T16" i="170" s="1"/>
  <c r="AC4" i="103" l="1"/>
  <c r="AB5" i="103"/>
  <c r="Z64" i="8"/>
  <c r="Z66" i="8" s="1"/>
  <c r="Z70" i="8" s="1"/>
  <c r="Z63" i="8"/>
  <c r="AA76" i="8"/>
  <c r="AB73" i="8"/>
  <c r="AA75" i="8"/>
  <c r="AA74" i="8"/>
  <c r="Z40" i="170"/>
  <c r="AA32" i="103"/>
  <c r="AA48" i="103"/>
  <c r="AA16" i="103"/>
  <c r="T17" i="170"/>
  <c r="T18" i="170" s="1"/>
  <c r="T21" i="170" s="1"/>
  <c r="AF19" i="169"/>
  <c r="AA43" i="8" s="1"/>
  <c r="AA62" i="8" s="1"/>
  <c r="Q47" i="170"/>
  <c r="Q36" i="170"/>
  <c r="O41" i="170"/>
  <c r="P37" i="170"/>
  <c r="P38" i="170" s="1"/>
  <c r="AC4" i="137"/>
  <c r="AB5" i="137"/>
  <c r="AA16" i="137"/>
  <c r="AA23" i="137"/>
  <c r="AA9" i="137"/>
  <c r="AG17" i="169"/>
  <c r="AG18" i="169"/>
  <c r="T15" i="101"/>
  <c r="T16" i="101"/>
  <c r="S81" i="170"/>
  <c r="S84" i="170" s="1"/>
  <c r="AC45" i="101"/>
  <c r="AC65" i="101"/>
  <c r="AC25" i="101"/>
  <c r="AD20" i="101"/>
  <c r="AD22" i="101"/>
  <c r="AD19" i="101"/>
  <c r="AD23" i="101"/>
  <c r="AD10" i="101"/>
  <c r="AD5" i="101"/>
  <c r="AE4" i="101"/>
  <c r="AD8" i="101"/>
  <c r="AD11" i="101"/>
  <c r="AD7" i="101"/>
  <c r="AD9" i="101"/>
  <c r="S63" i="170"/>
  <c r="S64" i="170" s="1"/>
  <c r="S67" i="170" s="1"/>
  <c r="AC76" i="170"/>
  <c r="AC83" i="170" s="1"/>
  <c r="AC77" i="170"/>
  <c r="AD1" i="170"/>
  <c r="AC3" i="170"/>
  <c r="AC26" i="170" s="1"/>
  <c r="AC4" i="170"/>
  <c r="AC27" i="170" s="1"/>
  <c r="AC2" i="170"/>
  <c r="U57" i="170"/>
  <c r="T62" i="170"/>
  <c r="T74" i="170"/>
  <c r="T79" i="170" s="1"/>
  <c r="T80" i="170" s="1"/>
  <c r="AA33" i="170"/>
  <c r="AA30" i="170"/>
  <c r="AB28" i="170"/>
  <c r="AB25" i="170" s="1"/>
  <c r="AC47" i="8"/>
  <c r="AC51" i="8" s="1"/>
  <c r="AB62" i="211"/>
  <c r="AC54" i="8"/>
  <c r="AH16" i="169"/>
  <c r="AI5" i="169"/>
  <c r="AD45" i="8" s="1"/>
  <c r="AI7" i="169"/>
  <c r="AI8" i="169" s="1"/>
  <c r="AD44" i="8" s="1"/>
  <c r="AJ2" i="169"/>
  <c r="AJ3" i="169" s="1"/>
  <c r="Q49" i="170"/>
  <c r="R32" i="170"/>
  <c r="U14" i="170"/>
  <c r="D397" i="9"/>
  <c r="S45" i="170"/>
  <c r="S31" i="170"/>
  <c r="S46" i="170" s="1"/>
  <c r="U12" i="170"/>
  <c r="U16" i="170" s="1"/>
  <c r="C70" i="52"/>
  <c r="E236" i="9" s="1"/>
  <c r="T70" i="52"/>
  <c r="N70" i="52"/>
  <c r="AA70" i="52"/>
  <c r="E272" i="9" s="1"/>
  <c r="F70" i="52"/>
  <c r="J70" i="52"/>
  <c r="AB70" i="52"/>
  <c r="AC70" i="52"/>
  <c r="K70" i="52"/>
  <c r="M70" i="52"/>
  <c r="G70" i="52"/>
  <c r="S70" i="52"/>
  <c r="E70" i="52"/>
  <c r="AJ70" i="52"/>
  <c r="AI70" i="52"/>
  <c r="R70" i="52"/>
  <c r="U70" i="52"/>
  <c r="D70" i="52"/>
  <c r="AL70" i="52"/>
  <c r="L70" i="52"/>
  <c r="AH70" i="52"/>
  <c r="E308" i="9" s="1"/>
  <c r="A71" i="52"/>
  <c r="Q70" i="52"/>
  <c r="AK70" i="52"/>
  <c r="AD70" i="52"/>
  <c r="AE70" i="52"/>
  <c r="E380" i="9"/>
  <c r="S29" i="170"/>
  <c r="S34" i="170" s="1"/>
  <c r="AO31" i="52"/>
  <c r="E342" i="9"/>
  <c r="T44" i="170"/>
  <c r="D361" i="9"/>
  <c r="S48" i="170"/>
  <c r="D251" i="9"/>
  <c r="AA40" i="170" l="1"/>
  <c r="AF4" i="101"/>
  <c r="AA64" i="8"/>
  <c r="AA66" i="8" s="1"/>
  <c r="AA70" i="8" s="1"/>
  <c r="AA63" i="8"/>
  <c r="AB75" i="8"/>
  <c r="AB64" i="8" s="1"/>
  <c r="AB66" i="8" s="1"/>
  <c r="AC73" i="8"/>
  <c r="AB76" i="8"/>
  <c r="AB74" i="8"/>
  <c r="AB32" i="103"/>
  <c r="AB48" i="103"/>
  <c r="AB16" i="103"/>
  <c r="AD4" i="103"/>
  <c r="AC5" i="103"/>
  <c r="U17" i="170"/>
  <c r="U18" i="170" s="1"/>
  <c r="U21" i="170" s="1"/>
  <c r="AG19" i="169"/>
  <c r="P41" i="170"/>
  <c r="R47" i="170"/>
  <c r="R36" i="170"/>
  <c r="Q37" i="170"/>
  <c r="Q38" i="170" s="1"/>
  <c r="AB16" i="137"/>
  <c r="AB23" i="137"/>
  <c r="AB9" i="137"/>
  <c r="AD4" i="137"/>
  <c r="AC5" i="137"/>
  <c r="U16" i="101"/>
  <c r="AH17" i="169"/>
  <c r="AH18" i="169"/>
  <c r="AD54" i="8"/>
  <c r="AC62" i="211"/>
  <c r="U15" i="101"/>
  <c r="T81" i="170"/>
  <c r="T84" i="170" s="1"/>
  <c r="AE20" i="101"/>
  <c r="AE19" i="101"/>
  <c r="AE22" i="101"/>
  <c r="AE23" i="101"/>
  <c r="AE8" i="101"/>
  <c r="AE7" i="101"/>
  <c r="AE9" i="101"/>
  <c r="AE10" i="101"/>
  <c r="AE11" i="101"/>
  <c r="AE5" i="101"/>
  <c r="AD45" i="101"/>
  <c r="AD25" i="101"/>
  <c r="AD65" i="101"/>
  <c r="T63" i="170"/>
  <c r="T64" i="170" s="1"/>
  <c r="T67" i="170" s="1"/>
  <c r="AB33" i="170"/>
  <c r="AB30" i="170"/>
  <c r="AC28" i="170"/>
  <c r="AC25" i="170" s="1"/>
  <c r="AC29" i="170" s="1"/>
  <c r="AD76" i="170"/>
  <c r="AD83" i="170" s="1"/>
  <c r="AD77" i="170"/>
  <c r="AE1" i="170"/>
  <c r="AD3" i="170"/>
  <c r="AD26" i="170" s="1"/>
  <c r="AD4" i="170"/>
  <c r="AD27" i="170" s="1"/>
  <c r="AD2" i="170"/>
  <c r="V57" i="170"/>
  <c r="U62" i="170"/>
  <c r="U74" i="170"/>
  <c r="U79" i="170" s="1"/>
  <c r="U80" i="170" s="1"/>
  <c r="AD47" i="8"/>
  <c r="AD51" i="8" s="1"/>
  <c r="AK2" i="169"/>
  <c r="AK3" i="169" s="1"/>
  <c r="AJ5" i="169"/>
  <c r="AJ7" i="169"/>
  <c r="AJ8" i="169" s="1"/>
  <c r="AE44" i="8" s="1"/>
  <c r="AI16" i="169"/>
  <c r="R49" i="170"/>
  <c r="S32" i="170"/>
  <c r="T29" i="170"/>
  <c r="T34" i="170" s="1"/>
  <c r="T45" i="170"/>
  <c r="T31" i="170"/>
  <c r="T46" i="170" s="1"/>
  <c r="V14" i="170"/>
  <c r="D362" i="9"/>
  <c r="R17" i="101" s="1"/>
  <c r="AO32" i="52"/>
  <c r="E343" i="9"/>
  <c r="AE71" i="52"/>
  <c r="J71" i="52"/>
  <c r="A72" i="52"/>
  <c r="L71" i="52"/>
  <c r="AD71" i="52"/>
  <c r="E71" i="52"/>
  <c r="R71" i="52"/>
  <c r="G71" i="52"/>
  <c r="AL71" i="52"/>
  <c r="AB71" i="52"/>
  <c r="U71" i="52"/>
  <c r="AA71" i="52"/>
  <c r="E273" i="9" s="1"/>
  <c r="S71" i="52"/>
  <c r="AJ71" i="52"/>
  <c r="T71" i="52"/>
  <c r="C71" i="52"/>
  <c r="E237" i="9" s="1"/>
  <c r="M71" i="52"/>
  <c r="AH71" i="52"/>
  <c r="E309" i="9" s="1"/>
  <c r="F71" i="52"/>
  <c r="K71" i="52"/>
  <c r="D71" i="52"/>
  <c r="N71" i="52"/>
  <c r="AK71" i="52"/>
  <c r="Q71" i="52"/>
  <c r="AI71" i="52"/>
  <c r="AC71" i="52"/>
  <c r="E381" i="9"/>
  <c r="U44" i="170"/>
  <c r="V12" i="170"/>
  <c r="V16" i="170" s="1"/>
  <c r="D398" i="9"/>
  <c r="Q13" i="101" s="1"/>
  <c r="D252" i="9"/>
  <c r="U14" i="101" s="1"/>
  <c r="T48" i="170"/>
  <c r="AB70" i="8" l="1"/>
  <c r="AB63" i="8"/>
  <c r="S17" i="101"/>
  <c r="AF1" i="170"/>
  <c r="AB40" i="170"/>
  <c r="AF9" i="101"/>
  <c r="AF23" i="101"/>
  <c r="AF19" i="101"/>
  <c r="AF7" i="101"/>
  <c r="AF11" i="101"/>
  <c r="AF10" i="101"/>
  <c r="AG4" i="101"/>
  <c r="AF5" i="101"/>
  <c r="AF20" i="101"/>
  <c r="AF8" i="101"/>
  <c r="AF22" i="101"/>
  <c r="AC16" i="103"/>
  <c r="AC32" i="103"/>
  <c r="AC48" i="103"/>
  <c r="AC76" i="8"/>
  <c r="AD73" i="8"/>
  <c r="AC75" i="8"/>
  <c r="AC74" i="8"/>
  <c r="AD5" i="103"/>
  <c r="AE4" i="103"/>
  <c r="AF4" i="103" s="1"/>
  <c r="V17" i="170"/>
  <c r="V18" i="170" s="1"/>
  <c r="AH19" i="169"/>
  <c r="AC43" i="8" s="1"/>
  <c r="Q41" i="170"/>
  <c r="S47" i="170"/>
  <c r="S36" i="170"/>
  <c r="R37" i="170"/>
  <c r="R38" i="170" s="1"/>
  <c r="AE45" i="8"/>
  <c r="AE4" i="137"/>
  <c r="AD5" i="137"/>
  <c r="AC23" i="137"/>
  <c r="AC16" i="137"/>
  <c r="AC9" i="137"/>
  <c r="S14" i="101"/>
  <c r="AE54" i="8"/>
  <c r="AD62" i="211"/>
  <c r="V15" i="101"/>
  <c r="AI17" i="169"/>
  <c r="AI18" i="169"/>
  <c r="V16" i="101"/>
  <c r="P17" i="101"/>
  <c r="T17" i="101"/>
  <c r="U81" i="170"/>
  <c r="U84" i="170" s="1"/>
  <c r="AE45" i="101"/>
  <c r="AE65" i="101"/>
  <c r="AE25" i="101"/>
  <c r="AC30" i="170"/>
  <c r="AC45" i="170" s="1"/>
  <c r="U63" i="170"/>
  <c r="U64" i="170" s="1"/>
  <c r="W57" i="170"/>
  <c r="V62" i="170"/>
  <c r="V74" i="170"/>
  <c r="V79" i="170" s="1"/>
  <c r="V80" i="170" s="1"/>
  <c r="AC32" i="170"/>
  <c r="AC36" i="170" s="1"/>
  <c r="AC34" i="170"/>
  <c r="AD28" i="170"/>
  <c r="AD25" i="170" s="1"/>
  <c r="AC33" i="170"/>
  <c r="AE76" i="170"/>
  <c r="AE77" i="170"/>
  <c r="AE2" i="170"/>
  <c r="AE3" i="170"/>
  <c r="AE26" i="170" s="1"/>
  <c r="AE4" i="170"/>
  <c r="AE27" i="170" s="1"/>
  <c r="AK7" i="169"/>
  <c r="AK8" i="169" s="1"/>
  <c r="AF44" i="8" s="1"/>
  <c r="AL2" i="169"/>
  <c r="AL3" i="169" s="1"/>
  <c r="AK5" i="169"/>
  <c r="AF45" i="8" s="1"/>
  <c r="AJ16" i="169"/>
  <c r="S49" i="170"/>
  <c r="T49" i="170"/>
  <c r="T32" i="170"/>
  <c r="U29" i="170"/>
  <c r="U34" i="170" s="1"/>
  <c r="C14" i="101"/>
  <c r="D14" i="101"/>
  <c r="E14" i="101"/>
  <c r="G14" i="101"/>
  <c r="F14" i="101"/>
  <c r="H14" i="101"/>
  <c r="I14" i="101"/>
  <c r="K14" i="101"/>
  <c r="J14" i="101"/>
  <c r="O14" i="101"/>
  <c r="P14" i="101"/>
  <c r="L14" i="101"/>
  <c r="M14" i="101"/>
  <c r="N14" i="101"/>
  <c r="Q14" i="101"/>
  <c r="T14" i="101"/>
  <c r="R14" i="101"/>
  <c r="V13" i="101"/>
  <c r="Q72" i="52"/>
  <c r="AE72" i="52"/>
  <c r="D72" i="52"/>
  <c r="M72" i="52"/>
  <c r="AL72" i="52"/>
  <c r="R72" i="52"/>
  <c r="AC72" i="52"/>
  <c r="E72" i="52"/>
  <c r="K72" i="52"/>
  <c r="N72" i="52"/>
  <c r="S72" i="52"/>
  <c r="AB72" i="52"/>
  <c r="AK72" i="52"/>
  <c r="U72" i="52"/>
  <c r="T72" i="52"/>
  <c r="A73" i="52"/>
  <c r="AI72" i="52"/>
  <c r="AD72" i="52"/>
  <c r="F72" i="52"/>
  <c r="J72" i="52"/>
  <c r="G72" i="52"/>
  <c r="AH72" i="52"/>
  <c r="E310" i="9" s="1"/>
  <c r="AA72" i="52"/>
  <c r="E274" i="9" s="1"/>
  <c r="AJ72" i="52"/>
  <c r="C72" i="52"/>
  <c r="E238" i="9" s="1"/>
  <c r="L72" i="52"/>
  <c r="E382" i="9"/>
  <c r="C17" i="101"/>
  <c r="G17" i="101"/>
  <c r="D17" i="101"/>
  <c r="E17" i="101"/>
  <c r="I17" i="101"/>
  <c r="F17" i="101"/>
  <c r="J17" i="101"/>
  <c r="H17" i="101"/>
  <c r="K17" i="101"/>
  <c r="L17" i="101"/>
  <c r="M17" i="101"/>
  <c r="N17" i="101"/>
  <c r="O17" i="101"/>
  <c r="C13" i="101"/>
  <c r="E13" i="101"/>
  <c r="D13" i="101"/>
  <c r="F13" i="101"/>
  <c r="H13" i="101"/>
  <c r="I13" i="101"/>
  <c r="G13" i="101"/>
  <c r="K13" i="101"/>
  <c r="J13" i="101"/>
  <c r="M13" i="101"/>
  <c r="L13" i="101"/>
  <c r="N13" i="101"/>
  <c r="O13" i="101"/>
  <c r="P13" i="101"/>
  <c r="S13" i="101"/>
  <c r="T13" i="101"/>
  <c r="V44" i="170"/>
  <c r="U13" i="101"/>
  <c r="W12" i="170"/>
  <c r="W16" i="170" s="1"/>
  <c r="V14" i="101"/>
  <c r="AO33" i="52"/>
  <c r="E344" i="9"/>
  <c r="U17" i="101" s="1"/>
  <c r="U45" i="170"/>
  <c r="U31" i="170"/>
  <c r="U46" i="170" s="1"/>
  <c r="R13" i="101"/>
  <c r="U48" i="170"/>
  <c r="Q17" i="101"/>
  <c r="W14" i="170"/>
  <c r="AF5" i="103" l="1"/>
  <c r="AG4" i="103"/>
  <c r="AE5" i="103"/>
  <c r="AD16" i="103"/>
  <c r="AD48" i="103"/>
  <c r="AD32" i="103"/>
  <c r="AE62" i="211"/>
  <c r="AF54" i="8"/>
  <c r="AG54" i="8" s="1"/>
  <c r="AH54" i="8" s="1"/>
  <c r="AI54" i="8" s="1"/>
  <c r="AJ54" i="8" s="1"/>
  <c r="AK54" i="8" s="1"/>
  <c r="AL54" i="8" s="1"/>
  <c r="AM54" i="8" s="1"/>
  <c r="AN54" i="8" s="1"/>
  <c r="AO54" i="8" s="1"/>
  <c r="AC64" i="8"/>
  <c r="AC66" i="8" s="1"/>
  <c r="AC70" i="8" s="1"/>
  <c r="AC63" i="8"/>
  <c r="AE73" i="8"/>
  <c r="AD76" i="8"/>
  <c r="AD75" i="8"/>
  <c r="AD74" i="8"/>
  <c r="AF47" i="8"/>
  <c r="AF4" i="137"/>
  <c r="AF65" i="101"/>
  <c r="AF25" i="101"/>
  <c r="AF45" i="101"/>
  <c r="AG22" i="101"/>
  <c r="AG8" i="101"/>
  <c r="AG20" i="101"/>
  <c r="AG11" i="101"/>
  <c r="AH4" i="101"/>
  <c r="AG23" i="101"/>
  <c r="AG9" i="101"/>
  <c r="AG10" i="101"/>
  <c r="AG7" i="101"/>
  <c r="AG19" i="101"/>
  <c r="AG5" i="101"/>
  <c r="AC62" i="8"/>
  <c r="AF4" i="170"/>
  <c r="AF27" i="170" s="1"/>
  <c r="AF3" i="170"/>
  <c r="AF26" i="170" s="1"/>
  <c r="AF2" i="170"/>
  <c r="AF76" i="170"/>
  <c r="AF83" i="170" s="1"/>
  <c r="AF77" i="170"/>
  <c r="AG1" i="170"/>
  <c r="V21" i="170"/>
  <c r="W17" i="170"/>
  <c r="W18" i="170" s="1"/>
  <c r="AE47" i="8"/>
  <c r="AE51" i="8" s="1"/>
  <c r="AI19" i="169"/>
  <c r="AD43" i="8" s="1"/>
  <c r="AD62" i="8" s="1"/>
  <c r="R41" i="170"/>
  <c r="T47" i="170"/>
  <c r="T36" i="170"/>
  <c r="S37" i="170"/>
  <c r="S38" i="170" s="1"/>
  <c r="W13" i="101"/>
  <c r="W14" i="101"/>
  <c r="AC40" i="170"/>
  <c r="AC37" i="170"/>
  <c r="AC38" i="170" s="1"/>
  <c r="AD16" i="137"/>
  <c r="AD23" i="137"/>
  <c r="AD9" i="137"/>
  <c r="AE5" i="137"/>
  <c r="U67" i="170"/>
  <c r="W16" i="101"/>
  <c r="W15" i="101"/>
  <c r="AJ17" i="169"/>
  <c r="AJ18" i="169"/>
  <c r="V81" i="170"/>
  <c r="AC31" i="170"/>
  <c r="AC46" i="170" s="1"/>
  <c r="V63" i="170"/>
  <c r="V64" i="170" s="1"/>
  <c r="V67" i="170" s="1"/>
  <c r="AE83" i="170"/>
  <c r="AC48" i="170"/>
  <c r="AD29" i="170"/>
  <c r="AD33" i="170"/>
  <c r="AD30" i="170"/>
  <c r="AC49" i="170"/>
  <c r="AE28" i="170"/>
  <c r="AE25" i="170" s="1"/>
  <c r="AE30" i="170" s="1"/>
  <c r="X57" i="170"/>
  <c r="W62" i="170"/>
  <c r="W74" i="170"/>
  <c r="W79" i="170" s="1"/>
  <c r="W80" i="170" s="1"/>
  <c r="AL7" i="169"/>
  <c r="AL8" i="169" s="1"/>
  <c r="AG44" i="8" s="1"/>
  <c r="AL5" i="169"/>
  <c r="AG45" i="8" s="1"/>
  <c r="AM2" i="169"/>
  <c r="AM3" i="169" s="1"/>
  <c r="AK16" i="169"/>
  <c r="U49" i="170"/>
  <c r="U32" i="170"/>
  <c r="V45" i="170"/>
  <c r="V31" i="170"/>
  <c r="V46" i="170" s="1"/>
  <c r="V48" i="170"/>
  <c r="AO34" i="52"/>
  <c r="E345" i="9"/>
  <c r="W44" i="170"/>
  <c r="R73" i="52"/>
  <c r="U73" i="52"/>
  <c r="AB73" i="52"/>
  <c r="F73" i="52"/>
  <c r="AJ73" i="52"/>
  <c r="J73" i="52"/>
  <c r="S73" i="52"/>
  <c r="AA73" i="52"/>
  <c r="E275" i="9" s="1"/>
  <c r="AK73" i="52"/>
  <c r="G73" i="52"/>
  <c r="L73" i="52"/>
  <c r="D73" i="52"/>
  <c r="AC73" i="52"/>
  <c r="T73" i="52"/>
  <c r="AE73" i="52"/>
  <c r="AL73" i="52"/>
  <c r="C73" i="52"/>
  <c r="E239" i="9" s="1"/>
  <c r="AI73" i="52"/>
  <c r="E73" i="52"/>
  <c r="AH73" i="52"/>
  <c r="E311" i="9" s="1"/>
  <c r="AD73" i="52"/>
  <c r="Q73" i="52"/>
  <c r="M73" i="52"/>
  <c r="N73" i="52"/>
  <c r="K73" i="52"/>
  <c r="E383" i="9"/>
  <c r="X14" i="170"/>
  <c r="V29" i="170"/>
  <c r="V34" i="170" s="1"/>
  <c r="X12" i="170"/>
  <c r="X16" i="170" s="1"/>
  <c r="AF51" i="8" l="1"/>
  <c r="AH4" i="103"/>
  <c r="AG5" i="103"/>
  <c r="AF16" i="103"/>
  <c r="AF32" i="103"/>
  <c r="AF48" i="103"/>
  <c r="AG4" i="170"/>
  <c r="AG27" i="170" s="1"/>
  <c r="AH1" i="170"/>
  <c r="AG76" i="170"/>
  <c r="AG83" i="170" s="1"/>
  <c r="AG77" i="170"/>
  <c r="AG2" i="170"/>
  <c r="AG3" i="170"/>
  <c r="AG26" i="170" s="1"/>
  <c r="AF28" i="170"/>
  <c r="AF25" i="170" s="1"/>
  <c r="AF30" i="170" s="1"/>
  <c r="AF5" i="137"/>
  <c r="AG4" i="137"/>
  <c r="AG25" i="101"/>
  <c r="AG65" i="101"/>
  <c r="AG45" i="101"/>
  <c r="AJ19" i="169"/>
  <c r="AE43" i="8" s="1"/>
  <c r="AD64" i="8"/>
  <c r="AD66" i="8" s="1"/>
  <c r="AD70" i="8" s="1"/>
  <c r="AD63" i="8"/>
  <c r="AF73" i="8"/>
  <c r="AE76" i="8"/>
  <c r="AE75" i="8"/>
  <c r="AE74" i="8"/>
  <c r="AH10" i="101"/>
  <c r="AH23" i="101"/>
  <c r="AH7" i="101"/>
  <c r="AH9" i="101"/>
  <c r="AH19" i="101"/>
  <c r="AH5" i="101"/>
  <c r="AH8" i="101"/>
  <c r="AH22" i="101"/>
  <c r="AH20" i="101"/>
  <c r="AI4" i="101"/>
  <c r="AH11" i="101"/>
  <c r="AG47" i="8"/>
  <c r="AD40" i="170"/>
  <c r="AE32" i="103"/>
  <c r="AE16" i="103"/>
  <c r="AE48" i="103"/>
  <c r="X17" i="170"/>
  <c r="X18" i="170" s="1"/>
  <c r="W21" i="170"/>
  <c r="AC41" i="170"/>
  <c r="S41" i="170"/>
  <c r="T37" i="170"/>
  <c r="T38" i="170" s="1"/>
  <c r="U47" i="170"/>
  <c r="U36" i="170"/>
  <c r="AE9" i="137"/>
  <c r="AE16" i="137"/>
  <c r="AE23" i="137"/>
  <c r="V17" i="101"/>
  <c r="AK17" i="169"/>
  <c r="AK18" i="169"/>
  <c r="V84" i="170"/>
  <c r="W81" i="170"/>
  <c r="W63" i="170"/>
  <c r="W64" i="170" s="1"/>
  <c r="W67" i="170" s="1"/>
  <c r="AE45" i="170"/>
  <c r="AE31" i="170"/>
  <c r="AE46" i="170" s="1"/>
  <c r="Y57" i="170"/>
  <c r="X62" i="170"/>
  <c r="X74" i="170"/>
  <c r="X79" i="170" s="1"/>
  <c r="X80" i="170" s="1"/>
  <c r="AD45" i="170"/>
  <c r="AD31" i="170"/>
  <c r="AD46" i="170" s="1"/>
  <c r="AD48" i="170"/>
  <c r="AD32" i="170"/>
  <c r="AD36" i="170" s="1"/>
  <c r="AD34" i="170"/>
  <c r="AE29" i="170"/>
  <c r="AE33" i="170"/>
  <c r="AN2" i="169"/>
  <c r="AN3" i="169" s="1"/>
  <c r="AM5" i="169"/>
  <c r="AH45" i="8" s="1"/>
  <c r="AM7" i="169"/>
  <c r="AM8" i="169" s="1"/>
  <c r="AH44" i="8" s="1"/>
  <c r="AL16" i="169"/>
  <c r="V32" i="170"/>
  <c r="E312" i="9"/>
  <c r="E313" i="9" s="1"/>
  <c r="E314" i="9" s="1"/>
  <c r="E315" i="9" s="1"/>
  <c r="E316" i="9" s="1"/>
  <c r="E317" i="9" s="1"/>
  <c r="E318" i="9" s="1"/>
  <c r="E319" i="9" s="1"/>
  <c r="E320" i="9" s="1"/>
  <c r="E321" i="9" s="1"/>
  <c r="E322" i="9" s="1"/>
  <c r="E323" i="9" s="1"/>
  <c r="E324" i="9" s="1"/>
  <c r="E325" i="9" s="1"/>
  <c r="E326" i="9" s="1"/>
  <c r="X16" i="101"/>
  <c r="Y16" i="101" s="1"/>
  <c r="Z16" i="101" s="1"/>
  <c r="AA16" i="101" s="1"/>
  <c r="AB16" i="101" s="1"/>
  <c r="AC16" i="101" s="1"/>
  <c r="W45" i="170"/>
  <c r="W31" i="170"/>
  <c r="W46" i="170" s="1"/>
  <c r="X44" i="170"/>
  <c r="X13" i="101"/>
  <c r="Y13" i="101" s="1"/>
  <c r="Z13" i="101" s="1"/>
  <c r="AA13" i="101" s="1"/>
  <c r="AB13" i="101" s="1"/>
  <c r="AC13" i="101" s="1"/>
  <c r="E384" i="9"/>
  <c r="E385" i="9" s="1"/>
  <c r="E386" i="9" s="1"/>
  <c r="E387" i="9" s="1"/>
  <c r="E388" i="9" s="1"/>
  <c r="E389" i="9" s="1"/>
  <c r="E390" i="9" s="1"/>
  <c r="E391" i="9" s="1"/>
  <c r="E392" i="9" s="1"/>
  <c r="E393" i="9" s="1"/>
  <c r="E394" i="9" s="1"/>
  <c r="E395" i="9" s="1"/>
  <c r="E396" i="9" s="1"/>
  <c r="E397" i="9" s="1"/>
  <c r="E398" i="9" s="1"/>
  <c r="W48" i="170"/>
  <c r="X14" i="101"/>
  <c r="Y14" i="101" s="1"/>
  <c r="Z14" i="101" s="1"/>
  <c r="AA14" i="101" s="1"/>
  <c r="AB14" i="101" s="1"/>
  <c r="AC14" i="101" s="1"/>
  <c r="E240" i="9"/>
  <c r="E241" i="9" s="1"/>
  <c r="E242" i="9" s="1"/>
  <c r="E243" i="9" s="1"/>
  <c r="E244" i="9" s="1"/>
  <c r="E245" i="9" s="1"/>
  <c r="E246" i="9" s="1"/>
  <c r="E247" i="9" s="1"/>
  <c r="E248" i="9" s="1"/>
  <c r="E249" i="9" s="1"/>
  <c r="E250" i="9" s="1"/>
  <c r="E251" i="9" s="1"/>
  <c r="E252" i="9" s="1"/>
  <c r="E253" i="9" s="1"/>
  <c r="E254" i="9" s="1"/>
  <c r="Y14" i="170"/>
  <c r="E276" i="9"/>
  <c r="E277" i="9" s="1"/>
  <c r="E278" i="9" s="1"/>
  <c r="E279" i="9" s="1"/>
  <c r="E280" i="9" s="1"/>
  <c r="E281" i="9" s="1"/>
  <c r="E282" i="9" s="1"/>
  <c r="E283" i="9" s="1"/>
  <c r="E284" i="9" s="1"/>
  <c r="E285" i="9" s="1"/>
  <c r="E286" i="9" s="1"/>
  <c r="E287" i="9" s="1"/>
  <c r="E288" i="9" s="1"/>
  <c r="E289" i="9" s="1"/>
  <c r="E290" i="9" s="1"/>
  <c r="X15" i="101"/>
  <c r="Y15" i="101" s="1"/>
  <c r="Z15" i="101" s="1"/>
  <c r="AA15" i="101" s="1"/>
  <c r="AB15" i="101" s="1"/>
  <c r="AC15" i="101" s="1"/>
  <c r="W29" i="170"/>
  <c r="W34" i="170" s="1"/>
  <c r="AO35" i="52"/>
  <c r="E346" i="9"/>
  <c r="Y12" i="170"/>
  <c r="Y16" i="170" s="1"/>
  <c r="AG51" i="8" l="1"/>
  <c r="AG16" i="103"/>
  <c r="AG32" i="103"/>
  <c r="AG48" i="103"/>
  <c r="AH5" i="103"/>
  <c r="AI4" i="103"/>
  <c r="AE62" i="8"/>
  <c r="AE40" i="170"/>
  <c r="AE63" i="8"/>
  <c r="AE64" i="8"/>
  <c r="AE66" i="8" s="1"/>
  <c r="AE70" i="8" s="1"/>
  <c r="E347" i="9"/>
  <c r="E348" i="9" s="1"/>
  <c r="E349" i="9" s="1"/>
  <c r="E350" i="9" s="1"/>
  <c r="E351" i="9" s="1"/>
  <c r="E352" i="9" s="1"/>
  <c r="E353" i="9" s="1"/>
  <c r="E354" i="9" s="1"/>
  <c r="E355" i="9" s="1"/>
  <c r="E356" i="9" s="1"/>
  <c r="E357" i="9" s="1"/>
  <c r="E358" i="9" s="1"/>
  <c r="E359" i="9" s="1"/>
  <c r="E360" i="9" s="1"/>
  <c r="E361" i="9" s="1"/>
  <c r="E362" i="9" s="1"/>
  <c r="AF75" i="8"/>
  <c r="AF74" i="8"/>
  <c r="AG73" i="8"/>
  <c r="AF76" i="8"/>
  <c r="AH4" i="137"/>
  <c r="AG5" i="137"/>
  <c r="AI5" i="101"/>
  <c r="AI10" i="101"/>
  <c r="AI7" i="101"/>
  <c r="AI20" i="101"/>
  <c r="AI19" i="101"/>
  <c r="AJ4" i="101"/>
  <c r="AI22" i="101"/>
  <c r="AI8" i="101"/>
  <c r="AI11" i="101"/>
  <c r="AI9" i="101"/>
  <c r="AI23" i="101"/>
  <c r="AF16" i="137"/>
  <c r="AF23" i="137"/>
  <c r="AF9" i="137"/>
  <c r="AH25" i="101"/>
  <c r="AH65" i="101"/>
  <c r="AH45" i="101"/>
  <c r="AG28" i="170"/>
  <c r="AG25" i="170" s="1"/>
  <c r="AG29" i="170" s="1"/>
  <c r="AF33" i="170"/>
  <c r="AF29" i="170"/>
  <c r="AH47" i="8"/>
  <c r="AF31" i="170"/>
  <c r="AF46" i="170" s="1"/>
  <c r="AF45" i="170"/>
  <c r="AI1" i="170"/>
  <c r="AH76" i="170"/>
  <c r="AH83" i="170" s="1"/>
  <c r="AH2" i="170"/>
  <c r="AH4" i="170"/>
  <c r="AH27" i="170" s="1"/>
  <c r="AH3" i="170"/>
  <c r="AH26" i="170" s="1"/>
  <c r="AH77" i="170"/>
  <c r="X21" i="170"/>
  <c r="Y17" i="170"/>
  <c r="Y18" i="170" s="1"/>
  <c r="T41" i="170"/>
  <c r="V47" i="170"/>
  <c r="V36" i="170"/>
  <c r="AD37" i="170"/>
  <c r="AD38" i="170" s="1"/>
  <c r="U37" i="170"/>
  <c r="U38" i="170" s="1"/>
  <c r="W84" i="170"/>
  <c r="AK19" i="169"/>
  <c r="AF43" i="8" s="1"/>
  <c r="AF62" i="8" s="1"/>
  <c r="AL17" i="169"/>
  <c r="AL18" i="169"/>
  <c r="W17" i="101"/>
  <c r="X17" i="101" s="1"/>
  <c r="Y17" i="101" s="1"/>
  <c r="Z17" i="101" s="1"/>
  <c r="AA17" i="101" s="1"/>
  <c r="AB17" i="101" s="1"/>
  <c r="AC17" i="101" s="1"/>
  <c r="X81" i="170"/>
  <c r="X63" i="170"/>
  <c r="X64" i="170" s="1"/>
  <c r="X67" i="170" s="1"/>
  <c r="AD15" i="101"/>
  <c r="AD16" i="101"/>
  <c r="AD14" i="101"/>
  <c r="AD13" i="101"/>
  <c r="AD49" i="170"/>
  <c r="AE48" i="170"/>
  <c r="Z57" i="170"/>
  <c r="Y62" i="170"/>
  <c r="Y74" i="170"/>
  <c r="Y79" i="170" s="1"/>
  <c r="Y80" i="170" s="1"/>
  <c r="AE32" i="170"/>
  <c r="AE36" i="170" s="1"/>
  <c r="AE34" i="170"/>
  <c r="AM16" i="169"/>
  <c r="AN5" i="169"/>
  <c r="AI45" i="8" s="1"/>
  <c r="AO2" i="169"/>
  <c r="AO3" i="169" s="1"/>
  <c r="AN7" i="169"/>
  <c r="AN8" i="169" s="1"/>
  <c r="AI44" i="8" s="1"/>
  <c r="V49" i="170"/>
  <c r="W32" i="170"/>
  <c r="X45" i="170"/>
  <c r="X31" i="170"/>
  <c r="X46" i="170" s="1"/>
  <c r="X48" i="170"/>
  <c r="Z14" i="170"/>
  <c r="Y44" i="170"/>
  <c r="Z12" i="170"/>
  <c r="Z16" i="170" s="1"/>
  <c r="X29" i="170"/>
  <c r="X34" i="170" s="1"/>
  <c r="AH51" i="8" l="1"/>
  <c r="AJ4" i="103"/>
  <c r="AI5" i="103"/>
  <c r="AH32" i="103"/>
  <c r="AH48" i="103"/>
  <c r="AH16" i="103"/>
  <c r="AG30" i="170"/>
  <c r="AG31" i="170" s="1"/>
  <c r="AG46" i="170" s="1"/>
  <c r="AG33" i="170"/>
  <c r="AJ1" i="170"/>
  <c r="AI76" i="170"/>
  <c r="AI83" i="170" s="1"/>
  <c r="AI77" i="170"/>
  <c r="AI3" i="170"/>
  <c r="AI26" i="170" s="1"/>
  <c r="AI2" i="170"/>
  <c r="AI4" i="170"/>
  <c r="AI27" i="170" s="1"/>
  <c r="AI65" i="101"/>
  <c r="AI25" i="101"/>
  <c r="AI45" i="101"/>
  <c r="AG9" i="137"/>
  <c r="AG16" i="137"/>
  <c r="AG23" i="137"/>
  <c r="AF32" i="170"/>
  <c r="AF36" i="170" s="1"/>
  <c r="AF37" i="170" s="1"/>
  <c r="AF38" i="170" s="1"/>
  <c r="AF34" i="170"/>
  <c r="AI4" i="137"/>
  <c r="AH5" i="137"/>
  <c r="AG45" i="170"/>
  <c r="AG32" i="170"/>
  <c r="AG36" i="170" s="1"/>
  <c r="AG37" i="170" s="1"/>
  <c r="AG38" i="170" s="1"/>
  <c r="AG34" i="170"/>
  <c r="AG74" i="8"/>
  <c r="AH73" i="8"/>
  <c r="AG76" i="8"/>
  <c r="AG75" i="8"/>
  <c r="AF40" i="170"/>
  <c r="AF48" i="170"/>
  <c r="AF63" i="8"/>
  <c r="AF64" i="8"/>
  <c r="AF66" i="8" s="1"/>
  <c r="AF70" i="8" s="1"/>
  <c r="AI47" i="8"/>
  <c r="AJ10" i="101"/>
  <c r="AJ5" i="101"/>
  <c r="AJ23" i="101"/>
  <c r="AJ22" i="101"/>
  <c r="AJ8" i="101"/>
  <c r="AJ9" i="101"/>
  <c r="AK4" i="101"/>
  <c r="AJ11" i="101"/>
  <c r="AJ7" i="101"/>
  <c r="AJ20" i="101"/>
  <c r="AJ19" i="101"/>
  <c r="AH28" i="170"/>
  <c r="AH25" i="170" s="1"/>
  <c r="AH29" i="170" s="1"/>
  <c r="Z17" i="170"/>
  <c r="Z18" i="170" s="1"/>
  <c r="Y21" i="170"/>
  <c r="AD41" i="170"/>
  <c r="V37" i="170"/>
  <c r="V38" i="170" s="1"/>
  <c r="U41" i="170"/>
  <c r="AE37" i="170"/>
  <c r="AE38" i="170" s="1"/>
  <c r="W47" i="170"/>
  <c r="W36" i="170"/>
  <c r="X84" i="170"/>
  <c r="AL19" i="169"/>
  <c r="AG43" i="8" s="1"/>
  <c r="AM17" i="169"/>
  <c r="AM18" i="169"/>
  <c r="Y81" i="170"/>
  <c r="Y63" i="170"/>
  <c r="Y64" i="170" s="1"/>
  <c r="Y67" i="170" s="1"/>
  <c r="AE14" i="101"/>
  <c r="AE16" i="101"/>
  <c r="AE15" i="101"/>
  <c r="AD17" i="101"/>
  <c r="AE13" i="101"/>
  <c r="AF13" i="101" s="1"/>
  <c r="AE49" i="170"/>
  <c r="AA57" i="170"/>
  <c r="Z62" i="170"/>
  <c r="Z74" i="170"/>
  <c r="Z79" i="170" s="1"/>
  <c r="Z80" i="170" s="1"/>
  <c r="AN16" i="169"/>
  <c r="AO7" i="169"/>
  <c r="AO8" i="169" s="1"/>
  <c r="AJ44" i="8" s="1"/>
  <c r="AO5" i="169"/>
  <c r="AJ45" i="8" s="1"/>
  <c r="AP2" i="169"/>
  <c r="AP3" i="169" s="1"/>
  <c r="W49" i="170"/>
  <c r="X49" i="170"/>
  <c r="X32" i="170"/>
  <c r="Z44" i="170"/>
  <c r="Y48" i="170"/>
  <c r="AA14" i="170"/>
  <c r="Y45" i="170"/>
  <c r="Y31" i="170"/>
  <c r="Y46" i="170" s="1"/>
  <c r="AA12" i="170"/>
  <c r="AA16" i="170" s="1"/>
  <c r="Y29" i="170"/>
  <c r="Y34" i="170" s="1"/>
  <c r="AI51" i="8" l="1"/>
  <c r="AG48" i="170"/>
  <c r="AG40" i="170"/>
  <c r="AI48" i="103"/>
  <c r="AI32" i="103"/>
  <c r="AI16" i="103"/>
  <c r="AJ5" i="103"/>
  <c r="AK4" i="103"/>
  <c r="AH33" i="170"/>
  <c r="AH48" i="170" s="1"/>
  <c r="AJ25" i="101"/>
  <c r="AJ65" i="101"/>
  <c r="AJ45" i="101"/>
  <c r="AG41" i="170"/>
  <c r="AH30" i="170"/>
  <c r="AH32" i="170"/>
  <c r="AH36" i="170" s="1"/>
  <c r="AH34" i="170"/>
  <c r="AH16" i="137"/>
  <c r="AH23" i="137"/>
  <c r="AH9" i="137"/>
  <c r="AI5" i="137"/>
  <c r="AJ4" i="137"/>
  <c r="AF49" i="170"/>
  <c r="AK19" i="101"/>
  <c r="AK20" i="101"/>
  <c r="AK7" i="101"/>
  <c r="AK10" i="101"/>
  <c r="AK22" i="101"/>
  <c r="AK8" i="101"/>
  <c r="AK11" i="101"/>
  <c r="AL4" i="101"/>
  <c r="AK9" i="101"/>
  <c r="AK23" i="101"/>
  <c r="AK5" i="101"/>
  <c r="AG64" i="8"/>
  <c r="AG66" i="8" s="1"/>
  <c r="AG70" i="8" s="1"/>
  <c r="AG63" i="8"/>
  <c r="AF41" i="170"/>
  <c r="AH74" i="8"/>
  <c r="AI73" i="8"/>
  <c r="AH76" i="8"/>
  <c r="AH75" i="8"/>
  <c r="AG62" i="8"/>
  <c r="AI28" i="170"/>
  <c r="AI25" i="170" s="1"/>
  <c r="AI29" i="170" s="1"/>
  <c r="AJ47" i="8"/>
  <c r="AG49" i="170"/>
  <c r="AJ77" i="170"/>
  <c r="AJ2" i="170"/>
  <c r="AJ4" i="170"/>
  <c r="AJ27" i="170" s="1"/>
  <c r="AJ76" i="170"/>
  <c r="AJ83" i="170" s="1"/>
  <c r="AK1" i="170"/>
  <c r="AJ3" i="170"/>
  <c r="AJ26" i="170" s="1"/>
  <c r="AG13" i="101"/>
  <c r="AF15" i="101"/>
  <c r="AF16" i="101"/>
  <c r="AF14" i="101"/>
  <c r="AA17" i="170"/>
  <c r="AA18" i="170" s="1"/>
  <c r="Z21" i="170"/>
  <c r="AE41" i="170"/>
  <c r="V41" i="170"/>
  <c r="W37" i="170"/>
  <c r="W38" i="170" s="1"/>
  <c r="X47" i="170"/>
  <c r="X36" i="170"/>
  <c r="Y84" i="170"/>
  <c r="AN17" i="169"/>
  <c r="AN18" i="169"/>
  <c r="AM19" i="169"/>
  <c r="AH43" i="8" s="1"/>
  <c r="Z81" i="170"/>
  <c r="Z63" i="170"/>
  <c r="Z64" i="170" s="1"/>
  <c r="Z67" i="170" s="1"/>
  <c r="AE17" i="101"/>
  <c r="AB57" i="170"/>
  <c r="AA62" i="170"/>
  <c r="AA74" i="170"/>
  <c r="AA79" i="170" s="1"/>
  <c r="AA80" i="170" s="1"/>
  <c r="AP5" i="169"/>
  <c r="AK45" i="8" s="1"/>
  <c r="AP7" i="169"/>
  <c r="AP8" i="169" s="1"/>
  <c r="AK44" i="8" s="1"/>
  <c r="AQ2" i="169"/>
  <c r="AQ3" i="169" s="1"/>
  <c r="AO16" i="169"/>
  <c r="Y49" i="170"/>
  <c r="Y32" i="170"/>
  <c r="Z45" i="170"/>
  <c r="Z31" i="170"/>
  <c r="Z46" i="170" s="1"/>
  <c r="AB14" i="170"/>
  <c r="Z48" i="170"/>
  <c r="AA44" i="170"/>
  <c r="AB12" i="170"/>
  <c r="Z29" i="170"/>
  <c r="Z34" i="170" s="1"/>
  <c r="AJ51" i="8" l="1"/>
  <c r="AL4" i="103"/>
  <c r="AK5" i="103"/>
  <c r="AJ48" i="103"/>
  <c r="AJ32" i="103"/>
  <c r="AJ16" i="103"/>
  <c r="AH40" i="170"/>
  <c r="AH62" i="8"/>
  <c r="AI30" i="170"/>
  <c r="AI32" i="170"/>
  <c r="AI36" i="170" s="1"/>
  <c r="AI34" i="170"/>
  <c r="AH63" i="8"/>
  <c r="AH64" i="8"/>
  <c r="AH66" i="8" s="1"/>
  <c r="AH70" i="8" s="1"/>
  <c r="AK4" i="137"/>
  <c r="AJ5" i="137"/>
  <c r="AI9" i="137"/>
  <c r="AI16" i="137"/>
  <c r="AI23" i="137"/>
  <c r="AJ28" i="170"/>
  <c r="AJ25" i="170" s="1"/>
  <c r="AJ29" i="170" s="1"/>
  <c r="AI74" i="8"/>
  <c r="AJ73" i="8"/>
  <c r="AI76" i="8"/>
  <c r="AI75" i="8"/>
  <c r="AK47" i="8"/>
  <c r="AL1" i="170"/>
  <c r="AK3" i="170"/>
  <c r="AK26" i="170" s="1"/>
  <c r="AK4" i="170"/>
  <c r="AK27" i="170" s="1"/>
  <c r="AK2" i="170"/>
  <c r="AK76" i="170"/>
  <c r="AK83" i="170" s="1"/>
  <c r="AK77" i="170"/>
  <c r="AK25" i="101"/>
  <c r="AK65" i="101"/>
  <c r="AK45" i="101"/>
  <c r="AH49" i="170"/>
  <c r="AH37" i="170"/>
  <c r="AH38" i="170" s="1"/>
  <c r="AH45" i="170"/>
  <c r="AH31" i="170"/>
  <c r="AH46" i="170" s="1"/>
  <c r="AL10" i="101"/>
  <c r="AL5" i="101"/>
  <c r="AL23" i="101"/>
  <c r="AL22" i="101"/>
  <c r="AL8" i="101"/>
  <c r="AL7" i="101"/>
  <c r="AL11" i="101"/>
  <c r="AM4" i="101"/>
  <c r="AL9" i="101"/>
  <c r="AL20" i="101"/>
  <c r="AL19" i="101"/>
  <c r="AI33" i="170"/>
  <c r="AG14" i="101"/>
  <c r="AG16" i="101"/>
  <c r="AG15" i="101"/>
  <c r="AF17" i="101"/>
  <c r="AH13" i="101"/>
  <c r="AA21" i="170"/>
  <c r="AC12" i="170"/>
  <c r="AC16" i="170" s="1"/>
  <c r="AB16" i="170"/>
  <c r="AR2" i="169"/>
  <c r="AR3" i="169" s="1"/>
  <c r="W41" i="170"/>
  <c r="X37" i="170"/>
  <c r="X38" i="170" s="1"/>
  <c r="Y47" i="170"/>
  <c r="Y36" i="170"/>
  <c r="AN19" i="169"/>
  <c r="AI43" i="8" s="1"/>
  <c r="AO17" i="169"/>
  <c r="AO18" i="169"/>
  <c r="Z84" i="170"/>
  <c r="AA81" i="170"/>
  <c r="AA63" i="170"/>
  <c r="AA64" i="170" s="1"/>
  <c r="AA67" i="170" s="1"/>
  <c r="AC57" i="170"/>
  <c r="AB62" i="170"/>
  <c r="AB74" i="170"/>
  <c r="AB79" i="170" s="1"/>
  <c r="AB80" i="170" s="1"/>
  <c r="AQ7" i="169"/>
  <c r="AQ8" i="169" s="1"/>
  <c r="AL44" i="8" s="1"/>
  <c r="AP16" i="169"/>
  <c r="Z32" i="170"/>
  <c r="AA29" i="170"/>
  <c r="AA34" i="170" s="1"/>
  <c r="AA45" i="170"/>
  <c r="AA31" i="170"/>
  <c r="AA46" i="170" s="1"/>
  <c r="AB44" i="170"/>
  <c r="AA48" i="170"/>
  <c r="AK51" i="8" l="1"/>
  <c r="AK48" i="103"/>
  <c r="AK32" i="103"/>
  <c r="AK16" i="103"/>
  <c r="AM4" i="103"/>
  <c r="AL5" i="103"/>
  <c r="AI62" i="8"/>
  <c r="AH41" i="170"/>
  <c r="AJ30" i="170"/>
  <c r="AM23" i="101"/>
  <c r="AM22" i="101"/>
  <c r="AM9" i="101"/>
  <c r="AM8" i="101"/>
  <c r="AM20" i="101"/>
  <c r="AM7" i="101"/>
  <c r="AM11" i="101"/>
  <c r="AN4" i="101"/>
  <c r="AM19" i="101"/>
  <c r="AM10" i="101"/>
  <c r="AM5" i="101"/>
  <c r="AJ16" i="137"/>
  <c r="AJ9" i="137"/>
  <c r="AJ23" i="137"/>
  <c r="AK5" i="137"/>
  <c r="AL4" i="137"/>
  <c r="AK28" i="170"/>
  <c r="AK25" i="170" s="1"/>
  <c r="AK29" i="170" s="1"/>
  <c r="AL25" i="101"/>
  <c r="AL45" i="101"/>
  <c r="AL65" i="101"/>
  <c r="AL77" i="170"/>
  <c r="AL3" i="170"/>
  <c r="AL26" i="170" s="1"/>
  <c r="AL4" i="170"/>
  <c r="AL27" i="170" s="1"/>
  <c r="AM1" i="170"/>
  <c r="AL76" i="170"/>
  <c r="AL83" i="170" s="1"/>
  <c r="AL2" i="170"/>
  <c r="AJ32" i="170"/>
  <c r="AJ36" i="170" s="1"/>
  <c r="AJ34" i="170"/>
  <c r="AI40" i="170"/>
  <c r="AI48" i="170"/>
  <c r="AI49" i="170"/>
  <c r="AI63" i="8"/>
  <c r="AI64" i="8"/>
  <c r="AI66" i="8" s="1"/>
  <c r="AI70" i="8" s="1"/>
  <c r="AI37" i="170"/>
  <c r="AI38" i="170" s="1"/>
  <c r="AJ74" i="8"/>
  <c r="AK73" i="8"/>
  <c r="AJ76" i="8"/>
  <c r="AJ75" i="8"/>
  <c r="AI45" i="170"/>
  <c r="AI31" i="170"/>
  <c r="AI46" i="170" s="1"/>
  <c r="AJ33" i="170"/>
  <c r="AI13" i="101"/>
  <c r="AG17" i="101"/>
  <c r="AH15" i="101"/>
  <c r="AH16" i="101"/>
  <c r="AH14" i="101"/>
  <c r="AD12" i="170"/>
  <c r="AD16" i="170" s="1"/>
  <c r="AD17" i="170" s="1"/>
  <c r="AD18" i="170" s="1"/>
  <c r="AC47" i="170"/>
  <c r="AB17" i="170"/>
  <c r="AB18" i="170" s="1"/>
  <c r="AC17" i="170"/>
  <c r="AC18" i="170" s="1"/>
  <c r="AR7" i="169"/>
  <c r="AS2" i="169"/>
  <c r="AS3" i="169" s="1"/>
  <c r="AR5" i="169"/>
  <c r="AM45" i="8" s="1"/>
  <c r="X41" i="170"/>
  <c r="Z47" i="170"/>
  <c r="Z36" i="170"/>
  <c r="Y37" i="170"/>
  <c r="Y38" i="170" s="1"/>
  <c r="AA84" i="170"/>
  <c r="AO19" i="169"/>
  <c r="AJ43" i="8" s="1"/>
  <c r="AP17" i="169"/>
  <c r="AP18" i="169"/>
  <c r="AB81" i="170"/>
  <c r="AB63" i="170"/>
  <c r="AB64" i="170" s="1"/>
  <c r="AB67" i="170" s="1"/>
  <c r="AC62" i="170"/>
  <c r="AD57" i="170"/>
  <c r="AC74" i="170"/>
  <c r="AC79" i="170" s="1"/>
  <c r="AC80" i="170" s="1"/>
  <c r="AE12" i="170"/>
  <c r="AF12" i="170" s="1"/>
  <c r="AD47" i="170"/>
  <c r="AQ5" i="169"/>
  <c r="AL45" i="8" s="1"/>
  <c r="AQ16" i="169"/>
  <c r="AQ18" i="169" s="1"/>
  <c r="Z49" i="170"/>
  <c r="AA32" i="170"/>
  <c r="AB48" i="170"/>
  <c r="AB29" i="170"/>
  <c r="AB34" i="170" s="1"/>
  <c r="AB45" i="170"/>
  <c r="AB31" i="170"/>
  <c r="AB46" i="170" s="1"/>
  <c r="AL48" i="103" l="1"/>
  <c r="AL32" i="103"/>
  <c r="AL16" i="103"/>
  <c r="AN4" i="103"/>
  <c r="AM5" i="103"/>
  <c r="AJ37" i="170"/>
  <c r="AJ38" i="170" s="1"/>
  <c r="AJ48" i="170"/>
  <c r="AJ40" i="170"/>
  <c r="AL47" i="8"/>
  <c r="AL51" i="8" s="1"/>
  <c r="AM25" i="101"/>
  <c r="AM65" i="101"/>
  <c r="AM45" i="101"/>
  <c r="AJ62" i="8"/>
  <c r="AL28" i="170"/>
  <c r="AL25" i="170" s="1"/>
  <c r="AL29" i="170" s="1"/>
  <c r="AM47" i="8"/>
  <c r="AN19" i="101"/>
  <c r="AN10" i="101"/>
  <c r="AN5" i="101"/>
  <c r="AN20" i="101"/>
  <c r="AN7" i="101"/>
  <c r="AN23" i="101"/>
  <c r="AN9" i="101"/>
  <c r="AN8" i="101"/>
  <c r="AN11" i="101"/>
  <c r="AO4" i="101"/>
  <c r="AN22" i="101"/>
  <c r="AM76" i="170"/>
  <c r="AM83" i="170" s="1"/>
  <c r="AM77" i="170"/>
  <c r="AM4" i="170"/>
  <c r="AM27" i="170" s="1"/>
  <c r="AM3" i="170"/>
  <c r="AM26" i="170" s="1"/>
  <c r="AN1" i="170"/>
  <c r="AM2" i="170"/>
  <c r="AK74" i="8"/>
  <c r="AL73" i="8"/>
  <c r="AK76" i="8"/>
  <c r="AK75" i="8"/>
  <c r="AK30" i="170"/>
  <c r="AK33" i="170"/>
  <c r="AK32" i="170"/>
  <c r="AK36" i="170" s="1"/>
  <c r="AK37" i="170" s="1"/>
  <c r="AK38" i="170" s="1"/>
  <c r="AK34" i="170"/>
  <c r="AL5" i="137"/>
  <c r="AM4" i="137"/>
  <c r="AJ45" i="170"/>
  <c r="AJ31" i="170"/>
  <c r="AJ46" i="170" s="1"/>
  <c r="AK9" i="137"/>
  <c r="AK23" i="137"/>
  <c r="AK16" i="137"/>
  <c r="AI41" i="170"/>
  <c r="AJ64" i="8"/>
  <c r="AJ66" i="8" s="1"/>
  <c r="AJ70" i="8" s="1"/>
  <c r="AJ63" i="8"/>
  <c r="AJ49" i="170"/>
  <c r="AI16" i="101"/>
  <c r="AI15" i="101"/>
  <c r="AI14" i="101"/>
  <c r="AH17" i="101"/>
  <c r="AJ13" i="101"/>
  <c r="AG12" i="170"/>
  <c r="AF16" i="170"/>
  <c r="AF47" i="170"/>
  <c r="AC21" i="170"/>
  <c r="AD21" i="170"/>
  <c r="AB21" i="170"/>
  <c r="AE47" i="170"/>
  <c r="AE16" i="170"/>
  <c r="AS7" i="169"/>
  <c r="AT2" i="169"/>
  <c r="AT3" i="169" s="1"/>
  <c r="AS5" i="169"/>
  <c r="AN45" i="8" s="1"/>
  <c r="AR16" i="169"/>
  <c r="AR8" i="169"/>
  <c r="AM44" i="8" s="1"/>
  <c r="AP19" i="169"/>
  <c r="AK43" i="8" s="1"/>
  <c r="AK62" i="8" s="1"/>
  <c r="Y41" i="170"/>
  <c r="AA47" i="170"/>
  <c r="AA36" i="170"/>
  <c r="Z37" i="170"/>
  <c r="Z38" i="170" s="1"/>
  <c r="AB84" i="170"/>
  <c r="AC81" i="170"/>
  <c r="AC63" i="170"/>
  <c r="AC64" i="170" s="1"/>
  <c r="AC67" i="170" s="1"/>
  <c r="AD62" i="170"/>
  <c r="AE57" i="170"/>
  <c r="AF57" i="170" s="1"/>
  <c r="AD74" i="170"/>
  <c r="AD79" i="170" s="1"/>
  <c r="AD80" i="170" s="1"/>
  <c r="AB43" i="8"/>
  <c r="AQ17" i="169"/>
  <c r="AQ19" i="169" s="1"/>
  <c r="AL43" i="8" s="1"/>
  <c r="AA49" i="170"/>
  <c r="AB32" i="170"/>
  <c r="AM51" i="8" l="1"/>
  <c r="AM48" i="103"/>
  <c r="AM32" i="103"/>
  <c r="AM16" i="103"/>
  <c r="AO4" i="103"/>
  <c r="AN5" i="103"/>
  <c r="AL74" i="8"/>
  <c r="AM73" i="8"/>
  <c r="AL76" i="8"/>
  <c r="AL75" i="8"/>
  <c r="AL62" i="8" s="1"/>
  <c r="AL32" i="170"/>
  <c r="AL36" i="170" s="1"/>
  <c r="AL34" i="170"/>
  <c r="AL33" i="170"/>
  <c r="AL30" i="170"/>
  <c r="AM28" i="170"/>
  <c r="AM25" i="170" s="1"/>
  <c r="AN3" i="170"/>
  <c r="AN26" i="170" s="1"/>
  <c r="AN77" i="170"/>
  <c r="AO1" i="170"/>
  <c r="AK34" i="103" s="1"/>
  <c r="AN4" i="170"/>
  <c r="AN27" i="170" s="1"/>
  <c r="AN76" i="170"/>
  <c r="AN83" i="170" s="1"/>
  <c r="AN2" i="170"/>
  <c r="AA34" i="103"/>
  <c r="AA41" i="103" s="1"/>
  <c r="AE20" i="229"/>
  <c r="W18" i="137"/>
  <c r="W20" i="137" s="1"/>
  <c r="AF47" i="101"/>
  <c r="AM5" i="137"/>
  <c r="AN4" i="137"/>
  <c r="AL16" i="137"/>
  <c r="AL9" i="137"/>
  <c r="AL23" i="137"/>
  <c r="AO5" i="101"/>
  <c r="AO23" i="101"/>
  <c r="AO8" i="101"/>
  <c r="AO20" i="101"/>
  <c r="AO7" i="101"/>
  <c r="AO22" i="101"/>
  <c r="AO11" i="101"/>
  <c r="AO9" i="101"/>
  <c r="AO19" i="101"/>
  <c r="AO10" i="101"/>
  <c r="AK41" i="170"/>
  <c r="AK18" i="137"/>
  <c r="AK20" i="137" s="1"/>
  <c r="AL27" i="101"/>
  <c r="AK49" i="170"/>
  <c r="AK48" i="170"/>
  <c r="AK40" i="170"/>
  <c r="AJ41" i="170"/>
  <c r="AK45" i="170"/>
  <c r="AK31" i="170"/>
  <c r="AK46" i="170" s="1"/>
  <c r="AD11" i="229"/>
  <c r="AK63" i="8"/>
  <c r="AK64" i="8"/>
  <c r="AK66" i="8" s="1"/>
  <c r="AK70" i="8" s="1"/>
  <c r="AN65" i="101"/>
  <c r="AN45" i="101"/>
  <c r="AN25" i="101"/>
  <c r="AN47" i="8"/>
  <c r="AN51" i="8" s="1"/>
  <c r="AJ15" i="101"/>
  <c r="AI17" i="101"/>
  <c r="AJ16" i="101"/>
  <c r="AJ14" i="101"/>
  <c r="AK13" i="101"/>
  <c r="AF17" i="170"/>
  <c r="AF18" i="170" s="1"/>
  <c r="AF21" i="170" s="1"/>
  <c r="AF11" i="229" s="1"/>
  <c r="AH12" i="170"/>
  <c r="AG16" i="170"/>
  <c r="AG47" i="170"/>
  <c r="AG57" i="170"/>
  <c r="AF62" i="170"/>
  <c r="AF74" i="170"/>
  <c r="AF79" i="170" s="1"/>
  <c r="AE17" i="170"/>
  <c r="AE18" i="170" s="1"/>
  <c r="AR17" i="169"/>
  <c r="AR18" i="169"/>
  <c r="AU2" i="169"/>
  <c r="AU3" i="169" s="1"/>
  <c r="AT7" i="169"/>
  <c r="AT5" i="169"/>
  <c r="AO45" i="8" s="1"/>
  <c r="AS16" i="169"/>
  <c r="AS8" i="169"/>
  <c r="AN44" i="8" s="1"/>
  <c r="Z41" i="170"/>
  <c r="AB47" i="170"/>
  <c r="AB36" i="170"/>
  <c r="AA37" i="170"/>
  <c r="AA38" i="170" s="1"/>
  <c r="AA18" i="137" s="1"/>
  <c r="AC84" i="170"/>
  <c r="AD81" i="170"/>
  <c r="AD63" i="170"/>
  <c r="AD64" i="170" s="1"/>
  <c r="AD67" i="170" s="1"/>
  <c r="AE62" i="170"/>
  <c r="AE74" i="170"/>
  <c r="AE79" i="170" s="1"/>
  <c r="AE80" i="170" s="1"/>
  <c r="AB62" i="8"/>
  <c r="AB49" i="170"/>
  <c r="D25" i="211" s="1"/>
  <c r="Y20" i="229" l="1"/>
  <c r="AC11" i="229"/>
  <c r="AC20" i="229"/>
  <c r="AK41" i="103"/>
  <c r="AK37" i="103"/>
  <c r="AJ20" i="229"/>
  <c r="AK28" i="101"/>
  <c r="Z18" i="137"/>
  <c r="AK48" i="101"/>
  <c r="AI21" i="229"/>
  <c r="AK21" i="229"/>
  <c r="AE34" i="103"/>
  <c r="X18" i="137"/>
  <c r="X20" i="137" s="1"/>
  <c r="AK47" i="101"/>
  <c r="AA11" i="229"/>
  <c r="AD21" i="229"/>
  <c r="Y18" i="137"/>
  <c r="Y20" i="137" s="1"/>
  <c r="AF48" i="101"/>
  <c r="AF50" i="101" s="1"/>
  <c r="AF56" i="101" s="1"/>
  <c r="AF62" i="101" s="1"/>
  <c r="AF11" i="137"/>
  <c r="Z47" i="101"/>
  <c r="X34" i="103"/>
  <c r="X37" i="103" s="1"/>
  <c r="AK20" i="229"/>
  <c r="AK22" i="229" s="1"/>
  <c r="AK24" i="229" s="1"/>
  <c r="AB11" i="229"/>
  <c r="AJ21" i="229"/>
  <c r="AJ22" i="229" s="1"/>
  <c r="AJ24" i="229" s="1"/>
  <c r="U20" i="229"/>
  <c r="AJ19" i="103"/>
  <c r="AI34" i="103"/>
  <c r="AH19" i="103"/>
  <c r="AH27" i="101"/>
  <c r="AH35" i="103"/>
  <c r="AF34" i="103"/>
  <c r="AH48" i="101"/>
  <c r="AK35" i="103"/>
  <c r="T20" i="229"/>
  <c r="AF19" i="103"/>
  <c r="AF18" i="103"/>
  <c r="AG18" i="103"/>
  <c r="AG19" i="103"/>
  <c r="AH18" i="103"/>
  <c r="AF35" i="103"/>
  <c r="AI19" i="103"/>
  <c r="AK18" i="103"/>
  <c r="AL18" i="103"/>
  <c r="AL19" i="103"/>
  <c r="AM19" i="103"/>
  <c r="AM18" i="103"/>
  <c r="AJ35" i="103"/>
  <c r="AK19" i="103"/>
  <c r="AJ18" i="103"/>
  <c r="AI35" i="103"/>
  <c r="AI18" i="103"/>
  <c r="AJ34" i="103"/>
  <c r="AH34" i="103"/>
  <c r="AG34" i="103"/>
  <c r="AN19" i="103"/>
  <c r="AN18" i="103"/>
  <c r="AJ28" i="101"/>
  <c r="AJ48" i="101"/>
  <c r="AN48" i="103"/>
  <c r="AN16" i="103"/>
  <c r="AN32" i="103"/>
  <c r="AO18" i="103"/>
  <c r="AO5" i="103"/>
  <c r="AO19" i="103"/>
  <c r="AL35" i="103"/>
  <c r="AL42" i="103" s="1"/>
  <c r="W20" i="229"/>
  <c r="AH47" i="101"/>
  <c r="AH54" i="101" s="1"/>
  <c r="AH60" i="101" s="1"/>
  <c r="AJ18" i="137"/>
  <c r="AJ20" i="137" s="1"/>
  <c r="AL34" i="103"/>
  <c r="AL37" i="103" s="1"/>
  <c r="AG35" i="103"/>
  <c r="AA37" i="103"/>
  <c r="AF21" i="229"/>
  <c r="AI20" i="229"/>
  <c r="AI22" i="229" s="1"/>
  <c r="AI24" i="229" s="1"/>
  <c r="AD20" i="229"/>
  <c r="AI18" i="137"/>
  <c r="AI20" i="137" s="1"/>
  <c r="AG20" i="229"/>
  <c r="AI47" i="101"/>
  <c r="AG21" i="229"/>
  <c r="Z11" i="229"/>
  <c r="AO28" i="101"/>
  <c r="AG18" i="137"/>
  <c r="AG20" i="137" s="1"/>
  <c r="AN27" i="101"/>
  <c r="AO27" i="101"/>
  <c r="Z34" i="103"/>
  <c r="Z37" i="103" s="1"/>
  <c r="AN28" i="101"/>
  <c r="Y11" i="229"/>
  <c r="AJ27" i="101"/>
  <c r="AA47" i="101"/>
  <c r="X11" i="229"/>
  <c r="V20" i="229"/>
  <c r="AI48" i="101"/>
  <c r="S20" i="229"/>
  <c r="AM29" i="170"/>
  <c r="AM33" i="170"/>
  <c r="AM35" i="103" s="1"/>
  <c r="AM30" i="170"/>
  <c r="AO47" i="8"/>
  <c r="AO51" i="8" s="1"/>
  <c r="C45" i="8"/>
  <c r="C17" i="8"/>
  <c r="AF13" i="137"/>
  <c r="AL31" i="170"/>
  <c r="AL46" i="170" s="1"/>
  <c r="AL45" i="170"/>
  <c r="AO65" i="101"/>
  <c r="AO45" i="101"/>
  <c r="AO25" i="101"/>
  <c r="AL48" i="170"/>
  <c r="AL40" i="170"/>
  <c r="AL21" i="229" s="1"/>
  <c r="AL48" i="101"/>
  <c r="AF51" i="101"/>
  <c r="AF57" i="101" s="1"/>
  <c r="AL49" i="170"/>
  <c r="AL47" i="101"/>
  <c r="AL73" i="101" s="1"/>
  <c r="AL90" i="8" s="1"/>
  <c r="AE37" i="103"/>
  <c r="AE41" i="103"/>
  <c r="AL37" i="170"/>
  <c r="AL38" i="170" s="1"/>
  <c r="AN5" i="137"/>
  <c r="AO4" i="137"/>
  <c r="AM23" i="137"/>
  <c r="AM16" i="137"/>
  <c r="AM9" i="137"/>
  <c r="AL63" i="8"/>
  <c r="AL64" i="8"/>
  <c r="AL66" i="8" s="1"/>
  <c r="AL70" i="8" s="1"/>
  <c r="AN28" i="170"/>
  <c r="AN25" i="170" s="1"/>
  <c r="AN29" i="170" s="1"/>
  <c r="AM75" i="8"/>
  <c r="AN73" i="8"/>
  <c r="AM74" i="8"/>
  <c r="AM76" i="8"/>
  <c r="AO77" i="170"/>
  <c r="AO76" i="170"/>
  <c r="AO83" i="170" s="1"/>
  <c r="AO3" i="170"/>
  <c r="AO26" i="170" s="1"/>
  <c r="AO4" i="170"/>
  <c r="AO27" i="170" s="1"/>
  <c r="AO2" i="170"/>
  <c r="D12" i="229"/>
  <c r="AG12" i="229"/>
  <c r="W26" i="121"/>
  <c r="W31" i="121" s="1"/>
  <c r="V12" i="229"/>
  <c r="G11" i="225"/>
  <c r="AD12" i="229"/>
  <c r="AE12" i="229"/>
  <c r="J18" i="225"/>
  <c r="J20" i="225" s="1"/>
  <c r="AD11" i="225"/>
  <c r="AF12" i="229"/>
  <c r="AF13" i="229" s="1"/>
  <c r="Y11" i="225"/>
  <c r="AI18" i="225"/>
  <c r="AI20" i="225" s="1"/>
  <c r="AB11" i="225"/>
  <c r="AB13" i="225" s="1"/>
  <c r="AC12" i="229"/>
  <c r="AC13" i="229" s="1"/>
  <c r="AE11" i="225"/>
  <c r="AH12" i="229"/>
  <c r="AH18" i="225"/>
  <c r="AH20" i="225" s="1"/>
  <c r="Y18" i="225"/>
  <c r="Y20" i="225" s="1"/>
  <c r="C11" i="225"/>
  <c r="V11" i="225"/>
  <c r="R11" i="225"/>
  <c r="AN12" i="229"/>
  <c r="AA11" i="225"/>
  <c r="AA13" i="225" s="1"/>
  <c r="T11" i="225"/>
  <c r="C11" i="229"/>
  <c r="AF18" i="225"/>
  <c r="AF20" i="225" s="1"/>
  <c r="AI12" i="229"/>
  <c r="D11" i="229"/>
  <c r="X11" i="225"/>
  <c r="AK12" i="229"/>
  <c r="T18" i="225"/>
  <c r="T20" i="225" s="1"/>
  <c r="AF11" i="225"/>
  <c r="S11" i="225"/>
  <c r="O18" i="225"/>
  <c r="O20" i="225" s="1"/>
  <c r="AE18" i="225"/>
  <c r="AE20" i="225" s="1"/>
  <c r="W18" i="225"/>
  <c r="W20" i="225" s="1"/>
  <c r="J11" i="225"/>
  <c r="U18" i="225"/>
  <c r="U20" i="225" s="1"/>
  <c r="Q11" i="225"/>
  <c r="AD18" i="225"/>
  <c r="AD20" i="225" s="1"/>
  <c r="W11" i="225"/>
  <c r="N11" i="225"/>
  <c r="Z11" i="225"/>
  <c r="Z13" i="225" s="1"/>
  <c r="AL12" i="229"/>
  <c r="L11" i="225"/>
  <c r="F11" i="225"/>
  <c r="U11" i="225"/>
  <c r="P18" i="225"/>
  <c r="P20" i="225" s="1"/>
  <c r="K18" i="225"/>
  <c r="K20" i="225" s="1"/>
  <c r="R18" i="225"/>
  <c r="R20" i="225" s="1"/>
  <c r="E11" i="225"/>
  <c r="C12" i="229"/>
  <c r="AO12" i="229"/>
  <c r="H11" i="225"/>
  <c r="X18" i="225"/>
  <c r="X20" i="225" s="1"/>
  <c r="Q18" i="225"/>
  <c r="Q20" i="225" s="1"/>
  <c r="V18" i="225"/>
  <c r="V20" i="225" s="1"/>
  <c r="U12" i="229"/>
  <c r="O13" i="121"/>
  <c r="O26" i="121"/>
  <c r="O31" i="121" s="1"/>
  <c r="T14" i="121"/>
  <c r="T19" i="121" s="1"/>
  <c r="AC14" i="121"/>
  <c r="AC19" i="121" s="1"/>
  <c r="AA18" i="225"/>
  <c r="O25" i="121"/>
  <c r="X25" i="121"/>
  <c r="P12" i="229"/>
  <c r="AA25" i="121"/>
  <c r="AE25" i="121"/>
  <c r="AM13" i="121"/>
  <c r="U14" i="121"/>
  <c r="U19" i="121" s="1"/>
  <c r="AG26" i="121"/>
  <c r="AG31" i="121" s="1"/>
  <c r="X14" i="121"/>
  <c r="X19" i="121" s="1"/>
  <c r="J26" i="121"/>
  <c r="J31" i="121" s="1"/>
  <c r="E14" i="121"/>
  <c r="E19" i="121" s="1"/>
  <c r="K14" i="121"/>
  <c r="K19" i="121" s="1"/>
  <c r="S25" i="121"/>
  <c r="AD25" i="121"/>
  <c r="L13" i="121"/>
  <c r="W14" i="121"/>
  <c r="W19" i="121" s="1"/>
  <c r="AK18" i="225"/>
  <c r="AK20" i="225" s="1"/>
  <c r="Q25" i="121"/>
  <c r="C18" i="103"/>
  <c r="AE14" i="121"/>
  <c r="AE19" i="121" s="1"/>
  <c r="Z18" i="225"/>
  <c r="Z20" i="225" s="1"/>
  <c r="AG18" i="225"/>
  <c r="AG20" i="225" s="1"/>
  <c r="Q12" i="229"/>
  <c r="P13" i="121"/>
  <c r="AB25" i="121"/>
  <c r="AB14" i="121"/>
  <c r="AB19" i="121" s="1"/>
  <c r="Y25" i="121"/>
  <c r="Q26" i="121"/>
  <c r="Q31" i="121" s="1"/>
  <c r="AH26" i="121"/>
  <c r="AH31" i="121" s="1"/>
  <c r="N18" i="225"/>
  <c r="N20" i="225" s="1"/>
  <c r="AE26" i="121"/>
  <c r="AE31" i="121" s="1"/>
  <c r="AB13" i="121"/>
  <c r="L26" i="121"/>
  <c r="L31" i="121" s="1"/>
  <c r="C21" i="229"/>
  <c r="R25" i="121"/>
  <c r="C34" i="103"/>
  <c r="AG13" i="121"/>
  <c r="H13" i="121"/>
  <c r="AA12" i="229"/>
  <c r="AA13" i="229" s="1"/>
  <c r="AA15" i="229" s="1"/>
  <c r="P11" i="225"/>
  <c r="U26" i="121"/>
  <c r="U31" i="121" s="1"/>
  <c r="P14" i="121"/>
  <c r="P19" i="121" s="1"/>
  <c r="V26" i="121"/>
  <c r="V31" i="121" s="1"/>
  <c r="D14" i="121"/>
  <c r="D19" i="121" s="1"/>
  <c r="J12" i="229"/>
  <c r="J13" i="121"/>
  <c r="AL14" i="121"/>
  <c r="AL19" i="121" s="1"/>
  <c r="O14" i="121"/>
  <c r="O19" i="121" s="1"/>
  <c r="V13" i="121"/>
  <c r="M12" i="229"/>
  <c r="AL25" i="121"/>
  <c r="V14" i="121"/>
  <c r="V19" i="121" s="1"/>
  <c r="M25" i="121"/>
  <c r="E13" i="121"/>
  <c r="AK26" i="121"/>
  <c r="AK31" i="121" s="1"/>
  <c r="S18" i="225"/>
  <c r="S20" i="225" s="1"/>
  <c r="N26" i="121"/>
  <c r="N31" i="121" s="1"/>
  <c r="H14" i="121"/>
  <c r="H19" i="121" s="1"/>
  <c r="AG14" i="121"/>
  <c r="AG19" i="121" s="1"/>
  <c r="AH14" i="121"/>
  <c r="AH19" i="121" s="1"/>
  <c r="I11" i="225"/>
  <c r="T26" i="121"/>
  <c r="T31" i="121" s="1"/>
  <c r="W13" i="121"/>
  <c r="O11" i="225"/>
  <c r="I25" i="121"/>
  <c r="AC11" i="225"/>
  <c r="Z14" i="121"/>
  <c r="Z19" i="121" s="1"/>
  <c r="AA26" i="121"/>
  <c r="AA31" i="121" s="1"/>
  <c r="AJ26" i="121"/>
  <c r="AJ31" i="121" s="1"/>
  <c r="AD13" i="121"/>
  <c r="M18" i="225"/>
  <c r="M20" i="225" s="1"/>
  <c r="Q14" i="121"/>
  <c r="Q19" i="121" s="1"/>
  <c r="C18" i="137"/>
  <c r="C20" i="137" s="1"/>
  <c r="L25" i="121"/>
  <c r="K13" i="121"/>
  <c r="AC13" i="121"/>
  <c r="K26" i="121"/>
  <c r="K31" i="121" s="1"/>
  <c r="X26" i="121"/>
  <c r="X31" i="121" s="1"/>
  <c r="F14" i="121"/>
  <c r="F19" i="121" s="1"/>
  <c r="AC25" i="121"/>
  <c r="AJ13" i="121"/>
  <c r="AJ14" i="121"/>
  <c r="AJ19" i="121" s="1"/>
  <c r="I13" i="121"/>
  <c r="AF26" i="121"/>
  <c r="AF31" i="121" s="1"/>
  <c r="R13" i="121"/>
  <c r="K11" i="225"/>
  <c r="S12" i="229"/>
  <c r="AM14" i="121"/>
  <c r="AM19" i="121" s="1"/>
  <c r="AC26" i="121"/>
  <c r="AC31" i="121" s="1"/>
  <c r="C20" i="229"/>
  <c r="C11" i="137"/>
  <c r="AO13" i="121"/>
  <c r="Y26" i="121"/>
  <c r="Y31" i="121" s="1"/>
  <c r="C14" i="121"/>
  <c r="C19" i="121" s="1"/>
  <c r="G14" i="121"/>
  <c r="G19" i="121" s="1"/>
  <c r="Y12" i="229"/>
  <c r="AJ18" i="225"/>
  <c r="AJ20" i="225" s="1"/>
  <c r="X13" i="121"/>
  <c r="AF25" i="121"/>
  <c r="V25" i="121"/>
  <c r="AL26" i="121"/>
  <c r="AL31" i="121" s="1"/>
  <c r="Z13" i="121"/>
  <c r="L18" i="225"/>
  <c r="L20" i="225" s="1"/>
  <c r="AH25" i="121"/>
  <c r="M13" i="121"/>
  <c r="AN13" i="121"/>
  <c r="E12" i="229"/>
  <c r="N13" i="121"/>
  <c r="M26" i="121"/>
  <c r="M31" i="121" s="1"/>
  <c r="M14" i="121"/>
  <c r="M19" i="121" s="1"/>
  <c r="AF14" i="121"/>
  <c r="AF19" i="121" s="1"/>
  <c r="P25" i="121"/>
  <c r="S14" i="121"/>
  <c r="S19" i="121" s="1"/>
  <c r="C47" i="101"/>
  <c r="Y13" i="121"/>
  <c r="D28" i="101"/>
  <c r="I14" i="121"/>
  <c r="I19" i="121" s="1"/>
  <c r="AL13" i="121"/>
  <c r="Z25" i="121"/>
  <c r="O12" i="229"/>
  <c r="AD26" i="121"/>
  <c r="AD31" i="121" s="1"/>
  <c r="AC18" i="225"/>
  <c r="AC20" i="225" s="1"/>
  <c r="C13" i="121"/>
  <c r="U13" i="121"/>
  <c r="D18" i="103"/>
  <c r="C25" i="121"/>
  <c r="C26" i="121"/>
  <c r="C31" i="121" s="1"/>
  <c r="AE13" i="121"/>
  <c r="AN14" i="121"/>
  <c r="AN19" i="121" s="1"/>
  <c r="I12" i="229"/>
  <c r="R26" i="121"/>
  <c r="R31" i="121" s="1"/>
  <c r="AA14" i="121"/>
  <c r="AA19" i="121" s="1"/>
  <c r="AF13" i="121"/>
  <c r="AO14" i="121"/>
  <c r="AO19" i="121" s="1"/>
  <c r="AG25" i="121"/>
  <c r="C28" i="101"/>
  <c r="AI14" i="121"/>
  <c r="AI19" i="121" s="1"/>
  <c r="C27" i="101"/>
  <c r="D11" i="137"/>
  <c r="C35" i="103"/>
  <c r="W12" i="229"/>
  <c r="R14" i="121"/>
  <c r="R19" i="121" s="1"/>
  <c r="C18" i="225"/>
  <c r="C20" i="225" s="1"/>
  <c r="AI13" i="121"/>
  <c r="AB26" i="121"/>
  <c r="AB31" i="121" s="1"/>
  <c r="AM12" i="229"/>
  <c r="AK13" i="121"/>
  <c r="D27" i="101"/>
  <c r="AJ25" i="121"/>
  <c r="C19" i="103"/>
  <c r="S26" i="121"/>
  <c r="S31" i="121" s="1"/>
  <c r="H12" i="229"/>
  <c r="T12" i="229"/>
  <c r="R12" i="229"/>
  <c r="G13" i="121"/>
  <c r="U25" i="121"/>
  <c r="AI25" i="121"/>
  <c r="P26" i="121"/>
  <c r="P31" i="121" s="1"/>
  <c r="AJ12" i="229"/>
  <c r="Q13" i="121"/>
  <c r="M11" i="225"/>
  <c r="AK25" i="121"/>
  <c r="C48" i="101"/>
  <c r="F12" i="229"/>
  <c r="AI26" i="121"/>
  <c r="AI31" i="121" s="1"/>
  <c r="J14" i="121"/>
  <c r="J19" i="121" s="1"/>
  <c r="W25" i="121"/>
  <c r="X12" i="229"/>
  <c r="X13" i="229" s="1"/>
  <c r="AH13" i="121"/>
  <c r="Z26" i="121"/>
  <c r="Z31" i="121" s="1"/>
  <c r="Y14" i="121"/>
  <c r="Y19" i="121" s="1"/>
  <c r="K25" i="121"/>
  <c r="T13" i="121"/>
  <c r="AD14" i="121"/>
  <c r="AD19" i="121" s="1"/>
  <c r="L14" i="121"/>
  <c r="L19" i="121" s="1"/>
  <c r="D11" i="225"/>
  <c r="N25" i="121"/>
  <c r="D19" i="103"/>
  <c r="T25" i="121"/>
  <c r="E28" i="101"/>
  <c r="AK14" i="121"/>
  <c r="AK19" i="121" s="1"/>
  <c r="G12" i="229"/>
  <c r="E27" i="101"/>
  <c r="N12" i="229"/>
  <c r="F27" i="101"/>
  <c r="K12" i="229"/>
  <c r="L12" i="229"/>
  <c r="AA13" i="121"/>
  <c r="AB12" i="229"/>
  <c r="AB13" i="229" s="1"/>
  <c r="AB15" i="229" s="1"/>
  <c r="F13" i="121"/>
  <c r="Z12" i="229"/>
  <c r="E18" i="103"/>
  <c r="F11" i="137"/>
  <c r="H28" i="101"/>
  <c r="F28" i="101"/>
  <c r="S13" i="121"/>
  <c r="E19" i="103"/>
  <c r="E11" i="137"/>
  <c r="D13" i="121"/>
  <c r="N14" i="121"/>
  <c r="N19" i="121" s="1"/>
  <c r="I28" i="101"/>
  <c r="G27" i="101"/>
  <c r="F18" i="103"/>
  <c r="G28" i="101"/>
  <c r="J28" i="101"/>
  <c r="I27" i="101"/>
  <c r="G11" i="137"/>
  <c r="G19" i="103"/>
  <c r="H27" i="101"/>
  <c r="G18" i="103"/>
  <c r="F19" i="103"/>
  <c r="H11" i="137"/>
  <c r="J27" i="101"/>
  <c r="G26" i="121"/>
  <c r="G31" i="121" s="1"/>
  <c r="H18" i="103"/>
  <c r="K27" i="101"/>
  <c r="H26" i="121"/>
  <c r="H31" i="121" s="1"/>
  <c r="I11" i="137"/>
  <c r="E26" i="121"/>
  <c r="E31" i="121" s="1"/>
  <c r="I19" i="103"/>
  <c r="H19" i="103"/>
  <c r="F26" i="121"/>
  <c r="F31" i="121" s="1"/>
  <c r="I18" i="103"/>
  <c r="L28" i="101"/>
  <c r="J19" i="103"/>
  <c r="J18" i="103"/>
  <c r="H48" i="101"/>
  <c r="M27" i="101"/>
  <c r="L35" i="103"/>
  <c r="D18" i="225"/>
  <c r="D20" i="225" s="1"/>
  <c r="M28" i="101"/>
  <c r="I35" i="103"/>
  <c r="K28" i="101"/>
  <c r="K19" i="103"/>
  <c r="K11" i="137"/>
  <c r="I48" i="101"/>
  <c r="E18" i="225"/>
  <c r="E20" i="225" s="1"/>
  <c r="D34" i="103"/>
  <c r="F18" i="225"/>
  <c r="F20" i="225" s="1"/>
  <c r="F25" i="121"/>
  <c r="D35" i="103"/>
  <c r="L27" i="101"/>
  <c r="G35" i="103"/>
  <c r="J11" i="137"/>
  <c r="G25" i="121"/>
  <c r="L48" i="101"/>
  <c r="K48" i="101"/>
  <c r="K18" i="103"/>
  <c r="D47" i="101"/>
  <c r="L18" i="103"/>
  <c r="N27" i="101"/>
  <c r="F48" i="101"/>
  <c r="J35" i="103"/>
  <c r="E48" i="101"/>
  <c r="J48" i="101"/>
  <c r="L19" i="103"/>
  <c r="L11" i="137"/>
  <c r="E25" i="121"/>
  <c r="K35" i="103"/>
  <c r="G48" i="101"/>
  <c r="H35" i="103"/>
  <c r="F35" i="103"/>
  <c r="D18" i="137"/>
  <c r="D20" i="137" s="1"/>
  <c r="D25" i="121"/>
  <c r="E34" i="103"/>
  <c r="M19" i="103"/>
  <c r="E35" i="103"/>
  <c r="D48" i="101"/>
  <c r="N28" i="101"/>
  <c r="I21" i="229"/>
  <c r="H25" i="121"/>
  <c r="O27" i="101"/>
  <c r="O28" i="101"/>
  <c r="D20" i="229"/>
  <c r="E18" i="137"/>
  <c r="E20" i="137" s="1"/>
  <c r="M11" i="137"/>
  <c r="E47" i="101"/>
  <c r="D26" i="121"/>
  <c r="D31" i="121" s="1"/>
  <c r="M18" i="103"/>
  <c r="M48" i="101"/>
  <c r="P28" i="101"/>
  <c r="F47" i="101"/>
  <c r="G21" i="229"/>
  <c r="E11" i="229"/>
  <c r="N11" i="137"/>
  <c r="F34" i="103"/>
  <c r="L21" i="229"/>
  <c r="G34" i="103"/>
  <c r="F21" i="229"/>
  <c r="E21" i="229"/>
  <c r="H47" i="101"/>
  <c r="N19" i="103"/>
  <c r="N48" i="101"/>
  <c r="N35" i="103"/>
  <c r="N18" i="103"/>
  <c r="G47" i="101"/>
  <c r="M35" i="103"/>
  <c r="J21" i="229"/>
  <c r="H21" i="229"/>
  <c r="D21" i="229"/>
  <c r="P27" i="101"/>
  <c r="K21" i="229"/>
  <c r="F18" i="137"/>
  <c r="F20" i="137" s="1"/>
  <c r="O48" i="101"/>
  <c r="I47" i="101"/>
  <c r="Q28" i="101"/>
  <c r="O11" i="137"/>
  <c r="E20" i="229"/>
  <c r="O19" i="103"/>
  <c r="P11" i="137"/>
  <c r="F11" i="229"/>
  <c r="F13" i="229" s="1"/>
  <c r="O18" i="103"/>
  <c r="P48" i="101"/>
  <c r="P18" i="103"/>
  <c r="H34" i="103"/>
  <c r="G18" i="137"/>
  <c r="G20" i="137" s="1"/>
  <c r="P35" i="103"/>
  <c r="Q18" i="103"/>
  <c r="Q27" i="101"/>
  <c r="I34" i="103"/>
  <c r="G11" i="229"/>
  <c r="P19" i="103"/>
  <c r="O35" i="103"/>
  <c r="R27" i="101"/>
  <c r="H18" i="137"/>
  <c r="H20" i="137" s="1"/>
  <c r="Q48" i="101"/>
  <c r="F20" i="229"/>
  <c r="M21" i="229"/>
  <c r="S11" i="137"/>
  <c r="O21" i="229"/>
  <c r="Q11" i="137"/>
  <c r="T28" i="101"/>
  <c r="H11" i="229"/>
  <c r="R48" i="101"/>
  <c r="R18" i="103"/>
  <c r="R28" i="101"/>
  <c r="S28" i="101"/>
  <c r="Q19" i="103"/>
  <c r="N21" i="229"/>
  <c r="P21" i="229"/>
  <c r="R35" i="103"/>
  <c r="R11" i="137"/>
  <c r="J11" i="229"/>
  <c r="J13" i="229" s="1"/>
  <c r="J15" i="229" s="1"/>
  <c r="R19" i="103"/>
  <c r="G20" i="229"/>
  <c r="J47" i="101"/>
  <c r="Q35" i="103"/>
  <c r="U28" i="101"/>
  <c r="S18" i="103"/>
  <c r="T27" i="101"/>
  <c r="S27" i="101"/>
  <c r="I18" i="137"/>
  <c r="I20" i="137" s="1"/>
  <c r="I20" i="229"/>
  <c r="U27" i="101"/>
  <c r="J34" i="103"/>
  <c r="S48" i="101"/>
  <c r="H20" i="229"/>
  <c r="K47" i="101"/>
  <c r="T18" i="103"/>
  <c r="S21" i="229"/>
  <c r="I11" i="229"/>
  <c r="T35" i="103"/>
  <c r="S19" i="103"/>
  <c r="T48" i="101"/>
  <c r="L47" i="101"/>
  <c r="L11" i="229"/>
  <c r="V27" i="101"/>
  <c r="S35" i="103"/>
  <c r="U18" i="103"/>
  <c r="Q21" i="229"/>
  <c r="K34" i="103"/>
  <c r="V11" i="137"/>
  <c r="V48" i="101"/>
  <c r="U35" i="103"/>
  <c r="L34" i="103"/>
  <c r="R21" i="229"/>
  <c r="X28" i="101"/>
  <c r="T11" i="137"/>
  <c r="U19" i="103"/>
  <c r="U11" i="137"/>
  <c r="J18" i="137"/>
  <c r="J20" i="137" s="1"/>
  <c r="K11" i="229"/>
  <c r="K13" i="229" s="1"/>
  <c r="K15" i="229" s="1"/>
  <c r="M11" i="229"/>
  <c r="V18" i="103"/>
  <c r="K18" i="137"/>
  <c r="K20" i="137" s="1"/>
  <c r="W19" i="103"/>
  <c r="V28" i="101"/>
  <c r="X27" i="101"/>
  <c r="T19" i="103"/>
  <c r="U48" i="101"/>
  <c r="W27" i="101"/>
  <c r="W18" i="103"/>
  <c r="N47" i="101"/>
  <c r="M47" i="101"/>
  <c r="X19" i="103"/>
  <c r="Y18" i="103"/>
  <c r="P47" i="101"/>
  <c r="Y28" i="101"/>
  <c r="W48" i="101"/>
  <c r="W28" i="101"/>
  <c r="T21" i="229"/>
  <c r="T22" i="229" s="1"/>
  <c r="T24" i="229" s="1"/>
  <c r="M34" i="103"/>
  <c r="O47" i="101"/>
  <c r="V35" i="103"/>
  <c r="J20" i="229"/>
  <c r="N34" i="103"/>
  <c r="X11" i="137"/>
  <c r="X48" i="101"/>
  <c r="L18" i="137"/>
  <c r="L20" i="137" s="1"/>
  <c r="W35" i="103"/>
  <c r="U21" i="229"/>
  <c r="U22" i="229" s="1"/>
  <c r="U24" i="229" s="1"/>
  <c r="X18" i="103"/>
  <c r="Y11" i="137"/>
  <c r="O11" i="229"/>
  <c r="V21" i="229"/>
  <c r="Z28" i="101"/>
  <c r="M18" i="137"/>
  <c r="M20" i="137" s="1"/>
  <c r="Q47" i="101"/>
  <c r="W11" i="137"/>
  <c r="N18" i="137"/>
  <c r="N20" i="137" s="1"/>
  <c r="Y48" i="101"/>
  <c r="P34" i="103"/>
  <c r="Z27" i="101"/>
  <c r="V19" i="103"/>
  <c r="AA27" i="101"/>
  <c r="N11" i="229"/>
  <c r="N13" i="229" s="1"/>
  <c r="Y27" i="101"/>
  <c r="Q11" i="229"/>
  <c r="Z11" i="137"/>
  <c r="Z13" i="137" s="1"/>
  <c r="X35" i="103"/>
  <c r="K20" i="229"/>
  <c r="O34" i="103"/>
  <c r="P11" i="229"/>
  <c r="P13" i="229" s="1"/>
  <c r="Z48" i="101"/>
  <c r="Z53" i="101" s="1"/>
  <c r="Z59" i="101" s="1"/>
  <c r="AA28" i="101"/>
  <c r="W21" i="229"/>
  <c r="W22" i="229" s="1"/>
  <c r="W24" i="229" s="1"/>
  <c r="Y35" i="103"/>
  <c r="Q34" i="103"/>
  <c r="Y19" i="103"/>
  <c r="R47" i="101"/>
  <c r="L20" i="229"/>
  <c r="Z18" i="103"/>
  <c r="AC27" i="101"/>
  <c r="AB28" i="101"/>
  <c r="X21" i="229"/>
  <c r="AA48" i="101"/>
  <c r="T47" i="101"/>
  <c r="R34" i="103"/>
  <c r="Z19" i="103"/>
  <c r="AC28" i="101"/>
  <c r="AA11" i="137"/>
  <c r="AA13" i="137" s="1"/>
  <c r="AA19" i="103"/>
  <c r="P18" i="137"/>
  <c r="P20" i="137" s="1"/>
  <c r="O18" i="137"/>
  <c r="O20" i="137" s="1"/>
  <c r="AA18" i="103"/>
  <c r="AB27" i="101"/>
  <c r="Z35" i="103"/>
  <c r="S47" i="101"/>
  <c r="AB19" i="103"/>
  <c r="N20" i="229"/>
  <c r="R11" i="229"/>
  <c r="AC47" i="101"/>
  <c r="U47" i="101"/>
  <c r="M20" i="229"/>
  <c r="R18" i="137"/>
  <c r="R20" i="137" s="1"/>
  <c r="Y21" i="229"/>
  <c r="Y22" i="229" s="1"/>
  <c r="Y24" i="229" s="1"/>
  <c r="AA35" i="103"/>
  <c r="AB18" i="103"/>
  <c r="AB48" i="101"/>
  <c r="S34" i="103"/>
  <c r="Q18" i="137"/>
  <c r="Q20" i="137" s="1"/>
  <c r="AD28" i="101"/>
  <c r="AB11" i="137"/>
  <c r="AB13" i="137" s="1"/>
  <c r="AC48" i="101"/>
  <c r="AD47" i="101"/>
  <c r="AD48" i="101"/>
  <c r="AC19" i="103"/>
  <c r="AC11" i="137"/>
  <c r="AC34" i="103"/>
  <c r="AC35" i="103"/>
  <c r="S11" i="229"/>
  <c r="Z21" i="229"/>
  <c r="AB35" i="103"/>
  <c r="AD27" i="101"/>
  <c r="W47" i="101"/>
  <c r="T34" i="103"/>
  <c r="U34" i="103"/>
  <c r="V47" i="101"/>
  <c r="T18" i="137"/>
  <c r="T20" i="137" s="1"/>
  <c r="AE48" i="101"/>
  <c r="AE27" i="101"/>
  <c r="AC18" i="137"/>
  <c r="AC20" i="137" s="1"/>
  <c r="S18" i="137"/>
  <c r="S20" i="137" s="1"/>
  <c r="AE28" i="101"/>
  <c r="T11" i="229"/>
  <c r="O20" i="229"/>
  <c r="AC18" i="103"/>
  <c r="AA21" i="229"/>
  <c r="X47" i="101"/>
  <c r="AH28" i="101"/>
  <c r="AH34" i="101" s="1"/>
  <c r="V18" i="137"/>
  <c r="V20" i="137" s="1"/>
  <c r="AE35" i="103"/>
  <c r="AE18" i="103"/>
  <c r="Y47" i="101"/>
  <c r="AD18" i="103"/>
  <c r="AG48" i="101"/>
  <c r="AF28" i="101"/>
  <c r="AE19" i="103"/>
  <c r="U11" i="229"/>
  <c r="U13" i="229" s="1"/>
  <c r="W34" i="103"/>
  <c r="AB21" i="229"/>
  <c r="AD35" i="103"/>
  <c r="Q20" i="229"/>
  <c r="AD19" i="103"/>
  <c r="AJ47" i="101"/>
  <c r="AJ50" i="101" s="1"/>
  <c r="AJ56" i="101" s="1"/>
  <c r="AJ62" i="101" s="1"/>
  <c r="W11" i="229"/>
  <c r="W13" i="229" s="1"/>
  <c r="AF20" i="229"/>
  <c r="V11" i="229"/>
  <c r="V13" i="229" s="1"/>
  <c r="AI27" i="101"/>
  <c r="AI34" i="101" s="1"/>
  <c r="AE11" i="137"/>
  <c r="AM27" i="101"/>
  <c r="AG27" i="101"/>
  <c r="AH21" i="229"/>
  <c r="X20" i="229"/>
  <c r="AF27" i="101"/>
  <c r="AE18" i="137"/>
  <c r="AE20" i="137" s="1"/>
  <c r="V34" i="103"/>
  <c r="AI28" i="101"/>
  <c r="AC21" i="229"/>
  <c r="AC22" i="229" s="1"/>
  <c r="AC24" i="229" s="1"/>
  <c r="AG28" i="101"/>
  <c r="AK27" i="101"/>
  <c r="AK73" i="101" s="1"/>
  <c r="AK90" i="8" s="1"/>
  <c r="AD11" i="137"/>
  <c r="P20" i="229"/>
  <c r="AD34" i="103"/>
  <c r="U18" i="137"/>
  <c r="U20" i="137" s="1"/>
  <c r="AD18" i="137"/>
  <c r="AD20" i="137" s="1"/>
  <c r="AG47" i="101"/>
  <c r="AE21" i="229"/>
  <c r="Y34" i="103"/>
  <c r="AF18" i="137"/>
  <c r="AF20" i="137" s="1"/>
  <c r="AL28" i="101"/>
  <c r="AB47" i="101"/>
  <c r="AM28" i="101"/>
  <c r="AB34" i="103"/>
  <c r="AB41" i="103" s="1"/>
  <c r="AH18" i="137"/>
  <c r="AH20" i="137" s="1"/>
  <c r="AE47" i="101"/>
  <c r="AH20" i="229"/>
  <c r="R20" i="229"/>
  <c r="Z20" i="229"/>
  <c r="AJ17" i="101"/>
  <c r="AK16" i="101"/>
  <c r="AJ33" i="101"/>
  <c r="AJ32" i="101"/>
  <c r="AK15" i="101"/>
  <c r="AK14" i="101"/>
  <c r="AJ31" i="101"/>
  <c r="AK50" i="101"/>
  <c r="AK56" i="101" s="1"/>
  <c r="AK62" i="101" s="1"/>
  <c r="AK30" i="101"/>
  <c r="AL13" i="101"/>
  <c r="AF80" i="170"/>
  <c r="AF81" i="170" s="1"/>
  <c r="AF84" i="170" s="1"/>
  <c r="AF63" i="170"/>
  <c r="AF64" i="170" s="1"/>
  <c r="AF67" i="170" s="1"/>
  <c r="AG62" i="170"/>
  <c r="AH57" i="170"/>
  <c r="AG74" i="170"/>
  <c r="AG79" i="170" s="1"/>
  <c r="AG17" i="170"/>
  <c r="AG18" i="170" s="1"/>
  <c r="AG21" i="170" s="1"/>
  <c r="AG11" i="229" s="1"/>
  <c r="AG13" i="229" s="1"/>
  <c r="AI12" i="170"/>
  <c r="AH16" i="170"/>
  <c r="AH47" i="170"/>
  <c r="AE21" i="170"/>
  <c r="AE11" i="229" s="1"/>
  <c r="AS17" i="169"/>
  <c r="AS18" i="169"/>
  <c r="AT16" i="169"/>
  <c r="AT8" i="169"/>
  <c r="AO44" i="8" s="1"/>
  <c r="AU7" i="169"/>
  <c r="AU5" i="169"/>
  <c r="AV2" i="169"/>
  <c r="AV3" i="169" s="1"/>
  <c r="AR19" i="169"/>
  <c r="AM43" i="8" s="1"/>
  <c r="AM62" i="8" s="1"/>
  <c r="AA41" i="170"/>
  <c r="AB37" i="170"/>
  <c r="AB38" i="170" s="1"/>
  <c r="AB18" i="137" s="1"/>
  <c r="Z20" i="137"/>
  <c r="AD13" i="229"/>
  <c r="AC15" i="229"/>
  <c r="AD84" i="170"/>
  <c r="AE81" i="170"/>
  <c r="AE63" i="170"/>
  <c r="AE64" i="170" s="1"/>
  <c r="AE67" i="170" s="1"/>
  <c r="E25" i="211"/>
  <c r="Z41" i="103" l="1"/>
  <c r="AL41" i="103"/>
  <c r="AL38" i="103"/>
  <c r="AH50" i="101"/>
  <c r="AH56" i="101" s="1"/>
  <c r="AH62" i="101" s="1"/>
  <c r="AA54" i="101"/>
  <c r="AA60" i="101" s="1"/>
  <c r="AF54" i="101"/>
  <c r="AF60" i="101" s="1"/>
  <c r="AF52" i="101"/>
  <c r="AF58" i="101" s="1"/>
  <c r="AF53" i="101"/>
  <c r="AF59" i="101" s="1"/>
  <c r="AH51" i="101"/>
  <c r="AH57" i="101" s="1"/>
  <c r="AH73" i="101"/>
  <c r="AH90" i="8" s="1"/>
  <c r="AL43" i="103"/>
  <c r="Z13" i="229"/>
  <c r="Z15" i="229" s="1"/>
  <c r="AJ30" i="101"/>
  <c r="AJ36" i="101" s="1"/>
  <c r="AJ42" i="101" s="1"/>
  <c r="X41" i="103"/>
  <c r="AH52" i="101"/>
  <c r="AH58" i="101" s="1"/>
  <c r="AG11" i="225"/>
  <c r="AH53" i="101"/>
  <c r="AH59" i="101" s="1"/>
  <c r="AG11" i="137"/>
  <c r="AN25" i="103"/>
  <c r="AN21" i="103"/>
  <c r="AH22" i="103"/>
  <c r="AH26" i="103"/>
  <c r="AN26" i="103"/>
  <c r="AN22" i="103"/>
  <c r="AI37" i="103"/>
  <c r="AI41" i="103"/>
  <c r="AG41" i="103"/>
  <c r="AG37" i="103"/>
  <c r="AJ22" i="103"/>
  <c r="AJ26" i="103"/>
  <c r="AH41" i="103"/>
  <c r="AH37" i="103"/>
  <c r="AJ37" i="103"/>
  <c r="AJ41" i="103"/>
  <c r="AI21" i="103"/>
  <c r="AI25" i="103"/>
  <c r="AB73" i="101"/>
  <c r="AB90" i="8" s="1"/>
  <c r="AI42" i="103"/>
  <c r="AI38" i="103"/>
  <c r="AJ21" i="103"/>
  <c r="AJ25" i="103"/>
  <c r="AK22" i="103"/>
  <c r="AK26" i="103"/>
  <c r="AJ42" i="103"/>
  <c r="AJ38" i="103"/>
  <c r="AM21" i="103"/>
  <c r="AM25" i="103"/>
  <c r="AM27" i="103" s="1"/>
  <c r="AM26" i="103"/>
  <c r="AM22" i="103"/>
  <c r="AL22" i="103"/>
  <c r="AL26" i="103"/>
  <c r="E13" i="229"/>
  <c r="AL25" i="103"/>
  <c r="AL21" i="103"/>
  <c r="AL23" i="103" s="1"/>
  <c r="AG38" i="103"/>
  <c r="AG42" i="103"/>
  <c r="AK25" i="103"/>
  <c r="AK21" i="103"/>
  <c r="AI26" i="103"/>
  <c r="AI22" i="103"/>
  <c r="AF42" i="103"/>
  <c r="AF38" i="103"/>
  <c r="AH25" i="103"/>
  <c r="AH27" i="103" s="1"/>
  <c r="AH21" i="103"/>
  <c r="AH23" i="103" s="1"/>
  <c r="AG26" i="103"/>
  <c r="AG22" i="103"/>
  <c r="AG25" i="103"/>
  <c r="AG21" i="103"/>
  <c r="AG23" i="103" s="1"/>
  <c r="AO26" i="103"/>
  <c r="AO22" i="103"/>
  <c r="AF21" i="103"/>
  <c r="AF23" i="103" s="1"/>
  <c r="AF25" i="103"/>
  <c r="AF27" i="103" s="1"/>
  <c r="AO48" i="103"/>
  <c r="AO32" i="103"/>
  <c r="AO16" i="103"/>
  <c r="AF26" i="103"/>
  <c r="AF22" i="103"/>
  <c r="AO25" i="103"/>
  <c r="AO21" i="103"/>
  <c r="AK38" i="103"/>
  <c r="AK39" i="103" s="1"/>
  <c r="AK42" i="103"/>
  <c r="AK43" i="103" s="1"/>
  <c r="AF37" i="103"/>
  <c r="AF41" i="103"/>
  <c r="AH42" i="103"/>
  <c r="AH38" i="103"/>
  <c r="AI54" i="101"/>
  <c r="AI60" i="101" s="1"/>
  <c r="Z29" i="225"/>
  <c r="AN33" i="170"/>
  <c r="AN35" i="103" s="1"/>
  <c r="AN38" i="103" s="1"/>
  <c r="AF22" i="229"/>
  <c r="AF24" i="229" s="1"/>
  <c r="AN30" i="170"/>
  <c r="AN45" i="170" s="1"/>
  <c r="AM26" i="121"/>
  <c r="AM31" i="121" s="1"/>
  <c r="AG29" i="137"/>
  <c r="AG91" i="8" s="1"/>
  <c r="AL39" i="103"/>
  <c r="AM38" i="103"/>
  <c r="AM42" i="103"/>
  <c r="Z25" i="225"/>
  <c r="V22" i="229"/>
  <c r="V24" i="229" s="1"/>
  <c r="P22" i="229"/>
  <c r="P24" i="229" s="1"/>
  <c r="N22" i="229"/>
  <c r="N24" i="229" s="1"/>
  <c r="Q22" i="229"/>
  <c r="Q24" i="229" s="1"/>
  <c r="Y13" i="229"/>
  <c r="S13" i="229"/>
  <c r="S15" i="229" s="1"/>
  <c r="L13" i="229"/>
  <c r="I13" i="229"/>
  <c r="I15" i="229" s="1"/>
  <c r="O13" i="229"/>
  <c r="M13" i="229"/>
  <c r="M15" i="229" s="1"/>
  <c r="Q13" i="229"/>
  <c r="AJ51" i="101"/>
  <c r="AJ57" i="101" s="1"/>
  <c r="AJ52" i="101"/>
  <c r="AJ58" i="101" s="1"/>
  <c r="AF63" i="101"/>
  <c r="AJ53" i="101"/>
  <c r="AJ59" i="101" s="1"/>
  <c r="S22" i="229"/>
  <c r="S24" i="229" s="1"/>
  <c r="AJ73" i="101"/>
  <c r="AJ90" i="8" s="1"/>
  <c r="H22" i="229"/>
  <c r="H24" i="229" s="1"/>
  <c r="Z22" i="229"/>
  <c r="X22" i="229"/>
  <c r="X24" i="229" s="1"/>
  <c r="O22" i="229"/>
  <c r="O24" i="229" s="1"/>
  <c r="F22" i="229"/>
  <c r="F24" i="229" s="1"/>
  <c r="R13" i="229"/>
  <c r="R15" i="229" s="1"/>
  <c r="G13" i="229"/>
  <c r="D13" i="229"/>
  <c r="D15" i="229" s="1"/>
  <c r="AI50" i="101"/>
  <c r="AI56" i="101" s="1"/>
  <c r="AI62" i="101" s="1"/>
  <c r="AI51" i="101"/>
  <c r="AI57" i="101" s="1"/>
  <c r="AI52" i="101"/>
  <c r="AI58" i="101" s="1"/>
  <c r="AI53" i="101"/>
  <c r="AI59" i="101" s="1"/>
  <c r="AG22" i="229"/>
  <c r="AG24" i="229" s="1"/>
  <c r="AG13" i="137"/>
  <c r="AG25" i="137" s="1"/>
  <c r="AG42" i="8" s="1"/>
  <c r="AG61" i="8" s="1"/>
  <c r="AJ74" i="101"/>
  <c r="AJ81" i="8" s="1"/>
  <c r="Z25" i="137"/>
  <c r="AJ67" i="101"/>
  <c r="AJ37" i="8" s="1"/>
  <c r="Z29" i="137"/>
  <c r="Z91" i="8" s="1"/>
  <c r="X15" i="229"/>
  <c r="AF15" i="229"/>
  <c r="Y15" i="229"/>
  <c r="Y29" i="229" s="1"/>
  <c r="Y41" i="8" s="1"/>
  <c r="Y60" i="8" s="1"/>
  <c r="Y33" i="229"/>
  <c r="AH78" i="101"/>
  <c r="AH85" i="8" s="1"/>
  <c r="AH40" i="101"/>
  <c r="AL41" i="170"/>
  <c r="AL20" i="229" s="1"/>
  <c r="AL22" i="229" s="1"/>
  <c r="AL24" i="229" s="1"/>
  <c r="AL18" i="137"/>
  <c r="AL18" i="225"/>
  <c r="AL20" i="225" s="1"/>
  <c r="AD38" i="103"/>
  <c r="AD42" i="103"/>
  <c r="G41" i="103"/>
  <c r="G37" i="103"/>
  <c r="N29" i="137"/>
  <c r="N91" i="8" s="1"/>
  <c r="N13" i="137"/>
  <c r="N25" i="137" s="1"/>
  <c r="N42" i="8" s="1"/>
  <c r="N61" i="8" s="1"/>
  <c r="L13" i="137"/>
  <c r="L25" i="137" s="1"/>
  <c r="L42" i="8" s="1"/>
  <c r="L61" i="8" s="1"/>
  <c r="C17" i="211" s="1"/>
  <c r="L29" i="137"/>
  <c r="L91" i="8" s="1"/>
  <c r="C16" i="211" s="1"/>
  <c r="C7" i="211" s="1"/>
  <c r="L42" i="103"/>
  <c r="L38" i="103"/>
  <c r="T16" i="121"/>
  <c r="T17" i="121"/>
  <c r="T42" i="121"/>
  <c r="Z28" i="121"/>
  <c r="Z29" i="121"/>
  <c r="C13" i="137"/>
  <c r="C25" i="137" s="1"/>
  <c r="C29" i="137"/>
  <c r="AC13" i="225"/>
  <c r="AC25" i="225" s="1"/>
  <c r="AC40" i="8" s="1"/>
  <c r="AC59" i="8" s="1"/>
  <c r="AC29" i="225"/>
  <c r="P29" i="225"/>
  <c r="P13" i="225"/>
  <c r="P25" i="225" s="1"/>
  <c r="P40" i="8" s="1"/>
  <c r="P59" i="8" s="1"/>
  <c r="S28" i="121"/>
  <c r="S29" i="121"/>
  <c r="AE26" i="103"/>
  <c r="AE22" i="103"/>
  <c r="AC42" i="103"/>
  <c r="AC38" i="103"/>
  <c r="AA22" i="103"/>
  <c r="AA26" i="103"/>
  <c r="V26" i="103"/>
  <c r="V22" i="103"/>
  <c r="Y25" i="103"/>
  <c r="Y21" i="103"/>
  <c r="S42" i="103"/>
  <c r="S38" i="103"/>
  <c r="O25" i="103"/>
  <c r="O21" i="103"/>
  <c r="E15" i="229"/>
  <c r="L22" i="103"/>
  <c r="L26" i="103"/>
  <c r="M33" i="101"/>
  <c r="M31" i="101"/>
  <c r="M34" i="101"/>
  <c r="M32" i="101"/>
  <c r="M30" i="101"/>
  <c r="M73" i="101"/>
  <c r="M90" i="8" s="1"/>
  <c r="K28" i="121"/>
  <c r="K29" i="121"/>
  <c r="AL42" i="121"/>
  <c r="AL16" i="121"/>
  <c r="AL17" i="121"/>
  <c r="C22" i="229"/>
  <c r="C24" i="229" s="1"/>
  <c r="I28" i="121"/>
  <c r="I29" i="121"/>
  <c r="AG13" i="225"/>
  <c r="AG25" i="225" s="1"/>
  <c r="AG40" i="8" s="1"/>
  <c r="AG59" i="8" s="1"/>
  <c r="AG29" i="225"/>
  <c r="AO5" i="137"/>
  <c r="AC13" i="137"/>
  <c r="AC25" i="137" s="1"/>
  <c r="AC42" i="8" s="1"/>
  <c r="AC61" i="8" s="1"/>
  <c r="AC29" i="137"/>
  <c r="AC91" i="8" s="1"/>
  <c r="P41" i="103"/>
  <c r="P37" i="103"/>
  <c r="M51" i="101"/>
  <c r="M57" i="101" s="1"/>
  <c r="M54" i="101"/>
  <c r="M60" i="101" s="1"/>
  <c r="M52" i="101"/>
  <c r="M58" i="101" s="1"/>
  <c r="M53" i="101"/>
  <c r="M59" i="101" s="1"/>
  <c r="M50" i="101"/>
  <c r="M56" i="101" s="1"/>
  <c r="M62" i="101" s="1"/>
  <c r="L15" i="229"/>
  <c r="Q22" i="103"/>
  <c r="Q26" i="103"/>
  <c r="P13" i="137"/>
  <c r="P25" i="137" s="1"/>
  <c r="P42" i="8" s="1"/>
  <c r="P61" i="8" s="1"/>
  <c r="P29" i="137"/>
  <c r="P91" i="8" s="1"/>
  <c r="F51" i="101"/>
  <c r="F57" i="101" s="1"/>
  <c r="F54" i="101"/>
  <c r="F60" i="101" s="1"/>
  <c r="F52" i="101"/>
  <c r="F58" i="101" s="1"/>
  <c r="F50" i="101"/>
  <c r="F56" i="101" s="1"/>
  <c r="F62" i="101" s="1"/>
  <c r="F53" i="101"/>
  <c r="F59" i="101" s="1"/>
  <c r="J21" i="103"/>
  <c r="J25" i="103"/>
  <c r="E13" i="137"/>
  <c r="E25" i="137" s="1"/>
  <c r="E42" i="8" s="1"/>
  <c r="E61" i="8" s="1"/>
  <c r="E29" i="137"/>
  <c r="E91" i="8" s="1"/>
  <c r="AI42" i="121"/>
  <c r="AI16" i="121"/>
  <c r="AI17" i="121"/>
  <c r="W16" i="121"/>
  <c r="W17" i="121"/>
  <c r="W42" i="121"/>
  <c r="AG42" i="121"/>
  <c r="AG16" i="121"/>
  <c r="AG17" i="121"/>
  <c r="AN9" i="137"/>
  <c r="AN23" i="137"/>
  <c r="AN16" i="137"/>
  <c r="V13" i="137"/>
  <c r="V25" i="137" s="1"/>
  <c r="V42" i="8" s="1"/>
  <c r="V61" i="8" s="1"/>
  <c r="V29" i="137"/>
  <c r="V91" i="8" s="1"/>
  <c r="U25" i="103"/>
  <c r="U21" i="103"/>
  <c r="AD25" i="103"/>
  <c r="AD21" i="103"/>
  <c r="O26" i="103"/>
  <c r="O22" i="103"/>
  <c r="J42" i="103"/>
  <c r="J38" i="103"/>
  <c r="J22" i="103"/>
  <c r="J26" i="103"/>
  <c r="E22" i="103"/>
  <c r="E26" i="103"/>
  <c r="AH42" i="121"/>
  <c r="AH16" i="121"/>
  <c r="AH17" i="121"/>
  <c r="Y17" i="121"/>
  <c r="Y16" i="121"/>
  <c r="Y42" i="121"/>
  <c r="C41" i="103"/>
  <c r="C37" i="103"/>
  <c r="U13" i="225"/>
  <c r="U25" i="225" s="1"/>
  <c r="U40" i="8" s="1"/>
  <c r="U59" i="8" s="1"/>
  <c r="U29" i="225"/>
  <c r="AA52" i="101"/>
  <c r="AA58" i="101" s="1"/>
  <c r="R42" i="103"/>
  <c r="R38" i="103"/>
  <c r="V33" i="101"/>
  <c r="V31" i="101"/>
  <c r="V32" i="101"/>
  <c r="V30" i="101"/>
  <c r="V34" i="101"/>
  <c r="V73" i="101"/>
  <c r="V90" i="8" s="1"/>
  <c r="AC22" i="103"/>
  <c r="AC26" i="103"/>
  <c r="Y52" i="101"/>
  <c r="Y58" i="101" s="1"/>
  <c r="Y50" i="101"/>
  <c r="Y56" i="101" s="1"/>
  <c r="Y62" i="101" s="1"/>
  <c r="Y53" i="101"/>
  <c r="Y59" i="101" s="1"/>
  <c r="Y51" i="101"/>
  <c r="Y57" i="101" s="1"/>
  <c r="Y54" i="101"/>
  <c r="Y60" i="101" s="1"/>
  <c r="R41" i="103"/>
  <c r="R37" i="103"/>
  <c r="W25" i="103"/>
  <c r="W21" i="103"/>
  <c r="E22" i="229"/>
  <c r="E24" i="229" s="1"/>
  <c r="S16" i="121"/>
  <c r="S17" i="121"/>
  <c r="S42" i="121"/>
  <c r="C50" i="101"/>
  <c r="C56" i="101" s="1"/>
  <c r="C62" i="101" s="1"/>
  <c r="C53" i="101"/>
  <c r="C59" i="101" s="1"/>
  <c r="C51" i="101"/>
  <c r="C57" i="101" s="1"/>
  <c r="C54" i="101"/>
  <c r="C60" i="101" s="1"/>
  <c r="C52" i="101"/>
  <c r="C58" i="101" s="1"/>
  <c r="K13" i="225"/>
  <c r="K25" i="225" s="1"/>
  <c r="K40" i="8" s="1"/>
  <c r="K59" i="8" s="1"/>
  <c r="K29" i="225"/>
  <c r="I13" i="225"/>
  <c r="R28" i="121"/>
  <c r="R29" i="121"/>
  <c r="F13" i="225"/>
  <c r="F25" i="225" s="1"/>
  <c r="F40" i="8" s="1"/>
  <c r="F59" i="8" s="1"/>
  <c r="F29" i="225"/>
  <c r="AA50" i="101"/>
  <c r="AA56" i="101" s="1"/>
  <c r="AA62" i="101" s="1"/>
  <c r="AA30" i="101"/>
  <c r="AA32" i="101"/>
  <c r="AA33" i="101"/>
  <c r="AA31" i="101"/>
  <c r="AA34" i="101"/>
  <c r="AA73" i="101"/>
  <c r="AA90" i="8" s="1"/>
  <c r="AC37" i="103"/>
  <c r="AC41" i="103"/>
  <c r="AD13" i="137"/>
  <c r="AD25" i="137" s="1"/>
  <c r="AD42" i="8" s="1"/>
  <c r="AD61" i="8" s="1"/>
  <c r="AD29" i="137"/>
  <c r="AD91" i="8" s="1"/>
  <c r="AE25" i="103"/>
  <c r="AE27" i="103" s="1"/>
  <c r="AE21" i="103"/>
  <c r="AE23" i="103" s="1"/>
  <c r="AD51" i="101"/>
  <c r="AD57" i="101" s="1"/>
  <c r="AD53" i="101"/>
  <c r="AD59" i="101" s="1"/>
  <c r="AD52" i="101"/>
  <c r="AD58" i="101" s="1"/>
  <c r="AD50" i="101"/>
  <c r="AD56" i="101" s="1"/>
  <c r="AD62" i="101" s="1"/>
  <c r="AD54" i="101"/>
  <c r="AD60" i="101" s="1"/>
  <c r="T53" i="101"/>
  <c r="T59" i="101" s="1"/>
  <c r="T51" i="101"/>
  <c r="T57" i="101" s="1"/>
  <c r="T54" i="101"/>
  <c r="T60" i="101" s="1"/>
  <c r="T52" i="101"/>
  <c r="T58" i="101" s="1"/>
  <c r="T50" i="101"/>
  <c r="T56" i="101" s="1"/>
  <c r="T62" i="101" s="1"/>
  <c r="W13" i="137"/>
  <c r="W25" i="137" s="1"/>
  <c r="W42" i="8" s="1"/>
  <c r="W61" i="8" s="1"/>
  <c r="W29" i="137"/>
  <c r="W91" i="8" s="1"/>
  <c r="W31" i="101"/>
  <c r="W32" i="101"/>
  <c r="W33" i="101"/>
  <c r="W30" i="101"/>
  <c r="W34" i="101"/>
  <c r="W73" i="101"/>
  <c r="W90" i="8" s="1"/>
  <c r="S22" i="103"/>
  <c r="S26" i="103"/>
  <c r="R21" i="103"/>
  <c r="R25" i="103"/>
  <c r="O13" i="137"/>
  <c r="O25" i="137" s="1"/>
  <c r="O42" i="8" s="1"/>
  <c r="O61" i="8" s="1"/>
  <c r="O29" i="137"/>
  <c r="O91" i="8" s="1"/>
  <c r="M21" i="103"/>
  <c r="M25" i="103"/>
  <c r="N31" i="101"/>
  <c r="N34" i="101"/>
  <c r="N33" i="101"/>
  <c r="N32" i="101"/>
  <c r="N30" i="101"/>
  <c r="N73" i="101"/>
  <c r="N90" i="8" s="1"/>
  <c r="I21" i="103"/>
  <c r="I25" i="103"/>
  <c r="R16" i="121"/>
  <c r="R42" i="121"/>
  <c r="R17" i="121"/>
  <c r="L29" i="225"/>
  <c r="L13" i="225"/>
  <c r="L25" i="225" s="1"/>
  <c r="L40" i="8" s="1"/>
  <c r="L59" i="8" s="1"/>
  <c r="C13" i="229"/>
  <c r="AO28" i="170"/>
  <c r="AO25" i="170" s="1"/>
  <c r="AO29" i="170" s="1"/>
  <c r="AA53" i="101"/>
  <c r="AA59" i="101" s="1"/>
  <c r="L53" i="101"/>
  <c r="L59" i="101" s="1"/>
  <c r="L51" i="101"/>
  <c r="L57" i="101" s="1"/>
  <c r="L54" i="101"/>
  <c r="L60" i="101" s="1"/>
  <c r="L52" i="101"/>
  <c r="L58" i="101" s="1"/>
  <c r="L50" i="101"/>
  <c r="L56" i="101" s="1"/>
  <c r="L62" i="101" s="1"/>
  <c r="AE38" i="103"/>
  <c r="AE39" i="103" s="1"/>
  <c r="AE42" i="103"/>
  <c r="AE43" i="103" s="1"/>
  <c r="Q52" i="101"/>
  <c r="Q58" i="101" s="1"/>
  <c r="Q50" i="101"/>
  <c r="Q56" i="101" s="1"/>
  <c r="Q62" i="101" s="1"/>
  <c r="Q53" i="101"/>
  <c r="Q59" i="101" s="1"/>
  <c r="Q51" i="101"/>
  <c r="Q57" i="101" s="1"/>
  <c r="Q54" i="101"/>
  <c r="Q60" i="101" s="1"/>
  <c r="T42" i="103"/>
  <c r="T38" i="103"/>
  <c r="L21" i="103"/>
  <c r="L25" i="103"/>
  <c r="W29" i="121"/>
  <c r="W28" i="121"/>
  <c r="C42" i="103"/>
  <c r="C38" i="103"/>
  <c r="P28" i="121"/>
  <c r="P29" i="121"/>
  <c r="AM16" i="121"/>
  <c r="AM17" i="121"/>
  <c r="T13" i="225"/>
  <c r="T25" i="225" s="1"/>
  <c r="T40" i="8" s="1"/>
  <c r="T59" i="8" s="1"/>
  <c r="T29" i="225"/>
  <c r="AA51" i="101"/>
  <c r="AA57" i="101" s="1"/>
  <c r="Z51" i="101"/>
  <c r="Z57" i="101" s="1"/>
  <c r="D13" i="225"/>
  <c r="D25" i="225" s="1"/>
  <c r="D40" i="8" s="1"/>
  <c r="D29" i="225"/>
  <c r="H17" i="121"/>
  <c r="H16" i="121"/>
  <c r="H42" i="121"/>
  <c r="T26" i="103"/>
  <c r="T22" i="103"/>
  <c r="I53" i="101"/>
  <c r="I59" i="101" s="1"/>
  <c r="I51" i="101"/>
  <c r="I57" i="101" s="1"/>
  <c r="I54" i="101"/>
  <c r="I60" i="101" s="1"/>
  <c r="I52" i="101"/>
  <c r="I58" i="101" s="1"/>
  <c r="I50" i="101"/>
  <c r="I56" i="101" s="1"/>
  <c r="I62" i="101" s="1"/>
  <c r="E53" i="101"/>
  <c r="E59" i="101" s="1"/>
  <c r="E51" i="101"/>
  <c r="E57" i="101" s="1"/>
  <c r="E54" i="101"/>
  <c r="E60" i="101" s="1"/>
  <c r="E52" i="101"/>
  <c r="E58" i="101" s="1"/>
  <c r="E50" i="101"/>
  <c r="E56" i="101" s="1"/>
  <c r="E62" i="101" s="1"/>
  <c r="D54" i="101"/>
  <c r="D60" i="101" s="1"/>
  <c r="D52" i="101"/>
  <c r="D58" i="101" s="1"/>
  <c r="D50" i="101"/>
  <c r="D56" i="101" s="1"/>
  <c r="D62" i="101" s="1"/>
  <c r="D53" i="101"/>
  <c r="D59" i="101" s="1"/>
  <c r="D51" i="101"/>
  <c r="D57" i="101" s="1"/>
  <c r="H26" i="103"/>
  <c r="H22" i="103"/>
  <c r="F13" i="137"/>
  <c r="F25" i="137" s="1"/>
  <c r="F42" i="8" s="1"/>
  <c r="F61" i="8" s="1"/>
  <c r="F29" i="137"/>
  <c r="F91" i="8" s="1"/>
  <c r="D13" i="137"/>
  <c r="D25" i="137" s="1"/>
  <c r="D42" i="8" s="1"/>
  <c r="D29" i="137"/>
  <c r="D91" i="8" s="1"/>
  <c r="AB17" i="121"/>
  <c r="AB16" i="121"/>
  <c r="AB42" i="121"/>
  <c r="Z54" i="101"/>
  <c r="Z60" i="101" s="1"/>
  <c r="X30" i="101"/>
  <c r="X32" i="101"/>
  <c r="X31" i="101"/>
  <c r="X33" i="101"/>
  <c r="X34" i="101"/>
  <c r="X73" i="101"/>
  <c r="X90" i="8" s="1"/>
  <c r="M13" i="137"/>
  <c r="M25" i="137" s="1"/>
  <c r="M42" i="8" s="1"/>
  <c r="M61" i="8" s="1"/>
  <c r="M29" i="137"/>
  <c r="M91" i="8" s="1"/>
  <c r="K25" i="103"/>
  <c r="K21" i="103"/>
  <c r="I26" i="103"/>
  <c r="I22" i="103"/>
  <c r="E21" i="103"/>
  <c r="E25" i="103"/>
  <c r="C30" i="101"/>
  <c r="C74" i="101" s="1"/>
  <c r="C33" i="101"/>
  <c r="C31" i="101"/>
  <c r="C34" i="101"/>
  <c r="C32" i="101"/>
  <c r="C73" i="101"/>
  <c r="I17" i="121"/>
  <c r="I16" i="121"/>
  <c r="I42" i="121"/>
  <c r="AE29" i="121"/>
  <c r="AE28" i="121"/>
  <c r="N13" i="225"/>
  <c r="N25" i="225" s="1"/>
  <c r="N40" i="8" s="1"/>
  <c r="N59" i="8" s="1"/>
  <c r="N29" i="225"/>
  <c r="Z50" i="101"/>
  <c r="Z56" i="101" s="1"/>
  <c r="Z62" i="101" s="1"/>
  <c r="AG50" i="101"/>
  <c r="AG56" i="101" s="1"/>
  <c r="AG62" i="101" s="1"/>
  <c r="AG51" i="101"/>
  <c r="AG57" i="101" s="1"/>
  <c r="AG52" i="101"/>
  <c r="AG58" i="101" s="1"/>
  <c r="AG53" i="101"/>
  <c r="AG59" i="101" s="1"/>
  <c r="AG54" i="101"/>
  <c r="AG60" i="101" s="1"/>
  <c r="P54" i="101"/>
  <c r="P60" i="101" s="1"/>
  <c r="P52" i="101"/>
  <c r="P58" i="101" s="1"/>
  <c r="P50" i="101"/>
  <c r="P56" i="101" s="1"/>
  <c r="P62" i="101" s="1"/>
  <c r="P53" i="101"/>
  <c r="P59" i="101" s="1"/>
  <c r="P51" i="101"/>
  <c r="P57" i="101" s="1"/>
  <c r="F15" i="229"/>
  <c r="AD41" i="103"/>
  <c r="AD43" i="103" s="1"/>
  <c r="AD37" i="103"/>
  <c r="V37" i="103"/>
  <c r="V41" i="103"/>
  <c r="X50" i="101"/>
  <c r="X56" i="101" s="1"/>
  <c r="X62" i="101" s="1"/>
  <c r="X52" i="101"/>
  <c r="X58" i="101" s="1"/>
  <c r="X53" i="101"/>
  <c r="X59" i="101" s="1"/>
  <c r="X51" i="101"/>
  <c r="X57" i="101" s="1"/>
  <c r="X54" i="101"/>
  <c r="X60" i="101" s="1"/>
  <c r="AC73" i="101"/>
  <c r="AC90" i="8" s="1"/>
  <c r="AC33" i="101"/>
  <c r="AC31" i="101"/>
  <c r="AC32" i="101"/>
  <c r="AC30" i="101"/>
  <c r="AC34" i="101"/>
  <c r="T25" i="103"/>
  <c r="T21" i="103"/>
  <c r="Q13" i="137"/>
  <c r="Q25" i="137" s="1"/>
  <c r="Q42" i="8" s="1"/>
  <c r="Q61" i="8" s="1"/>
  <c r="Q29" i="137"/>
  <c r="Q91" i="8" s="1"/>
  <c r="AA28" i="121"/>
  <c r="AA29" i="121"/>
  <c r="W13" i="225"/>
  <c r="W25" i="225" s="1"/>
  <c r="W40" i="8" s="1"/>
  <c r="W59" i="8" s="1"/>
  <c r="W29" i="225"/>
  <c r="R13" i="225"/>
  <c r="R25" i="225" s="1"/>
  <c r="R40" i="8" s="1"/>
  <c r="R59" i="8" s="1"/>
  <c r="R29" i="225"/>
  <c r="Z52" i="101"/>
  <c r="Z58" i="101" s="1"/>
  <c r="O29" i="225"/>
  <c r="O13" i="225"/>
  <c r="O25" i="225" s="1"/>
  <c r="O40" i="8" s="1"/>
  <c r="O59" i="8" s="1"/>
  <c r="S37" i="103"/>
  <c r="S41" i="103"/>
  <c r="Z25" i="103"/>
  <c r="Z21" i="103"/>
  <c r="O15" i="229"/>
  <c r="W26" i="103"/>
  <c r="W22" i="103"/>
  <c r="K50" i="101"/>
  <c r="K56" i="101" s="1"/>
  <c r="K62" i="101" s="1"/>
  <c r="K53" i="101"/>
  <c r="K59" i="101" s="1"/>
  <c r="K51" i="101"/>
  <c r="K57" i="101" s="1"/>
  <c r="K54" i="101"/>
  <c r="K60" i="101" s="1"/>
  <c r="K52" i="101"/>
  <c r="K58" i="101" s="1"/>
  <c r="D22" i="229"/>
  <c r="D24" i="229" s="1"/>
  <c r="I13" i="137"/>
  <c r="I25" i="137" s="1"/>
  <c r="I42" i="8" s="1"/>
  <c r="I61" i="8" s="1"/>
  <c r="I29" i="137"/>
  <c r="I91" i="8" s="1"/>
  <c r="F16" i="121"/>
  <c r="F17" i="121"/>
  <c r="F42" i="121"/>
  <c r="N42" i="121"/>
  <c r="N16" i="121"/>
  <c r="N17" i="121"/>
  <c r="AJ16" i="121"/>
  <c r="AJ42" i="121"/>
  <c r="AJ17" i="121"/>
  <c r="V13" i="225"/>
  <c r="V25" i="225" s="1"/>
  <c r="V40" i="8" s="1"/>
  <c r="V59" i="8" s="1"/>
  <c r="V29" i="225"/>
  <c r="R26" i="103"/>
  <c r="R22" i="103"/>
  <c r="AJ28" i="121"/>
  <c r="AJ29" i="121"/>
  <c r="L22" i="229"/>
  <c r="L24" i="229" s="1"/>
  <c r="Y13" i="137"/>
  <c r="Y25" i="137" s="1"/>
  <c r="Y42" i="8" s="1"/>
  <c r="Y61" i="8" s="1"/>
  <c r="Y29" i="137"/>
  <c r="Y91" i="8" s="1"/>
  <c r="S13" i="137"/>
  <c r="S25" i="137" s="1"/>
  <c r="S42" i="8" s="1"/>
  <c r="S61" i="8" s="1"/>
  <c r="S29" i="137"/>
  <c r="S91" i="8" s="1"/>
  <c r="P34" i="101"/>
  <c r="P31" i="101"/>
  <c r="P32" i="101"/>
  <c r="P30" i="101"/>
  <c r="P33" i="101"/>
  <c r="P73" i="101"/>
  <c r="P90" i="8" s="1"/>
  <c r="G28" i="121"/>
  <c r="G29" i="121"/>
  <c r="AK28" i="121"/>
  <c r="AK29" i="121"/>
  <c r="AG28" i="121"/>
  <c r="AG29" i="121"/>
  <c r="AC29" i="121"/>
  <c r="AC28" i="121"/>
  <c r="X28" i="121"/>
  <c r="X29" i="121"/>
  <c r="C13" i="225"/>
  <c r="C25" i="225" s="1"/>
  <c r="C29" i="225"/>
  <c r="Z30" i="101"/>
  <c r="Z32" i="101"/>
  <c r="Z33" i="101"/>
  <c r="Z31" i="101"/>
  <c r="Z34" i="101"/>
  <c r="Z73" i="101"/>
  <c r="Z90" i="8" s="1"/>
  <c r="N51" i="101"/>
  <c r="N57" i="101" s="1"/>
  <c r="N54" i="101"/>
  <c r="N60" i="101" s="1"/>
  <c r="N52" i="101"/>
  <c r="N58" i="101" s="1"/>
  <c r="N50" i="101"/>
  <c r="N56" i="101" s="1"/>
  <c r="N62" i="101" s="1"/>
  <c r="N53" i="101"/>
  <c r="N59" i="101" s="1"/>
  <c r="R50" i="101"/>
  <c r="R56" i="101" s="1"/>
  <c r="R62" i="101" s="1"/>
  <c r="R53" i="101"/>
  <c r="R59" i="101" s="1"/>
  <c r="R51" i="101"/>
  <c r="R57" i="101" s="1"/>
  <c r="R54" i="101"/>
  <c r="R60" i="101" s="1"/>
  <c r="R52" i="101"/>
  <c r="R58" i="101" s="1"/>
  <c r="V25" i="103"/>
  <c r="V27" i="103" s="1"/>
  <c r="V21" i="103"/>
  <c r="O31" i="101"/>
  <c r="O34" i="101"/>
  <c r="O32" i="101"/>
  <c r="O30" i="101"/>
  <c r="O33" i="101"/>
  <c r="O73" i="101"/>
  <c r="O90" i="8" s="1"/>
  <c r="J29" i="137"/>
  <c r="J91" i="8" s="1"/>
  <c r="J13" i="137"/>
  <c r="J25" i="137" s="1"/>
  <c r="J42" i="8" s="1"/>
  <c r="J61" i="8" s="1"/>
  <c r="K73" i="101"/>
  <c r="K90" i="8" s="1"/>
  <c r="K33" i="101"/>
  <c r="K31" i="101"/>
  <c r="K32" i="101"/>
  <c r="K30" i="101"/>
  <c r="K34" i="101"/>
  <c r="AA16" i="121"/>
  <c r="AA17" i="121"/>
  <c r="AA42" i="121"/>
  <c r="M13" i="225"/>
  <c r="M25" i="225" s="1"/>
  <c r="M40" i="8" s="1"/>
  <c r="M59" i="8" s="1"/>
  <c r="M29" i="225"/>
  <c r="AN16" i="121"/>
  <c r="AN17" i="121"/>
  <c r="E17" i="121"/>
  <c r="E16" i="121"/>
  <c r="E42" i="121"/>
  <c r="Y28" i="121"/>
  <c r="Y29" i="121"/>
  <c r="O29" i="121"/>
  <c r="O28" i="121"/>
  <c r="Q13" i="225"/>
  <c r="Q25" i="225" s="1"/>
  <c r="Q40" i="8" s="1"/>
  <c r="Q59" i="8" s="1"/>
  <c r="Q29" i="225"/>
  <c r="AC25" i="103"/>
  <c r="AC21" i="103"/>
  <c r="AC23" i="103" s="1"/>
  <c r="T13" i="229"/>
  <c r="AA42" i="103"/>
  <c r="AA43" i="103" s="1"/>
  <c r="AA38" i="103"/>
  <c r="AA39" i="103" s="1"/>
  <c r="Y22" i="103"/>
  <c r="Y26" i="103"/>
  <c r="J37" i="103"/>
  <c r="J41" i="103"/>
  <c r="H28" i="121"/>
  <c r="H29" i="121"/>
  <c r="G42" i="103"/>
  <c r="G38" i="103"/>
  <c r="H21" i="103"/>
  <c r="H23" i="103" s="1"/>
  <c r="H25" i="103"/>
  <c r="Q16" i="121"/>
  <c r="Q18" i="121" s="1"/>
  <c r="Q21" i="121" s="1"/>
  <c r="Q17" i="121"/>
  <c r="Q42" i="121"/>
  <c r="AF16" i="121"/>
  <c r="AF42" i="121"/>
  <c r="AF17" i="121"/>
  <c r="M16" i="121"/>
  <c r="M17" i="121"/>
  <c r="M42" i="121"/>
  <c r="M29" i="121"/>
  <c r="M28" i="121"/>
  <c r="AN76" i="8"/>
  <c r="AN74" i="8"/>
  <c r="AO73" i="8"/>
  <c r="AN75" i="8"/>
  <c r="AH32" i="101"/>
  <c r="C44" i="8"/>
  <c r="C14" i="8"/>
  <c r="C37" i="211" s="1"/>
  <c r="AF73" i="101"/>
  <c r="AF90" i="8" s="1"/>
  <c r="AF30" i="101"/>
  <c r="AF33" i="101"/>
  <c r="AF32" i="101"/>
  <c r="AF31" i="101"/>
  <c r="AF34" i="101"/>
  <c r="AB21" i="103"/>
  <c r="AB25" i="103"/>
  <c r="X25" i="103"/>
  <c r="X21" i="103"/>
  <c r="R22" i="229"/>
  <c r="R24" i="229" s="1"/>
  <c r="AG73" i="101"/>
  <c r="AG90" i="8" s="1"/>
  <c r="AG30" i="101"/>
  <c r="AG31" i="101"/>
  <c r="AG33" i="101"/>
  <c r="AG32" i="101"/>
  <c r="AG34" i="101"/>
  <c r="Q41" i="103"/>
  <c r="Q37" i="103"/>
  <c r="W38" i="103"/>
  <c r="W42" i="103"/>
  <c r="U33" i="101"/>
  <c r="U34" i="101"/>
  <c r="U31" i="101"/>
  <c r="U30" i="101"/>
  <c r="U32" i="101"/>
  <c r="U73" i="101"/>
  <c r="U90" i="8" s="1"/>
  <c r="L34" i="101"/>
  <c r="L73" i="101"/>
  <c r="L90" i="8" s="1"/>
  <c r="L30" i="101"/>
  <c r="L33" i="101"/>
  <c r="L31" i="101"/>
  <c r="L32" i="101"/>
  <c r="AH28" i="121"/>
  <c r="AH29" i="121"/>
  <c r="AB28" i="121"/>
  <c r="AB29" i="121"/>
  <c r="AM64" i="8"/>
  <c r="AM66" i="8" s="1"/>
  <c r="AM70" i="8" s="1"/>
  <c r="AM63" i="8"/>
  <c r="AH33" i="101"/>
  <c r="AB33" i="101"/>
  <c r="AB34" i="101"/>
  <c r="AB30" i="101"/>
  <c r="AB31" i="101"/>
  <c r="AB32" i="101"/>
  <c r="U15" i="229"/>
  <c r="U29" i="229" s="1"/>
  <c r="U41" i="8" s="1"/>
  <c r="U60" i="8" s="1"/>
  <c r="U33" i="229"/>
  <c r="D17" i="121"/>
  <c r="D42" i="121"/>
  <c r="D16" i="121"/>
  <c r="Z22" i="103"/>
  <c r="Z26" i="103"/>
  <c r="Y38" i="103"/>
  <c r="Y42" i="103"/>
  <c r="M42" i="103"/>
  <c r="M38" i="103"/>
  <c r="D38" i="103"/>
  <c r="D42" i="103"/>
  <c r="J32" i="101"/>
  <c r="J30" i="101"/>
  <c r="J33" i="101"/>
  <c r="J31" i="101"/>
  <c r="J34" i="101"/>
  <c r="J73" i="101"/>
  <c r="J90" i="8" s="1"/>
  <c r="F73" i="101"/>
  <c r="F90" i="8" s="1"/>
  <c r="F31" i="101"/>
  <c r="F34" i="101"/>
  <c r="F33" i="101"/>
  <c r="F32" i="101"/>
  <c r="F30" i="101"/>
  <c r="AC16" i="121"/>
  <c r="AC17" i="121"/>
  <c r="AC42" i="121"/>
  <c r="AL28" i="121"/>
  <c r="AL29" i="121"/>
  <c r="P16" i="121"/>
  <c r="P17" i="121"/>
  <c r="P42" i="121"/>
  <c r="J13" i="225"/>
  <c r="J25" i="225" s="1"/>
  <c r="J40" i="8" s="1"/>
  <c r="J59" i="8" s="1"/>
  <c r="J29" i="225"/>
  <c r="AH31" i="101"/>
  <c r="AD31" i="101"/>
  <c r="AD33" i="101"/>
  <c r="AD32" i="101"/>
  <c r="AD73" i="101"/>
  <c r="AD90" i="8" s="1"/>
  <c r="AD30" i="101"/>
  <c r="AD34" i="101"/>
  <c r="AH22" i="229"/>
  <c r="AH24" i="229" s="1"/>
  <c r="M22" i="229"/>
  <c r="M24" i="229" s="1"/>
  <c r="U13" i="137"/>
  <c r="U25" i="137" s="1"/>
  <c r="U42" i="8" s="1"/>
  <c r="U61" i="8" s="1"/>
  <c r="U29" i="137"/>
  <c r="U91" i="8" s="1"/>
  <c r="R31" i="101"/>
  <c r="R34" i="101"/>
  <c r="R73" i="101"/>
  <c r="R90" i="8" s="1"/>
  <c r="R32" i="101"/>
  <c r="R30" i="101"/>
  <c r="R33" i="101"/>
  <c r="G54" i="101"/>
  <c r="G60" i="101" s="1"/>
  <c r="G51" i="101"/>
  <c r="G57" i="101" s="1"/>
  <c r="G52" i="101"/>
  <c r="G58" i="101" s="1"/>
  <c r="G50" i="101"/>
  <c r="G56" i="101" s="1"/>
  <c r="G62" i="101" s="1"/>
  <c r="G53" i="101"/>
  <c r="G59" i="101" s="1"/>
  <c r="F29" i="121"/>
  <c r="F28" i="121"/>
  <c r="H13" i="137"/>
  <c r="H25" i="137" s="1"/>
  <c r="H42" i="8" s="1"/>
  <c r="H61" i="8" s="1"/>
  <c r="H29" i="137"/>
  <c r="H91" i="8" s="1"/>
  <c r="AI28" i="121"/>
  <c r="AI29" i="121"/>
  <c r="Z16" i="121"/>
  <c r="Z17" i="121"/>
  <c r="Z42" i="121"/>
  <c r="K16" i="121"/>
  <c r="K18" i="121" s="1"/>
  <c r="K21" i="121" s="1"/>
  <c r="K17" i="121"/>
  <c r="K42" i="121"/>
  <c r="AN48" i="170"/>
  <c r="AN40" i="170"/>
  <c r="AN21" i="229" s="1"/>
  <c r="AN48" i="101"/>
  <c r="AH30" i="101"/>
  <c r="AF25" i="137"/>
  <c r="AF42" i="8" s="1"/>
  <c r="AF61" i="8" s="1"/>
  <c r="O41" i="103"/>
  <c r="O37" i="103"/>
  <c r="AE52" i="101"/>
  <c r="AE58" i="101" s="1"/>
  <c r="AE53" i="101"/>
  <c r="AE59" i="101" s="1"/>
  <c r="AE50" i="101"/>
  <c r="AE56" i="101" s="1"/>
  <c r="AE62" i="101" s="1"/>
  <c r="AE51" i="101"/>
  <c r="AE57" i="101" s="1"/>
  <c r="AE54" i="101"/>
  <c r="AE60" i="101" s="1"/>
  <c r="AI73" i="101"/>
  <c r="AI90" i="8" s="1"/>
  <c r="AI30" i="101"/>
  <c r="AI31" i="101"/>
  <c r="AI32" i="101"/>
  <c r="AI33" i="101"/>
  <c r="AE30" i="101"/>
  <c r="AE32" i="101"/>
  <c r="AE33" i="101"/>
  <c r="AE31" i="101"/>
  <c r="AE73" i="101"/>
  <c r="AE90" i="8" s="1"/>
  <c r="AE34" i="101"/>
  <c r="U51" i="101"/>
  <c r="U57" i="101" s="1"/>
  <c r="U54" i="101"/>
  <c r="U60" i="101" s="1"/>
  <c r="U52" i="101"/>
  <c r="U58" i="101" s="1"/>
  <c r="U53" i="101"/>
  <c r="U59" i="101" s="1"/>
  <c r="U50" i="101"/>
  <c r="U56" i="101" s="1"/>
  <c r="U62" i="101" s="1"/>
  <c r="X13" i="137"/>
  <c r="X25" i="137" s="1"/>
  <c r="X42" i="8" s="1"/>
  <c r="X61" i="8" s="1"/>
  <c r="X29" i="137"/>
  <c r="X91" i="8" s="1"/>
  <c r="U26" i="103"/>
  <c r="U22" i="103"/>
  <c r="S30" i="101"/>
  <c r="S33" i="101"/>
  <c r="S31" i="101"/>
  <c r="S34" i="101"/>
  <c r="S32" i="101"/>
  <c r="S73" i="101"/>
  <c r="S90" i="8" s="1"/>
  <c r="O38" i="103"/>
  <c r="O42" i="103"/>
  <c r="N25" i="103"/>
  <c r="N21" i="103"/>
  <c r="E42" i="103"/>
  <c r="E38" i="103"/>
  <c r="F26" i="103"/>
  <c r="F22" i="103"/>
  <c r="E73" i="101"/>
  <c r="E90" i="8" s="1"/>
  <c r="E33" i="101"/>
  <c r="E31" i="101"/>
  <c r="E34" i="101"/>
  <c r="E32" i="101"/>
  <c r="E30" i="101"/>
  <c r="U28" i="121"/>
  <c r="U29" i="121"/>
  <c r="L28" i="121"/>
  <c r="L29" i="121"/>
  <c r="V17" i="121"/>
  <c r="V16" i="121"/>
  <c r="V18" i="121" s="1"/>
  <c r="V21" i="121" s="1"/>
  <c r="V42" i="121"/>
  <c r="O16" i="121"/>
  <c r="O42" i="121"/>
  <c r="O17" i="121"/>
  <c r="AN32" i="170"/>
  <c r="AN36" i="170" s="1"/>
  <c r="AN37" i="170" s="1"/>
  <c r="AN38" i="170" s="1"/>
  <c r="AN34" i="170"/>
  <c r="AN34" i="103" s="1"/>
  <c r="AF29" i="137"/>
  <c r="AF91" i="8" s="1"/>
  <c r="V15" i="229"/>
  <c r="V33" i="229"/>
  <c r="AC53" i="101"/>
  <c r="AC59" i="101" s="1"/>
  <c r="AC51" i="101"/>
  <c r="AC57" i="101" s="1"/>
  <c r="AC50" i="101"/>
  <c r="AC56" i="101" s="1"/>
  <c r="AC62" i="101" s="1"/>
  <c r="AC52" i="101"/>
  <c r="AC58" i="101" s="1"/>
  <c r="AC54" i="101"/>
  <c r="AC60" i="101" s="1"/>
  <c r="N37" i="103"/>
  <c r="N41" i="103"/>
  <c r="T13" i="137"/>
  <c r="T25" i="137" s="1"/>
  <c r="T42" i="8" s="1"/>
  <c r="T61" i="8" s="1"/>
  <c r="T29" i="137"/>
  <c r="T91" i="8" s="1"/>
  <c r="T30" i="101"/>
  <c r="T33" i="101"/>
  <c r="T31" i="101"/>
  <c r="T34" i="101"/>
  <c r="T73" i="101"/>
  <c r="T90" i="8" s="1"/>
  <c r="T32" i="101"/>
  <c r="P22" i="103"/>
  <c r="P26" i="103"/>
  <c r="N38" i="103"/>
  <c r="N42" i="103"/>
  <c r="M22" i="103"/>
  <c r="M26" i="103"/>
  <c r="D37" i="103"/>
  <c r="D41" i="103"/>
  <c r="G21" i="103"/>
  <c r="G25" i="103"/>
  <c r="G17" i="121"/>
  <c r="G16" i="121"/>
  <c r="G42" i="121"/>
  <c r="AE16" i="121"/>
  <c r="AE17" i="121"/>
  <c r="AE42" i="121"/>
  <c r="V28" i="121"/>
  <c r="V29" i="121"/>
  <c r="AB18" i="225"/>
  <c r="C26" i="8"/>
  <c r="C18" i="8"/>
  <c r="Q33" i="229"/>
  <c r="Q15" i="229"/>
  <c r="Q29" i="229" s="1"/>
  <c r="Q41" i="8" s="1"/>
  <c r="Q60" i="8" s="1"/>
  <c r="X26" i="103"/>
  <c r="X22" i="103"/>
  <c r="P15" i="229"/>
  <c r="P29" i="229" s="1"/>
  <c r="P41" i="8" s="1"/>
  <c r="P60" i="8" s="1"/>
  <c r="P33" i="229"/>
  <c r="S21" i="103"/>
  <c r="S25" i="103"/>
  <c r="S27" i="103" s="1"/>
  <c r="G15" i="229"/>
  <c r="E37" i="103"/>
  <c r="E41" i="103"/>
  <c r="H34" i="101"/>
  <c r="H31" i="101"/>
  <c r="H32" i="101"/>
  <c r="H30" i="101"/>
  <c r="H33" i="101"/>
  <c r="H73" i="101"/>
  <c r="H90" i="8" s="1"/>
  <c r="AF28" i="121"/>
  <c r="AF29" i="121"/>
  <c r="Y13" i="225"/>
  <c r="Y25" i="225" s="1"/>
  <c r="Y40" i="8" s="1"/>
  <c r="Y59" i="8" s="1"/>
  <c r="Y29" i="225"/>
  <c r="S13" i="225"/>
  <c r="S25" i="225" s="1"/>
  <c r="S40" i="8" s="1"/>
  <c r="S59" i="8" s="1"/>
  <c r="S29" i="225"/>
  <c r="V42" i="103"/>
  <c r="V38" i="103"/>
  <c r="I41" i="103"/>
  <c r="I37" i="103"/>
  <c r="N26" i="103"/>
  <c r="N22" i="103"/>
  <c r="D29" i="121"/>
  <c r="D28" i="121"/>
  <c r="G22" i="103"/>
  <c r="G26" i="103"/>
  <c r="C28" i="121"/>
  <c r="C29" i="121"/>
  <c r="X16" i="121"/>
  <c r="X17" i="121"/>
  <c r="X42" i="121"/>
  <c r="J17" i="121"/>
  <c r="J16" i="121"/>
  <c r="AB37" i="103"/>
  <c r="AB51" i="101"/>
  <c r="AB57" i="101" s="1"/>
  <c r="AB53" i="101"/>
  <c r="AB59" i="101" s="1"/>
  <c r="AB52" i="101"/>
  <c r="AB58" i="101" s="1"/>
  <c r="AB54" i="101"/>
  <c r="AB60" i="101" s="1"/>
  <c r="AB50" i="101"/>
  <c r="AB56" i="101" s="1"/>
  <c r="AB62" i="101" s="1"/>
  <c r="U41" i="103"/>
  <c r="U37" i="103"/>
  <c r="AB22" i="103"/>
  <c r="AB26" i="103"/>
  <c r="O53" i="101"/>
  <c r="O59" i="101" s="1"/>
  <c r="O54" i="101"/>
  <c r="O60" i="101" s="1"/>
  <c r="O52" i="101"/>
  <c r="O58" i="101" s="1"/>
  <c r="O51" i="101"/>
  <c r="O57" i="101" s="1"/>
  <c r="O50" i="101"/>
  <c r="O56" i="101" s="1"/>
  <c r="O62" i="101" s="1"/>
  <c r="L37" i="103"/>
  <c r="L41" i="103"/>
  <c r="Q42" i="103"/>
  <c r="Q38" i="103"/>
  <c r="Q32" i="101"/>
  <c r="Q30" i="101"/>
  <c r="Q33" i="101"/>
  <c r="Q31" i="101"/>
  <c r="Q34" i="101"/>
  <c r="Q73" i="101"/>
  <c r="Q90" i="8" s="1"/>
  <c r="H53" i="101"/>
  <c r="H59" i="101" s="1"/>
  <c r="H51" i="101"/>
  <c r="H57" i="101" s="1"/>
  <c r="H50" i="101"/>
  <c r="H56" i="101" s="1"/>
  <c r="H62" i="101" s="1"/>
  <c r="H52" i="101"/>
  <c r="H58" i="101" s="1"/>
  <c r="H54" i="101"/>
  <c r="H60" i="101" s="1"/>
  <c r="K13" i="137"/>
  <c r="K25" i="137" s="1"/>
  <c r="K42" i="8" s="1"/>
  <c r="K61" i="8" s="1"/>
  <c r="K29" i="137"/>
  <c r="K91" i="8" s="1"/>
  <c r="G13" i="137"/>
  <c r="G25" i="137" s="1"/>
  <c r="G42" i="8" s="1"/>
  <c r="G61" i="8" s="1"/>
  <c r="G29" i="137"/>
  <c r="G91" i="8" s="1"/>
  <c r="T28" i="121"/>
  <c r="T29" i="121"/>
  <c r="D21" i="103"/>
  <c r="D25" i="103"/>
  <c r="C25" i="103"/>
  <c r="C21" i="103"/>
  <c r="AD13" i="225"/>
  <c r="AD25" i="225" s="1"/>
  <c r="AD40" i="8" s="1"/>
  <c r="AD59" i="8" s="1"/>
  <c r="AD29" i="225"/>
  <c r="C47" i="8"/>
  <c r="V54" i="101"/>
  <c r="V60" i="101" s="1"/>
  <c r="V51" i="101"/>
  <c r="V57" i="101" s="1"/>
  <c r="V50" i="101"/>
  <c r="V56" i="101" s="1"/>
  <c r="V62" i="101" s="1"/>
  <c r="V53" i="101"/>
  <c r="V59" i="101" s="1"/>
  <c r="V52" i="101"/>
  <c r="V58" i="101" s="1"/>
  <c r="AD26" i="103"/>
  <c r="AD22" i="103"/>
  <c r="T37" i="103"/>
  <c r="T41" i="103"/>
  <c r="X38" i="103"/>
  <c r="X39" i="103" s="1"/>
  <c r="X42" i="103"/>
  <c r="X43" i="103" s="1"/>
  <c r="M41" i="103"/>
  <c r="M37" i="103"/>
  <c r="J50" i="101"/>
  <c r="J56" i="101" s="1"/>
  <c r="J62" i="101" s="1"/>
  <c r="J53" i="101"/>
  <c r="J59" i="101" s="1"/>
  <c r="J52" i="101"/>
  <c r="J58" i="101" s="1"/>
  <c r="J51" i="101"/>
  <c r="J57" i="101" s="1"/>
  <c r="J54" i="101"/>
  <c r="J60" i="101" s="1"/>
  <c r="Q21" i="103"/>
  <c r="Q23" i="103" s="1"/>
  <c r="Q25" i="103"/>
  <c r="Q27" i="103" s="1"/>
  <c r="F38" i="103"/>
  <c r="F42" i="103"/>
  <c r="K26" i="103"/>
  <c r="K22" i="103"/>
  <c r="I32" i="101"/>
  <c r="I73" i="101"/>
  <c r="I90" i="8" s="1"/>
  <c r="I30" i="101"/>
  <c r="I33" i="101"/>
  <c r="I34" i="101"/>
  <c r="I31" i="101"/>
  <c r="D26" i="103"/>
  <c r="D22" i="103"/>
  <c r="U16" i="121"/>
  <c r="U17" i="121"/>
  <c r="U42" i="121"/>
  <c r="S50" i="101"/>
  <c r="S56" i="101" s="1"/>
  <c r="S62" i="101" s="1"/>
  <c r="S53" i="101"/>
  <c r="S59" i="101" s="1"/>
  <c r="S51" i="101"/>
  <c r="S57" i="101" s="1"/>
  <c r="S54" i="101"/>
  <c r="S60" i="101" s="1"/>
  <c r="S52" i="101"/>
  <c r="S58" i="101" s="1"/>
  <c r="U42" i="103"/>
  <c r="U38" i="103"/>
  <c r="Q29" i="121"/>
  <c r="Q28" i="121"/>
  <c r="AF13" i="225"/>
  <c r="AF25" i="225" s="1"/>
  <c r="AF40" i="8" s="1"/>
  <c r="AF59" i="8" s="1"/>
  <c r="AF29" i="225"/>
  <c r="W52" i="101"/>
  <c r="W58" i="101" s="1"/>
  <c r="W51" i="101"/>
  <c r="W57" i="101" s="1"/>
  <c r="W53" i="101"/>
  <c r="W59" i="101" s="1"/>
  <c r="W54" i="101"/>
  <c r="W60" i="101" s="1"/>
  <c r="W50" i="101"/>
  <c r="W56" i="101" s="1"/>
  <c r="W62" i="101" s="1"/>
  <c r="Z42" i="103"/>
  <c r="Z43" i="103" s="1"/>
  <c r="Z38" i="103"/>
  <c r="Z39" i="103" s="1"/>
  <c r="G22" i="229"/>
  <c r="G24" i="229" s="1"/>
  <c r="P38" i="103"/>
  <c r="P42" i="103"/>
  <c r="H42" i="103"/>
  <c r="H38" i="103"/>
  <c r="N28" i="121"/>
  <c r="N29" i="121"/>
  <c r="C26" i="103"/>
  <c r="C22" i="103"/>
  <c r="C42" i="121"/>
  <c r="C16" i="121"/>
  <c r="C17" i="121"/>
  <c r="AD17" i="121"/>
  <c r="AD16" i="121"/>
  <c r="AD42" i="121"/>
  <c r="H13" i="225"/>
  <c r="AM31" i="170"/>
  <c r="AM46" i="170" s="1"/>
  <c r="AM45" i="170"/>
  <c r="AM48" i="170"/>
  <c r="AM40" i="170"/>
  <c r="AM21" i="229" s="1"/>
  <c r="AM48" i="101"/>
  <c r="W15" i="229"/>
  <c r="W29" i="229" s="1"/>
  <c r="W41" i="8" s="1"/>
  <c r="W60" i="8" s="1"/>
  <c r="W33" i="229"/>
  <c r="AB38" i="103"/>
  <c r="AB42" i="103"/>
  <c r="AB43" i="103" s="1"/>
  <c r="AA25" i="103"/>
  <c r="AA27" i="103" s="1"/>
  <c r="AA21" i="103"/>
  <c r="AA23" i="103" s="1"/>
  <c r="K37" i="103"/>
  <c r="K41" i="103"/>
  <c r="H41" i="103"/>
  <c r="H37" i="103"/>
  <c r="K38" i="103"/>
  <c r="K42" i="103"/>
  <c r="D30" i="101"/>
  <c r="D33" i="101"/>
  <c r="D31" i="101"/>
  <c r="D73" i="101"/>
  <c r="D90" i="8" s="1"/>
  <c r="D34" i="101"/>
  <c r="D32" i="101"/>
  <c r="G13" i="225"/>
  <c r="AM32" i="170"/>
  <c r="AM36" i="170" s="1"/>
  <c r="AM34" i="170"/>
  <c r="AM34" i="103" s="1"/>
  <c r="I38" i="103"/>
  <c r="I42" i="103"/>
  <c r="Y41" i="103"/>
  <c r="Y37" i="103"/>
  <c r="Y30" i="101"/>
  <c r="Y33" i="101"/>
  <c r="Y32" i="101"/>
  <c r="Y34" i="101"/>
  <c r="Y31" i="101"/>
  <c r="Y73" i="101"/>
  <c r="Y90" i="8" s="1"/>
  <c r="F21" i="103"/>
  <c r="F25" i="103"/>
  <c r="L17" i="121"/>
  <c r="L16" i="121"/>
  <c r="L18" i="121" s="1"/>
  <c r="L21" i="121" s="1"/>
  <c r="L42" i="121"/>
  <c r="W41" i="103"/>
  <c r="W37" i="103"/>
  <c r="N33" i="229"/>
  <c r="N15" i="229"/>
  <c r="N29" i="229" s="1"/>
  <c r="N41" i="8" s="1"/>
  <c r="N60" i="8" s="1"/>
  <c r="R13" i="137"/>
  <c r="R25" i="137" s="1"/>
  <c r="R42" i="8" s="1"/>
  <c r="R61" i="8" s="1"/>
  <c r="R29" i="137"/>
  <c r="R91" i="8" s="1"/>
  <c r="P25" i="103"/>
  <c r="P21" i="103"/>
  <c r="F37" i="103"/>
  <c r="F41" i="103"/>
  <c r="E28" i="121"/>
  <c r="E29" i="121"/>
  <c r="G32" i="101"/>
  <c r="G30" i="101"/>
  <c r="G33" i="101"/>
  <c r="G73" i="101"/>
  <c r="G90" i="8" s="1"/>
  <c r="G31" i="101"/>
  <c r="G34" i="101"/>
  <c r="AK16" i="121"/>
  <c r="AK42" i="121"/>
  <c r="AK17" i="121"/>
  <c r="AO16" i="121"/>
  <c r="AO17" i="121"/>
  <c r="AD28" i="121"/>
  <c r="AD29" i="121"/>
  <c r="E29" i="225"/>
  <c r="E13" i="225"/>
  <c r="E25" i="225" s="1"/>
  <c r="E40" i="8" s="1"/>
  <c r="E59" i="8" s="1"/>
  <c r="X13" i="225"/>
  <c r="X25" i="225" s="1"/>
  <c r="X40" i="8" s="1"/>
  <c r="X59" i="8" s="1"/>
  <c r="X29" i="225"/>
  <c r="Z33" i="229"/>
  <c r="Z24" i="229"/>
  <c r="Z29" i="229" s="1"/>
  <c r="Z41" i="8" s="1"/>
  <c r="AA20" i="229"/>
  <c r="AA22" i="229" s="1"/>
  <c r="AG15" i="229"/>
  <c r="AG29" i="229" s="1"/>
  <c r="AG41" i="8" s="1"/>
  <c r="AG33" i="229"/>
  <c r="AK52" i="101"/>
  <c r="AK58" i="101" s="1"/>
  <c r="AK32" i="101"/>
  <c r="AL15" i="101"/>
  <c r="AJ38" i="101"/>
  <c r="AJ39" i="101"/>
  <c r="AJ77" i="101"/>
  <c r="AJ84" i="8" s="1"/>
  <c r="AL16" i="101"/>
  <c r="AK33" i="101"/>
  <c r="AK53" i="101"/>
  <c r="AK59" i="101" s="1"/>
  <c r="AJ56" i="8"/>
  <c r="AK31" i="101"/>
  <c r="AK51" i="101"/>
  <c r="AK57" i="101" s="1"/>
  <c r="AL14" i="101"/>
  <c r="AL50" i="101"/>
  <c r="AL56" i="101" s="1"/>
  <c r="AL62" i="101" s="1"/>
  <c r="AL30" i="101"/>
  <c r="AM13" i="101"/>
  <c r="AK36" i="101"/>
  <c r="AK42" i="101" s="1"/>
  <c r="AK67" i="101" s="1"/>
  <c r="AK37" i="8" s="1"/>
  <c r="AK74" i="101"/>
  <c r="AK81" i="8" s="1"/>
  <c r="AI40" i="101"/>
  <c r="AI78" i="101"/>
  <c r="AI85" i="8" s="1"/>
  <c r="AJ54" i="101"/>
  <c r="AJ60" i="101" s="1"/>
  <c r="AK17" i="101"/>
  <c r="AJ34" i="101"/>
  <c r="AJ75" i="101"/>
  <c r="AJ82" i="8" s="1"/>
  <c r="AJ37" i="101"/>
  <c r="Z40" i="8"/>
  <c r="AH17" i="170"/>
  <c r="AH18" i="170" s="1"/>
  <c r="AJ12" i="170"/>
  <c r="AI16" i="170"/>
  <c r="AI47" i="170"/>
  <c r="AG80" i="170"/>
  <c r="AG81" i="170" s="1"/>
  <c r="AG84" i="170" s="1"/>
  <c r="AH62" i="170"/>
  <c r="AI57" i="170"/>
  <c r="AH74" i="170"/>
  <c r="AH79" i="170" s="1"/>
  <c r="AG63" i="170"/>
  <c r="AG64" i="170" s="1"/>
  <c r="AG67" i="170" s="1"/>
  <c r="Z42" i="8"/>
  <c r="Z61" i="8" s="1"/>
  <c r="AE13" i="137"/>
  <c r="AE25" i="137" s="1"/>
  <c r="AE42" i="8" s="1"/>
  <c r="AE29" i="137"/>
  <c r="AE91" i="8" s="1"/>
  <c r="AE13" i="225"/>
  <c r="AE25" i="225" s="1"/>
  <c r="AE40" i="8" s="1"/>
  <c r="AE29" i="225"/>
  <c r="AV5" i="169"/>
  <c r="AV7" i="169"/>
  <c r="AW2" i="169"/>
  <c r="AW3" i="169" s="1"/>
  <c r="AU16" i="169"/>
  <c r="AU8" i="169"/>
  <c r="AT17" i="169"/>
  <c r="AT18" i="169"/>
  <c r="AS19" i="169"/>
  <c r="AN43" i="8" s="1"/>
  <c r="AN62" i="8" s="1"/>
  <c r="AB41" i="170"/>
  <c r="AA20" i="225"/>
  <c r="AA25" i="225" s="1"/>
  <c r="AA29" i="225"/>
  <c r="AA20" i="137"/>
  <c r="AA25" i="137" s="1"/>
  <c r="AA29" i="137"/>
  <c r="AA91" i="8" s="1"/>
  <c r="AC33" i="229"/>
  <c r="AD15" i="229"/>
  <c r="AD22" i="229"/>
  <c r="AD24" i="229" s="1"/>
  <c r="H13" i="229"/>
  <c r="AE13" i="229"/>
  <c r="AC29" i="229"/>
  <c r="AC41" i="8" s="1"/>
  <c r="AE84" i="170"/>
  <c r="AL45" i="103" l="1"/>
  <c r="AC43" i="103"/>
  <c r="AH63" i="101"/>
  <c r="AF33" i="229"/>
  <c r="AJ43" i="103"/>
  <c r="AH39" i="103"/>
  <c r="U27" i="103"/>
  <c r="L23" i="103"/>
  <c r="AH43" i="103"/>
  <c r="AH18" i="121"/>
  <c r="AH21" i="121" s="1"/>
  <c r="AF39" i="103"/>
  <c r="AF45" i="103" s="1"/>
  <c r="AF50" i="103" s="1"/>
  <c r="AF39" i="8" s="1"/>
  <c r="AF58" i="8" s="1"/>
  <c r="AG43" i="103"/>
  <c r="AL27" i="103"/>
  <c r="AL55" i="103" s="1"/>
  <c r="AL88" i="8" s="1"/>
  <c r="D18" i="121"/>
  <c r="D21" i="121" s="1"/>
  <c r="AJ27" i="103"/>
  <c r="AJ55" i="103" s="1"/>
  <c r="AJ88" i="8" s="1"/>
  <c r="AN26" i="121"/>
  <c r="AN31" i="121" s="1"/>
  <c r="AH21" i="170"/>
  <c r="AH11" i="229" s="1"/>
  <c r="AH13" i="229" s="1"/>
  <c r="AH11" i="137"/>
  <c r="AH11" i="225"/>
  <c r="AK45" i="103"/>
  <c r="AF29" i="103"/>
  <c r="E23" i="103"/>
  <c r="AG27" i="103"/>
  <c r="AG29" i="103" s="1"/>
  <c r="AJ23" i="103"/>
  <c r="AH29" i="103"/>
  <c r="AH54" i="103"/>
  <c r="AH87" i="8" s="1"/>
  <c r="AI27" i="103"/>
  <c r="Y18" i="121"/>
  <c r="Y21" i="121" s="1"/>
  <c r="AI23" i="103"/>
  <c r="AJ39" i="103"/>
  <c r="AK23" i="103"/>
  <c r="AK18" i="121"/>
  <c r="AK21" i="121" s="1"/>
  <c r="AC27" i="103"/>
  <c r="AK27" i="103"/>
  <c r="AK55" i="103" s="1"/>
  <c r="AK88" i="8" s="1"/>
  <c r="AF43" i="103"/>
  <c r="AF55" i="103" s="1"/>
  <c r="AF88" i="8" s="1"/>
  <c r="AG39" i="103"/>
  <c r="AG55" i="103"/>
  <c r="AG88" i="8" s="1"/>
  <c r="M18" i="121"/>
  <c r="M21" i="121" s="1"/>
  <c r="AF29" i="229"/>
  <c r="AF41" i="8" s="1"/>
  <c r="AF60" i="8" s="1"/>
  <c r="AI43" i="103"/>
  <c r="AI39" i="103"/>
  <c r="AO23" i="103"/>
  <c r="AD18" i="121"/>
  <c r="AD21" i="121" s="1"/>
  <c r="AO27" i="103"/>
  <c r="AN23" i="103"/>
  <c r="AN18" i="121"/>
  <c r="AN21" i="121" s="1"/>
  <c r="AM23" i="103"/>
  <c r="AM29" i="103" s="1"/>
  <c r="AN27" i="103"/>
  <c r="V29" i="229"/>
  <c r="V41" i="8" s="1"/>
  <c r="V60" i="8" s="1"/>
  <c r="X29" i="229"/>
  <c r="X41" i="8" s="1"/>
  <c r="X60" i="8" s="1"/>
  <c r="AN42" i="103"/>
  <c r="AN31" i="170"/>
  <c r="AN46" i="170" s="1"/>
  <c r="AD39" i="103"/>
  <c r="AB39" i="103"/>
  <c r="J43" i="103"/>
  <c r="J39" i="103"/>
  <c r="S29" i="229"/>
  <c r="S41" i="8" s="1"/>
  <c r="S60" i="8" s="1"/>
  <c r="S43" i="103"/>
  <c r="S55" i="103" s="1"/>
  <c r="S88" i="8" s="1"/>
  <c r="W30" i="121"/>
  <c r="W33" i="121" s="1"/>
  <c r="S33" i="229"/>
  <c r="AA54" i="103"/>
  <c r="AA87" i="8" s="1"/>
  <c r="L39" i="103"/>
  <c r="M39" i="103"/>
  <c r="R33" i="229"/>
  <c r="X30" i="121"/>
  <c r="X33" i="121" s="1"/>
  <c r="AJ76" i="101"/>
  <c r="AJ83" i="8" s="1"/>
  <c r="AJ63" i="101"/>
  <c r="M30" i="121"/>
  <c r="M33" i="121" s="1"/>
  <c r="S30" i="121"/>
  <c r="S33" i="121" s="1"/>
  <c r="AL54" i="103"/>
  <c r="AL87" i="8" s="1"/>
  <c r="Q30" i="121"/>
  <c r="Q33" i="121" s="1"/>
  <c r="AM37" i="103"/>
  <c r="AM39" i="103" s="1"/>
  <c r="AM41" i="103"/>
  <c r="AM43" i="103" s="1"/>
  <c r="AM55" i="103" s="1"/>
  <c r="AM88" i="8" s="1"/>
  <c r="AA30" i="121"/>
  <c r="AA33" i="121" s="1"/>
  <c r="I30" i="121"/>
  <c r="G30" i="121"/>
  <c r="G33" i="121" s="1"/>
  <c r="AB63" i="101"/>
  <c r="L63" i="101"/>
  <c r="E30" i="121"/>
  <c r="E33" i="121" s="1"/>
  <c r="AN37" i="103"/>
  <c r="AN39" i="103" s="1"/>
  <c r="AN41" i="103"/>
  <c r="H43" i="103"/>
  <c r="Z30" i="121"/>
  <c r="Z33" i="121" s="1"/>
  <c r="Z37" i="121" s="1"/>
  <c r="Z36" i="8" s="1"/>
  <c r="Z55" i="8" s="1"/>
  <c r="W43" i="103"/>
  <c r="D30" i="121"/>
  <c r="D33" i="121" s="1"/>
  <c r="D37" i="121" s="1"/>
  <c r="D36" i="8" s="1"/>
  <c r="H30" i="121"/>
  <c r="H33" i="121" s="1"/>
  <c r="AI63" i="101"/>
  <c r="V30" i="121"/>
  <c r="V33" i="121" s="1"/>
  <c r="V37" i="121" s="1"/>
  <c r="V36" i="8" s="1"/>
  <c r="V55" i="8" s="1"/>
  <c r="AC63" i="101"/>
  <c r="F30" i="121"/>
  <c r="F33" i="121" s="1"/>
  <c r="AC39" i="103"/>
  <c r="AC45" i="103" s="1"/>
  <c r="T43" i="103"/>
  <c r="E27" i="103"/>
  <c r="C23" i="103"/>
  <c r="C29" i="103" s="1"/>
  <c r="AA45" i="103"/>
  <c r="C27" i="103"/>
  <c r="Y43" i="103"/>
  <c r="M43" i="103"/>
  <c r="F43" i="103"/>
  <c r="D43" i="103"/>
  <c r="L43" i="103"/>
  <c r="L45" i="103" s="1"/>
  <c r="V23" i="103"/>
  <c r="O39" i="103"/>
  <c r="S23" i="103"/>
  <c r="S29" i="103" s="1"/>
  <c r="F29" i="229"/>
  <c r="F41" i="8" s="1"/>
  <c r="F60" i="8" s="1"/>
  <c r="F33" i="229"/>
  <c r="X33" i="229"/>
  <c r="O33" i="229"/>
  <c r="O29" i="229"/>
  <c r="O41" i="8" s="1"/>
  <c r="O60" i="8" s="1"/>
  <c r="T30" i="121"/>
  <c r="T33" i="121" s="1"/>
  <c r="Z27" i="103"/>
  <c r="Z55" i="103" s="1"/>
  <c r="Z88" i="8" s="1"/>
  <c r="AM18" i="121"/>
  <c r="AM21" i="121" s="1"/>
  <c r="L33" i="229"/>
  <c r="P18" i="121"/>
  <c r="P21" i="121" s="1"/>
  <c r="P30" i="121"/>
  <c r="P33" i="121" s="1"/>
  <c r="R43" i="103"/>
  <c r="AE18" i="121"/>
  <c r="AE21" i="121" s="1"/>
  <c r="X45" i="103"/>
  <c r="G18" i="121"/>
  <c r="G21" i="121" s="1"/>
  <c r="I27" i="103"/>
  <c r="J18" i="121"/>
  <c r="J21" i="121" s="1"/>
  <c r="AC30" i="121"/>
  <c r="AC33" i="121" s="1"/>
  <c r="AG18" i="121"/>
  <c r="AG21" i="121" s="1"/>
  <c r="E43" i="103"/>
  <c r="E55" i="103" s="1"/>
  <c r="E88" i="8" s="1"/>
  <c r="D39" i="103"/>
  <c r="AE45" i="103"/>
  <c r="AG63" i="101"/>
  <c r="K43" i="103"/>
  <c r="H63" i="101"/>
  <c r="K39" i="103"/>
  <c r="W23" i="103"/>
  <c r="I63" i="101"/>
  <c r="AC55" i="103"/>
  <c r="AC88" i="8" s="1"/>
  <c r="AI18" i="121"/>
  <c r="AI21" i="121" s="1"/>
  <c r="AF18" i="121"/>
  <c r="AF21" i="121" s="1"/>
  <c r="O18" i="121"/>
  <c r="O21" i="121" s="1"/>
  <c r="AO18" i="121"/>
  <c r="AO21" i="121" s="1"/>
  <c r="E39" i="103"/>
  <c r="E54" i="103" s="1"/>
  <c r="E87" i="8" s="1"/>
  <c r="AB23" i="103"/>
  <c r="H27" i="103"/>
  <c r="AE30" i="121"/>
  <c r="AE33" i="121" s="1"/>
  <c r="G29" i="229"/>
  <c r="G41" i="8" s="1"/>
  <c r="G60" i="8" s="1"/>
  <c r="U63" i="101"/>
  <c r="AB18" i="121"/>
  <c r="AB21" i="121" s="1"/>
  <c r="Z18" i="121"/>
  <c r="Z21" i="121" s="1"/>
  <c r="N39" i="103"/>
  <c r="AI30" i="121"/>
  <c r="AI33" i="121" s="1"/>
  <c r="AA18" i="121"/>
  <c r="AA21" i="121" s="1"/>
  <c r="Z45" i="103"/>
  <c r="D37" i="101"/>
  <c r="D75" i="101"/>
  <c r="D82" i="8" s="1"/>
  <c r="AI39" i="101"/>
  <c r="AI77" i="101"/>
  <c r="AI84" i="8" s="1"/>
  <c r="L40" i="101"/>
  <c r="L78" i="101"/>
  <c r="L85" i="8" s="1"/>
  <c r="P38" i="101"/>
  <c r="P76" i="101"/>
  <c r="P83" i="8" s="1"/>
  <c r="K63" i="101"/>
  <c r="AC38" i="101"/>
  <c r="AC76" i="101"/>
  <c r="AC83" i="8" s="1"/>
  <c r="W27" i="103"/>
  <c r="W18" i="121"/>
  <c r="W21" i="121" s="1"/>
  <c r="AO23" i="137"/>
  <c r="AO16" i="137"/>
  <c r="AO9" i="137"/>
  <c r="P37" i="101"/>
  <c r="P75" i="101"/>
  <c r="P82" i="8" s="1"/>
  <c r="AC37" i="101"/>
  <c r="AC75" i="101"/>
  <c r="AC82" i="8" s="1"/>
  <c r="R27" i="103"/>
  <c r="R39" i="103"/>
  <c r="Y23" i="103"/>
  <c r="W39" i="103"/>
  <c r="AF30" i="121"/>
  <c r="AF33" i="121" s="1"/>
  <c r="AI76" i="101"/>
  <c r="AI83" i="8" s="1"/>
  <c r="AI38" i="101"/>
  <c r="T39" i="103"/>
  <c r="AI75" i="101"/>
  <c r="AI82" i="8" s="1"/>
  <c r="AI37" i="101"/>
  <c r="U38" i="101"/>
  <c r="U76" i="101"/>
  <c r="U83" i="8" s="1"/>
  <c r="M33" i="229"/>
  <c r="N63" i="101"/>
  <c r="P78" i="101"/>
  <c r="P85" i="8" s="1"/>
  <c r="P40" i="101"/>
  <c r="AC39" i="101"/>
  <c r="AC77" i="101"/>
  <c r="AC84" i="8" s="1"/>
  <c r="H18" i="121"/>
  <c r="H21" i="121" s="1"/>
  <c r="R23" i="103"/>
  <c r="AA40" i="101"/>
  <c r="AA78" i="101"/>
  <c r="AA85" i="8" s="1"/>
  <c r="Y27" i="103"/>
  <c r="G39" i="103"/>
  <c r="S63" i="101"/>
  <c r="AE36" i="101"/>
  <c r="AE42" i="101" s="1"/>
  <c r="AE67" i="101" s="1"/>
  <c r="AE37" i="8" s="1"/>
  <c r="AE56" i="8" s="1"/>
  <c r="AE63" i="211" s="1"/>
  <c r="AE74" i="101"/>
  <c r="AE81" i="8" s="1"/>
  <c r="H39" i="103"/>
  <c r="H39" i="101"/>
  <c r="H77" i="101"/>
  <c r="H84" i="8" s="1"/>
  <c r="N23" i="103"/>
  <c r="AI36" i="101"/>
  <c r="AI42" i="101" s="1"/>
  <c r="AI67" i="101" s="1"/>
  <c r="AI37" i="8" s="1"/>
  <c r="AI56" i="8" s="1"/>
  <c r="AI74" i="101"/>
  <c r="AI81" i="8" s="1"/>
  <c r="U36" i="101"/>
  <c r="U42" i="101" s="1"/>
  <c r="U67" i="101" s="1"/>
  <c r="U37" i="8" s="1"/>
  <c r="U56" i="8" s="1"/>
  <c r="U63" i="211" s="1"/>
  <c r="U74" i="101"/>
  <c r="U81" i="8" s="1"/>
  <c r="M29" i="229"/>
  <c r="M41" i="8" s="1"/>
  <c r="M60" i="8" s="1"/>
  <c r="AA37" i="101"/>
  <c r="AA75" i="101"/>
  <c r="AA82" i="8" s="1"/>
  <c r="G43" i="103"/>
  <c r="N30" i="121"/>
  <c r="N33" i="121" s="1"/>
  <c r="U18" i="121"/>
  <c r="U21" i="121" s="1"/>
  <c r="H36" i="101"/>
  <c r="H42" i="101" s="1"/>
  <c r="H67" i="101" s="1"/>
  <c r="H37" i="8" s="1"/>
  <c r="H56" i="8" s="1"/>
  <c r="H63" i="211" s="1"/>
  <c r="H74" i="101"/>
  <c r="H81" i="8" s="1"/>
  <c r="N27" i="103"/>
  <c r="U37" i="101"/>
  <c r="U75" i="101"/>
  <c r="U82" i="8" s="1"/>
  <c r="AH76" i="101"/>
  <c r="AH83" i="8" s="1"/>
  <c r="AH38" i="101"/>
  <c r="Z40" i="101"/>
  <c r="Z78" i="101"/>
  <c r="Z85" i="8" s="1"/>
  <c r="I18" i="121"/>
  <c r="I21" i="121" s="1"/>
  <c r="AA39" i="101"/>
  <c r="AA77" i="101"/>
  <c r="AA84" i="8" s="1"/>
  <c r="Y63" i="101"/>
  <c r="T39" i="101"/>
  <c r="T77" i="101"/>
  <c r="T84" i="8" s="1"/>
  <c r="D39" i="101"/>
  <c r="D77" i="101"/>
  <c r="D84" i="8" s="1"/>
  <c r="AF74" i="101"/>
  <c r="AF81" i="8" s="1"/>
  <c r="AF36" i="101"/>
  <c r="AF42" i="101" s="1"/>
  <c r="AF67" i="101" s="1"/>
  <c r="AF37" i="8" s="1"/>
  <c r="AF56" i="8" s="1"/>
  <c r="AC36" i="101"/>
  <c r="AC42" i="101" s="1"/>
  <c r="AC67" i="101" s="1"/>
  <c r="AC37" i="8" s="1"/>
  <c r="AC56" i="8" s="1"/>
  <c r="AC63" i="211" s="1"/>
  <c r="AC74" i="101"/>
  <c r="AC81" i="8" s="1"/>
  <c r="D36" i="101"/>
  <c r="D42" i="101" s="1"/>
  <c r="D67" i="101" s="1"/>
  <c r="D37" i="8" s="1"/>
  <c r="D56" i="8" s="1"/>
  <c r="D63" i="211" s="1"/>
  <c r="D74" i="101"/>
  <c r="D81" i="8" s="1"/>
  <c r="H38" i="101"/>
  <c r="H76" i="101"/>
  <c r="H83" i="8" s="1"/>
  <c r="AE63" i="101"/>
  <c r="U40" i="101"/>
  <c r="U78" i="101"/>
  <c r="U85" i="8" s="1"/>
  <c r="AN64" i="8"/>
  <c r="AN66" i="8" s="1"/>
  <c r="AN70" i="8" s="1"/>
  <c r="AN63" i="8"/>
  <c r="K40" i="101"/>
  <c r="K78" i="101"/>
  <c r="K85" i="8" s="1"/>
  <c r="Z37" i="101"/>
  <c r="Z75" i="101"/>
  <c r="Z82" i="8" s="1"/>
  <c r="D59" i="8"/>
  <c r="AA38" i="101"/>
  <c r="AA76" i="101"/>
  <c r="AA83" i="8" s="1"/>
  <c r="AD30" i="121"/>
  <c r="AD33" i="121" s="1"/>
  <c r="AD37" i="121" s="1"/>
  <c r="AD36" i="8" s="1"/>
  <c r="AD55" i="8" s="1"/>
  <c r="F27" i="103"/>
  <c r="H37" i="101"/>
  <c r="H75" i="101"/>
  <c r="H82" i="8" s="1"/>
  <c r="G63" i="101"/>
  <c r="AL30" i="121"/>
  <c r="AL33" i="121" s="1"/>
  <c r="U39" i="101"/>
  <c r="U77" i="101"/>
  <c r="U84" i="8" s="1"/>
  <c r="AO74" i="8"/>
  <c r="AO75" i="8"/>
  <c r="AO76" i="8"/>
  <c r="K36" i="101"/>
  <c r="K42" i="101" s="1"/>
  <c r="K67" i="101" s="1"/>
  <c r="K37" i="8" s="1"/>
  <c r="K56" i="8" s="1"/>
  <c r="K63" i="211" s="1"/>
  <c r="K74" i="101"/>
  <c r="K81" i="8" s="1"/>
  <c r="Z39" i="101"/>
  <c r="Z77" i="101"/>
  <c r="Z84" i="8" s="1"/>
  <c r="X63" i="101"/>
  <c r="D61" i="8"/>
  <c r="Z63" i="101"/>
  <c r="W40" i="101"/>
  <c r="W78" i="101"/>
  <c r="W85" i="8" s="1"/>
  <c r="AA36" i="101"/>
  <c r="AA42" i="101" s="1"/>
  <c r="AA67" i="101" s="1"/>
  <c r="AA37" i="8" s="1"/>
  <c r="AA56" i="8" s="1"/>
  <c r="AA63" i="211" s="1"/>
  <c r="AA74" i="101"/>
  <c r="AA81" i="8" s="1"/>
  <c r="J27" i="103"/>
  <c r="J55" i="103" s="1"/>
  <c r="J88" i="8" s="1"/>
  <c r="P36" i="101"/>
  <c r="P42" i="101" s="1"/>
  <c r="P67" i="101" s="1"/>
  <c r="P37" i="8" s="1"/>
  <c r="P56" i="8" s="1"/>
  <c r="P63" i="211" s="1"/>
  <c r="P74" i="101"/>
  <c r="P81" i="8" s="1"/>
  <c r="F23" i="103"/>
  <c r="AA29" i="103"/>
  <c r="H40" i="101"/>
  <c r="H78" i="101"/>
  <c r="H85" i="8" s="1"/>
  <c r="G27" i="103"/>
  <c r="AN49" i="170"/>
  <c r="AN47" i="101"/>
  <c r="AN73" i="101" s="1"/>
  <c r="AN90" i="8" s="1"/>
  <c r="AN25" i="121"/>
  <c r="AA55" i="103"/>
  <c r="AA88" i="8" s="1"/>
  <c r="K38" i="101"/>
  <c r="K76" i="101"/>
  <c r="K83" i="8" s="1"/>
  <c r="Z38" i="101"/>
  <c r="Z76" i="101"/>
  <c r="Z83" i="8" s="1"/>
  <c r="Z23" i="103"/>
  <c r="C76" i="101"/>
  <c r="C38" i="101"/>
  <c r="AA63" i="101"/>
  <c r="W36" i="101"/>
  <c r="W42" i="101" s="1"/>
  <c r="W67" i="101" s="1"/>
  <c r="W37" i="8" s="1"/>
  <c r="W56" i="8" s="1"/>
  <c r="W63" i="211" s="1"/>
  <c r="W74" i="101"/>
  <c r="W81" i="8" s="1"/>
  <c r="J23" i="103"/>
  <c r="D33" i="229"/>
  <c r="G23" i="103"/>
  <c r="S38" i="101"/>
  <c r="S76" i="101"/>
  <c r="S83" i="8" s="1"/>
  <c r="T15" i="229"/>
  <c r="T29" i="229" s="1"/>
  <c r="T41" i="8" s="1"/>
  <c r="T60" i="8" s="1"/>
  <c r="T33" i="229"/>
  <c r="K37" i="101"/>
  <c r="K75" i="101"/>
  <c r="K82" i="8" s="1"/>
  <c r="Z36" i="101"/>
  <c r="Z42" i="101" s="1"/>
  <c r="Z74" i="101"/>
  <c r="Z81" i="8" s="1"/>
  <c r="C40" i="101"/>
  <c r="C78" i="101"/>
  <c r="AO30" i="170"/>
  <c r="W39" i="101"/>
  <c r="W77" i="101"/>
  <c r="W84" i="8" s="1"/>
  <c r="D29" i="229"/>
  <c r="D41" i="8" s="1"/>
  <c r="J63" i="101"/>
  <c r="AO32" i="170"/>
  <c r="AO36" i="170" s="1"/>
  <c r="AO37" i="170" s="1"/>
  <c r="AO38" i="170" s="1"/>
  <c r="AO34" i="170"/>
  <c r="AO34" i="103" s="1"/>
  <c r="I37" i="101"/>
  <c r="I75" i="101"/>
  <c r="I82" i="8" s="1"/>
  <c r="AN41" i="170"/>
  <c r="AN20" i="229" s="1"/>
  <c r="AN22" i="229" s="1"/>
  <c r="AN24" i="229" s="1"/>
  <c r="AN18" i="225"/>
  <c r="AN18" i="137"/>
  <c r="R39" i="101"/>
  <c r="R77" i="101"/>
  <c r="R84" i="8" s="1"/>
  <c r="Y37" i="101"/>
  <c r="Y75" i="101"/>
  <c r="Y82" i="8" s="1"/>
  <c r="I40" i="101"/>
  <c r="I78" i="101"/>
  <c r="I85" i="8" s="1"/>
  <c r="Q37" i="101"/>
  <c r="Q75" i="101"/>
  <c r="Q82" i="8" s="1"/>
  <c r="X18" i="121"/>
  <c r="X21" i="121" s="1"/>
  <c r="S40" i="101"/>
  <c r="S78" i="101"/>
  <c r="S85" i="8" s="1"/>
  <c r="R36" i="101"/>
  <c r="R42" i="101" s="1"/>
  <c r="R67" i="101" s="1"/>
  <c r="R37" i="8" s="1"/>
  <c r="R56" i="8" s="1"/>
  <c r="R63" i="211" s="1"/>
  <c r="R74" i="101"/>
  <c r="R81" i="8" s="1"/>
  <c r="AC18" i="121"/>
  <c r="AC21" i="121" s="1"/>
  <c r="AB38" i="101"/>
  <c r="AB76" i="101"/>
  <c r="AB83" i="8" s="1"/>
  <c r="Q39" i="103"/>
  <c r="K39" i="101"/>
  <c r="K77" i="101"/>
  <c r="K84" i="8" s="1"/>
  <c r="AE55" i="103"/>
  <c r="AE88" i="8" s="1"/>
  <c r="AJ30" i="121"/>
  <c r="AJ33" i="121" s="1"/>
  <c r="C37" i="101"/>
  <c r="C75" i="101"/>
  <c r="AO33" i="170"/>
  <c r="AO35" i="103" s="1"/>
  <c r="W38" i="101"/>
  <c r="W76" i="101"/>
  <c r="W83" i="8" s="1"/>
  <c r="Q40" i="101"/>
  <c r="Q78" i="101"/>
  <c r="Q85" i="8" s="1"/>
  <c r="Y40" i="101"/>
  <c r="Y78" i="101"/>
  <c r="Y85" i="8" s="1"/>
  <c r="I39" i="101"/>
  <c r="I77" i="101"/>
  <c r="I84" i="8" s="1"/>
  <c r="V63" i="101"/>
  <c r="Q39" i="101"/>
  <c r="Q77" i="101"/>
  <c r="Q84" i="8" s="1"/>
  <c r="G33" i="229"/>
  <c r="S37" i="101"/>
  <c r="S75" i="101"/>
  <c r="S82" i="8" s="1"/>
  <c r="R38" i="101"/>
  <c r="R76" i="101"/>
  <c r="R83" i="8" s="1"/>
  <c r="F36" i="101"/>
  <c r="F42" i="101" s="1"/>
  <c r="F67" i="101" s="1"/>
  <c r="F37" i="8" s="1"/>
  <c r="F56" i="8" s="1"/>
  <c r="F63" i="211" s="1"/>
  <c r="F74" i="101"/>
  <c r="F81" i="8" s="1"/>
  <c r="AB37" i="101"/>
  <c r="AB75" i="101"/>
  <c r="AB82" i="8" s="1"/>
  <c r="Q43" i="103"/>
  <c r="Q55" i="103" s="1"/>
  <c r="Q88" i="8" s="1"/>
  <c r="S39" i="103"/>
  <c r="V43" i="103"/>
  <c r="V55" i="103" s="1"/>
  <c r="V88" i="8" s="1"/>
  <c r="C77" i="101"/>
  <c r="C39" i="101"/>
  <c r="W37" i="101"/>
  <c r="W75" i="101"/>
  <c r="W82" i="8" s="1"/>
  <c r="Y38" i="101"/>
  <c r="Y76" i="101"/>
  <c r="Y83" i="8" s="1"/>
  <c r="I36" i="101"/>
  <c r="I42" i="101" s="1"/>
  <c r="I67" i="101" s="1"/>
  <c r="I74" i="101"/>
  <c r="I81" i="8" s="1"/>
  <c r="Q36" i="101"/>
  <c r="Q42" i="101" s="1"/>
  <c r="Q67" i="101" s="1"/>
  <c r="Q37" i="8" s="1"/>
  <c r="Q56" i="8" s="1"/>
  <c r="Q63" i="211" s="1"/>
  <c r="Q74" i="101"/>
  <c r="Q81" i="8" s="1"/>
  <c r="C30" i="121"/>
  <c r="C33" i="121" s="1"/>
  <c r="S39" i="101"/>
  <c r="S77" i="101"/>
  <c r="S84" i="8" s="1"/>
  <c r="F38" i="101"/>
  <c r="F76" i="101"/>
  <c r="F83" i="8" s="1"/>
  <c r="AB36" i="101"/>
  <c r="AB42" i="101" s="1"/>
  <c r="AB67" i="101" s="1"/>
  <c r="AB37" i="8" s="1"/>
  <c r="AB56" i="8" s="1"/>
  <c r="AB63" i="211" s="1"/>
  <c r="AB74" i="101"/>
  <c r="AB81" i="8" s="1"/>
  <c r="AG40" i="101"/>
  <c r="AG78" i="101"/>
  <c r="AG85" i="8" s="1"/>
  <c r="AC29" i="103"/>
  <c r="AC54" i="103"/>
  <c r="AC87" i="8" s="1"/>
  <c r="V39" i="103"/>
  <c r="V54" i="103" s="1"/>
  <c r="V87" i="8" s="1"/>
  <c r="C36" i="101"/>
  <c r="C42" i="101" s="1"/>
  <c r="C67" i="101" s="1"/>
  <c r="D63" i="101"/>
  <c r="C15" i="229"/>
  <c r="C29" i="229" s="1"/>
  <c r="C33" i="229"/>
  <c r="V40" i="101"/>
  <c r="V78" i="101"/>
  <c r="V85" i="8" s="1"/>
  <c r="AL18" i="121"/>
  <c r="AL21" i="121" s="1"/>
  <c r="S74" i="101"/>
  <c r="S81" i="8" s="1"/>
  <c r="S36" i="101"/>
  <c r="S42" i="101" s="1"/>
  <c r="S67" i="101" s="1"/>
  <c r="S37" i="8" s="1"/>
  <c r="S56" i="8" s="1"/>
  <c r="S63" i="211" s="1"/>
  <c r="O43" i="103"/>
  <c r="R40" i="101"/>
  <c r="R78" i="101"/>
  <c r="R85" i="8" s="1"/>
  <c r="F39" i="101"/>
  <c r="F77" i="101"/>
  <c r="F84" i="8" s="1"/>
  <c r="AB40" i="101"/>
  <c r="AB78" i="101"/>
  <c r="AB85" i="8" s="1"/>
  <c r="AG76" i="101"/>
  <c r="AG83" i="8" s="1"/>
  <c r="AG38" i="101"/>
  <c r="AD45" i="103"/>
  <c r="R30" i="121"/>
  <c r="R33" i="121" s="1"/>
  <c r="V36" i="101"/>
  <c r="V42" i="101" s="1"/>
  <c r="V67" i="101" s="1"/>
  <c r="V37" i="8" s="1"/>
  <c r="V74" i="101"/>
  <c r="V81" i="8" s="1"/>
  <c r="F63" i="101"/>
  <c r="AL20" i="137"/>
  <c r="R37" i="101"/>
  <c r="R75" i="101"/>
  <c r="R82" i="8" s="1"/>
  <c r="F40" i="101"/>
  <c r="F78" i="101"/>
  <c r="F85" i="8" s="1"/>
  <c r="AB39" i="101"/>
  <c r="AB77" i="101"/>
  <c r="AB84" i="8" s="1"/>
  <c r="AG77" i="101"/>
  <c r="AG84" i="8" s="1"/>
  <c r="AG39" i="101"/>
  <c r="E29" i="103"/>
  <c r="V38" i="101"/>
  <c r="V76" i="101"/>
  <c r="V83" i="8" s="1"/>
  <c r="AD23" i="103"/>
  <c r="I38" i="101"/>
  <c r="I76" i="101"/>
  <c r="I83" i="8" s="1"/>
  <c r="AH74" i="101"/>
  <c r="AH81" i="8" s="1"/>
  <c r="AH36" i="101"/>
  <c r="AH42" i="101" s="1"/>
  <c r="AH67" i="101" s="1"/>
  <c r="AH37" i="8" s="1"/>
  <c r="AH56" i="8" s="1"/>
  <c r="F37" i="101"/>
  <c r="F75" i="101"/>
  <c r="F82" i="8" s="1"/>
  <c r="AH39" i="101"/>
  <c r="AH77" i="101"/>
  <c r="AH84" i="8" s="1"/>
  <c r="AG75" i="101"/>
  <c r="AG82" i="8" s="1"/>
  <c r="AG37" i="101"/>
  <c r="O39" i="101"/>
  <c r="O77" i="101"/>
  <c r="O84" i="8" s="1"/>
  <c r="V37" i="101"/>
  <c r="V75" i="101"/>
  <c r="V82" i="8" s="1"/>
  <c r="AD27" i="103"/>
  <c r="AD55" i="103" s="1"/>
  <c r="AD88" i="8" s="1"/>
  <c r="K30" i="121"/>
  <c r="K33" i="121" s="1"/>
  <c r="K37" i="121" s="1"/>
  <c r="K36" i="8" s="1"/>
  <c r="K55" i="8" s="1"/>
  <c r="Y39" i="101"/>
  <c r="Y77" i="101"/>
  <c r="Y84" i="8" s="1"/>
  <c r="Q38" i="101"/>
  <c r="Q76" i="101"/>
  <c r="Q83" i="8" s="1"/>
  <c r="G40" i="101"/>
  <c r="G78" i="101"/>
  <c r="G85" i="8" s="1"/>
  <c r="Y39" i="103"/>
  <c r="Y45" i="103" s="1"/>
  <c r="AT19" i="169"/>
  <c r="AO43" i="8" s="1"/>
  <c r="AG74" i="101"/>
  <c r="AG81" i="8" s="1"/>
  <c r="AG36" i="101"/>
  <c r="AG42" i="101" s="1"/>
  <c r="AG67" i="101" s="1"/>
  <c r="AG37" i="8" s="1"/>
  <c r="AG56" i="8" s="1"/>
  <c r="O36" i="101"/>
  <c r="O42" i="101" s="1"/>
  <c r="O67" i="101" s="1"/>
  <c r="O37" i="8" s="1"/>
  <c r="O56" i="8" s="1"/>
  <c r="O63" i="211" s="1"/>
  <c r="O74" i="101"/>
  <c r="O81" i="8" s="1"/>
  <c r="V39" i="101"/>
  <c r="V77" i="101"/>
  <c r="V84" i="8" s="1"/>
  <c r="U23" i="103"/>
  <c r="G39" i="101"/>
  <c r="G77" i="101"/>
  <c r="G84" i="8" s="1"/>
  <c r="O38" i="101"/>
  <c r="O76" i="101"/>
  <c r="O83" i="8" s="1"/>
  <c r="AJ18" i="121"/>
  <c r="AJ21" i="121" s="1"/>
  <c r="P63" i="101"/>
  <c r="K23" i="103"/>
  <c r="R18" i="121"/>
  <c r="R21" i="121" s="1"/>
  <c r="T63" i="101"/>
  <c r="M36" i="101"/>
  <c r="M42" i="101" s="1"/>
  <c r="M67" i="101" s="1"/>
  <c r="M37" i="8" s="1"/>
  <c r="M56" i="8" s="1"/>
  <c r="M63" i="211" s="1"/>
  <c r="M74" i="101"/>
  <c r="M81" i="8" s="1"/>
  <c r="T38" i="101"/>
  <c r="T76" i="101"/>
  <c r="T83" i="8" s="1"/>
  <c r="J40" i="101"/>
  <c r="J78" i="101"/>
  <c r="J85" i="8" s="1"/>
  <c r="R29" i="229"/>
  <c r="R41" i="8" s="1"/>
  <c r="R60" i="8" s="1"/>
  <c r="O78" i="101"/>
  <c r="O85" i="8" s="1"/>
  <c r="O40" i="101"/>
  <c r="K27" i="103"/>
  <c r="W37" i="121"/>
  <c r="W36" i="8" s="1"/>
  <c r="M38" i="101"/>
  <c r="M76" i="101"/>
  <c r="M83" i="8" s="1"/>
  <c r="C18" i="121"/>
  <c r="C21" i="121" s="1"/>
  <c r="G76" i="101"/>
  <c r="G83" i="8" s="1"/>
  <c r="G38" i="101"/>
  <c r="AM49" i="170"/>
  <c r="AM47" i="101"/>
  <c r="AM73" i="101" s="1"/>
  <c r="AM90" i="8" s="1"/>
  <c r="AM25" i="121"/>
  <c r="O63" i="101"/>
  <c r="I39" i="103"/>
  <c r="L30" i="121"/>
  <c r="L33" i="121" s="1"/>
  <c r="L37" i="121" s="1"/>
  <c r="L36" i="8" s="1"/>
  <c r="J37" i="101"/>
  <c r="J75" i="101"/>
  <c r="J82" i="8" s="1"/>
  <c r="X23" i="103"/>
  <c r="O30" i="121"/>
  <c r="O33" i="121" s="1"/>
  <c r="O37" i="121" s="1"/>
  <c r="O36" i="8" s="1"/>
  <c r="O37" i="101"/>
  <c r="O75" i="101"/>
  <c r="O82" i="8" s="1"/>
  <c r="N18" i="121"/>
  <c r="N21" i="121" s="1"/>
  <c r="I23" i="103"/>
  <c r="L29" i="229"/>
  <c r="L41" i="8" s="1"/>
  <c r="L60" i="8" s="1"/>
  <c r="M40" i="101"/>
  <c r="M78" i="101"/>
  <c r="M85" i="8" s="1"/>
  <c r="E36" i="101"/>
  <c r="E42" i="101" s="1"/>
  <c r="E67" i="101" s="1"/>
  <c r="E37" i="8" s="1"/>
  <c r="E56" i="8" s="1"/>
  <c r="E63" i="211" s="1"/>
  <c r="E74" i="101"/>
  <c r="E81" i="8" s="1"/>
  <c r="Y36" i="101"/>
  <c r="Y42" i="101" s="1"/>
  <c r="Y67" i="101" s="1"/>
  <c r="Y37" i="8" s="1"/>
  <c r="Y56" i="8" s="1"/>
  <c r="Y63" i="211" s="1"/>
  <c r="Y74" i="101"/>
  <c r="Y81" i="8" s="1"/>
  <c r="G37" i="101"/>
  <c r="G75" i="101"/>
  <c r="G82" i="8" s="1"/>
  <c r="W63" i="101"/>
  <c r="G36" i="101"/>
  <c r="G42" i="101" s="1"/>
  <c r="G67" i="101" s="1"/>
  <c r="G37" i="8" s="1"/>
  <c r="G56" i="8" s="1"/>
  <c r="G63" i="211" s="1"/>
  <c r="G74" i="101"/>
  <c r="G81" i="8" s="1"/>
  <c r="AM37" i="170"/>
  <c r="AM38" i="170" s="1"/>
  <c r="Q29" i="103"/>
  <c r="I43" i="103"/>
  <c r="I55" i="103" s="1"/>
  <c r="I88" i="8" s="1"/>
  <c r="T40" i="101"/>
  <c r="T78" i="101"/>
  <c r="T85" i="8" s="1"/>
  <c r="AD40" i="101"/>
  <c r="AD78" i="101"/>
  <c r="AD85" i="8" s="1"/>
  <c r="J39" i="101"/>
  <c r="J77" i="101"/>
  <c r="J84" i="8" s="1"/>
  <c r="X27" i="103"/>
  <c r="X55" i="103" s="1"/>
  <c r="X88" i="8" s="1"/>
  <c r="V29" i="103"/>
  <c r="E63" i="101"/>
  <c r="L27" i="103"/>
  <c r="M37" i="101"/>
  <c r="M75" i="101"/>
  <c r="M82" i="8" s="1"/>
  <c r="T37" i="101"/>
  <c r="T75" i="101"/>
  <c r="T82" i="8" s="1"/>
  <c r="U30" i="121"/>
  <c r="U33" i="121" s="1"/>
  <c r="U37" i="121" s="1"/>
  <c r="U36" i="8" s="1"/>
  <c r="AD36" i="101"/>
  <c r="AD42" i="101" s="1"/>
  <c r="AD67" i="101" s="1"/>
  <c r="AD37" i="8" s="1"/>
  <c r="AD56" i="8" s="1"/>
  <c r="AD63" i="211" s="1"/>
  <c r="AD74" i="101"/>
  <c r="AD81" i="8" s="1"/>
  <c r="J36" i="101"/>
  <c r="J42" i="101" s="1"/>
  <c r="J67" i="101" s="1"/>
  <c r="J37" i="8" s="1"/>
  <c r="J56" i="8" s="1"/>
  <c r="J63" i="211" s="1"/>
  <c r="J74" i="101"/>
  <c r="J81" i="8" s="1"/>
  <c r="AB30" i="121"/>
  <c r="AB33" i="121" s="1"/>
  <c r="AB37" i="121" s="1"/>
  <c r="AB36" i="8" s="1"/>
  <c r="AB55" i="8" s="1"/>
  <c r="AB27" i="103"/>
  <c r="AB55" i="103" s="1"/>
  <c r="AB88" i="8" s="1"/>
  <c r="Y30" i="121"/>
  <c r="Y33" i="121" s="1"/>
  <c r="Y37" i="121" s="1"/>
  <c r="Y36" i="8" s="1"/>
  <c r="AG30" i="121"/>
  <c r="AG33" i="121" s="1"/>
  <c r="AG37" i="121" s="1"/>
  <c r="AG36" i="8" s="1"/>
  <c r="L54" i="103"/>
  <c r="L87" i="8" s="1"/>
  <c r="C20" i="211" s="1"/>
  <c r="C5" i="211" s="1"/>
  <c r="N36" i="101"/>
  <c r="N42" i="101" s="1"/>
  <c r="N67" i="101" s="1"/>
  <c r="N37" i="8" s="1"/>
  <c r="N56" i="8" s="1"/>
  <c r="N63" i="211" s="1"/>
  <c r="N74" i="101"/>
  <c r="N81" i="8" s="1"/>
  <c r="C63" i="101"/>
  <c r="M39" i="101"/>
  <c r="M77" i="101"/>
  <c r="M84" i="8" s="1"/>
  <c r="F39" i="103"/>
  <c r="D27" i="103"/>
  <c r="D55" i="103" s="1"/>
  <c r="D88" i="8" s="1"/>
  <c r="T36" i="101"/>
  <c r="T42" i="101" s="1"/>
  <c r="T67" i="101" s="1"/>
  <c r="T37" i="8" s="1"/>
  <c r="T56" i="8" s="1"/>
  <c r="T63" i="211" s="1"/>
  <c r="T74" i="101"/>
  <c r="T81" i="8" s="1"/>
  <c r="E38" i="101"/>
  <c r="E76" i="101"/>
  <c r="E83" i="8" s="1"/>
  <c r="AE78" i="101"/>
  <c r="AE85" i="8" s="1"/>
  <c r="AE40" i="101"/>
  <c r="AD38" i="101"/>
  <c r="AD76" i="101"/>
  <c r="AD83" i="8" s="1"/>
  <c r="AH30" i="121"/>
  <c r="AH33" i="121" s="1"/>
  <c r="AH37" i="121" s="1"/>
  <c r="AH36" i="8" s="1"/>
  <c r="AH55" i="8" s="1"/>
  <c r="AK30" i="121"/>
  <c r="AK33" i="121" s="1"/>
  <c r="AK37" i="121" s="1"/>
  <c r="AK36" i="8" s="1"/>
  <c r="AK55" i="8" s="1"/>
  <c r="F18" i="121"/>
  <c r="F21" i="121" s="1"/>
  <c r="X39" i="101"/>
  <c r="X77" i="101"/>
  <c r="X84" i="8" s="1"/>
  <c r="N39" i="101"/>
  <c r="N77" i="101"/>
  <c r="N84" i="8" s="1"/>
  <c r="AD63" i="101"/>
  <c r="P23" i="103"/>
  <c r="D38" i="101"/>
  <c r="D76" i="101"/>
  <c r="D83" i="8" s="1"/>
  <c r="D23" i="103"/>
  <c r="E40" i="101"/>
  <c r="E78" i="101"/>
  <c r="E85" i="8" s="1"/>
  <c r="AD39" i="101"/>
  <c r="AD77" i="101"/>
  <c r="AD84" i="8" s="1"/>
  <c r="L76" i="101"/>
  <c r="L83" i="8" s="1"/>
  <c r="L38" i="101"/>
  <c r="AF78" i="101"/>
  <c r="AF85" i="8" s="1"/>
  <c r="AF40" i="101"/>
  <c r="H29" i="103"/>
  <c r="E18" i="121"/>
  <c r="E21" i="121" s="1"/>
  <c r="R63" i="101"/>
  <c r="X37" i="101"/>
  <c r="X75" i="101"/>
  <c r="X82" i="8" s="1"/>
  <c r="N78" i="101"/>
  <c r="N85" i="8" s="1"/>
  <c r="N40" i="101"/>
  <c r="AE29" i="103"/>
  <c r="AE54" i="103"/>
  <c r="AE87" i="8" s="1"/>
  <c r="M63" i="101"/>
  <c r="E33" i="229"/>
  <c r="T18" i="121"/>
  <c r="T21" i="121" s="1"/>
  <c r="J38" i="101"/>
  <c r="J76" i="101"/>
  <c r="J83" i="8" s="1"/>
  <c r="Q37" i="121"/>
  <c r="Q36" i="8" s="1"/>
  <c r="X40" i="101"/>
  <c r="X78" i="101"/>
  <c r="X85" i="8" s="1"/>
  <c r="N38" i="101"/>
  <c r="N76" i="101"/>
  <c r="N83" i="8" s="1"/>
  <c r="P27" i="103"/>
  <c r="D40" i="101"/>
  <c r="D78" i="101"/>
  <c r="D85" i="8" s="1"/>
  <c r="U39" i="103"/>
  <c r="E37" i="101"/>
  <c r="E75" i="101"/>
  <c r="E82" i="8" s="1"/>
  <c r="AE37" i="101"/>
  <c r="AE75" i="101"/>
  <c r="AE82" i="8" s="1"/>
  <c r="AD37" i="101"/>
  <c r="AD75" i="101"/>
  <c r="AD82" i="8" s="1"/>
  <c r="L37" i="101"/>
  <c r="L75" i="101"/>
  <c r="L82" i="8" s="1"/>
  <c r="AF37" i="101"/>
  <c r="AF75" i="101"/>
  <c r="AF82" i="8" s="1"/>
  <c r="T23" i="103"/>
  <c r="X38" i="101"/>
  <c r="X76" i="101"/>
  <c r="X83" i="8" s="1"/>
  <c r="Q63" i="101"/>
  <c r="N37" i="101"/>
  <c r="N75" i="101"/>
  <c r="N82" i="8" s="1"/>
  <c r="P39" i="103"/>
  <c r="E29" i="229"/>
  <c r="E41" i="8" s="1"/>
  <c r="E60" i="8" s="1"/>
  <c r="U43" i="103"/>
  <c r="U55" i="103" s="1"/>
  <c r="U88" i="8" s="1"/>
  <c r="N43" i="103"/>
  <c r="E39" i="101"/>
  <c r="E77" i="101"/>
  <c r="E84" i="8" s="1"/>
  <c r="AE39" i="101"/>
  <c r="AE77" i="101"/>
  <c r="AE84" i="8" s="1"/>
  <c r="AH75" i="101"/>
  <c r="AH82" i="8" s="1"/>
  <c r="AH37" i="101"/>
  <c r="L39" i="101"/>
  <c r="L77" i="101"/>
  <c r="L84" i="8" s="1"/>
  <c r="AF76" i="101"/>
  <c r="AF83" i="8" s="1"/>
  <c r="AF38" i="101"/>
  <c r="T27" i="103"/>
  <c r="T55" i="103" s="1"/>
  <c r="T88" i="8" s="1"/>
  <c r="X36" i="101"/>
  <c r="X42" i="101" s="1"/>
  <c r="X67" i="101" s="1"/>
  <c r="X37" i="8" s="1"/>
  <c r="X56" i="8" s="1"/>
  <c r="X63" i="211" s="1"/>
  <c r="X74" i="101"/>
  <c r="X81" i="8" s="1"/>
  <c r="M27" i="103"/>
  <c r="S18" i="121"/>
  <c r="S21" i="121" s="1"/>
  <c r="S37" i="121" s="1"/>
  <c r="S36" i="8" s="1"/>
  <c r="C39" i="103"/>
  <c r="P43" i="103"/>
  <c r="O23" i="103"/>
  <c r="AE38" i="101"/>
  <c r="AE76" i="101"/>
  <c r="AE83" i="8" s="1"/>
  <c r="L74" i="101"/>
  <c r="L81" i="8" s="1"/>
  <c r="C11" i="211" s="1"/>
  <c r="C3" i="211" s="1"/>
  <c r="L36" i="101"/>
  <c r="L42" i="101" s="1"/>
  <c r="L67" i="101" s="1"/>
  <c r="L37" i="8" s="1"/>
  <c r="L56" i="8" s="1"/>
  <c r="AF39" i="101"/>
  <c r="AF77" i="101"/>
  <c r="AF84" i="8" s="1"/>
  <c r="P77" i="101"/>
  <c r="P84" i="8" s="1"/>
  <c r="P39" i="101"/>
  <c r="AC78" i="101"/>
  <c r="AC85" i="8" s="1"/>
  <c r="AC40" i="101"/>
  <c r="Z67" i="101"/>
  <c r="Z37" i="8" s="1"/>
  <c r="Z56" i="8" s="1"/>
  <c r="Z63" i="211" s="1"/>
  <c r="M23" i="103"/>
  <c r="C43" i="103"/>
  <c r="C55" i="103" s="1"/>
  <c r="O27" i="103"/>
  <c r="AA24" i="229"/>
  <c r="AA29" i="229" s="1"/>
  <c r="AA41" i="8" s="1"/>
  <c r="AA60" i="8" s="1"/>
  <c r="AA33" i="229"/>
  <c r="AB20" i="229"/>
  <c r="AB22" i="229" s="1"/>
  <c r="AH33" i="229"/>
  <c r="AH15" i="229"/>
  <c r="AH29" i="229" s="1"/>
  <c r="AH41" i="8" s="1"/>
  <c r="AG60" i="8"/>
  <c r="AN13" i="101"/>
  <c r="AM30" i="101"/>
  <c r="AK75" i="101"/>
  <c r="AK82" i="8" s="1"/>
  <c r="AK37" i="101"/>
  <c r="AK39" i="101"/>
  <c r="AK77" i="101"/>
  <c r="AK84" i="8" s="1"/>
  <c r="AL31" i="101"/>
  <c r="AL51" i="101"/>
  <c r="AL57" i="101" s="1"/>
  <c r="AM14" i="101"/>
  <c r="AL36" i="101"/>
  <c r="AL42" i="101" s="1"/>
  <c r="AL67" i="101" s="1"/>
  <c r="AL37" i="8" s="1"/>
  <c r="AL74" i="101"/>
  <c r="AL81" i="8" s="1"/>
  <c r="AJ40" i="101"/>
  <c r="AJ43" i="101" s="1"/>
  <c r="AJ78" i="101"/>
  <c r="AJ85" i="8" s="1"/>
  <c r="AK34" i="101"/>
  <c r="AL17" i="101"/>
  <c r="AK54" i="101"/>
  <c r="AK60" i="101" s="1"/>
  <c r="AK63" i="101" s="1"/>
  <c r="AL32" i="101"/>
  <c r="AL52" i="101"/>
  <c r="AL58" i="101" s="1"/>
  <c r="AM15" i="101"/>
  <c r="AK38" i="101"/>
  <c r="AK76" i="101"/>
  <c r="AK83" i="8" s="1"/>
  <c r="AL53" i="101"/>
  <c r="AL59" i="101" s="1"/>
  <c r="AL33" i="101"/>
  <c r="AM16" i="101"/>
  <c r="AK56" i="8"/>
  <c r="Z60" i="8"/>
  <c r="AA42" i="8"/>
  <c r="AA61" i="8" s="1"/>
  <c r="AH80" i="170"/>
  <c r="AH81" i="170" s="1"/>
  <c r="AH84" i="170" s="1"/>
  <c r="AI62" i="170"/>
  <c r="AJ57" i="170"/>
  <c r="AI74" i="170"/>
  <c r="AI79" i="170" s="1"/>
  <c r="AH63" i="170"/>
  <c r="AH64" i="170" s="1"/>
  <c r="AH67" i="170" s="1"/>
  <c r="AI17" i="170"/>
  <c r="AI18" i="170" s="1"/>
  <c r="AK12" i="170"/>
  <c r="AJ16" i="170"/>
  <c r="AJ47" i="170"/>
  <c r="AA40" i="8"/>
  <c r="Z59" i="8"/>
  <c r="AC60" i="8"/>
  <c r="AU17" i="169"/>
  <c r="AU18" i="169"/>
  <c r="AW5" i="169"/>
  <c r="AW7" i="169"/>
  <c r="AV16" i="169"/>
  <c r="AV8" i="169"/>
  <c r="AB20" i="225"/>
  <c r="AB25" i="225" s="1"/>
  <c r="AB29" i="225"/>
  <c r="AB20" i="137"/>
  <c r="AB25" i="137" s="1"/>
  <c r="AB29" i="137"/>
  <c r="AB91" i="8" s="1"/>
  <c r="AB45" i="103"/>
  <c r="J22" i="229"/>
  <c r="I22" i="229"/>
  <c r="K22" i="229"/>
  <c r="AE22" i="229"/>
  <c r="AE24" i="229" s="1"/>
  <c r="AE15" i="229"/>
  <c r="AD29" i="229"/>
  <c r="AD41" i="8" s="1"/>
  <c r="AD33" i="229"/>
  <c r="H33" i="229"/>
  <c r="H15" i="229"/>
  <c r="H29" i="229" s="1"/>
  <c r="H41" i="8" s="1"/>
  <c r="AE59" i="8"/>
  <c r="T37" i="121" l="1"/>
  <c r="T36" i="8" s="1"/>
  <c r="AH45" i="103"/>
  <c r="F37" i="121"/>
  <c r="F36" i="8" s="1"/>
  <c r="AG45" i="103"/>
  <c r="AG50" i="103" s="1"/>
  <c r="AG39" i="8" s="1"/>
  <c r="AG58" i="8" s="1"/>
  <c r="AJ45" i="103"/>
  <c r="AH50" i="103"/>
  <c r="AH39" i="8" s="1"/>
  <c r="AH58" i="8" s="1"/>
  <c r="AF54" i="103"/>
  <c r="AF87" i="8" s="1"/>
  <c r="L55" i="103"/>
  <c r="L88" i="8" s="1"/>
  <c r="C21" i="211" s="1"/>
  <c r="C6" i="211" s="1"/>
  <c r="H55" i="103"/>
  <c r="H88" i="8" s="1"/>
  <c r="J45" i="103"/>
  <c r="H37" i="121"/>
  <c r="H36" i="8" s="1"/>
  <c r="H55" i="8" s="1"/>
  <c r="AE50" i="103"/>
  <c r="AE39" i="8" s="1"/>
  <c r="AE58" i="8" s="1"/>
  <c r="O45" i="103"/>
  <c r="AH55" i="103"/>
  <c r="AH88" i="8" s="1"/>
  <c r="AC43" i="101"/>
  <c r="AN43" i="103"/>
  <c r="AN55" i="103" s="1"/>
  <c r="AN88" i="8" s="1"/>
  <c r="AN29" i="103"/>
  <c r="AI45" i="103"/>
  <c r="AL29" i="103"/>
  <c r="AL50" i="103" s="1"/>
  <c r="AL39" i="8" s="1"/>
  <c r="AL58" i="8" s="1"/>
  <c r="P37" i="121"/>
  <c r="P36" i="8" s="1"/>
  <c r="AC68" i="101"/>
  <c r="AC38" i="8" s="1"/>
  <c r="AC57" i="8" s="1"/>
  <c r="AC64" i="211" s="1"/>
  <c r="AC66" i="211" s="1"/>
  <c r="AJ68" i="101"/>
  <c r="AJ38" i="8" s="1"/>
  <c r="AJ57" i="8" s="1"/>
  <c r="AI21" i="170"/>
  <c r="AI11" i="229" s="1"/>
  <c r="AI13" i="229" s="1"/>
  <c r="AI11" i="225"/>
  <c r="AI11" i="137"/>
  <c r="AH13" i="225"/>
  <c r="AH25" i="225" s="1"/>
  <c r="AH40" i="8" s="1"/>
  <c r="AH59" i="8" s="1"/>
  <c r="AH29" i="225"/>
  <c r="AH13" i="137"/>
  <c r="AH25" i="137" s="1"/>
  <c r="AH42" i="8" s="1"/>
  <c r="AH61" i="8" s="1"/>
  <c r="AH29" i="137"/>
  <c r="AH91" i="8" s="1"/>
  <c r="AI37" i="121"/>
  <c r="AI36" i="8" s="1"/>
  <c r="AI55" i="8" s="1"/>
  <c r="AB54" i="103"/>
  <c r="AB87" i="8" s="1"/>
  <c r="AK29" i="103"/>
  <c r="AI29" i="103"/>
  <c r="AI54" i="103"/>
  <c r="AI87" i="8" s="1"/>
  <c r="AJ29" i="103"/>
  <c r="AJ50" i="103" s="1"/>
  <c r="AJ39" i="8" s="1"/>
  <c r="AJ58" i="8" s="1"/>
  <c r="AJ54" i="103"/>
  <c r="AJ87" i="8" s="1"/>
  <c r="AD43" i="101"/>
  <c r="AD68" i="101" s="1"/>
  <c r="AD38" i="8" s="1"/>
  <c r="AD57" i="8" s="1"/>
  <c r="AD64" i="211" s="1"/>
  <c r="AD66" i="211" s="1"/>
  <c r="AG54" i="103"/>
  <c r="AG87" i="8" s="1"/>
  <c r="F43" i="101"/>
  <c r="F68" i="101" s="1"/>
  <c r="F38" i="8" s="1"/>
  <c r="F57" i="8" s="1"/>
  <c r="F64" i="211" s="1"/>
  <c r="F66" i="211" s="1"/>
  <c r="AO29" i="103"/>
  <c r="AI50" i="103"/>
  <c r="AI39" i="8" s="1"/>
  <c r="AI58" i="8" s="1"/>
  <c r="AK50" i="103"/>
  <c r="AK39" i="8" s="1"/>
  <c r="AK58" i="8" s="1"/>
  <c r="AF37" i="121"/>
  <c r="AF36" i="8" s="1"/>
  <c r="AF55" i="8" s="1"/>
  <c r="M37" i="121"/>
  <c r="M36" i="8" s="1"/>
  <c r="M55" i="8" s="1"/>
  <c r="AI55" i="103"/>
  <c r="AI88" i="8" s="1"/>
  <c r="AK54" i="103"/>
  <c r="AK87" i="8" s="1"/>
  <c r="D60" i="8"/>
  <c r="S45" i="103"/>
  <c r="S50" i="103" s="1"/>
  <c r="S39" i="8" s="1"/>
  <c r="S58" i="8" s="1"/>
  <c r="AC37" i="121"/>
  <c r="AC36" i="8" s="1"/>
  <c r="AC55" i="8" s="1"/>
  <c r="X37" i="121"/>
  <c r="X36" i="8" s="1"/>
  <c r="X55" i="8" s="1"/>
  <c r="C37" i="121"/>
  <c r="W45" i="103"/>
  <c r="Y55" i="103"/>
  <c r="Y88" i="8" s="1"/>
  <c r="AA50" i="103"/>
  <c r="AA39" i="8" s="1"/>
  <c r="AA58" i="8" s="1"/>
  <c r="N37" i="121"/>
  <c r="N36" i="8" s="1"/>
  <c r="N55" i="8" s="1"/>
  <c r="M45" i="103"/>
  <c r="E37" i="121"/>
  <c r="E36" i="8" s="1"/>
  <c r="E55" i="8" s="1"/>
  <c r="F55" i="103"/>
  <c r="F88" i="8" s="1"/>
  <c r="F45" i="103"/>
  <c r="M55" i="103"/>
  <c r="M88" i="8" s="1"/>
  <c r="G37" i="121"/>
  <c r="G36" i="8" s="1"/>
  <c r="G55" i="8" s="1"/>
  <c r="H45" i="103"/>
  <c r="H50" i="103" s="1"/>
  <c r="H39" i="8" s="1"/>
  <c r="H58" i="8" s="1"/>
  <c r="W55" i="103"/>
  <c r="W88" i="8" s="1"/>
  <c r="AA37" i="121"/>
  <c r="AA36" i="8" s="1"/>
  <c r="AA55" i="8" s="1"/>
  <c r="AE37" i="121"/>
  <c r="AE36" i="8" s="1"/>
  <c r="AE55" i="8" s="1"/>
  <c r="AN54" i="103"/>
  <c r="AN87" i="8" s="1"/>
  <c r="AO42" i="103"/>
  <c r="AO38" i="103"/>
  <c r="AO37" i="103"/>
  <c r="AO41" i="103"/>
  <c r="T45" i="103"/>
  <c r="AM45" i="103"/>
  <c r="AM50" i="103" s="1"/>
  <c r="AM39" i="8" s="1"/>
  <c r="AM58" i="8" s="1"/>
  <c r="AM54" i="103"/>
  <c r="AM87" i="8" s="1"/>
  <c r="K45" i="103"/>
  <c r="R55" i="103"/>
  <c r="R88" i="8" s="1"/>
  <c r="D45" i="103"/>
  <c r="R45" i="103"/>
  <c r="Q45" i="103"/>
  <c r="Q50" i="103" s="1"/>
  <c r="Q39" i="8" s="1"/>
  <c r="Q58" i="8" s="1"/>
  <c r="E45" i="103"/>
  <c r="E50" i="103" s="1"/>
  <c r="E39" i="8" s="1"/>
  <c r="E58" i="8" s="1"/>
  <c r="K55" i="103"/>
  <c r="K88" i="8" s="1"/>
  <c r="H54" i="103"/>
  <c r="H87" i="8" s="1"/>
  <c r="S54" i="103"/>
  <c r="S87" i="8" s="1"/>
  <c r="N45" i="103"/>
  <c r="T43" i="101"/>
  <c r="T68" i="101" s="1"/>
  <c r="T38" i="8" s="1"/>
  <c r="T57" i="8" s="1"/>
  <c r="T64" i="211" s="1"/>
  <c r="T66" i="211" s="1"/>
  <c r="AI43" i="101"/>
  <c r="AI68" i="101" s="1"/>
  <c r="AI38" i="8" s="1"/>
  <c r="AI57" i="8" s="1"/>
  <c r="AM50" i="101"/>
  <c r="AM56" i="101" s="1"/>
  <c r="AM62" i="101" s="1"/>
  <c r="AB43" i="101"/>
  <c r="AB68" i="101" s="1"/>
  <c r="AB38" i="8" s="1"/>
  <c r="AB57" i="8" s="1"/>
  <c r="R43" i="101"/>
  <c r="R68" i="101" s="1"/>
  <c r="R38" i="8" s="1"/>
  <c r="R57" i="8" s="1"/>
  <c r="R64" i="211" s="1"/>
  <c r="R66" i="211" s="1"/>
  <c r="G55" i="103"/>
  <c r="G88" i="8" s="1"/>
  <c r="AG43" i="101"/>
  <c r="AG68" i="101" s="1"/>
  <c r="AG38" i="8" s="1"/>
  <c r="AG57" i="8" s="1"/>
  <c r="Q54" i="103"/>
  <c r="Q87" i="8" s="1"/>
  <c r="P55" i="103"/>
  <c r="P88" i="8" s="1"/>
  <c r="G45" i="103"/>
  <c r="P45" i="103"/>
  <c r="N43" i="101"/>
  <c r="N68" i="101" s="1"/>
  <c r="N38" i="8" s="1"/>
  <c r="N57" i="8" s="1"/>
  <c r="N64" i="211" s="1"/>
  <c r="N66" i="211" s="1"/>
  <c r="W29" i="103"/>
  <c r="V56" i="8"/>
  <c r="V63" i="211" s="1"/>
  <c r="AM41" i="170"/>
  <c r="AM20" i="229" s="1"/>
  <c r="AM22" i="229" s="1"/>
  <c r="AM24" i="229" s="1"/>
  <c r="AM18" i="137"/>
  <c r="AM18" i="225"/>
  <c r="AG55" i="8"/>
  <c r="I37" i="8"/>
  <c r="I56" i="8" s="1"/>
  <c r="I63" i="211" s="1"/>
  <c r="O55" i="8"/>
  <c r="L55" i="8"/>
  <c r="AE43" i="101"/>
  <c r="AE68" i="101" s="1"/>
  <c r="AE38" i="8" s="1"/>
  <c r="AE57" i="8" s="1"/>
  <c r="AE64" i="211" s="1"/>
  <c r="AE66" i="211" s="1"/>
  <c r="M43" i="101"/>
  <c r="M68" i="101" s="1"/>
  <c r="M38" i="8" s="1"/>
  <c r="M57" i="8" s="1"/>
  <c r="M64" i="211" s="1"/>
  <c r="M66" i="211" s="1"/>
  <c r="S43" i="101"/>
  <c r="S68" i="101" s="1"/>
  <c r="S38" i="8" s="1"/>
  <c r="S57" i="8" s="1"/>
  <c r="S64" i="211" s="1"/>
  <c r="S66" i="211" s="1"/>
  <c r="AN28" i="121"/>
  <c r="AN29" i="121"/>
  <c r="AN42" i="121"/>
  <c r="N55" i="103"/>
  <c r="N88" i="8" s="1"/>
  <c r="P43" i="101"/>
  <c r="P68" i="101" s="1"/>
  <c r="P38" i="8" s="1"/>
  <c r="P57" i="8" s="1"/>
  <c r="AH43" i="101"/>
  <c r="AH68" i="101" s="1"/>
  <c r="AH38" i="8" s="1"/>
  <c r="AH57" i="8" s="1"/>
  <c r="O55" i="103"/>
  <c r="O88" i="8" s="1"/>
  <c r="E43" i="101"/>
  <c r="E68" i="101" s="1"/>
  <c r="E38" i="8" s="1"/>
  <c r="E57" i="8" s="1"/>
  <c r="E64" i="211" s="1"/>
  <c r="E66" i="211" s="1"/>
  <c r="O43" i="101"/>
  <c r="O68" i="101" s="1"/>
  <c r="O38" i="8" s="1"/>
  <c r="O57" i="8" s="1"/>
  <c r="K43" i="101"/>
  <c r="K68" i="101" s="1"/>
  <c r="K38" i="8" s="1"/>
  <c r="K57" i="8" s="1"/>
  <c r="K64" i="211" s="1"/>
  <c r="K66" i="211" s="1"/>
  <c r="AO62" i="8"/>
  <c r="C43" i="8"/>
  <c r="C13" i="8"/>
  <c r="C36" i="211" s="1"/>
  <c r="AD29" i="103"/>
  <c r="AD50" i="103" s="1"/>
  <c r="AD39" i="8" s="1"/>
  <c r="AD58" i="8" s="1"/>
  <c r="AD54" i="103"/>
  <c r="AD87" i="8" s="1"/>
  <c r="Q43" i="101"/>
  <c r="Q68" i="101" s="1"/>
  <c r="Q38" i="8" s="1"/>
  <c r="Q57" i="8" s="1"/>
  <c r="Q64" i="211" s="1"/>
  <c r="Q66" i="211" s="1"/>
  <c r="I29" i="103"/>
  <c r="I54" i="103"/>
  <c r="I87" i="8" s="1"/>
  <c r="U45" i="103"/>
  <c r="AF43" i="101"/>
  <c r="AF68" i="101" s="1"/>
  <c r="AF38" i="8" s="1"/>
  <c r="AF57" i="8" s="1"/>
  <c r="M54" i="103"/>
  <c r="M87" i="8" s="1"/>
  <c r="M29" i="103"/>
  <c r="H43" i="101"/>
  <c r="H68" i="101" s="1"/>
  <c r="H38" i="8" s="1"/>
  <c r="H57" i="8" s="1"/>
  <c r="H64" i="211" s="1"/>
  <c r="H66" i="211" s="1"/>
  <c r="X29" i="103"/>
  <c r="X50" i="103" s="1"/>
  <c r="X39" i="8" s="1"/>
  <c r="X58" i="8" s="1"/>
  <c r="X54" i="103"/>
  <c r="X87" i="8" s="1"/>
  <c r="F54" i="103"/>
  <c r="F87" i="8" s="1"/>
  <c r="F29" i="103"/>
  <c r="AC50" i="103"/>
  <c r="AC39" i="8" s="1"/>
  <c r="AC58" i="8" s="1"/>
  <c r="J43" i="101"/>
  <c r="J68" i="101" s="1"/>
  <c r="J38" i="8" s="1"/>
  <c r="J57" i="8" s="1"/>
  <c r="J64" i="211" s="1"/>
  <c r="J66" i="211" s="1"/>
  <c r="G29" i="103"/>
  <c r="G54" i="103"/>
  <c r="G87" i="8" s="1"/>
  <c r="AA43" i="101"/>
  <c r="AA68" i="101" s="1"/>
  <c r="AA38" i="8" s="1"/>
  <c r="Y43" i="101"/>
  <c r="Y68" i="101" s="1"/>
  <c r="Y38" i="8" s="1"/>
  <c r="Y57" i="8" s="1"/>
  <c r="Y64" i="211" s="1"/>
  <c r="Y66" i="211" s="1"/>
  <c r="D54" i="103"/>
  <c r="D87" i="8" s="1"/>
  <c r="D29" i="103"/>
  <c r="I45" i="103"/>
  <c r="R37" i="121"/>
  <c r="R36" i="8" s="1"/>
  <c r="AL37" i="121"/>
  <c r="AL36" i="8" s="1"/>
  <c r="AL55" i="8" s="1"/>
  <c r="Q55" i="8"/>
  <c r="L63" i="211"/>
  <c r="X43" i="101"/>
  <c r="X68" i="101" s="1"/>
  <c r="X38" i="8" s="1"/>
  <c r="X57" i="8" s="1"/>
  <c r="X64" i="211" s="1"/>
  <c r="X66" i="211" s="1"/>
  <c r="K54" i="103"/>
  <c r="K87" i="8" s="1"/>
  <c r="K29" i="103"/>
  <c r="AN20" i="137"/>
  <c r="AB29" i="103"/>
  <c r="AB50" i="103" s="1"/>
  <c r="AB39" i="8" s="1"/>
  <c r="AB58" i="8" s="1"/>
  <c r="P54" i="103"/>
  <c r="P87" i="8" s="1"/>
  <c r="P29" i="103"/>
  <c r="L29" i="103"/>
  <c r="L50" i="103" s="1"/>
  <c r="L39" i="8" s="1"/>
  <c r="L58" i="8" s="1"/>
  <c r="C22" i="211" s="1"/>
  <c r="AM28" i="121"/>
  <c r="AM29" i="121"/>
  <c r="AM42" i="121"/>
  <c r="V43" i="101"/>
  <c r="V68" i="101" s="1"/>
  <c r="V38" i="8" s="1"/>
  <c r="V57" i="8" s="1"/>
  <c r="V64" i="211" s="1"/>
  <c r="AO40" i="170"/>
  <c r="AO21" i="229" s="1"/>
  <c r="AO48" i="170"/>
  <c r="I26" i="121"/>
  <c r="I31" i="121" s="1"/>
  <c r="I33" i="121" s="1"/>
  <c r="I37" i="121" s="1"/>
  <c r="I36" i="8" s="1"/>
  <c r="I55" i="8" s="1"/>
  <c r="AO48" i="101"/>
  <c r="AO26" i="121"/>
  <c r="AO31" i="121" s="1"/>
  <c r="AN20" i="225"/>
  <c r="AJ37" i="121"/>
  <c r="AJ36" i="8" s="1"/>
  <c r="AJ55" i="8" s="1"/>
  <c r="J29" i="103"/>
  <c r="J50" i="103" s="1"/>
  <c r="J39" i="8" s="1"/>
  <c r="J58" i="8" s="1"/>
  <c r="J54" i="103"/>
  <c r="J87" i="8" s="1"/>
  <c r="N29" i="103"/>
  <c r="N54" i="103"/>
  <c r="N87" i="8" s="1"/>
  <c r="Y55" i="8"/>
  <c r="C43" i="101"/>
  <c r="C68" i="101" s="1"/>
  <c r="W43" i="101"/>
  <c r="W68" i="101" s="1"/>
  <c r="W38" i="8" s="1"/>
  <c r="W57" i="8" s="1"/>
  <c r="W64" i="211" s="1"/>
  <c r="W66" i="211" s="1"/>
  <c r="I43" i="101"/>
  <c r="I68" i="101" s="1"/>
  <c r="I38" i="8" s="1"/>
  <c r="I57" i="8" s="1"/>
  <c r="I64" i="211" s="1"/>
  <c r="AO49" i="170"/>
  <c r="J25" i="121"/>
  <c r="AO47" i="101"/>
  <c r="AO73" i="101" s="1"/>
  <c r="AO90" i="8" s="1"/>
  <c r="D100" i="8" s="1"/>
  <c r="AO25" i="121"/>
  <c r="D43" i="101"/>
  <c r="D68" i="101" s="1"/>
  <c r="D38" i="8" s="1"/>
  <c r="D57" i="8" s="1"/>
  <c r="D64" i="211" s="1"/>
  <c r="D66" i="211" s="1"/>
  <c r="Z43" i="101"/>
  <c r="Z68" i="101" s="1"/>
  <c r="Z38" i="8" s="1"/>
  <c r="C45" i="103"/>
  <c r="C50" i="103" s="1"/>
  <c r="AO41" i="170"/>
  <c r="AO20" i="229" s="1"/>
  <c r="G18" i="225"/>
  <c r="H18" i="225"/>
  <c r="I18" i="225"/>
  <c r="AO18" i="225"/>
  <c r="AO18" i="137"/>
  <c r="Y29" i="103"/>
  <c r="Y50" i="103" s="1"/>
  <c r="Y39" i="8" s="1"/>
  <c r="Y58" i="8" s="1"/>
  <c r="Y54" i="103"/>
  <c r="Y87" i="8" s="1"/>
  <c r="S55" i="8"/>
  <c r="T29" i="103"/>
  <c r="T54" i="103"/>
  <c r="T87" i="8" s="1"/>
  <c r="G43" i="101"/>
  <c r="G68" i="101" s="1"/>
  <c r="G38" i="8" s="1"/>
  <c r="G57" i="8" s="1"/>
  <c r="G64" i="211" s="1"/>
  <c r="G66" i="211" s="1"/>
  <c r="C54" i="103"/>
  <c r="O54" i="103"/>
  <c r="O87" i="8" s="1"/>
  <c r="O29" i="103"/>
  <c r="F55" i="8"/>
  <c r="U29" i="103"/>
  <c r="U54" i="103"/>
  <c r="U87" i="8" s="1"/>
  <c r="Z29" i="103"/>
  <c r="Z50" i="103" s="1"/>
  <c r="Z39" i="8" s="1"/>
  <c r="Z58" i="8" s="1"/>
  <c r="Z54" i="103"/>
  <c r="Z87" i="8" s="1"/>
  <c r="W54" i="103"/>
  <c r="W87" i="8" s="1"/>
  <c r="T55" i="8"/>
  <c r="U55" i="8"/>
  <c r="V45" i="103"/>
  <c r="V50" i="103" s="1"/>
  <c r="V39" i="8" s="1"/>
  <c r="V58" i="8" s="1"/>
  <c r="C12" i="211"/>
  <c r="C4" i="211" s="1"/>
  <c r="L43" i="101"/>
  <c r="L68" i="101" s="1"/>
  <c r="L38" i="8" s="1"/>
  <c r="L57" i="8" s="1"/>
  <c r="L64" i="211" s="1"/>
  <c r="W55" i="8"/>
  <c r="U43" i="101"/>
  <c r="U68" i="101" s="1"/>
  <c r="U38" i="8" s="1"/>
  <c r="U57" i="8" s="1"/>
  <c r="U64" i="211" s="1"/>
  <c r="U66" i="211" s="1"/>
  <c r="AO31" i="170"/>
  <c r="AO46" i="170" s="1"/>
  <c r="AO45" i="170"/>
  <c r="D55" i="8"/>
  <c r="AO64" i="8"/>
  <c r="AO63" i="8"/>
  <c r="P55" i="8"/>
  <c r="R54" i="103"/>
  <c r="R87" i="8" s="1"/>
  <c r="R29" i="103"/>
  <c r="AB24" i="229"/>
  <c r="AB29" i="229" s="1"/>
  <c r="AB41" i="8" s="1"/>
  <c r="AB60" i="8" s="1"/>
  <c r="AB33" i="229"/>
  <c r="AH60" i="8"/>
  <c r="AI33" i="229"/>
  <c r="AI15" i="229"/>
  <c r="AI29" i="229" s="1"/>
  <c r="AI41" i="8" s="1"/>
  <c r="AL76" i="101"/>
  <c r="AL83" i="8" s="1"/>
  <c r="AL38" i="101"/>
  <c r="AL54" i="101"/>
  <c r="AL60" i="101" s="1"/>
  <c r="AL63" i="101" s="1"/>
  <c r="AL34" i="101"/>
  <c r="AM17" i="101"/>
  <c r="AM51" i="101"/>
  <c r="AM57" i="101" s="1"/>
  <c r="AM31" i="101"/>
  <c r="AN14" i="101"/>
  <c r="AL75" i="101"/>
  <c r="AL82" i="8" s="1"/>
  <c r="AL37" i="101"/>
  <c r="AL56" i="8"/>
  <c r="AM52" i="101"/>
  <c r="AM58" i="101" s="1"/>
  <c r="AM32" i="101"/>
  <c r="AN15" i="101"/>
  <c r="AM36" i="101"/>
  <c r="AM42" i="101" s="1"/>
  <c r="AK78" i="101"/>
  <c r="AK85" i="8" s="1"/>
  <c r="AK40" i="101"/>
  <c r="AK43" i="101" s="1"/>
  <c r="AK68" i="101" s="1"/>
  <c r="AK38" i="8" s="1"/>
  <c r="AM53" i="101"/>
  <c r="AM59" i="101" s="1"/>
  <c r="AM33" i="101"/>
  <c r="AN16" i="101"/>
  <c r="AN50" i="101"/>
  <c r="AN56" i="101" s="1"/>
  <c r="AN62" i="101" s="1"/>
  <c r="AN30" i="101"/>
  <c r="AO13" i="101"/>
  <c r="AL39" i="101"/>
  <c r="AL77" i="101"/>
  <c r="AL84" i="8" s="1"/>
  <c r="AA59" i="8"/>
  <c r="AB40" i="8"/>
  <c r="AI63" i="170"/>
  <c r="AI64" i="170" s="1"/>
  <c r="AI67" i="170" s="1"/>
  <c r="AI80" i="170"/>
  <c r="AI81" i="170" s="1"/>
  <c r="AI84" i="170" s="1"/>
  <c r="AJ62" i="170"/>
  <c r="AK57" i="170"/>
  <c r="AJ74" i="170"/>
  <c r="AJ79" i="170" s="1"/>
  <c r="AJ17" i="170"/>
  <c r="AJ18" i="170" s="1"/>
  <c r="AK16" i="170"/>
  <c r="AL12" i="170"/>
  <c r="AK47" i="170"/>
  <c r="AB42" i="8"/>
  <c r="AV18" i="169"/>
  <c r="AV17" i="169"/>
  <c r="AW16" i="169"/>
  <c r="AW8" i="169"/>
  <c r="AU19" i="169"/>
  <c r="AD60" i="8"/>
  <c r="AE61" i="8"/>
  <c r="K24" i="229"/>
  <c r="K29" i="229" s="1"/>
  <c r="K41" i="8" s="1"/>
  <c r="K33" i="229"/>
  <c r="I24" i="229"/>
  <c r="I29" i="229" s="1"/>
  <c r="I41" i="8" s="1"/>
  <c r="I33" i="229"/>
  <c r="J24" i="229"/>
  <c r="J29" i="229" s="1"/>
  <c r="J41" i="8" s="1"/>
  <c r="J33" i="229"/>
  <c r="AE33" i="229"/>
  <c r="AE29" i="229"/>
  <c r="AE41" i="8" s="1"/>
  <c r="O50" i="103" l="1"/>
  <c r="O39" i="8" s="1"/>
  <c r="T50" i="103"/>
  <c r="T39" i="8" s="1"/>
  <c r="R50" i="103"/>
  <c r="R39" i="8" s="1"/>
  <c r="W50" i="103"/>
  <c r="W39" i="8" s="1"/>
  <c r="W58" i="8" s="1"/>
  <c r="AN45" i="103"/>
  <c r="AN50" i="103" s="1"/>
  <c r="AN39" i="8" s="1"/>
  <c r="AN58" i="8" s="1"/>
  <c r="AM67" i="101"/>
  <c r="AM37" i="8" s="1"/>
  <c r="AM56" i="8" s="1"/>
  <c r="AJ21" i="170"/>
  <c r="AJ11" i="229" s="1"/>
  <c r="AJ13" i="229" s="1"/>
  <c r="AJ11" i="225"/>
  <c r="AJ11" i="137"/>
  <c r="AI13" i="137"/>
  <c r="AI25" i="137" s="1"/>
  <c r="AI42" i="8" s="1"/>
  <c r="AI61" i="8" s="1"/>
  <c r="AI29" i="137"/>
  <c r="AI91" i="8" s="1"/>
  <c r="AI13" i="225"/>
  <c r="AI25" i="225" s="1"/>
  <c r="AI40" i="8" s="1"/>
  <c r="AI59" i="8" s="1"/>
  <c r="AI29" i="225"/>
  <c r="D50" i="103"/>
  <c r="D39" i="8" s="1"/>
  <c r="D58" i="8" s="1"/>
  <c r="D67" i="8" s="1"/>
  <c r="D68" i="8" s="1"/>
  <c r="K50" i="103"/>
  <c r="K39" i="8" s="1"/>
  <c r="K58" i="8" s="1"/>
  <c r="M50" i="103"/>
  <c r="M39" i="8" s="1"/>
  <c r="M46" i="8" s="1"/>
  <c r="AM30" i="121"/>
  <c r="AM33" i="121" s="1"/>
  <c r="AM37" i="121" s="1"/>
  <c r="AM36" i="8" s="1"/>
  <c r="AM55" i="8" s="1"/>
  <c r="AH48" i="8"/>
  <c r="AM74" i="101"/>
  <c r="AM81" i="8" s="1"/>
  <c r="AE48" i="8"/>
  <c r="AO39" i="103"/>
  <c r="AO54" i="103" s="1"/>
  <c r="AO87" i="8" s="1"/>
  <c r="D98" i="8" s="1"/>
  <c r="F50" i="103"/>
  <c r="F39" i="8" s="1"/>
  <c r="F58" i="8" s="1"/>
  <c r="F65" i="8" s="1"/>
  <c r="AH46" i="8"/>
  <c r="AG65" i="8"/>
  <c r="N50" i="103"/>
  <c r="N39" i="8" s="1"/>
  <c r="N46" i="8" s="1"/>
  <c r="AO43" i="103"/>
  <c r="AO55" i="103" s="1"/>
  <c r="AO88" i="8" s="1"/>
  <c r="D109" i="8" s="1"/>
  <c r="S65" i="8"/>
  <c r="P50" i="103"/>
  <c r="P39" i="8" s="1"/>
  <c r="P58" i="8" s="1"/>
  <c r="P65" i="8" s="1"/>
  <c r="G50" i="103"/>
  <c r="G39" i="8" s="1"/>
  <c r="G58" i="8" s="1"/>
  <c r="AG67" i="8"/>
  <c r="I66" i="211"/>
  <c r="S46" i="8"/>
  <c r="Y67" i="8"/>
  <c r="E48" i="8"/>
  <c r="S48" i="8"/>
  <c r="AC65" i="8"/>
  <c r="AA46" i="8"/>
  <c r="AA57" i="8"/>
  <c r="AA67" i="8" s="1"/>
  <c r="AA48" i="8"/>
  <c r="AC67" i="8"/>
  <c r="B69" i="101"/>
  <c r="I50" i="103"/>
  <c r="I39" i="8" s="1"/>
  <c r="I58" i="8" s="1"/>
  <c r="AG48" i="8"/>
  <c r="AG46" i="8"/>
  <c r="L66" i="211"/>
  <c r="E65" i="8"/>
  <c r="T58" i="8"/>
  <c r="T67" i="8" s="1"/>
  <c r="T46" i="8"/>
  <c r="T48" i="8"/>
  <c r="AV19" i="169"/>
  <c r="W46" i="8"/>
  <c r="V67" i="8"/>
  <c r="E46" i="8"/>
  <c r="E67" i="8"/>
  <c r="W67" i="8"/>
  <c r="W65" i="8"/>
  <c r="Z57" i="8"/>
  <c r="Z48" i="8"/>
  <c r="L46" i="8"/>
  <c r="L48" i="8"/>
  <c r="C122" i="8"/>
  <c r="D122" i="8" s="1"/>
  <c r="D13" i="8"/>
  <c r="D36" i="211" s="1"/>
  <c r="C62" i="8"/>
  <c r="C26" i="211"/>
  <c r="L67" i="8"/>
  <c r="L65" i="8"/>
  <c r="Y46" i="8"/>
  <c r="AC48" i="8"/>
  <c r="Y48" i="8"/>
  <c r="Y65" i="8"/>
  <c r="V65" i="8"/>
  <c r="O64" i="211"/>
  <c r="O66" i="211" s="1"/>
  <c r="AC46" i="8"/>
  <c r="Z46" i="8"/>
  <c r="R48" i="8"/>
  <c r="R58" i="8"/>
  <c r="AO20" i="137"/>
  <c r="O46" i="8"/>
  <c r="H20" i="225"/>
  <c r="H25" i="225" s="1"/>
  <c r="H40" i="8" s="1"/>
  <c r="H59" i="8" s="1"/>
  <c r="H29" i="225"/>
  <c r="Q65" i="8"/>
  <c r="W48" i="8"/>
  <c r="G20" i="225"/>
  <c r="G25" i="225" s="1"/>
  <c r="G40" i="8" s="1"/>
  <c r="G29" i="225"/>
  <c r="Q46" i="8"/>
  <c r="AF46" i="8"/>
  <c r="AO20" i="225"/>
  <c r="X48" i="8"/>
  <c r="P64" i="211"/>
  <c r="P66" i="211" s="1"/>
  <c r="AO66" i="8"/>
  <c r="D17" i="8"/>
  <c r="C64" i="8"/>
  <c r="AF48" i="8"/>
  <c r="X46" i="8"/>
  <c r="AF65" i="8"/>
  <c r="AF67" i="8"/>
  <c r="AM20" i="225"/>
  <c r="X67" i="8"/>
  <c r="X65" i="8"/>
  <c r="AM20" i="137"/>
  <c r="D14" i="8"/>
  <c r="D37" i="211" s="1"/>
  <c r="C63" i="8"/>
  <c r="C123" i="8"/>
  <c r="D123" i="8" s="1"/>
  <c r="S67" i="8"/>
  <c r="C13" i="211"/>
  <c r="Q48" i="8"/>
  <c r="AD48" i="8"/>
  <c r="Q67" i="8"/>
  <c r="D110" i="8"/>
  <c r="AO22" i="229"/>
  <c r="AO24" i="229" s="1"/>
  <c r="O48" i="8"/>
  <c r="O58" i="8"/>
  <c r="AO28" i="121"/>
  <c r="AO29" i="121"/>
  <c r="AO42" i="121"/>
  <c r="AN30" i="121"/>
  <c r="AN33" i="121" s="1"/>
  <c r="AN37" i="121" s="1"/>
  <c r="AN36" i="8" s="1"/>
  <c r="AN55" i="8" s="1"/>
  <c r="V46" i="8"/>
  <c r="V48" i="8"/>
  <c r="I20" i="225"/>
  <c r="I25" i="225" s="1"/>
  <c r="I40" i="8" s="1"/>
  <c r="I59" i="8" s="1"/>
  <c r="I29" i="225"/>
  <c r="J29" i="121"/>
  <c r="J28" i="121"/>
  <c r="J42" i="121"/>
  <c r="R55" i="8"/>
  <c r="R46" i="8"/>
  <c r="U50" i="103"/>
  <c r="U39" i="8" s="1"/>
  <c r="V66" i="211"/>
  <c r="AI60" i="8"/>
  <c r="AB46" i="8"/>
  <c r="AJ15" i="229"/>
  <c r="AJ29" i="229" s="1"/>
  <c r="AJ41" i="8" s="1"/>
  <c r="AJ33" i="229"/>
  <c r="AH65" i="8"/>
  <c r="AH67" i="8"/>
  <c r="AB61" i="8"/>
  <c r="AB48" i="8"/>
  <c r="AK57" i="8"/>
  <c r="AN31" i="101"/>
  <c r="AO14" i="101"/>
  <c r="AN51" i="101"/>
  <c r="AN57" i="101" s="1"/>
  <c r="AN32" i="101"/>
  <c r="AO15" i="101"/>
  <c r="AN52" i="101"/>
  <c r="AN58" i="101" s="1"/>
  <c r="AM54" i="101"/>
  <c r="AM60" i="101" s="1"/>
  <c r="AM63" i="101" s="1"/>
  <c r="AN17" i="101"/>
  <c r="AM34" i="101"/>
  <c r="AM38" i="101"/>
  <c r="AM76" i="101"/>
  <c r="AM83" i="8" s="1"/>
  <c r="AL78" i="101"/>
  <c r="AL85" i="8" s="1"/>
  <c r="AL40" i="101"/>
  <c r="AL43" i="101" s="1"/>
  <c r="AL68" i="101" s="1"/>
  <c r="AL38" i="8" s="1"/>
  <c r="AO50" i="101"/>
  <c r="AO56" i="101" s="1"/>
  <c r="AO62" i="101" s="1"/>
  <c r="AO30" i="101"/>
  <c r="AN33" i="101"/>
  <c r="AO16" i="101"/>
  <c r="AN53" i="101"/>
  <c r="AN59" i="101" s="1"/>
  <c r="AM75" i="101"/>
  <c r="AM82" i="8" s="1"/>
  <c r="AM37" i="101"/>
  <c r="AN36" i="101"/>
  <c r="AN42" i="101" s="1"/>
  <c r="AN67" i="101" s="1"/>
  <c r="AN37" i="8" s="1"/>
  <c r="AN74" i="101"/>
  <c r="AN81" i="8" s="1"/>
  <c r="AM39" i="101"/>
  <c r="AM77" i="101"/>
  <c r="AM84" i="8" s="1"/>
  <c r="AL16" i="170"/>
  <c r="AM12" i="170"/>
  <c r="AL47" i="170"/>
  <c r="AK62" i="170"/>
  <c r="AL57" i="170"/>
  <c r="AK74" i="170"/>
  <c r="AK79" i="170" s="1"/>
  <c r="AJ80" i="170"/>
  <c r="AJ81" i="170" s="1"/>
  <c r="AJ84" i="170" s="1"/>
  <c r="AJ63" i="170"/>
  <c r="AJ64" i="170" s="1"/>
  <c r="AJ67" i="170" s="1"/>
  <c r="AK17" i="170"/>
  <c r="AK18" i="170" s="1"/>
  <c r="AB59" i="8"/>
  <c r="AD65" i="8"/>
  <c r="AD67" i="8"/>
  <c r="AD46" i="8"/>
  <c r="AW18" i="169"/>
  <c r="AW17" i="169"/>
  <c r="I60" i="8"/>
  <c r="AE60" i="8"/>
  <c r="AE65" i="8" s="1"/>
  <c r="H60" i="8"/>
  <c r="AE46" i="8"/>
  <c r="K60" i="8"/>
  <c r="J60" i="8"/>
  <c r="AB64" i="211"/>
  <c r="AB66" i="211" s="1"/>
  <c r="K46" i="8" l="1"/>
  <c r="K67" i="8"/>
  <c r="D48" i="8"/>
  <c r="D49" i="8" s="1"/>
  <c r="D65" i="8"/>
  <c r="D69" i="8" s="1"/>
  <c r="K48" i="8"/>
  <c r="D46" i="8"/>
  <c r="D50" i="8" s="1"/>
  <c r="E50" i="8" s="1"/>
  <c r="AK21" i="170"/>
  <c r="AK11" i="229" s="1"/>
  <c r="AK13" i="229" s="1"/>
  <c r="AK11" i="137"/>
  <c r="AK11" i="225"/>
  <c r="AI46" i="8"/>
  <c r="AI48" i="8"/>
  <c r="AJ29" i="137"/>
  <c r="AJ91" i="8" s="1"/>
  <c r="AJ13" i="137"/>
  <c r="AJ25" i="137" s="1"/>
  <c r="AJ42" i="8" s="1"/>
  <c r="AJ61" i="8" s="1"/>
  <c r="AJ29" i="225"/>
  <c r="AJ13" i="225"/>
  <c r="AJ25" i="225" s="1"/>
  <c r="AJ40" i="8" s="1"/>
  <c r="AJ59" i="8" s="1"/>
  <c r="M58" i="8"/>
  <c r="M65" i="8" s="1"/>
  <c r="M48" i="8"/>
  <c r="E13" i="211"/>
  <c r="AA65" i="8"/>
  <c r="AA64" i="211"/>
  <c r="AA66" i="211" s="1"/>
  <c r="N58" i="8"/>
  <c r="N65" i="8" s="1"/>
  <c r="N48" i="8"/>
  <c r="F67" i="8"/>
  <c r="F48" i="8"/>
  <c r="F46" i="8"/>
  <c r="D108" i="8"/>
  <c r="D99" i="8"/>
  <c r="AO45" i="103"/>
  <c r="AO50" i="103" s="1"/>
  <c r="AO39" i="8" s="1"/>
  <c r="AO58" i="8" s="1"/>
  <c r="G48" i="8"/>
  <c r="P46" i="8"/>
  <c r="P48" i="8"/>
  <c r="H46" i="8"/>
  <c r="E49" i="8"/>
  <c r="T65" i="8"/>
  <c r="AO30" i="121"/>
  <c r="AO33" i="121" s="1"/>
  <c r="AO37" i="121" s="1"/>
  <c r="AO36" i="8" s="1"/>
  <c r="AO55" i="8" s="1"/>
  <c r="E69" i="8"/>
  <c r="F69" i="8" s="1"/>
  <c r="P67" i="8"/>
  <c r="R65" i="8"/>
  <c r="G46" i="8"/>
  <c r="H48" i="8"/>
  <c r="O65" i="8"/>
  <c r="I48" i="8"/>
  <c r="R67" i="8"/>
  <c r="Z64" i="211"/>
  <c r="Z66" i="211" s="1"/>
  <c r="Z65" i="8"/>
  <c r="Z67" i="8"/>
  <c r="I65" i="8"/>
  <c r="D18" i="8"/>
  <c r="D26" i="8"/>
  <c r="AW19" i="169"/>
  <c r="C66" i="8"/>
  <c r="AO70" i="8"/>
  <c r="E68" i="8"/>
  <c r="U58" i="8"/>
  <c r="U48" i="8"/>
  <c r="O67" i="8"/>
  <c r="J30" i="121"/>
  <c r="J33" i="121" s="1"/>
  <c r="J37" i="121" s="1"/>
  <c r="J36" i="8" s="1"/>
  <c r="U46" i="8"/>
  <c r="AB67" i="8"/>
  <c r="AB65" i="8"/>
  <c r="G59" i="8"/>
  <c r="D26" i="211"/>
  <c r="AK33" i="229"/>
  <c r="AK15" i="229"/>
  <c r="AK29" i="229" s="1"/>
  <c r="AK41" i="8" s="1"/>
  <c r="AJ60" i="8"/>
  <c r="AI67" i="8"/>
  <c r="AI65" i="8"/>
  <c r="H65" i="8"/>
  <c r="AN39" i="101"/>
  <c r="AN77" i="101"/>
  <c r="AN84" i="8" s="1"/>
  <c r="AO53" i="101"/>
  <c r="AO59" i="101" s="1"/>
  <c r="AO33" i="101"/>
  <c r="AL57" i="8"/>
  <c r="AO32" i="101"/>
  <c r="AO52" i="101"/>
  <c r="AO58" i="101" s="1"/>
  <c r="AN76" i="101"/>
  <c r="AN83" i="8" s="1"/>
  <c r="AN38" i="101"/>
  <c r="AO74" i="101"/>
  <c r="AO81" i="8" s="1"/>
  <c r="AO36" i="101"/>
  <c r="AO42" i="101" s="1"/>
  <c r="AO67" i="101" s="1"/>
  <c r="AO37" i="8" s="1"/>
  <c r="AO51" i="101"/>
  <c r="AO57" i="101" s="1"/>
  <c r="AO31" i="101"/>
  <c r="AN75" i="101"/>
  <c r="AN82" i="8" s="1"/>
  <c r="AN37" i="101"/>
  <c r="AN34" i="101"/>
  <c r="AO17" i="101"/>
  <c r="AN54" i="101"/>
  <c r="AN60" i="101" s="1"/>
  <c r="AN63" i="101" s="1"/>
  <c r="AM78" i="101"/>
  <c r="AM85" i="8" s="1"/>
  <c r="AM40" i="101"/>
  <c r="AM43" i="101" s="1"/>
  <c r="AM68" i="101" s="1"/>
  <c r="AM38" i="8" s="1"/>
  <c r="AN56" i="8"/>
  <c r="AK80" i="170"/>
  <c r="AK81" i="170" s="1"/>
  <c r="AK84" i="170" s="1"/>
  <c r="AL62" i="170"/>
  <c r="AM57" i="170"/>
  <c r="AL74" i="170"/>
  <c r="AL79" i="170" s="1"/>
  <c r="AK63" i="170"/>
  <c r="AK64" i="170" s="1"/>
  <c r="AK67" i="170" s="1"/>
  <c r="AM16" i="170"/>
  <c r="AN12" i="170"/>
  <c r="AM47" i="170"/>
  <c r="AL17" i="170"/>
  <c r="AL18" i="170" s="1"/>
  <c r="AE67" i="8"/>
  <c r="H67" i="8"/>
  <c r="I67" i="8"/>
  <c r="I46" i="8"/>
  <c r="K65" i="8"/>
  <c r="D13" i="211" l="1"/>
  <c r="E22" i="211"/>
  <c r="N67" i="8"/>
  <c r="M67" i="8"/>
  <c r="AL21" i="170"/>
  <c r="AL11" i="229" s="1"/>
  <c r="AL13" i="229" s="1"/>
  <c r="AL15" i="229" s="1"/>
  <c r="AL29" i="229" s="1"/>
  <c r="AL41" i="8" s="1"/>
  <c r="AL11" i="225"/>
  <c r="AL11" i="137"/>
  <c r="AJ48" i="8"/>
  <c r="AJ46" i="8"/>
  <c r="AK13" i="225"/>
  <c r="AK25" i="225" s="1"/>
  <c r="AK40" i="8" s="1"/>
  <c r="AK59" i="8" s="1"/>
  <c r="AK29" i="225"/>
  <c r="AK13" i="137"/>
  <c r="AK25" i="137" s="1"/>
  <c r="AK42" i="8" s="1"/>
  <c r="AK61" i="8" s="1"/>
  <c r="AK29" i="137"/>
  <c r="AK91" i="8" s="1"/>
  <c r="F68" i="8"/>
  <c r="F50" i="8"/>
  <c r="G50" i="8" s="1"/>
  <c r="H50" i="8" s="1"/>
  <c r="I50" i="8" s="1"/>
  <c r="F49" i="8"/>
  <c r="G49" i="8" s="1"/>
  <c r="H49" i="8" s="1"/>
  <c r="I49" i="8" s="1"/>
  <c r="C39" i="8"/>
  <c r="C9" i="8"/>
  <c r="D22" i="211"/>
  <c r="U65" i="8"/>
  <c r="U67" i="8"/>
  <c r="G65" i="8"/>
  <c r="G69" i="8" s="1"/>
  <c r="H69" i="8" s="1"/>
  <c r="I69" i="8" s="1"/>
  <c r="G67" i="8"/>
  <c r="D9" i="8"/>
  <c r="C58" i="8"/>
  <c r="C120" i="8"/>
  <c r="J55" i="8"/>
  <c r="C36" i="8"/>
  <c r="C6" i="8" s="1"/>
  <c r="J48" i="8"/>
  <c r="C31" i="8" s="1"/>
  <c r="J46" i="8"/>
  <c r="E17" i="211"/>
  <c r="D17" i="211"/>
  <c r="AL33" i="229"/>
  <c r="AJ67" i="8"/>
  <c r="AJ65" i="8"/>
  <c r="AK60" i="8"/>
  <c r="C7" i="8"/>
  <c r="C37" i="8"/>
  <c r="D104" i="8"/>
  <c r="D94" i="8"/>
  <c r="AM57" i="8"/>
  <c r="AO34" i="101"/>
  <c r="AO54" i="101"/>
  <c r="AO60" i="101" s="1"/>
  <c r="AO63" i="101" s="1"/>
  <c r="AN78" i="101"/>
  <c r="AN85" i="8" s="1"/>
  <c r="AN40" i="101"/>
  <c r="AN43" i="101" s="1"/>
  <c r="AN68" i="101" s="1"/>
  <c r="AN38" i="8" s="1"/>
  <c r="AO38" i="101"/>
  <c r="AO76" i="101"/>
  <c r="AO83" i="8" s="1"/>
  <c r="AO75" i="101"/>
  <c r="AO82" i="8" s="1"/>
  <c r="AO37" i="101"/>
  <c r="AO56" i="8"/>
  <c r="AO39" i="101"/>
  <c r="AO77" i="101"/>
  <c r="AO84" i="8" s="1"/>
  <c r="AN16" i="170"/>
  <c r="AO12" i="170"/>
  <c r="AN47" i="170"/>
  <c r="AL63" i="170"/>
  <c r="AL64" i="170" s="1"/>
  <c r="AL67" i="170" s="1"/>
  <c r="AL80" i="170"/>
  <c r="AL81" i="170" s="1"/>
  <c r="AL84" i="170" s="1"/>
  <c r="AN57" i="170"/>
  <c r="AM62" i="170"/>
  <c r="AM74" i="170"/>
  <c r="AM79" i="170" s="1"/>
  <c r="AM17" i="170"/>
  <c r="AM18" i="170" s="1"/>
  <c r="AK46" i="8" l="1"/>
  <c r="AM21" i="170"/>
  <c r="AM11" i="229" s="1"/>
  <c r="AM13" i="229" s="1"/>
  <c r="AM15" i="229" s="1"/>
  <c r="AM29" i="229" s="1"/>
  <c r="AM41" i="8" s="1"/>
  <c r="AM11" i="225"/>
  <c r="AM11" i="137"/>
  <c r="AK48" i="8"/>
  <c r="AL13" i="137"/>
  <c r="AL25" i="137" s="1"/>
  <c r="AL42" i="8" s="1"/>
  <c r="AL61" i="8" s="1"/>
  <c r="AL29" i="137"/>
  <c r="AL91" i="8" s="1"/>
  <c r="AL13" i="225"/>
  <c r="AL25" i="225" s="1"/>
  <c r="AL40" i="8" s="1"/>
  <c r="AL59" i="8" s="1"/>
  <c r="AL29" i="225"/>
  <c r="G68" i="8"/>
  <c r="H68" i="8" s="1"/>
  <c r="I68" i="8" s="1"/>
  <c r="J49" i="8"/>
  <c r="K49" i="8" s="1"/>
  <c r="L49" i="8" s="1"/>
  <c r="M49" i="8" s="1"/>
  <c r="N49" i="8" s="1"/>
  <c r="O49" i="8" s="1"/>
  <c r="P49" i="8" s="1"/>
  <c r="Q49" i="8" s="1"/>
  <c r="R49" i="8" s="1"/>
  <c r="S49" i="8" s="1"/>
  <c r="T49" i="8" s="1"/>
  <c r="U49" i="8" s="1"/>
  <c r="V49" i="8" s="1"/>
  <c r="W49" i="8" s="1"/>
  <c r="X49" i="8" s="1"/>
  <c r="Y49" i="8" s="1"/>
  <c r="Z49" i="8" s="1"/>
  <c r="AA49" i="8" s="1"/>
  <c r="AB49" i="8" s="1"/>
  <c r="AC49" i="8" s="1"/>
  <c r="AD49" i="8" s="1"/>
  <c r="AE49" i="8" s="1"/>
  <c r="AF49" i="8" s="1"/>
  <c r="AG49" i="8" s="1"/>
  <c r="AH49" i="8" s="1"/>
  <c r="AI49" i="8" s="1"/>
  <c r="AJ49" i="8" s="1"/>
  <c r="AK49" i="8" s="1"/>
  <c r="J50" i="8"/>
  <c r="K50" i="8" s="1"/>
  <c r="L50" i="8" s="1"/>
  <c r="M50" i="8" s="1"/>
  <c r="N50" i="8" s="1"/>
  <c r="O50" i="8" s="1"/>
  <c r="P50" i="8" s="1"/>
  <c r="Q50" i="8" s="1"/>
  <c r="R50" i="8" s="1"/>
  <c r="S50" i="8" s="1"/>
  <c r="T50" i="8" s="1"/>
  <c r="U50" i="8" s="1"/>
  <c r="V50" i="8" s="1"/>
  <c r="W50" i="8" s="1"/>
  <c r="X50" i="8" s="1"/>
  <c r="Y50" i="8" s="1"/>
  <c r="Z50" i="8" s="1"/>
  <c r="AA50" i="8" s="1"/>
  <c r="AB50" i="8" s="1"/>
  <c r="AC50" i="8" s="1"/>
  <c r="AD50" i="8" s="1"/>
  <c r="AE50" i="8" s="1"/>
  <c r="AF50" i="8" s="1"/>
  <c r="AG50" i="8" s="1"/>
  <c r="AH50" i="8" s="1"/>
  <c r="AI50" i="8" s="1"/>
  <c r="AJ50" i="8" s="1"/>
  <c r="AK50" i="8" s="1"/>
  <c r="C117" i="8"/>
  <c r="C55" i="8"/>
  <c r="D6" i="8" s="1"/>
  <c r="J67" i="8"/>
  <c r="J65" i="8"/>
  <c r="J69" i="8" s="1"/>
  <c r="K69" i="8" s="1"/>
  <c r="L69" i="8" s="1"/>
  <c r="M69" i="8" s="1"/>
  <c r="N69" i="8" s="1"/>
  <c r="O69" i="8" s="1"/>
  <c r="P69" i="8" s="1"/>
  <c r="Q69" i="8" s="1"/>
  <c r="R69" i="8" s="1"/>
  <c r="S69" i="8" s="1"/>
  <c r="T69" i="8" s="1"/>
  <c r="U69" i="8" s="1"/>
  <c r="V69" i="8" s="1"/>
  <c r="W69" i="8" s="1"/>
  <c r="X69" i="8" s="1"/>
  <c r="Y69" i="8" s="1"/>
  <c r="Z69" i="8" s="1"/>
  <c r="AA69" i="8" s="1"/>
  <c r="AB69" i="8" s="1"/>
  <c r="AC69" i="8" s="1"/>
  <c r="AD69" i="8" s="1"/>
  <c r="AE69" i="8" s="1"/>
  <c r="AF69" i="8" s="1"/>
  <c r="AG69" i="8" s="1"/>
  <c r="AH69" i="8" s="1"/>
  <c r="AI69" i="8" s="1"/>
  <c r="AJ69" i="8" s="1"/>
  <c r="AM33" i="229"/>
  <c r="AK67" i="8"/>
  <c r="AK65" i="8"/>
  <c r="AL60" i="8"/>
  <c r="C56" i="8"/>
  <c r="D7" i="8"/>
  <c r="C118" i="8"/>
  <c r="D106" i="8"/>
  <c r="D96" i="8"/>
  <c r="D105" i="8"/>
  <c r="D95" i="8"/>
  <c r="AN57" i="8"/>
  <c r="AO78" i="101"/>
  <c r="AO85" i="8" s="1"/>
  <c r="AO40" i="101"/>
  <c r="AO43" i="101" s="1"/>
  <c r="AO68" i="101" s="1"/>
  <c r="AO38" i="8" s="1"/>
  <c r="AM63" i="170"/>
  <c r="AM64" i="170" s="1"/>
  <c r="AM67" i="170" s="1"/>
  <c r="AM80" i="170"/>
  <c r="AM81" i="170" s="1"/>
  <c r="AM84" i="170" s="1"/>
  <c r="AO57" i="170"/>
  <c r="AN62" i="170"/>
  <c r="AN74" i="170"/>
  <c r="AN79" i="170" s="1"/>
  <c r="AO16" i="170"/>
  <c r="AO47" i="170"/>
  <c r="AN17" i="170"/>
  <c r="AN18" i="170" s="1"/>
  <c r="E11" i="211"/>
  <c r="E3" i="211" s="1"/>
  <c r="J68" i="8" l="1"/>
  <c r="K68" i="8" s="1"/>
  <c r="L68" i="8" s="1"/>
  <c r="M68" i="8" s="1"/>
  <c r="N68" i="8" s="1"/>
  <c r="O68" i="8" s="1"/>
  <c r="P68" i="8" s="1"/>
  <c r="Q68" i="8" s="1"/>
  <c r="R68" i="8" s="1"/>
  <c r="S68" i="8" s="1"/>
  <c r="T68" i="8" s="1"/>
  <c r="U68" i="8" s="1"/>
  <c r="V68" i="8" s="1"/>
  <c r="W68" i="8" s="1"/>
  <c r="X68" i="8" s="1"/>
  <c r="Y68" i="8" s="1"/>
  <c r="Z68" i="8" s="1"/>
  <c r="AA68" i="8" s="1"/>
  <c r="AB68" i="8" s="1"/>
  <c r="AC68" i="8" s="1"/>
  <c r="AD68" i="8" s="1"/>
  <c r="AE68" i="8" s="1"/>
  <c r="AF68" i="8" s="1"/>
  <c r="AG68" i="8" s="1"/>
  <c r="AH68" i="8" s="1"/>
  <c r="AI68" i="8" s="1"/>
  <c r="AJ68" i="8" s="1"/>
  <c r="AN21" i="170"/>
  <c r="AN11" i="229" s="1"/>
  <c r="AN13" i="229" s="1"/>
  <c r="AN15" i="229" s="1"/>
  <c r="AN29" i="229" s="1"/>
  <c r="AN41" i="8" s="1"/>
  <c r="AN11" i="225"/>
  <c r="AN11" i="137"/>
  <c r="AM13" i="137"/>
  <c r="AM25" i="137" s="1"/>
  <c r="AM42" i="8" s="1"/>
  <c r="AM61" i="8" s="1"/>
  <c r="AM29" i="137"/>
  <c r="AM91" i="8" s="1"/>
  <c r="AM13" i="225"/>
  <c r="AM25" i="225" s="1"/>
  <c r="AM40" i="8" s="1"/>
  <c r="AM29" i="225"/>
  <c r="AL48" i="8"/>
  <c r="AL49" i="8" s="1"/>
  <c r="AL46" i="8"/>
  <c r="AL50" i="8" s="1"/>
  <c r="AK68" i="8"/>
  <c r="AK69" i="8"/>
  <c r="AL65" i="8"/>
  <c r="AL67" i="8"/>
  <c r="AM60" i="8"/>
  <c r="AN33" i="229"/>
  <c r="C8" i="8"/>
  <c r="C38" i="8"/>
  <c r="D107" i="8"/>
  <c r="D97" i="8"/>
  <c r="AO57" i="8"/>
  <c r="AO62" i="170"/>
  <c r="AO74" i="170"/>
  <c r="AO79" i="170" s="1"/>
  <c r="AO17" i="170"/>
  <c r="AO18" i="170" s="1"/>
  <c r="AN80" i="170"/>
  <c r="AN81" i="170" s="1"/>
  <c r="AN84" i="170" s="1"/>
  <c r="AN63" i="170"/>
  <c r="AN64" i="170" s="1"/>
  <c r="AN67" i="170" s="1"/>
  <c r="C30" i="211"/>
  <c r="B38" i="121"/>
  <c r="D11" i="211"/>
  <c r="D3" i="211" s="1"/>
  <c r="E20" i="211"/>
  <c r="E5" i="211" s="1"/>
  <c r="D20" i="211"/>
  <c r="D5" i="211" s="1"/>
  <c r="E21" i="211"/>
  <c r="E6" i="211" s="1"/>
  <c r="D21" i="211"/>
  <c r="D6" i="211" s="1"/>
  <c r="D118" i="8"/>
  <c r="AM46" i="8" l="1"/>
  <c r="AM50" i="8" s="1"/>
  <c r="AO21" i="170"/>
  <c r="AO11" i="229" s="1"/>
  <c r="AO13" i="229" s="1"/>
  <c r="AO11" i="225"/>
  <c r="AO11" i="137"/>
  <c r="AM48" i="8"/>
  <c r="AM49" i="8" s="1"/>
  <c r="AM59" i="8"/>
  <c r="AN13" i="137"/>
  <c r="AN25" i="137" s="1"/>
  <c r="AN42" i="8" s="1"/>
  <c r="AN29" i="137"/>
  <c r="AN91" i="8" s="1"/>
  <c r="AN13" i="225"/>
  <c r="AN25" i="225" s="1"/>
  <c r="AN40" i="8" s="1"/>
  <c r="AN59" i="8" s="1"/>
  <c r="AN29" i="225"/>
  <c r="AL68" i="8"/>
  <c r="AL69" i="8"/>
  <c r="AO15" i="229"/>
  <c r="AO29" i="229" s="1"/>
  <c r="AO41" i="8" s="1"/>
  <c r="AO33" i="229"/>
  <c r="C114" i="8" s="1"/>
  <c r="AN60" i="8"/>
  <c r="AM65" i="8"/>
  <c r="AM69" i="8" s="1"/>
  <c r="AM67" i="8"/>
  <c r="C57" i="8"/>
  <c r="D8" i="8"/>
  <c r="C119" i="8"/>
  <c r="D119" i="8" s="1"/>
  <c r="AO80" i="170"/>
  <c r="AO81" i="170" s="1"/>
  <c r="AO84" i="170" s="1"/>
  <c r="AO63" i="170"/>
  <c r="AO64" i="170" s="1"/>
  <c r="AO67" i="170" s="1"/>
  <c r="E26" i="211"/>
  <c r="C29" i="211"/>
  <c r="D12" i="211"/>
  <c r="D4" i="211" s="1"/>
  <c r="C31" i="211"/>
  <c r="E12" i="211"/>
  <c r="E4" i="211" s="1"/>
  <c r="D117" i="8"/>
  <c r="D30" i="211"/>
  <c r="AN48" i="8" l="1"/>
  <c r="AN49" i="8" s="1"/>
  <c r="AN61" i="8"/>
  <c r="AN46" i="8"/>
  <c r="AN50" i="8" s="1"/>
  <c r="AO13" i="137"/>
  <c r="AO25" i="137" s="1"/>
  <c r="AO42" i="8" s="1"/>
  <c r="AO61" i="8" s="1"/>
  <c r="AO29" i="137"/>
  <c r="AO91" i="8" s="1"/>
  <c r="AO13" i="225"/>
  <c r="AO25" i="225" s="1"/>
  <c r="AO40" i="8" s="1"/>
  <c r="AO59" i="8" s="1"/>
  <c r="D10" i="8" s="1"/>
  <c r="AO29" i="225"/>
  <c r="C41" i="8"/>
  <c r="C11" i="8"/>
  <c r="AM68" i="8"/>
  <c r="AN67" i="8"/>
  <c r="AN65" i="8"/>
  <c r="AN69" i="8" s="1"/>
  <c r="AO60" i="8"/>
  <c r="C32" i="211"/>
  <c r="D120" i="8"/>
  <c r="D31" i="211"/>
  <c r="D29" i="211"/>
  <c r="AO46" i="8" l="1"/>
  <c r="D111" i="8"/>
  <c r="D16" i="211" s="1"/>
  <c r="D7" i="211" s="1"/>
  <c r="D101" i="8"/>
  <c r="E16" i="211" s="1"/>
  <c r="E7" i="211" s="1"/>
  <c r="C59" i="8"/>
  <c r="C12" i="8"/>
  <c r="C33" i="211" s="1"/>
  <c r="C38" i="211" s="1"/>
  <c r="D12" i="8"/>
  <c r="D33" i="211" s="1"/>
  <c r="C121" i="8"/>
  <c r="D121" i="8" s="1"/>
  <c r="C40" i="8"/>
  <c r="AO48" i="8"/>
  <c r="C48" i="8" s="1"/>
  <c r="C61" i="8"/>
  <c r="C10" i="8"/>
  <c r="C15" i="8" s="1"/>
  <c r="C25" i="8" s="1"/>
  <c r="C29" i="8" s="1"/>
  <c r="C42" i="8"/>
  <c r="AN68" i="8"/>
  <c r="D11" i="8"/>
  <c r="D15" i="8" s="1"/>
  <c r="D19" i="8" s="1"/>
  <c r="AO67" i="8"/>
  <c r="AO65" i="8"/>
  <c r="C46" i="8"/>
  <c r="AO50" i="8"/>
  <c r="AO49" i="8"/>
  <c r="C60" i="8"/>
  <c r="D25" i="8"/>
  <c r="D29" i="8" s="1"/>
  <c r="C19" i="8" l="1"/>
  <c r="C27" i="8" s="1"/>
  <c r="C28" i="8" s="1"/>
  <c r="C65" i="8"/>
  <c r="AO69" i="8"/>
  <c r="C67" i="8"/>
  <c r="AO68" i="8"/>
  <c r="D32" i="211"/>
  <c r="D38" i="211" s="1"/>
  <c r="D27" i="8" l="1"/>
  <c r="D28"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Wu, Stanley</author>
    <author>tc={7431CFF5-42A1-48C0-9C88-7EF2D8559564}</author>
    <author>Savalani, Vishal</author>
  </authors>
  <commentList>
    <comment ref="B20" authorId="0" shapeId="0" xr:uid="{00000000-0006-0000-1A00-000001000000}">
      <text>
        <r>
          <rPr>
            <b/>
            <sz val="9"/>
            <color indexed="81"/>
            <rFont val="Tahoma"/>
            <family val="2"/>
          </rPr>
          <t>Use this table as per USDOT BCA Guidance March 2022</t>
        </r>
      </text>
    </comment>
    <comment ref="B69" authorId="1" shapeId="0" xr:uid="{7431CFF5-42A1-48C0-9C88-7EF2D8559564}">
      <text>
        <t>[Threaded comment]
Your version of Excel allows you to read this threaded comment; however, any edits to it will get removed if the file is opened in a newer version of Excel. Learn more: https://go.microsoft.com/fwlink/?linkid=870924
Comment:
    Hardcode values to match what is shown in the PDF (USDOT BCA Guidance)</t>
      </text>
    </comment>
    <comment ref="B117" authorId="2" shapeId="0" xr:uid="{00000000-0006-0000-1A00-000002000000}">
      <text>
        <r>
          <rPr>
            <b/>
            <sz val="9"/>
            <color indexed="81"/>
            <rFont val="Tahoma"/>
            <family val="2"/>
          </rPr>
          <t>Udated to 2010 to 2013 average. Previous data as from TASAS Unit, 2007 to 2009 average.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tc={74A420F8-5FD1-437A-B983-015D067731DC}</author>
    <author>tc={1B7BB5A0-E96C-49A8-86C1-C6BF5CCCF7FC}</author>
  </authors>
  <commentList>
    <comment ref="C20" authorId="0" shapeId="0" xr:uid="{74A420F8-5FD1-437A-B983-015D067731DC}">
      <text>
        <t>[Threaded comment]
Your version of Excel allows you to read this threaded comment; however, any edits to it will get removed if the file is opened in a newer version of Excel. Learn more: https://go.microsoft.com/fwlink/?linkid=870924
Comment:
    Feb. 2021 USDOT guidance does not specify this value. Tony recommended using 2016 VOTT Guidance on shares and 2019 numbers to update these entries (see column with notes)</t>
      </text>
    </comment>
    <comment ref="C21" authorId="1" shapeId="0" xr:uid="{1B7BB5A0-E96C-49A8-86C1-C6BF5CCCF7FC}">
      <text>
        <t>[Threaded comment]
Your version of Excel allows you to read this threaded comment; however, any edits to it will get removed if the file is opened in a newer version of Excel. Learn more: https://go.microsoft.com/fwlink/?linkid=870924
Comment:
    Feb. 2021 USDOT guidance does not specify this value. Tony recommended using 2016 VOTT Guidance on shares and 2019 numbers to update these entries (see column with notes)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F9" authorId="0" shapeId="0" xr:uid="{9B022D67-316E-49D3-9C84-53FC91638AE8}">
      <text>
        <r>
          <rPr>
            <sz val="11"/>
            <color indexed="8"/>
            <rFont val="Arial"/>
            <family val="2"/>
            <scheme val="minor"/>
          </rPr>
          <t xml:space="preserve">*  Preliminary. All indexes are subject to revision four months after original publication.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Brinic, Victor</author>
  </authors>
  <commentList>
    <comment ref="A1" authorId="0" shapeId="0" xr:uid="{00000000-0006-0000-2400-000001000000}">
      <text>
        <r>
          <rPr>
            <b/>
            <sz val="9"/>
            <color indexed="81"/>
            <rFont val="Tahoma"/>
            <family val="2"/>
          </rPr>
          <t>Brinic, Victor:</t>
        </r>
        <r>
          <rPr>
            <sz val="9"/>
            <color indexed="81"/>
            <rFont val="Tahoma"/>
            <family val="2"/>
          </rPr>
          <t xml:space="preserve">
Placeholders. Looking for better data, possibly by ton rather than ton-mile.</t>
        </r>
      </text>
    </comment>
  </commentList>
</comments>
</file>

<file path=xl/sharedStrings.xml><?xml version="1.0" encoding="utf-8"?>
<sst xmlns="http://schemas.openxmlformats.org/spreadsheetml/2006/main" count="2533" uniqueCount="1035">
  <si>
    <t>DeltaLink Regional Rail Project</t>
  </si>
  <si>
    <t xml:space="preserve">Consolidate Rail Infrastructure and Safety Improvements (CRISI) Program </t>
  </si>
  <si>
    <t>Disclaimer</t>
  </si>
  <si>
    <t/>
  </si>
  <si>
    <t>By retaining and using this Model, the Recipients represent to HDR that they are capable of making their own independent assessment as to the validity of the assumptions, data, and results contained in this Model.</t>
  </si>
  <si>
    <t>The Model may be a development version and may not be complete or, in the event that development of the Model has concluded, material events may have occurred since completion which are not reflected in the Model. In consultation with the client, HDR used what was deemed the best available data at the time of analysis and makes no warranties as to the accuracy of this information or completeness of the Model.</t>
  </si>
  <si>
    <t>BCA Workbook Contents</t>
  </si>
  <si>
    <t>Worksheet Number</t>
  </si>
  <si>
    <t>Worksheet Name</t>
  </si>
  <si>
    <t>Description</t>
  </si>
  <si>
    <t>Contents</t>
  </si>
  <si>
    <t>Results</t>
  </si>
  <si>
    <t>Benefit-Cost Summary</t>
  </si>
  <si>
    <t>ShipperData.YB</t>
  </si>
  <si>
    <t>Truck to Rail Diversion Volumes</t>
  </si>
  <si>
    <t>DiversionData.YB</t>
  </si>
  <si>
    <t>Data from the Port</t>
  </si>
  <si>
    <t>Total.CAGR</t>
  </si>
  <si>
    <t xml:space="preserve">CAGR </t>
  </si>
  <si>
    <t>Demand.Forecast</t>
  </si>
  <si>
    <t>Demand forecast data</t>
  </si>
  <si>
    <t>Costs</t>
  </si>
  <si>
    <t>Project Cost</t>
  </si>
  <si>
    <t>Inputs</t>
  </si>
  <si>
    <t>Model parameters</t>
  </si>
  <si>
    <t>SHIPPERS YB</t>
  </si>
  <si>
    <t>Calculations for shipper cost efficiencies due to modal diversion for Yellow Bend Port</t>
  </si>
  <si>
    <t>EMISSIONS YB</t>
  </si>
  <si>
    <t>SAFETY YB</t>
  </si>
  <si>
    <t>PAVEMENT YB</t>
  </si>
  <si>
    <t>CONGESTION YB</t>
  </si>
  <si>
    <t>FUEL COST YB</t>
  </si>
  <si>
    <t>Reporting_Results</t>
  </si>
  <si>
    <t>Reporting results tables</t>
  </si>
  <si>
    <t>Truck Emissions</t>
  </si>
  <si>
    <t>Annual truck emmisions</t>
  </si>
  <si>
    <t>Rail Emissions</t>
  </si>
  <si>
    <t>Annual rail emissions</t>
  </si>
  <si>
    <t>Accident Costs</t>
  </si>
  <si>
    <t>Accident costs</t>
  </si>
  <si>
    <t>Truck Accident Costs</t>
  </si>
  <si>
    <t>Truck accident costs</t>
  </si>
  <si>
    <t>Emission Costs</t>
  </si>
  <si>
    <t>Annual emissions costs</t>
  </si>
  <si>
    <t>Miscellaneous</t>
  </si>
  <si>
    <t>Marginal External Costs</t>
  </si>
  <si>
    <t>Value of Time</t>
  </si>
  <si>
    <t>Prices and ECI</t>
  </si>
  <si>
    <t>Price Indices &amp; Cost Escalation</t>
  </si>
  <si>
    <t>Shipping Rates</t>
  </si>
  <si>
    <t>Benefit-Cost Analysis</t>
  </si>
  <si>
    <t>All values are in 2022$</t>
  </si>
  <si>
    <t>Benefit Category</t>
  </si>
  <si>
    <t>Undiscounted</t>
  </si>
  <si>
    <t>*Discounted</t>
  </si>
  <si>
    <t>Benefits</t>
  </si>
  <si>
    <t>Avoided Emissions: CO2</t>
  </si>
  <si>
    <t>Avoided Emissions: non-CO2</t>
  </si>
  <si>
    <t>Improved Safety and Avoided Accident Costs</t>
  </si>
  <si>
    <t>Avoided Roadway Congestion Costs</t>
  </si>
  <si>
    <t>Avoided Fuel Consumed from Freight Transportation</t>
  </si>
  <si>
    <t>Avoided Pavement Maintenance Costs</t>
  </si>
  <si>
    <t>Residual Value of Capital Assets</t>
  </si>
  <si>
    <t>O&amp;M Costs (disbenefit)</t>
  </si>
  <si>
    <t>PV Benefits</t>
  </si>
  <si>
    <t>Capital Costs</t>
  </si>
  <si>
    <t>PV Costs</t>
  </si>
  <si>
    <t>Net Present Value (NPV)</t>
  </si>
  <si>
    <t>*'Avoided Emissions: CO2' discounted at 2%; all other categories discounted at 3.1%</t>
  </si>
  <si>
    <t>Financial Metrics</t>
  </si>
  <si>
    <t>Disounted</t>
  </si>
  <si>
    <t>Total Benefits</t>
  </si>
  <si>
    <t>Return on Investment (ROI)</t>
  </si>
  <si>
    <t>Benefit-Cost Ratio (BCR)</t>
  </si>
  <si>
    <t>Payback Period</t>
  </si>
  <si>
    <t>Internal Rate of Return (IRR)</t>
  </si>
  <si>
    <t>Results - Undiscounted 2022$</t>
  </si>
  <si>
    <t>Impact Category</t>
  </si>
  <si>
    <t>Total</t>
  </si>
  <si>
    <t>Total Costs</t>
  </si>
  <si>
    <t>Net Impacts</t>
  </si>
  <si>
    <t>Cumulative Net Impacts</t>
  </si>
  <si>
    <t>Cumulative Benefits</t>
  </si>
  <si>
    <t>Cumulative Costs</t>
  </si>
  <si>
    <t>Results - *Discounted 2022$</t>
  </si>
  <si>
    <t>Year</t>
  </si>
  <si>
    <t>Benefits Year</t>
  </si>
  <si>
    <t>Discount Factor - Standard</t>
  </si>
  <si>
    <t>Discount Factor - CO2</t>
  </si>
  <si>
    <t>Key Quantified Impacts</t>
  </si>
  <si>
    <t>Units</t>
  </si>
  <si>
    <t>CO2 Emissions Avoided due to Modal Diversion</t>
  </si>
  <si>
    <t>tons/year</t>
  </si>
  <si>
    <t>NOx Emissions Avoided due to Modal Diversion</t>
  </si>
  <si>
    <t>VOC Emissions Avoided due to Modal Diversion</t>
  </si>
  <si>
    <t>PM Emissions Avoided due to Modal Diversion</t>
  </si>
  <si>
    <t>SO2 Emissions Avoided due to Modal Diversion</t>
  </si>
  <si>
    <t>Fatalities Avoided</t>
  </si>
  <si>
    <t>fatalities/year</t>
  </si>
  <si>
    <t>Injuries Avoided</t>
  </si>
  <si>
    <t>injuries/year</t>
  </si>
  <si>
    <t>Freight Ton-miles Diverted from Truck to Rail</t>
  </si>
  <si>
    <t>Ton-miles/year</t>
  </si>
  <si>
    <t>Truck-miles Diverted from Public Roads to Rail</t>
  </si>
  <si>
    <t>Truck-miles/year</t>
  </si>
  <si>
    <t>Total Over Study Period</t>
  </si>
  <si>
    <t>CO₂ Emissions Avoided</t>
  </si>
  <si>
    <t>tons</t>
  </si>
  <si>
    <t>NOx Emissions Avoided</t>
  </si>
  <si>
    <t>PM Emissions Avoided</t>
  </si>
  <si>
    <t xml:space="preserve">SO2 Emissions Avoided </t>
  </si>
  <si>
    <t>fatalities</t>
  </si>
  <si>
    <t>injuries</t>
  </si>
  <si>
    <t>Truck Ton-miles</t>
  </si>
  <si>
    <t>Truck-miles</t>
  </si>
  <si>
    <t>Full Build-out Annual Average (2028-2047)</t>
  </si>
  <si>
    <t>Net Avoided Diesel Consumption (gallons)</t>
  </si>
  <si>
    <t>average annual benefits</t>
  </si>
  <si>
    <t>Shipper Cost Efficiencies</t>
  </si>
  <si>
    <t>O&amp;M Cost Savings</t>
  </si>
  <si>
    <t>Annual Demand Forecast Summary</t>
  </si>
  <si>
    <t>Build Case</t>
  </si>
  <si>
    <t>Base Case</t>
  </si>
  <si>
    <t>Tons of freight</t>
  </si>
  <si>
    <t>From email exchanges with Port of Yellow Bend</t>
  </si>
  <si>
    <t>Shipments (carloads/trucks)</t>
  </si>
  <si>
    <t>Provided by NLA, presumably from shipper interviews</t>
  </si>
  <si>
    <t>Avg. freight per railcar/truck</t>
  </si>
  <si>
    <t>Assumed 25t/truck, railcar volume was provided to HDR.</t>
  </si>
  <si>
    <t>Avg. carloads per train</t>
  </si>
  <si>
    <t>Assuming manifest trains, no impact on results since everything is in freight ton-miles</t>
  </si>
  <si>
    <t>Total haul distance for all commodities with potential for diversion</t>
  </si>
  <si>
    <t>Avg. haul distance for diversion</t>
  </si>
  <si>
    <t>Assuming half the total haul distance can be converted from truck to rail</t>
  </si>
  <si>
    <t>Shipping rate ($/ton-mile)</t>
  </si>
  <si>
    <t>Avg. % commodities diverted to rail</t>
  </si>
  <si>
    <t>N/A</t>
  </si>
  <si>
    <t>conservative assumption</t>
  </si>
  <si>
    <t>Weighted avg. growth /yr (diverted commodities)</t>
  </si>
  <si>
    <t xml:space="preserve">Commodity Included </t>
  </si>
  <si>
    <t>Percent volume diverted to rail</t>
  </si>
  <si>
    <t xml:space="preserve">source: HDR assumption, can toggle </t>
  </si>
  <si>
    <t xml:space="preserve">Inbound Commodity: </t>
  </si>
  <si>
    <t>Wood chips</t>
  </si>
  <si>
    <t>Outbound Commodity:</t>
  </si>
  <si>
    <t>New wood/ timber</t>
  </si>
  <si>
    <t>Grain</t>
  </si>
  <si>
    <t>Aggregate</t>
  </si>
  <si>
    <t>Corn</t>
  </si>
  <si>
    <t>Cottonseed</t>
  </si>
  <si>
    <t>Equipment</t>
  </si>
  <si>
    <t>Fertilizer</t>
  </si>
  <si>
    <t>Soybeans &amp; rice</t>
  </si>
  <si>
    <t>Port</t>
  </si>
  <si>
    <t>Direction</t>
  </si>
  <si>
    <t>Commodity</t>
  </si>
  <si>
    <t>No Build Freight Flows</t>
  </si>
  <si>
    <t>Build Freight Flows</t>
  </si>
  <si>
    <t>No Build Haul Distance to Market</t>
  </si>
  <si>
    <t>Build Haul Distance</t>
  </si>
  <si>
    <t>Build Tons (Truck to Rail)</t>
  </si>
  <si>
    <t>Avg. Freight per Truck</t>
  </si>
  <si>
    <t>Avg. Freight per Railcar</t>
  </si>
  <si>
    <t>Tons*</t>
  </si>
  <si>
    <t>Annual Growth</t>
  </si>
  <si>
    <t>Avg. Carloads per Train</t>
  </si>
  <si>
    <t>$/Ton-Mile</t>
  </si>
  <si>
    <t>Trucks</t>
  </si>
  <si>
    <t>Railcars</t>
  </si>
  <si>
    <t>Truck</t>
  </si>
  <si>
    <t>Rail</t>
  </si>
  <si>
    <t>Yellow Bend</t>
  </si>
  <si>
    <t>Inbound</t>
  </si>
  <si>
    <t>Outbound</t>
  </si>
  <si>
    <t>Tensas</t>
  </si>
  <si>
    <t>Soybeans</t>
  </si>
  <si>
    <t>Tons</t>
  </si>
  <si>
    <t>Total/Weighted Average</t>
  </si>
  <si>
    <t>Inbound and Outbound Commodity Flows at Yellow Bend Port</t>
  </si>
  <si>
    <t>Waterborne Commerce of the United States, CY 2020, Part 2- waterways and harbors bulf coast, mississippi river system and antilles</t>
  </si>
  <si>
    <t>Department of the Army Corps of Engineers</t>
  </si>
  <si>
    <t>Freight Traffic (short tons)</t>
  </si>
  <si>
    <t>Current</t>
  </si>
  <si>
    <t>TOTAL</t>
  </si>
  <si>
    <t>Chemicals and related products</t>
  </si>
  <si>
    <t>fertilizers</t>
  </si>
  <si>
    <t>nitrogenous fertilizer</t>
  </si>
  <si>
    <t>phosphatic fertilizer</t>
  </si>
  <si>
    <t>potassic fertilizer</t>
  </si>
  <si>
    <t>fertilizer and mixes nec</t>
  </si>
  <si>
    <t>Crude materials, inedible except fuels</t>
  </si>
  <si>
    <t>soil, sand, gravel, rock and stone</t>
  </si>
  <si>
    <t>building stone</t>
  </si>
  <si>
    <t>limestone</t>
  </si>
  <si>
    <t>sand and gravel</t>
  </si>
  <si>
    <t>waterway improv. Mat.</t>
  </si>
  <si>
    <t>gypsum</t>
  </si>
  <si>
    <t>Food and farm products</t>
  </si>
  <si>
    <t>grain</t>
  </si>
  <si>
    <t>corn</t>
  </si>
  <si>
    <t>rice</t>
  </si>
  <si>
    <t>wheat</t>
  </si>
  <si>
    <t>oilseeds</t>
  </si>
  <si>
    <t>soybeans</t>
  </si>
  <si>
    <t>Inbound / Outbound Vessels</t>
  </si>
  <si>
    <t>Total Trips</t>
  </si>
  <si>
    <t>Data provided by emails and phone calls from the Port</t>
  </si>
  <si>
    <t>Estimated Diversion of Commodity Flows from Truck to Rail due to Project</t>
  </si>
  <si>
    <t>tons/week</t>
  </si>
  <si>
    <t>truckloads/week</t>
  </si>
  <si>
    <t>miles</t>
  </si>
  <si>
    <t>annualization factor</t>
  </si>
  <si>
    <t>Source:</t>
  </si>
  <si>
    <t>YB</t>
  </si>
  <si>
    <t>New wood / timber freight based upon previous wood shipments at the port and surrounding wood products businesses near Monticello (60 -75 miles) – 1.5 barges per week of timber (2,475 tons / 99 truckloads) would be converted to rail shipments since Monticello has direct access to the proposed spur through Ark. Midland RR.</t>
  </si>
  <si>
    <t>tons/month</t>
  </si>
  <si>
    <t>truckloads/month</t>
  </si>
  <si>
    <t>1 barge per month of wood chips (1,500 tons/ 60 trucks) would convert from truck to rail going to the surrounding areas (75 miles)</t>
  </si>
  <si>
    <t>tons/day /facility</t>
  </si>
  <si>
    <t>truckloads/day /facility</t>
  </si>
  <si>
    <t>no. facilities</t>
  </si>
  <si>
    <t xml:space="preserve">diversion </t>
  </si>
  <si>
    <t xml:space="preserve">Grain shipments based upon current shipments and area grain facilities – Currently a single grain storage facility ships / hauls 75 truckloads / day to feed mills in Hope, AR &amp; another facility in Oklahoma (both between 175 and 200 miles).  There are at least 3 such grain facilities in the two counties that the Port touches.  The Port believes it could convert at least 1/3 of that to rail over the next 3- 5 years (diverting 75 trucks / day / 200 mi. one way).  </t>
  </si>
  <si>
    <t>tons/ twice a year</t>
  </si>
  <si>
    <t>truckloads/ twice a year</t>
  </si>
  <si>
    <t>miles diverted</t>
  </si>
  <si>
    <t>(future benefit)</t>
  </si>
  <si>
    <t>Additionally, as prices move higher on grain (soybeans/rice), many large farms in the surrounding two counties would bring grain to the port directly or to the big grain storage facilities and then ship it out of the port for movement to the gulf (New Orleans) – couple of barges a year (that would save 150-200 truck-loads to farther ports of 200 miles twice a year).</t>
  </si>
  <si>
    <t>Petroleum/diesel/fertilizer</t>
  </si>
  <si>
    <t>unknown</t>
  </si>
  <si>
    <t xml:space="preserve">Lastly, there is a petroleum storage farm (diesel, fertilizer, fuel oil) with over 460,000 barrels (18 million gallons) storage about 3 miles from the Port that temporarily closed due to damage on their river pipeline, that would be interested in using the Port for shipping by rail / barge instead of truck to inland customers.  We don’t know how many truck trips that would equate to at this point but it is potentially substantial.  </t>
  </si>
  <si>
    <t>diverted truck to rail: inbound and outbound</t>
  </si>
  <si>
    <t>OUTBOUND</t>
  </si>
  <si>
    <t>INBOUND</t>
  </si>
  <si>
    <t>Tensas Adjusted</t>
  </si>
  <si>
    <t>Tons/year</t>
  </si>
  <si>
    <t>Distance from Port</t>
  </si>
  <si>
    <t>Assumption:</t>
  </si>
  <si>
    <t>portion of truck distance that could be replaced with rail:</t>
  </si>
  <si>
    <t>distance from Port to manufacturing facility used as a proxy for trucking distance</t>
  </si>
  <si>
    <t>Ramp-up</t>
  </si>
  <si>
    <t>years</t>
  </si>
  <si>
    <t>Delay for grain diversion</t>
  </si>
  <si>
    <t>Delay for wood diversion</t>
  </si>
  <si>
    <t xml:space="preserve">The grain probably has the biggest short term potential and the wood products could be the biggest long-term customer.  The petroleum is an unknown.  </t>
  </si>
  <si>
    <t xml:space="preserve">grain diversion would probably happen much more quickly (1-3 years) since it is treated more like a commodity (price sensitive) and the wood products (raw timber) would be a slower and longer conversion as buyer / supplier networks figure out shipping efficiencies and material contracts (3-5 years).  </t>
  </si>
  <si>
    <t>loaded truck</t>
  </si>
  <si>
    <t>loaded rail car</t>
  </si>
  <si>
    <t>$/mile</t>
  </si>
  <si>
    <t xml:space="preserve">The current average costs are in the area for shipping if you wanted to use it ($5.50/mile loaded truck and $1.94 / mile loaded rail car).  </t>
  </si>
  <si>
    <t>tons/truck</t>
  </si>
  <si>
    <t>tons/rail car</t>
  </si>
  <si>
    <t>truck, $/ton-mile</t>
  </si>
  <si>
    <t>rail, $/ton-mile</t>
  </si>
  <si>
    <t>other data sources</t>
  </si>
  <si>
    <t>Source: Freight Analysis Framework (FAF) data</t>
  </si>
  <si>
    <t>FAF Commodity</t>
  </si>
  <si>
    <t>Mode</t>
  </si>
  <si>
    <t>CAGR
(2020-2050)</t>
  </si>
  <si>
    <t>02-Cereal grains</t>
  </si>
  <si>
    <t>1-Truck</t>
  </si>
  <si>
    <t>26-Wood prods.</t>
  </si>
  <si>
    <t>01-Live animals/fish</t>
  </si>
  <si>
    <t>All commodity average</t>
  </si>
  <si>
    <t>Average stones, gravel, metal</t>
  </si>
  <si>
    <t>03-Other ag prods.</t>
  </si>
  <si>
    <t>04-Animal feed</t>
  </si>
  <si>
    <t>05-Meat/seafood</t>
  </si>
  <si>
    <t>06-Milled grain prods.</t>
  </si>
  <si>
    <t>07-Other foodstuffs</t>
  </si>
  <si>
    <t>08-Alcoholic beverages</t>
  </si>
  <si>
    <t>09-Tobacco prods.</t>
  </si>
  <si>
    <t>Project Commodity</t>
  </si>
  <si>
    <t>Growth Rate</t>
  </si>
  <si>
    <t>10-Building stone</t>
  </si>
  <si>
    <t>11-Natural sands</t>
  </si>
  <si>
    <t>Wheat</t>
  </si>
  <si>
    <t>12-Gravel</t>
  </si>
  <si>
    <t>Rock</t>
  </si>
  <si>
    <t>13-Nonmetallic minerals</t>
  </si>
  <si>
    <t>Woodcips</t>
  </si>
  <si>
    <t>14-Metallic ores</t>
  </si>
  <si>
    <t>T-Bars (prefabricated steel beams)</t>
  </si>
  <si>
    <t>16-Crude petroleum</t>
  </si>
  <si>
    <t>Storage (Rock)</t>
  </si>
  <si>
    <t>17-Gasoline</t>
  </si>
  <si>
    <t>Rice</t>
  </si>
  <si>
    <t>18-Fuel oils</t>
  </si>
  <si>
    <t>19-Coal-n.e.c.</t>
  </si>
  <si>
    <t>20-Basic chemicals</t>
  </si>
  <si>
    <t>21-Pharmaceuticals</t>
  </si>
  <si>
    <t>22-Fertilizers</t>
  </si>
  <si>
    <t>23-Chemical prods.</t>
  </si>
  <si>
    <t>24-Plastics/rubber</t>
  </si>
  <si>
    <t>25-Logs</t>
  </si>
  <si>
    <t>27-Newsprint/paper</t>
  </si>
  <si>
    <t>28-Paper articles</t>
  </si>
  <si>
    <t>29-Printed prods.</t>
  </si>
  <si>
    <t>30-Textiles/leather</t>
  </si>
  <si>
    <t>31-Nonmetal min. prods.</t>
  </si>
  <si>
    <t>32-Base metals</t>
  </si>
  <si>
    <t>33-Articles-base metal</t>
  </si>
  <si>
    <t>34-Machinery</t>
  </si>
  <si>
    <t>35-Electronics</t>
  </si>
  <si>
    <t>36-Motorized vehicles</t>
  </si>
  <si>
    <t>37-Transport equip.</t>
  </si>
  <si>
    <t>38-Precision instruments</t>
  </si>
  <si>
    <t>39-Furniture</t>
  </si>
  <si>
    <t>40-Misc. mfg. prods.</t>
  </si>
  <si>
    <t>41-Waste/scrap</t>
  </si>
  <si>
    <t>43-Mixed freight</t>
  </si>
  <si>
    <t>Commodity (All Separated)</t>
  </si>
  <si>
    <t>15-Coal</t>
  </si>
  <si>
    <t>Input Variable</t>
  </si>
  <si>
    <t>Open Years</t>
  </si>
  <si>
    <t>Wood-Flag</t>
  </si>
  <si>
    <t>Grain- Flag</t>
  </si>
  <si>
    <t>All Commodities</t>
  </si>
  <si>
    <t>No Build case</t>
  </si>
  <si>
    <t>Railcars per year</t>
  </si>
  <si>
    <t>Trains per year</t>
  </si>
  <si>
    <t>Trucks per year</t>
  </si>
  <si>
    <t>Train ton-miles per year</t>
  </si>
  <si>
    <t>Truck ton-miles per year</t>
  </si>
  <si>
    <t>Laden Truck Miles</t>
  </si>
  <si>
    <t>Empty Truck Miles</t>
  </si>
  <si>
    <t>Total Truck Miles</t>
  </si>
  <si>
    <t>Train Fuel Consumption</t>
  </si>
  <si>
    <t>Truck Fuel Consumption</t>
  </si>
  <si>
    <t>Build case</t>
  </si>
  <si>
    <t>Tons/carload</t>
  </si>
  <si>
    <t>Tons of freight - Rail</t>
  </si>
  <si>
    <t>Wood</t>
  </si>
  <si>
    <t>Other</t>
  </si>
  <si>
    <t>Tons of freight - Truck</t>
  </si>
  <si>
    <t>Incremental impacts</t>
  </si>
  <si>
    <t>Other Volumes</t>
  </si>
  <si>
    <t>Sensitivity</t>
  </si>
  <si>
    <t>CAPEX multiplier</t>
  </si>
  <si>
    <t>Total Capital Costs</t>
  </si>
  <si>
    <t>O&amp;M Costs</t>
  </si>
  <si>
    <t>Incremetal O&amp;M Costs</t>
  </si>
  <si>
    <t>- full years of operations</t>
  </si>
  <si>
    <t>Residual Value</t>
  </si>
  <si>
    <t>Useful Life</t>
  </si>
  <si>
    <t>Residual Value - Construction</t>
  </si>
  <si>
    <t>Residual Value - ROW</t>
  </si>
  <si>
    <t>Construction</t>
  </si>
  <si>
    <t>ROW</t>
  </si>
  <si>
    <t>Total Residual Value</t>
  </si>
  <si>
    <t>Activity</t>
  </si>
  <si>
    <t>Duration</t>
  </si>
  <si>
    <t>2023 $ Estimate</t>
  </si>
  <si>
    <t>2022 $ Estimate</t>
  </si>
  <si>
    <t>Monthly Spend 2022 $</t>
  </si>
  <si>
    <t>Start Month</t>
  </si>
  <si>
    <t>Start Year</t>
  </si>
  <si>
    <t>End Month</t>
  </si>
  <si>
    <t>End Year</t>
  </si>
  <si>
    <t>NEPA and PE</t>
  </si>
  <si>
    <t>Final Design</t>
  </si>
  <si>
    <t>Property Acquisition</t>
  </si>
  <si>
    <t>CM</t>
  </si>
  <si>
    <t>Total Cost Check</t>
  </si>
  <si>
    <t xml:space="preserve">Assume full operations in </t>
  </si>
  <si>
    <t>Maintenance</t>
  </si>
  <si>
    <t>Operations</t>
  </si>
  <si>
    <t>General Inputs</t>
  </si>
  <si>
    <t xml:space="preserve">Year </t>
  </si>
  <si>
    <t>Value</t>
  </si>
  <si>
    <t>Source/Comment</t>
  </si>
  <si>
    <t>Real Discount Factor - Standard</t>
  </si>
  <si>
    <t>%</t>
  </si>
  <si>
    <t>-</t>
  </si>
  <si>
    <t>US DOT, BCA Guidance December 2023.</t>
  </si>
  <si>
    <t>Real Discount Factor - CO2</t>
  </si>
  <si>
    <t>Base Year of Analysis</t>
  </si>
  <si>
    <t>year</t>
  </si>
  <si>
    <t>First Year of Benefits</t>
  </si>
  <si>
    <t>HDR assumption based on current project schedule.</t>
  </si>
  <si>
    <t>End Year of Analysis</t>
  </si>
  <si>
    <t>Assumption of years of benefits.</t>
  </si>
  <si>
    <t>Years of Benefits</t>
  </si>
  <si>
    <t>Port Operating Days per Year</t>
  </si>
  <si>
    <t>days/year</t>
  </si>
  <si>
    <t>HDR assumption; weekdays only.</t>
  </si>
  <si>
    <t>Cost Deflation Factor 2023$ to 2022$</t>
  </si>
  <si>
    <t>Bureau of Economic Analysis Implicit Price Deflators for Gross Domestic Product</t>
  </si>
  <si>
    <t>Feet per Mile</t>
  </si>
  <si>
    <t>feet</t>
  </si>
  <si>
    <t>Known.</t>
  </si>
  <si>
    <t>Grams per Metric Ton</t>
  </si>
  <si>
    <t>grams</t>
  </si>
  <si>
    <t>Traffic &amp; Freight Inputs</t>
  </si>
  <si>
    <t>Average Freight per Truck</t>
  </si>
  <si>
    <t>Assuming 25 tons per truck in line with maximum Interstate Highway load limits.</t>
  </si>
  <si>
    <t>Average Freight per Train</t>
  </si>
  <si>
    <t>tons/train</t>
  </si>
  <si>
    <t xml:space="preserve">Based on shipper data for types of commodities and industry averages. </t>
  </si>
  <si>
    <t>Avg. Cost of Shipping by Truck</t>
  </si>
  <si>
    <t xml:space="preserve">Calculated based on freight per truck data and truck rates </t>
  </si>
  <si>
    <t>Avg. Cost of Shipping by Rail</t>
  </si>
  <si>
    <t>Pavement Maintenance Cost - Rural Interstate Trucks</t>
  </si>
  <si>
    <t>Average Haul Distance Across Various Commodities</t>
  </si>
  <si>
    <t>Average haul distance based on shipper origins and destinations. Assumes that long-haul movements are trucked an average of 27 miles to rail transload facilities (anything further than 500 miles). Any destinations less than 500 miles are trucked directly to market given that it is more economical than a combination of truck and rail.</t>
  </si>
  <si>
    <t>Fatalities per Billion Ton-Miles by Train</t>
  </si>
  <si>
    <t>fatalities/Btm</t>
  </si>
  <si>
    <t>Fatalities per Billion Ton-Miles by Truck</t>
  </si>
  <si>
    <t>Injuries per Billion Ton-Miles by Truck</t>
  </si>
  <si>
    <t>injuries/Btm</t>
  </si>
  <si>
    <t>Injuries per Billion Ton-Miles by Train</t>
  </si>
  <si>
    <t>Fatal Crash</t>
  </si>
  <si>
    <t>2022$/fatality</t>
  </si>
  <si>
    <t>Injury Crash</t>
  </si>
  <si>
    <t>2022$/injury</t>
  </si>
  <si>
    <t>Annual Growth in Real Accident Costs</t>
  </si>
  <si>
    <t xml:space="preserve">The Economic and Societal Impact of Motor Vehicle Crashes, 2010 (revised May 2015), Page 12, Table 1-2, Summary of Unit Costs, 2000”. Values extracted from US DOT, BCA Guidance March 2022. </t>
  </si>
  <si>
    <t>Freight Truck Emissions Inputs</t>
  </si>
  <si>
    <t>NOx per Gallon of Fuel Burned - Long-haul Freight Trucks</t>
  </si>
  <si>
    <t>grams/ton-mile</t>
  </si>
  <si>
    <t xml:space="preserve"> Assuming combination Long-haul trucks with an average speed of 27.5 - 32.5mph, 6.3mpg fuel efficiency, and 130 ton-miles per gallon. Model run in January 2022.</t>
  </si>
  <si>
    <t>VOC per Gallon of Fuel Burned - Long-haul Freight Trucks</t>
  </si>
  <si>
    <t>PM per Gallon of Fuel Burned - Long-haul Freight Trucks</t>
  </si>
  <si>
    <t>SO₂ per Gallon of Fuel Burned - Long-haul Freight Trucks</t>
  </si>
  <si>
    <t>CO₂ per Gallon of Fuel Burned - Long-haul Freight Trucks</t>
  </si>
  <si>
    <t>Locomotive Emissions Inputs</t>
  </si>
  <si>
    <t>NOx per Gallon of Fuel Burned - Line Haul Locomotives</t>
  </si>
  <si>
    <t>United States Environmental Protection Agency, Office of Transportation and Air Quality, "Emission Factors for Locomotives", EPA-420-F-09-025, April 2009.</t>
  </si>
  <si>
    <t>VOC per Gallon of Fuel Burned - Line Haul Locomotives</t>
  </si>
  <si>
    <t>PM per Gallon of Fuel Burned - Line Haul Locomotives</t>
  </si>
  <si>
    <t>SO₂ per Gallon of Fuel Burned - Line Haul Locomotives</t>
  </si>
  <si>
    <t>CO₂ per Gallon of Fuel Burned - Line Haul Locomotives</t>
  </si>
  <si>
    <t>Emission Value Inputs</t>
  </si>
  <si>
    <t>CO₂ cost per short ton</t>
  </si>
  <si>
    <t>2020$/short ton</t>
  </si>
  <si>
    <t>2021-2050</t>
  </si>
  <si>
    <t>varies by year</t>
  </si>
  <si>
    <t>NOx cost per short ton</t>
  </si>
  <si>
    <t>VOC cost per short ton</t>
  </si>
  <si>
    <t>PM cost per short ton</t>
  </si>
  <si>
    <r>
      <t>SO</t>
    </r>
    <r>
      <rPr>
        <sz val="11"/>
        <color theme="1"/>
        <rFont val="Calibri"/>
        <family val="2"/>
      </rPr>
      <t>₂</t>
    </r>
    <r>
      <rPr>
        <sz val="11"/>
        <color theme="1"/>
        <rFont val="Arial"/>
        <family val="2"/>
        <scheme val="minor"/>
      </rPr>
      <t xml:space="preserve"> cost per short ton</t>
    </r>
  </si>
  <si>
    <t>Shipper Cost Efficiencies due to Modal Diversion</t>
  </si>
  <si>
    <t xml:space="preserve"> </t>
  </si>
  <si>
    <t>Base Year</t>
  </si>
  <si>
    <t>Benefits Index</t>
  </si>
  <si>
    <t>Avg. Cost of Empty Truck Back-haul</t>
  </si>
  <si>
    <t>No Build (Base Case)</t>
  </si>
  <si>
    <t>Freight Moved by Truck</t>
  </si>
  <si>
    <t>ton-miles/year</t>
  </si>
  <si>
    <t>Freight Moved by Rail</t>
  </si>
  <si>
    <t>Cost of Truck to Market or Transload Facility</t>
  </si>
  <si>
    <t>2020$/year</t>
  </si>
  <si>
    <t>Cost of Empty Truck Back-haul</t>
  </si>
  <si>
    <t>Transporation Cost by Truck</t>
  </si>
  <si>
    <t>Transporation Cost by Rail</t>
  </si>
  <si>
    <t>Total Transportation Costs per Year</t>
  </si>
  <si>
    <t>2022$/year</t>
  </si>
  <si>
    <t xml:space="preserve">Build (Alternative Case) </t>
  </si>
  <si>
    <t>No build Less Build</t>
  </si>
  <si>
    <t>Undiscounted Impacts</t>
  </si>
  <si>
    <t>Sensitivity - Shipper Cost Efficiencies (0 is default)</t>
  </si>
  <si>
    <t>Avoided Emission Costs due to Modal Diversion</t>
  </si>
  <si>
    <t>CO₂ per Ton-Mile Trucked</t>
  </si>
  <si>
    <t>g/ton-mile</t>
  </si>
  <si>
    <t>NOx per Ton-Mile Trucked</t>
  </si>
  <si>
    <t>VOC per Ton-Mile Trucked</t>
  </si>
  <si>
    <t>PM per Ton-Mile Trucked</t>
  </si>
  <si>
    <t>SO2 per Ton-Mile Trucked</t>
  </si>
  <si>
    <t>CO₂ per Ton-Mile Rail</t>
  </si>
  <si>
    <t>NOx per Ton-Mile Rail</t>
  </si>
  <si>
    <t>VOC per Ton-Mile Rail</t>
  </si>
  <si>
    <t>PM per Ton-Mile Rail</t>
  </si>
  <si>
    <t>SO2 per Ton-Mile Rail</t>
  </si>
  <si>
    <t>CO₂ Cost per Metric Ton</t>
  </si>
  <si>
    <t>2022$/metric ton</t>
  </si>
  <si>
    <t>NOx Cost per Metric Ton</t>
  </si>
  <si>
    <t>VOC Cost per Metric Ton</t>
  </si>
  <si>
    <t>PM Cost per Metric Ton</t>
  </si>
  <si>
    <t>SO2 Cost per Metric Ton</t>
  </si>
  <si>
    <t>Freight Moved by Rrain</t>
  </si>
  <si>
    <t>CO₂ Emission Costs</t>
  </si>
  <si>
    <t>metric tons/year</t>
  </si>
  <si>
    <t>NOx Emission Costs</t>
  </si>
  <si>
    <t>VOC Emission Costs</t>
  </si>
  <si>
    <t>PM Emission Costs</t>
  </si>
  <si>
    <t>SO2 Emission Costs</t>
  </si>
  <si>
    <t>$/year</t>
  </si>
  <si>
    <t>GHG Emission Costs</t>
  </si>
  <si>
    <t>CAC Emission Costs</t>
  </si>
  <si>
    <t>Build (Alternative Case)</t>
  </si>
  <si>
    <t>No Build less Build</t>
  </si>
  <si>
    <t>Undiscounted Impacts (CO₂)</t>
  </si>
  <si>
    <t>Undiscounted Impacts (Non-CO₂)</t>
  </si>
  <si>
    <t>CO₂ Emissions Avoided due to Modal Diversion</t>
  </si>
  <si>
    <t>Improved Safety and Avoided Accident Costs due to Modal Diversion</t>
  </si>
  <si>
    <t>Fatalities per Billion Ton-miles - Truck</t>
  </si>
  <si>
    <t>Fatalities per Billion Ton-miles - Rail</t>
  </si>
  <si>
    <t>Injuries per Billion Ton-miles - Truck</t>
  </si>
  <si>
    <t>Injuries per Billion Ton-miles - Rail</t>
  </si>
  <si>
    <t>Value of a Statistical Life</t>
  </si>
  <si>
    <t>$/fatality</t>
  </si>
  <si>
    <t>Average Cost per Accident Injury</t>
  </si>
  <si>
    <t>$/injury</t>
  </si>
  <si>
    <t>Fatalities from Freight Movements by Truck</t>
  </si>
  <si>
    <t>Fatalities from Freight Movements by Rail</t>
  </si>
  <si>
    <t>Total Fatalities from Freight Movements</t>
  </si>
  <si>
    <t>Injuries from Freight Movements by Truck</t>
  </si>
  <si>
    <t>Injuries from Freight Movements by Rail</t>
  </si>
  <si>
    <t>Total Injuries from Freight Movements</t>
  </si>
  <si>
    <t>Safety and Accident Costs</t>
  </si>
  <si>
    <t>Note these totals are intended to be used for calculating marginal impacts and do not represent the actual total costs incurred in any given case</t>
  </si>
  <si>
    <t>Fatalities Avoided due to Modal Diversion</t>
  </si>
  <si>
    <t>Injuries Avoided due to Modal Diversion</t>
  </si>
  <si>
    <t>Avoided Pavement Maintenance Costs due to Modal Diversion</t>
  </si>
  <si>
    <t>Pavement Damage Costs - 60 kip Freight Trucks</t>
  </si>
  <si>
    <t>$/truck-mile</t>
  </si>
  <si>
    <t>Total Truck-Miles</t>
  </si>
  <si>
    <t>truck-miles/year</t>
  </si>
  <si>
    <t>Pavement Maintenance Costs</t>
  </si>
  <si>
    <t>Avoided Roadway Congestion Costs due to Modal Diversion</t>
  </si>
  <si>
    <t>Roadway Congestion Costs, Truck</t>
  </si>
  <si>
    <t>Avoided Fuel Costs due to Modal Diversion</t>
  </si>
  <si>
    <t>Diesel Costs</t>
  </si>
  <si>
    <t>$/gallon</t>
  </si>
  <si>
    <t>Total Fuel Consumed - Freight Trucks</t>
  </si>
  <si>
    <t>gallons/year</t>
  </si>
  <si>
    <t>Total Fuel Consumed - Freight Trains</t>
  </si>
  <si>
    <t>Total Fuel Consumed for Freight Transportation</t>
  </si>
  <si>
    <t>Freight Transportation Fuel Costs</t>
  </si>
  <si>
    <t>Avoided Fuel Consumption</t>
  </si>
  <si>
    <t>Net Benefit Impacts</t>
  </si>
  <si>
    <t xml:space="preserve">First Year </t>
  </si>
  <si>
    <t>Annual Average</t>
  </si>
  <si>
    <t>Avoided Emissions</t>
  </si>
  <si>
    <t>Avoided Tons of GHG (CO2)</t>
  </si>
  <si>
    <t>Avoided Tons of CAC (Non-CO2)</t>
  </si>
  <si>
    <t>Discounted Benefits (2020$)</t>
  </si>
  <si>
    <t>Avoided Truck-Miles</t>
  </si>
  <si>
    <t>Avoided Fatalities</t>
  </si>
  <si>
    <t>Avoided Injuries</t>
  </si>
  <si>
    <t>Reduction in Truck Ton-Miles</t>
  </si>
  <si>
    <t>Original Total Benefits (Discounted)</t>
  </si>
  <si>
    <t>Change in Parameters</t>
  </si>
  <si>
    <t>Total Benefits (Discounted)</t>
  </si>
  <si>
    <t>Benefit Cost Ratio</t>
  </si>
  <si>
    <t>Baseline Results</t>
  </si>
  <si>
    <t>n/a</t>
  </si>
  <si>
    <t>Sensitivity Test 1</t>
  </si>
  <si>
    <t>Sensitivity Test 2</t>
  </si>
  <si>
    <t>Sensitivity Test 3</t>
  </si>
  <si>
    <t>active</t>
  </si>
  <si>
    <t>original</t>
  </si>
  <si>
    <t>total</t>
  </si>
  <si>
    <t>MOVES Average Annual Emissions Factors for Idling, Using US National Default Fleet Mix of Highway Vehicles</t>
  </si>
  <si>
    <t>MOVES run based on the Desha County in Arkansas</t>
  </si>
  <si>
    <t>MOVES run conducted on January 12, 2022</t>
  </si>
  <si>
    <t>Running EF (g/veh-mi), Speed Bin 1, by Pollutant (MOVES ID#)</t>
  </si>
  <si>
    <t>Average Idling Emission Rate (grams/vehicle-hour)*</t>
  </si>
  <si>
    <t>CO (2)</t>
  </si>
  <si>
    <t>NOx (3)</t>
  </si>
  <si>
    <t>SO2 (31)</t>
  </si>
  <si>
    <t>VOC (87)</t>
  </si>
  <si>
    <t>CO2 (98)</t>
  </si>
  <si>
    <t>PM10 (100)</t>
  </si>
  <si>
    <t>CO</t>
  </si>
  <si>
    <t>Nox</t>
  </si>
  <si>
    <t xml:space="preserve">SO2 </t>
  </si>
  <si>
    <t xml:space="preserve">VOC </t>
  </si>
  <si>
    <t xml:space="preserve">CO2 </t>
  </si>
  <si>
    <t xml:space="preserve">PM10 </t>
  </si>
  <si>
    <t>PM2.5 **</t>
  </si>
  <si>
    <t>* Calculated from MOVES emission factors for Speed Bin 1, (0 - 2.5 mph), by multiplying the gram/vehicle emission factors by the midpoint speed of the bin (i.e., 1.25 mph)</t>
  </si>
  <si>
    <t xml:space="preserve">** PM2.5 emissions are estimated as 0.97 times PM10 emissions as per EPA Emissions Factors for Locomotives standards. </t>
  </si>
  <si>
    <t>Running EF (g/veh-mi), 27.5-32.5mph avg speed, Combination Long-haul Truck</t>
  </si>
  <si>
    <t>Running EF (g/gallon), 27.5-32.5mph avg speed, Combination Long-haul Truck</t>
  </si>
  <si>
    <t>Running EF (g/ton-mile), 27.5-32.5mph avg speed, Combination Long-haul Truck</t>
  </si>
  <si>
    <t>PM2.5 (100)</t>
  </si>
  <si>
    <t>Assumption: 6.3mpg</t>
  </si>
  <si>
    <t>Assumption: 130 ton-miles per gallon</t>
  </si>
  <si>
    <t>PM10 to PM2.5 Conversion Factor = 0.97</t>
  </si>
  <si>
    <t xml:space="preserve"> Assuming combination Long-haul trucks with an average speed of 27.5 - 32.5mph, 6.3mpg fuel efficiency, and 130 ton-miles per gallon.</t>
  </si>
  <si>
    <t>Table 5 – NOx Emission Factors (g/gal)</t>
  </si>
  <si>
    <t>Table 6 – PM10 Emission Factors (g/gal)</t>
  </si>
  <si>
    <t>Table 7 - HC Emission Factors (g/gal)</t>
  </si>
  <si>
    <t>CO2 Emission Factors (g/gal)</t>
  </si>
  <si>
    <t>VOC Emission Factors (g/gal)</t>
  </si>
  <si>
    <t>PM2.5 Emission Factors (g/gal)</t>
  </si>
  <si>
    <t>SO2 Emission Factors (g/gal)</t>
  </si>
  <si>
    <t>Calendar Year</t>
  </si>
  <si>
    <t>Large Line-Haul</t>
  </si>
  <si>
    <t>Large Switch</t>
  </si>
  <si>
    <t>Small Railroads</t>
  </si>
  <si>
    <t xml:space="preserve">Passenger/Commuter </t>
  </si>
  <si>
    <t>Overall Average</t>
  </si>
  <si>
    <t>Constant</t>
  </si>
  <si>
    <t>Source</t>
  </si>
  <si>
    <t>HC to VOC Conversion Factor</t>
  </si>
  <si>
    <t>PM10 to PM2.5 Conversion Factor</t>
  </si>
  <si>
    <t>Notes</t>
  </si>
  <si>
    <t>Values were originally in grams/gallon but were converted to grams/ton-mile by using an efficiency rate of 400 ton-miles/gallon in 2009 and an estimated increase in efficiency of 1.5% per year</t>
  </si>
  <si>
    <t>NOx Emission Factors (g/tm)</t>
  </si>
  <si>
    <t>PM10 Emission Factors (g/tm)</t>
  </si>
  <si>
    <t>HC Emission Factors (g/tm)</t>
  </si>
  <si>
    <t>CO2 Emission Factors (g/tm)</t>
  </si>
  <si>
    <t>VOC Emission Factors (g/tm)</t>
  </si>
  <si>
    <t>PM2.5 Emission Factors (g/tm)</t>
  </si>
  <si>
    <t>SO2 Emission Factors (g/tm)</t>
  </si>
  <si>
    <t>Efficiency</t>
  </si>
  <si>
    <t>Most Likely</t>
  </si>
  <si>
    <t>Low</t>
  </si>
  <si>
    <t>High</t>
  </si>
  <si>
    <t>In Dollars of</t>
  </si>
  <si>
    <t>Online</t>
  </si>
  <si>
    <t>$ per life</t>
  </si>
  <si>
    <r>
      <rPr>
        <sz val="8"/>
        <color theme="1"/>
        <rFont val="Arial"/>
        <family val="2"/>
        <scheme val="minor"/>
      </rPr>
      <t xml:space="preserve">US DOT, </t>
    </r>
    <r>
      <rPr>
        <i/>
        <sz val="8"/>
        <color theme="1"/>
        <rFont val="Arial"/>
        <family val="2"/>
        <scheme val="minor"/>
      </rPr>
      <t>Guidance on Treatment of the Economic Value of a Statistical Life in U.S. Department of Transportation Analyses</t>
    </r>
    <r>
      <rPr>
        <sz val="8"/>
        <color theme="1"/>
        <rFont val="Arial"/>
        <family val="2"/>
        <scheme val="minor"/>
      </rPr>
      <t xml:space="preserve"> (2021);   </t>
    </r>
    <r>
      <rPr>
        <u/>
        <sz val="8"/>
        <color theme="1"/>
        <rFont val="Arial"/>
        <family val="2"/>
        <scheme val="minor"/>
      </rPr>
      <t xml:space="preserve">US DOT, </t>
    </r>
    <r>
      <rPr>
        <i/>
        <u/>
        <sz val="8"/>
        <color theme="1"/>
        <rFont val="Arial"/>
        <family val="2"/>
        <scheme val="minor"/>
      </rPr>
      <t>BCA Guidance for Dicretionary Grant Programs</t>
    </r>
    <r>
      <rPr>
        <u/>
        <sz val="8"/>
        <color theme="1"/>
        <rFont val="Arial"/>
        <family val="2"/>
        <scheme val="minor"/>
      </rPr>
      <t xml:space="preserve"> (2022)</t>
    </r>
    <r>
      <rPr>
        <sz val="8"/>
        <color theme="1"/>
        <rFont val="Arial"/>
        <family val="2"/>
        <scheme val="minor"/>
      </rPr>
      <t>; LOW and HIGH values updated by HDR</t>
    </r>
  </si>
  <si>
    <t>https://www.transportation.gov/office-policy/transportation-policy/revised-departmental-guidance-on-valuation-of-a-statistical-life-in-economic-analysis</t>
  </si>
  <si>
    <t>Relative Disutility Factors by Injury Severity Level (Maximum Abbreviated Injury Scale)</t>
  </si>
  <si>
    <t>MAIS 1 - Minor injury</t>
  </si>
  <si>
    <t>fraction of VSL</t>
  </si>
  <si>
    <t>MAIS 2 - Moderate injury</t>
  </si>
  <si>
    <t>MAIS 3 - Serious injury</t>
  </si>
  <si>
    <t>MAIS 4 - Severe injury</t>
  </si>
  <si>
    <t>MAIS 5 - Critical injury</t>
  </si>
  <si>
    <t>MAIS 6 - Fatality</t>
  </si>
  <si>
    <t>Property Damage Only Cost</t>
  </si>
  <si>
    <t>Highway Accident</t>
  </si>
  <si>
    <t>$ per damaged vehicle</t>
  </si>
  <si>
    <r>
      <t xml:space="preserve">The Economic and Societal Impact of Motor Vehicle Crashes, 2010 (revised May 2015), Page 12, Table 1-2, Summary of Unit Costs, 2000”  
</t>
    </r>
    <r>
      <rPr>
        <sz val="8"/>
        <color theme="1"/>
        <rFont val="Arial"/>
        <family val="2"/>
        <scheme val="minor"/>
      </rPr>
      <t xml:space="preserve">Inflated to 2020 dollars using the GDP Deflator. </t>
    </r>
  </si>
  <si>
    <t>https://www.transportation.gov/office-policy/transportation-policy/benefit-cost-analysis-guidance-discretionary-grant-programs-0</t>
  </si>
  <si>
    <t>KABCO-AIS Conversion Table (Excluding Fatalities in Non-Fatal Injury Codes)</t>
  </si>
  <si>
    <t>O</t>
  </si>
  <si>
    <t>C</t>
  </si>
  <si>
    <t>B</t>
  </si>
  <si>
    <t>A</t>
  </si>
  <si>
    <t>K</t>
  </si>
  <si>
    <t>Injured</t>
  </si>
  <si>
    <t>Unknown</t>
  </si>
  <si>
    <t>No Injury</t>
  </si>
  <si>
    <t>Possible Injury</t>
  </si>
  <si>
    <t>Non Incapacitating</t>
  </si>
  <si>
    <t>Incapacitating</t>
  </si>
  <si>
    <t xml:space="preserve"> Killed</t>
  </si>
  <si>
    <t>Severity Unknown</t>
  </si>
  <si>
    <t>If Injured</t>
  </si>
  <si>
    <t>AIS 0-No Injury</t>
  </si>
  <si>
    <t>AIS 1-Minor</t>
  </si>
  <si>
    <t>AIS 2-Moderate</t>
  </si>
  <si>
    <t>AIS 3-Serious</t>
  </si>
  <si>
    <t>AIS 4-Severe</t>
  </si>
  <si>
    <t>AIS 5-Critical</t>
  </si>
  <si>
    <t>Fatality</t>
  </si>
  <si>
    <t>Source: National Highway Traffic Safety Administration, July 2011, table provided in US DOT FASTLANE II November 2016, page 12</t>
  </si>
  <si>
    <t>AIS=Abbreviated Injury Scale</t>
  </si>
  <si>
    <t>MAIS=Maximum AIS</t>
  </si>
  <si>
    <t>US DOT NHTSA, "Estimation of Safety Benefits for Heavy Vehicle Crash Warning Applications Based on Vehicle-to-Vehicle Communications", November 2017, DOT HS 812 429</t>
  </si>
  <si>
    <t>TABLE ABOVE NOT USED BY USDOT IN THEIR BCA GUIDANCE</t>
  </si>
  <si>
    <t>Number of Persons Injured, Occupants and Non-Occupants, 2015</t>
  </si>
  <si>
    <t>Appendix A, page 45</t>
  </si>
  <si>
    <t>Non-Incapacitating</t>
  </si>
  <si>
    <t>Other*</t>
  </si>
  <si>
    <t>Total Injured</t>
  </si>
  <si>
    <t>https://www.nhtsa.gov/sites/nhtsa.dot.gov/files/documents/812429-hv_v2v_safetybenefits.pdf</t>
  </si>
  <si>
    <t>All vehicles</t>
  </si>
  <si>
    <t>% total</t>
  </si>
  <si>
    <t>Source: 2015 Traffic Safety Facts FARS/GES Annual Report, Publication DOT HS 812 384, Table 54, page 106</t>
  </si>
  <si>
    <t>* Presumably includes Possible Injury and Severity Unknown; assume most is Possible Injury</t>
  </si>
  <si>
    <t>https://crashstats.nhtsa.dot.gov/Api/Public/ViewPublication/812384</t>
  </si>
  <si>
    <t>Recommendations for 2022 grants (2020 dollars)</t>
  </si>
  <si>
    <t>TO MONETIZE EFFECTS OCCURING IN EACH YEAR OVER ANALYSIS PERIOD:</t>
  </si>
  <si>
    <t>MOST LIKELY</t>
  </si>
  <si>
    <t>LOW</t>
  </si>
  <si>
    <t>HIGH</t>
  </si>
  <si>
    <t>MAIS 1-Minor</t>
  </si>
  <si>
    <t>$ per injury</t>
  </si>
  <si>
    <t>MAIS 2-Moderate</t>
  </si>
  <si>
    <t>MAIS 3-Serious</t>
  </si>
  <si>
    <t>MAIS 4-Severe</t>
  </si>
  <si>
    <t>MAIS 5-Critical</t>
  </si>
  <si>
    <t>$ per fatality</t>
  </si>
  <si>
    <t>O - No Injury</t>
  </si>
  <si>
    <t>C - Possible Injury</t>
  </si>
  <si>
    <t>B - Non Incapacitating</t>
  </si>
  <si>
    <t>A - Incapacitating</t>
  </si>
  <si>
    <t>K -  Killed</t>
  </si>
  <si>
    <t>Injured - Severity Unknown</t>
  </si>
  <si>
    <t>Unknown - If Injured</t>
  </si>
  <si>
    <t>NOTE:  DOT GUIDANCE RECOMMENDS, EXPLICITELY, NOT TO INFER ANY PROBABILITY DISTRIBUTION FROM THE ABOVE ESTIMATES</t>
  </si>
  <si>
    <t>THERE IS NO RECOMMENDATION TO INCREASE VOT OVER TIME BY SOME RATE OF GROWTH.</t>
  </si>
  <si>
    <t>FOR PROPERTY DAMAGE ONLY ACCIDENTS:</t>
  </si>
  <si>
    <t>AVERAGE INJURY COST ESTIMATES</t>
  </si>
  <si>
    <t>Weighted 2020</t>
  </si>
  <si>
    <t>LOW (for Sensitivity Analysis)</t>
  </si>
  <si>
    <t>Inflation Adjustment (2019-2019)</t>
  </si>
  <si>
    <t>HIGH (for Sensitivity Analysis)</t>
  </si>
  <si>
    <t xml:space="preserve">Note:  Explain how weighted average injury costs were estimated in your Technical Appendix, if you are using the above values. </t>
  </si>
  <si>
    <t>Use of Injured - Severity Unknown is a good alternative if you do not have a breakdown of accident data by severity.</t>
  </si>
  <si>
    <t>Updated April 2022</t>
  </si>
  <si>
    <t xml:space="preserve">VSL and associated injury values: </t>
  </si>
  <si>
    <t>Include productivity losses, pain, suffering, and lost quality of life (including "psychic disutility")</t>
  </si>
  <si>
    <t>Include portion of medical expenses paid for by individual (~15%)</t>
  </si>
  <si>
    <t>Do not include medical expenses paid through societal mechanisms such as insurance, tax supported welfare programs, and charity (~85%)</t>
  </si>
  <si>
    <t>Do not include property damage or traffic delay</t>
  </si>
  <si>
    <t>PDO cost is about 90% travel delay and property damage.  The remaining components are from workplace productivity loss, insurance administrative costs, household production loss, and emergency services.</t>
  </si>
  <si>
    <t>You will need to map the Relative Disutility Factors by Injury Severity Level into the accident data available for the project. The tables below may help:</t>
  </si>
  <si>
    <t>Examples</t>
  </si>
  <si>
    <t>Injury Whiplash, bruise, broken tooth</t>
  </si>
  <si>
    <t>Closed leg fracture, finger crush</t>
  </si>
  <si>
    <t>Open leg fracture, amputated arm, major nerve laceration</t>
  </si>
  <si>
    <t>Partial spinal cord severance, concussion (unconscious less than 24 hours)</t>
  </si>
  <si>
    <t>Complete spinal cord severance, concussion (unconscious more than 24 hours)</t>
  </si>
  <si>
    <t>Source: Crash Outcomes Data Evaluation System: An Evaluation of Medical Crash Costs, Center for Transportation Research and Education, Iowa State University, May 1999</t>
  </si>
  <si>
    <t>http://www.intrans.iastate.edu/reports/codes.pdf</t>
  </si>
  <si>
    <t>Your client may be able to provide a detailed mapping. This is what we used in New York in 2010:</t>
  </si>
  <si>
    <t>Average MAIS score</t>
  </si>
  <si>
    <t xml:space="preserve">Pedestrians </t>
  </si>
  <si>
    <t xml:space="preserve">      Bicyclists</t>
  </si>
  <si>
    <t>Motor Vehicle Occupants &amp; Motorcyclists</t>
  </si>
  <si>
    <t>K Fatality</t>
  </si>
  <si>
    <t>A Incapacitating</t>
  </si>
  <si>
    <t>B Non Incapacitating</t>
  </si>
  <si>
    <t>C Possible Injury</t>
  </si>
  <si>
    <t>O No Injury</t>
  </si>
  <si>
    <t>U Injured, Severity Unknown</t>
  </si>
  <si>
    <t>Source: NYDOH, forwarded by Matthew Roe; Planning &amp; Research Manager; NYC Department of Transportation</t>
  </si>
  <si>
    <t>Distinction between Accidents and Events</t>
  </si>
  <si>
    <t>If you are using safety data expressed as number of accidents (e.g. fatal accidents), you should transform accidents into events (e.g. fatalities) before using the above assumptions.</t>
  </si>
  <si>
    <t>You may be able to obtain data on the number of events per accident from your client or other sources.</t>
  </si>
  <si>
    <t>If those data are not available, consider using data for the State of California (summarized in the tables below).</t>
  </si>
  <si>
    <t>NUMBER OF FATALITIES</t>
  </si>
  <si>
    <t>(events/accident)</t>
  </si>
  <si>
    <t>Accident Type</t>
  </si>
  <si>
    <t>Urban</t>
  </si>
  <si>
    <t>Suburban</t>
  </si>
  <si>
    <t>Rural</t>
  </si>
  <si>
    <t>Average</t>
  </si>
  <si>
    <t>Fatal Accident</t>
  </si>
  <si>
    <t>NUMBER OF INJURIES</t>
  </si>
  <si>
    <t>Injury Accident</t>
  </si>
  <si>
    <t>NUMBER OF VEHICLES INVOLVED</t>
  </si>
  <si>
    <t>PDO Accident</t>
  </si>
  <si>
    <t>Source: California Department of Transportation, TASAS Unit, 2010 to 2013 average</t>
  </si>
  <si>
    <t>Road Traffic Related Injury Severity in Truck Drivers: A Prospective Medical and Technical Analysis of 582 Truck Crashes, Archives of Trauma Research, June 2016.</t>
  </si>
  <si>
    <t>https://www.ncbi.nlm.nih.gov/pmc/articles/PMC5035669/</t>
  </si>
  <si>
    <t>Injuries</t>
  </si>
  <si>
    <t>Frequency</t>
  </si>
  <si>
    <t>Opponent</t>
  </si>
  <si>
    <t>Drivers</t>
  </si>
  <si>
    <t>MAIS 1</t>
  </si>
  <si>
    <t>MAIS 2</t>
  </si>
  <si>
    <t>MAIS 3</t>
  </si>
  <si>
    <t>MAIS 4</t>
  </si>
  <si>
    <t>MAIS 5</t>
  </si>
  <si>
    <t>Cost</t>
  </si>
  <si>
    <t>Weight</t>
  </si>
  <si>
    <t>Default is 1</t>
  </si>
  <si>
    <t>Table A-6: Damage Costs for Emissions per metric ton*</t>
  </si>
  <si>
    <t>$/short ton</t>
  </si>
  <si>
    <t>p. 34</t>
  </si>
  <si>
    <t>NOx</t>
  </si>
  <si>
    <t>SO2</t>
  </si>
  <si>
    <t>PM2.5</t>
  </si>
  <si>
    <t>CO2</t>
  </si>
  <si>
    <t>Emission Type</t>
  </si>
  <si>
    <t>PM2.5**</t>
  </si>
  <si>
    <t>*Applicants should carefully note whether their emissions data is reported in short tons or metric tons. A metric ton is equal to 1.1015 short tons.</t>
  </si>
  <si>
    <t>**Applicants should be careful to not apply the PM2.5 value to estimates of total emissions of PM10.</t>
  </si>
  <si>
    <t>Technical Support Document: Estimating the Benefit per Ton of Reducing PM2.5 Precursors from 17 Sectors (February 2018)”</t>
  </si>
  <si>
    <t>https://www.epa.gov/sites/default/files/2018-02/documents/sourceapportionmentbpttsd_2018.pdf</t>
  </si>
  <si>
    <r>
      <t>NO</t>
    </r>
    <r>
      <rPr>
        <vertAlign val="subscript"/>
        <sz val="9"/>
        <color theme="1"/>
        <rFont val="Arial"/>
        <family val="2"/>
        <scheme val="minor"/>
      </rPr>
      <t>X</t>
    </r>
    <r>
      <rPr>
        <sz val="9"/>
        <color theme="1"/>
        <rFont val="Arial"/>
        <family val="2"/>
        <scheme val="minor"/>
      </rPr>
      <t>, SO</t>
    </r>
    <r>
      <rPr>
        <vertAlign val="subscript"/>
        <sz val="9"/>
        <color theme="1"/>
        <rFont val="Arial"/>
        <family val="2"/>
        <scheme val="minor"/>
      </rPr>
      <t>X</t>
    </r>
    <r>
      <rPr>
        <sz val="9"/>
        <color theme="1"/>
        <rFont val="Arial"/>
        <family val="2"/>
        <scheme val="minor"/>
      </rPr>
      <t>, and PM</t>
    </r>
    <r>
      <rPr>
        <vertAlign val="subscript"/>
        <sz val="9"/>
        <color theme="1"/>
        <rFont val="Arial"/>
        <family val="2"/>
        <scheme val="minor"/>
      </rPr>
      <t>2.5</t>
    </r>
    <r>
      <rPr>
        <sz val="9"/>
        <color theme="1"/>
        <rFont val="Arial"/>
        <family val="2"/>
        <scheme val="minor"/>
      </rPr>
      <t xml:space="preserve"> values are inflated from 2015 to 2020 dollars using the GDP deflator.</t>
    </r>
  </si>
  <si>
    <t xml:space="preserve">Social Cost of Carbon, Methane, and Nitrous Oxide Interim Estimates under Executive Order 13990 (February 2021) </t>
  </si>
  <si>
    <t>https://www.whitehouse.gov/wp_x0002_content/uploads/2021/02/TechnicalSuppor tDocument_SocialCostofCarbonMethane NitrousOxide.pdf</t>
  </si>
  <si>
    <r>
      <rPr>
        <b/>
        <sz val="9"/>
        <color theme="1"/>
        <rFont val="Arial"/>
        <family val="2"/>
        <scheme val="minor"/>
      </rPr>
      <t>Note:</t>
    </r>
    <r>
      <rPr>
        <sz val="9"/>
        <color theme="1"/>
        <rFont val="Arial"/>
        <family val="2"/>
        <scheme val="minor"/>
      </rPr>
      <t xml:space="preserve"> Fuel saved (gasoline, diesel, natural gas, etc.) can be converted into metric tons of emissions using EPA guidelines available at</t>
    </r>
  </si>
  <si>
    <t>https://www.epa.gov/energy/greenhouse-gases-equivalencies-calculator-calculations-and-references</t>
  </si>
  <si>
    <r>
      <rPr>
        <b/>
        <sz val="9"/>
        <color theme="1"/>
        <rFont val="Arial"/>
        <family val="2"/>
        <scheme val="minor"/>
      </rPr>
      <t>Note:</t>
    </r>
    <r>
      <rPr>
        <sz val="9"/>
        <color theme="1"/>
        <rFont val="Arial"/>
        <family val="2"/>
        <scheme val="minor"/>
      </rPr>
      <t xml:space="preserve"> The recommended values for reducing CO2 emissions reported in Table A-6 represent the values of future economic damages that can be avoided by reducing emissions in each future year by one metric ton. After using per-ton values to estimate the total value of reducing CO2 emissions in any future year, the result must be further discounted to its present value as of the analysis year used in the BCA, also using a 3 percent discount rate.</t>
    </r>
  </si>
  <si>
    <t>Table V-22. 2000 Marginal External Costs for Noise (cents per mile)</t>
  </si>
  <si>
    <t>Rural Highways</t>
  </si>
  <si>
    <t>Urban Highways</t>
  </si>
  <si>
    <t>All Highways</t>
  </si>
  <si>
    <t>Middle</t>
  </si>
  <si>
    <t>Automobiles</t>
  </si>
  <si>
    <t>Pickups and Vans</t>
  </si>
  <si>
    <t>Buses</t>
  </si>
  <si>
    <t>Single Unit Trucks</t>
  </si>
  <si>
    <t>Combination Trucks</t>
  </si>
  <si>
    <t>All Vehicles</t>
  </si>
  <si>
    <t>Table V-23. 2000 Marginal External Costs for Congestion (cents per mile)</t>
  </si>
  <si>
    <t>Table V-24. 2000 Marginal External Costs for Crashes (cents per mile)</t>
  </si>
  <si>
    <t>Source: Federal Highway Administration, 1997 Federal Highway Cost Allocation Study, Tables V-22, V-23, and V-24</t>
  </si>
  <si>
    <t>https://www.fhwa.dot.gov/policy/otps/costallocation.cfm</t>
  </si>
  <si>
    <t>Table II-11. Trends and Projections of VMT by Vehicle Class (millions)</t>
  </si>
  <si>
    <t>2000 perc.</t>
  </si>
  <si>
    <t>Autos</t>
  </si>
  <si>
    <t>Source: Federal Highway Administration, 1997 Federal Highway Cost Allocation Study, Table II-11</t>
  </si>
  <si>
    <t>Marginal External Costs - Additional Estimates used in some of our previous TIGER applications, in CENTS OF 2000 PER MILE</t>
  </si>
  <si>
    <t>Table 13. 2000 Pavement, Congestion, Crash, Air Pollution, and Noise Costs for Illustrative Vehicles Under Specific Conditions</t>
  </si>
  <si>
    <t>Vehicle Class/Highway Class</t>
  </si>
  <si>
    <t>CENTS per Mile</t>
  </si>
  <si>
    <t>Pavement</t>
  </si>
  <si>
    <t>Congestion</t>
  </si>
  <si>
    <t>Crash</t>
  </si>
  <si>
    <t>Air Pollution</t>
  </si>
  <si>
    <t>Noise</t>
  </si>
  <si>
    <t>Autos/Rural Interstate</t>
  </si>
  <si>
    <t>Autos/Urban Interstate</t>
  </si>
  <si>
    <t>40 kip 4-axle S.U. Truck/Rural Interstate</t>
  </si>
  <si>
    <t>40 kip 4-axle S.U. Truck/Urban Interstate</t>
  </si>
  <si>
    <t>60 kip 4-axle S.U. Truck/Rural Interstate</t>
  </si>
  <si>
    <t>60 kip 4-axle S.U. Truck/Urban Interstate</t>
  </si>
  <si>
    <t>60 kip 5-axle Comb/Rural Interstate</t>
  </si>
  <si>
    <t>60 kip 5-axle Comb/Urban Interstate</t>
  </si>
  <si>
    <t>80 kip 5-axle Comb/Rural Interstate</t>
  </si>
  <si>
    <t>80 kip 5-axle Comb/Urban Interstate</t>
  </si>
  <si>
    <t>Addendum to the 1997 Federal Highway Cost Allocation Study Final Report, May 2000</t>
  </si>
  <si>
    <t>NOTE: S.U. = Single Unit, Comb. = Combination; Air pollution costs are averages of costs of travel on all rural and urban highway classes, not just Interstate. Available data do not allow differences in air pollution costs for heavy truck classes to be distinguished.</t>
  </si>
  <si>
    <t>Recommendations for 2022 grants - Marginal Costs, in 2020 Dollars</t>
  </si>
  <si>
    <t>External Costs of Additional Automobile Use</t>
  </si>
  <si>
    <t>$ per vmt</t>
  </si>
  <si>
    <t>Accidents</t>
  </si>
  <si>
    <t>External Costs of Additional Light-Truck Use (Pickups and Vans)</t>
  </si>
  <si>
    <t>External Costs of Additional Single Unit Truck Use</t>
  </si>
  <si>
    <t>External Costs of Additional Combination Truck Use</t>
  </si>
  <si>
    <t>Use the percent VMT in table II-11 to estimate average marginal external costs from the above table if you have no information on the vehicle mix.</t>
  </si>
  <si>
    <t>These are marginal cost estimates to be applied to changes in VMT (e.g., due to modal diversion), not to total VMT.</t>
  </si>
  <si>
    <t>Also consider the following alternative sources:</t>
  </si>
  <si>
    <t>Parry, Ian W. H., Margaret Walls, and Winston Harrington, “Automobile Externalities and Policies”, Resources For the Future, January 2007</t>
  </si>
  <si>
    <t>Mark Delucchi and Don McCubbin, External Costs of Transport in the U.S.,  in Handbook of Transport Economics, ed. by A. de Palma, R. Lindsey, E. Quinet, and R. Vickerman, Edward Elgar Publishing Ltd., 2010</t>
  </si>
  <si>
    <t>Preferred</t>
  </si>
  <si>
    <t>Values shown in BCA Resource Guidelines, March 2022 (2020 U.S. Dollars per person-hour)</t>
  </si>
  <si>
    <t xml:space="preserve">This is based on the most recent US DOT INFRA March 2020 BCA Resource Guide </t>
  </si>
  <si>
    <t>Travel Time Cost, $ per person-hour</t>
  </si>
  <si>
    <t>Local Travel (Surface modes* except high-speed rail)</t>
  </si>
  <si>
    <t>Personal</t>
  </si>
  <si>
    <t>Revised Departmental Guidance on Valuation of Travel Time in Economic Analysis (2016)</t>
  </si>
  <si>
    <t>https://www.transportation.gov/office-policy/transportation-policy/revised-departmental-guidance-valuation-travel-time-economic</t>
  </si>
  <si>
    <t>Business</t>
  </si>
  <si>
    <t>All Purposes **</t>
  </si>
  <si>
    <t>Intercity Travel</t>
  </si>
  <si>
    <t>Surface modes (except High Speed Rail)</t>
  </si>
  <si>
    <t>Air &amp; High Speed Rail travel</t>
  </si>
  <si>
    <t>Intercity travel by surface modes: 78.6% personal, 21.4% business</t>
  </si>
  <si>
    <t>Intercity travel by air: 59.6% personal, 40.4% business</t>
  </si>
  <si>
    <t>Vehicle Operators</t>
  </si>
  <si>
    <t>Truck drivers</t>
  </si>
  <si>
    <t>Bus drivers</t>
  </si>
  <si>
    <t>Transit rail operators</t>
  </si>
  <si>
    <t>Locomotive engineers</t>
  </si>
  <si>
    <t>Airline pilots and engineers</t>
  </si>
  <si>
    <t>For the values that USDOT has not explicitly reported in its 2020 BCA Guidance (C20, C21, C27), an inflation adjustment has been applied in the matrix below (C45, C46, C52).</t>
  </si>
  <si>
    <t>Value of Time Adjustment (from VOT recommendations), 2016-2020</t>
  </si>
  <si>
    <t>BCA Guidance, March 2022 and VOT recommendations</t>
  </si>
  <si>
    <t>2017-2020</t>
  </si>
  <si>
    <t>Calculated based on VOT recommendations, previous measures</t>
  </si>
  <si>
    <t>Calculated based on VOT recommendations</t>
  </si>
  <si>
    <t xml:space="preserve">At this time, US DOT does not recommend up-rating the value of travel time savings over time. I.e. a constant VTTS should be used. </t>
  </si>
  <si>
    <t xml:space="preserve">Commuting is a form of personal travel; it is not business travel. </t>
  </si>
  <si>
    <t>The values of time for High Speed Rail Travel are only applicable to Core Express services or corridors (i.e., with speeds between 125 and 250 mph).</t>
  </si>
  <si>
    <t>A constant value per hour should be used for large and small travel time savings.</t>
  </si>
  <si>
    <t>There should be no distinction between driving in congested versus free-flowing traffic conditions (i.e., no congestion premium). This is only addressed explicitly in the 1997 and 2003 guidance documents.</t>
  </si>
  <si>
    <t>You may want to update the weights used in the estimation of average VOT across trip purposes (“all purposes”) if you have access to a project-specific distribution of travel by trip purpose on various modes.</t>
  </si>
  <si>
    <t>Values of time are reported in dollars per hour per person. You will need an average vehicle occupancy rate if applied to travel time savings measured in vehicle hours.</t>
  </si>
  <si>
    <t>The following average vehicle occupancy rate may be used in the conversion (use project-specific or region-specific information if available):</t>
  </si>
  <si>
    <t>All trips, persons per vehicle</t>
  </si>
  <si>
    <t>Final Regulatory Impact Analysis Corporate Average Fuel Economy for MY 2012-MY 2016 Passenger Cars and Light Trucks, March 2010, page 385</t>
  </si>
  <si>
    <t>All trips in urban areas in peak period, persons per vehicle</t>
  </si>
  <si>
    <t>Texas Transportation Institute, 2015 Urban Mobility Report, page A-13</t>
  </si>
  <si>
    <t>The red values below are from March 2022 Guidance Appendix A Table A-4: Average Vehicle Occupancy</t>
  </si>
  <si>
    <t>Applicants are encouraged to rely on localized data or analysis that is specific to the corridor being improved and, where available, by time of day (particularly when travel time savings are being generated by reductions in peak-period delay) in generating assumptions about vehicle occupancy factors, and document those sources and assumptions in the BCA. In</t>
  </si>
  <si>
    <t>Vehicle Type</t>
  </si>
  <si>
    <t>Occupancy</t>
  </si>
  <si>
    <t>Use BCA Guidance if no specific local data is available.</t>
  </si>
  <si>
    <t>Passenger Vehicles</t>
  </si>
  <si>
    <t xml:space="preserve">The source cited in 2017 National Household Travel Survey  
 </t>
  </si>
  <si>
    <t>Passenger Vehicles (Weekday Peak)</t>
  </si>
  <si>
    <t>Passenger Vehicles (Weekday Off-Peak)</t>
  </si>
  <si>
    <t>Passenger Vehicles (Weekend)</t>
  </si>
  <si>
    <t>Value not reported in 2022 guidance</t>
  </si>
  <si>
    <t xml:space="preserve"> Weekday peak period values calculated for trips starting between 6:00 AM-8:59 AM and 4:00 PM-6:59 PM</t>
  </si>
  <si>
    <t>For goods movement, you may consider adding an inventory cost and a time-related vehicle depreciation cost to the driver's hourly wage rate. Refer to the FHWA Highway Economic Requirements System (HERS) manual for guidance.</t>
  </si>
  <si>
    <t>The DOT Guidance does recognize the existence of inventory costs but does not provide any recommendations on this ("we are not yet prepared to offer guidance on this issue").</t>
  </si>
  <si>
    <t>The DOT VOT Guidance recognizes that a lower VOT may be used when work can be performed during travel, but does not provide any specific recommendations.</t>
  </si>
  <si>
    <t>The BCA Guidance recognizes that an allowance (premium?) may be added to VOT to reflect improvements in travel time reliability, but does not provide any specific recommendations.</t>
  </si>
  <si>
    <t>Updated March 2022</t>
  </si>
  <si>
    <t>ANNUAL DATA</t>
  </si>
  <si>
    <t>CPI - All items in U.S. city average, all urban consumers, not seasonally adjusted; CUUR0000SA0, CUUS0000SA0; ANNUAL AVERAGE</t>
  </si>
  <si>
    <t>https://www.bls.gov/cpi/</t>
  </si>
  <si>
    <t>PPI - All commodities, not seasonally adjusted; WPU00000000; ANNUAL AVERAGE</t>
  </si>
  <si>
    <t>https://www.bls.gov/ppi/</t>
  </si>
  <si>
    <t>Employment Cost Index, DECEMBER 2005 = 100, CONSTANT DOLLARS</t>
  </si>
  <si>
    <t>Total compensation, all civilian workers, not seasonally adjusted</t>
  </si>
  <si>
    <t>March</t>
  </si>
  <si>
    <t>June</t>
  </si>
  <si>
    <t>September</t>
  </si>
  <si>
    <t>December</t>
  </si>
  <si>
    <t>Annual (simple average)</t>
  </si>
  <si>
    <t>ECI Historical Listing -- Volume IV - December 2021 (bls.gov)</t>
  </si>
  <si>
    <t xml:space="preserve">Table 1.1.9. Implicit Price Deflators for Gross Domestic Product </t>
  </si>
  <si>
    <t>Personal consumption expenditures</t>
  </si>
  <si>
    <t>Gross private domestic investment</t>
  </si>
  <si>
    <t>---</t>
  </si>
  <si>
    <t>Net exports of goods and services</t>
  </si>
  <si>
    <t xml:space="preserve">    Goods</t>
  </si>
  <si>
    <t xml:space="preserve">    Services</t>
  </si>
  <si>
    <t>Government consumption expenditures and gross investment</t>
  </si>
  <si>
    <t>Addendum:</t>
  </si>
  <si>
    <t>Shipping Rates, 2020$/ton-mile</t>
  </si>
  <si>
    <t>Historical Value</t>
  </si>
  <si>
    <t>Data Year</t>
  </si>
  <si>
    <t>Inflation Adjustment</t>
  </si>
  <si>
    <t>Current Value (2020$/ton-mile)</t>
  </si>
  <si>
    <t>Barge</t>
  </si>
  <si>
    <t>Average Freight Revenue per Ton-Mile | Bureau of Transportation Statistics (bts.gov)</t>
  </si>
  <si>
    <t>Table 3-21:  Average Freight Revenue Per Ton-mile (Current cents)</t>
  </si>
  <si>
    <r>
      <t>Air carrier, domestic</t>
    </r>
    <r>
      <rPr>
        <b/>
        <vertAlign val="superscript"/>
        <sz val="11"/>
        <rFont val="Arial Narrow"/>
        <family val="2"/>
      </rPr>
      <t>a</t>
    </r>
  </si>
  <si>
    <t>Index (1990 = 100)</t>
  </si>
  <si>
    <r>
      <t>Truck</t>
    </r>
    <r>
      <rPr>
        <b/>
        <vertAlign val="superscript"/>
        <sz val="11"/>
        <color rgb="FFFF0000"/>
        <rFont val="Arial Narrow"/>
        <family val="2"/>
      </rPr>
      <t>b</t>
    </r>
  </si>
  <si>
    <t>U</t>
  </si>
  <si>
    <t>Class I rail</t>
  </si>
  <si>
    <t>Water Transportation, domestic</t>
  </si>
  <si>
    <t>N</t>
  </si>
  <si>
    <t>Oil pipeline</t>
  </si>
  <si>
    <r>
      <t>Producer Price Index (1990 = 100)</t>
    </r>
    <r>
      <rPr>
        <b/>
        <vertAlign val="superscript"/>
        <sz val="11"/>
        <rFont val="Arial Narrow"/>
        <family val="2"/>
      </rPr>
      <t>c</t>
    </r>
  </si>
  <si>
    <r>
      <t xml:space="preserve">KEY: </t>
    </r>
    <r>
      <rPr>
        <sz val="9"/>
        <rFont val="Arial"/>
        <family val="2"/>
      </rPr>
      <t>R = revised; U = data are unavailable.</t>
    </r>
  </si>
  <si>
    <r>
      <rPr>
        <vertAlign val="superscript"/>
        <sz val="9"/>
        <rFont val="Arial"/>
        <family val="2"/>
      </rPr>
      <t>a</t>
    </r>
    <r>
      <rPr>
        <sz val="9"/>
        <rFont val="Arial"/>
        <family val="2"/>
      </rPr>
      <t xml:space="preserve"> For 1990 and later, air carriers that did not report both financial data and all months of traffic data for a given period were excluded from the calculations. Cargo revenue includes both scheduled and charter property revenue and mail revenue.</t>
    </r>
  </si>
  <si>
    <r>
      <t>b</t>
    </r>
    <r>
      <rPr>
        <sz val="9"/>
        <rFont val="Arial"/>
        <family val="2"/>
      </rPr>
      <t xml:space="preserve"> General freight common carriers, most of which are LTL (less-than-truckload) carriers.</t>
    </r>
  </si>
  <si>
    <r>
      <t>c</t>
    </r>
    <r>
      <rPr>
        <sz val="9"/>
        <rFont val="Arial"/>
        <family val="2"/>
      </rPr>
      <t xml:space="preserve"> Total finished goods. Converted to 1990 base year index by the Bureau of Transportation Statistics and therefore not comparable to previous editions of this table.</t>
    </r>
  </si>
  <si>
    <t>NOTE</t>
  </si>
  <si>
    <r>
      <t xml:space="preserve">There is a break in the data from 1985 to 1990 for </t>
    </r>
    <r>
      <rPr>
        <i/>
        <sz val="9"/>
        <rFont val="Arial"/>
        <family val="2"/>
      </rPr>
      <t>Truck</t>
    </r>
    <r>
      <rPr>
        <sz val="9"/>
        <rFont val="Arial"/>
        <family val="2"/>
      </rPr>
      <t xml:space="preserve">, </t>
    </r>
    <r>
      <rPr>
        <i/>
        <sz val="9"/>
        <rFont val="Arial"/>
        <family val="2"/>
      </rPr>
      <t>Barge</t>
    </r>
    <r>
      <rPr>
        <sz val="9"/>
        <rFont val="Arial"/>
        <family val="2"/>
      </rPr>
      <t xml:space="preserve">, and </t>
    </r>
    <r>
      <rPr>
        <i/>
        <sz val="9"/>
        <rFont val="Arial"/>
        <family val="2"/>
      </rPr>
      <t>Oil pipeline</t>
    </r>
    <r>
      <rPr>
        <sz val="9"/>
        <rFont val="Arial"/>
        <family val="2"/>
      </rPr>
      <t>; therefore, data prior to 1990 cannot be indexed using 1990 as the base year because the data are incomparable.</t>
    </r>
  </si>
  <si>
    <t>SOURCES</t>
  </si>
  <si>
    <t>Air carrier, domestic, scheduled service:</t>
  </si>
  <si>
    <r>
      <t xml:space="preserve">1960: Civil Aeronautics Board, </t>
    </r>
    <r>
      <rPr>
        <i/>
        <sz val="9"/>
        <rFont val="Arial"/>
        <family val="2"/>
      </rPr>
      <t xml:space="preserve">Handbook of Airline Statistics, 1969 </t>
    </r>
    <r>
      <rPr>
        <sz val="9"/>
        <rFont val="Arial"/>
        <family val="2"/>
      </rPr>
      <t>(Washington, DC: 1970), part III, tables 2 and 13.</t>
    </r>
  </si>
  <si>
    <r>
      <t xml:space="preserve">1965-70: Civil Aeronautics Board, </t>
    </r>
    <r>
      <rPr>
        <i/>
        <sz val="9"/>
        <rFont val="Arial"/>
        <family val="2"/>
      </rPr>
      <t xml:space="preserve">Handbook of Airline Statistics, 1973 </t>
    </r>
    <r>
      <rPr>
        <sz val="9"/>
        <rFont val="Arial"/>
        <family val="2"/>
      </rPr>
      <t>(Washington, DC: 1974), part III, tables 2 and 13.</t>
    </r>
  </si>
  <si>
    <r>
      <t>1975-80: Civil Aeronautics Board,</t>
    </r>
    <r>
      <rPr>
        <i/>
        <sz val="9"/>
        <rFont val="Arial"/>
        <family val="2"/>
      </rPr>
      <t xml:space="preserve"> Air Carrier Traffic Statistics </t>
    </r>
    <r>
      <rPr>
        <sz val="9"/>
        <rFont val="Arial"/>
        <family val="2"/>
      </rPr>
      <t>(Washington,  DC: 1976, 1981), pp. 4 and 14 (December 1976) and pp. 2 and 3 (December 1981).</t>
    </r>
  </si>
  <si>
    <r>
      <t xml:space="preserve">1985: U.S. Department of Transportation, Bureau of Transportation Statistics, Office of Airline Information, </t>
    </r>
    <r>
      <rPr>
        <i/>
        <sz val="9"/>
        <rFont val="Arial"/>
        <family val="2"/>
      </rPr>
      <t>Air Carrier Traffic Statistics (Washington, DC:  Annual December Issues) (freight revenue ton-miles).</t>
    </r>
  </si>
  <si>
    <r>
      <t xml:space="preserve">1990-2020: U.S. Department of Transportation, Bureau of Transportation Statistics, </t>
    </r>
    <r>
      <rPr>
        <i/>
        <sz val="9"/>
        <rFont val="Arial"/>
        <family val="2"/>
      </rPr>
      <t>TranStats Database</t>
    </r>
    <r>
      <rPr>
        <sz val="9"/>
        <rFont val="Arial"/>
        <family val="2"/>
      </rPr>
      <t xml:space="preserve">, </t>
    </r>
    <r>
      <rPr>
        <i/>
        <sz val="9"/>
        <rFont val="Arial"/>
        <family val="2"/>
      </rPr>
      <t>T-1,</t>
    </r>
    <r>
      <rPr>
        <sz val="9"/>
        <rFont val="Arial"/>
        <family val="2"/>
      </rPr>
      <t xml:space="preserve"> </t>
    </r>
    <r>
      <rPr>
        <i/>
        <sz val="9"/>
        <rFont val="Arial"/>
        <family val="2"/>
      </rPr>
      <t>Schedule P-1.1</t>
    </r>
    <r>
      <rPr>
        <sz val="9"/>
        <rFont val="Arial"/>
        <family val="2"/>
      </rPr>
      <t xml:space="preserve">, and </t>
    </r>
    <r>
      <rPr>
        <i/>
        <sz val="9"/>
        <rFont val="Arial"/>
        <family val="2"/>
      </rPr>
      <t>Schedule P-1.2</t>
    </r>
    <r>
      <rPr>
        <sz val="9"/>
        <rFont val="Arial"/>
        <family val="2"/>
      </rPr>
      <t xml:space="preserve"> data, available at http://www.transtats.bts.gov/ as of Aug. 31, 2021, special tabulation.</t>
    </r>
  </si>
  <si>
    <t>Truck:</t>
  </si>
  <si>
    <r>
      <t xml:space="preserve">As cited in U.S. Department of Transportation, Bureau of Transportation Statistics, </t>
    </r>
    <r>
      <rPr>
        <i/>
        <sz val="9"/>
        <rFont val="Arial"/>
        <family val="2"/>
      </rPr>
      <t>National Transportation Statistics</t>
    </r>
    <r>
      <rPr>
        <sz val="9"/>
        <rFont val="Arial"/>
        <family val="2"/>
      </rPr>
      <t>, Truck Profile, available at https://www.bts.gov/content/truck-profile as of Aug. 31, 2021, special tabulation.</t>
    </r>
  </si>
  <si>
    <t>Class I rail:</t>
  </si>
  <si>
    <r>
      <t xml:space="preserve">Association of American Railroads, </t>
    </r>
    <r>
      <rPr>
        <i/>
        <sz val="9"/>
        <rFont val="Arial"/>
        <family val="2"/>
      </rPr>
      <t xml:space="preserve">Railroad Facts </t>
    </r>
    <r>
      <rPr>
        <sz val="9"/>
        <rFont val="Arial"/>
        <family val="2"/>
      </rPr>
      <t>(Washington, DC: Annual Issues), p. 34 and similar pages in previous editions.</t>
    </r>
    <r>
      <rPr>
        <b/>
        <sz val="8"/>
        <rFont val="Arial"/>
        <family val="2"/>
      </rPr>
      <t/>
    </r>
  </si>
  <si>
    <t>Water Transportation, domestic:</t>
  </si>
  <si>
    <r>
      <t xml:space="preserve">1990-2004: Eno Transportation Foundation, Inc., </t>
    </r>
    <r>
      <rPr>
        <i/>
        <sz val="9"/>
        <rFont val="Arial"/>
        <family val="2"/>
      </rPr>
      <t>Transportation in America</t>
    </r>
    <r>
      <rPr>
        <sz val="9"/>
        <rFont val="Arial"/>
        <family val="2"/>
      </rPr>
      <t xml:space="preserve"> (Washington, DC: 2007), p. 46.</t>
    </r>
  </si>
  <si>
    <r>
      <t xml:space="preserve">2009-19: As cited in U.S. Department of Transportation, Bureau of Transportation Statistics, </t>
    </r>
    <r>
      <rPr>
        <i/>
        <sz val="9"/>
        <rFont val="Arial"/>
        <family val="2"/>
      </rPr>
      <t>National Transportation Statistics</t>
    </r>
    <r>
      <rPr>
        <sz val="9"/>
        <rFont val="Arial"/>
        <family val="2"/>
      </rPr>
      <t>, Water Transport Profile, available at https://www.bts.gov/content/water-transport-profile as of Aug. 31, 2021, special tabulation.</t>
    </r>
  </si>
  <si>
    <t>Oil pipeline:</t>
  </si>
  <si>
    <r>
      <t>1960-2007: PennWell Corporation,</t>
    </r>
    <r>
      <rPr>
        <i/>
        <sz val="9"/>
        <rFont val="Arial"/>
        <family val="2"/>
      </rPr>
      <t xml:space="preserve"> Oil and Gas Journal: Transportation Special Report </t>
    </r>
    <r>
      <rPr>
        <sz val="9"/>
        <rFont val="Arial"/>
        <family val="2"/>
      </rPr>
      <t xml:space="preserve">(Houston, TX: September 2012 Issue), p. 127; and Association of Oil Pipe Lines, </t>
    </r>
    <r>
      <rPr>
        <i/>
        <sz val="9"/>
        <rFont val="Arial"/>
        <family val="2"/>
      </rPr>
      <t>Shifts in Petroleum Transportation</t>
    </r>
    <r>
      <rPr>
        <sz val="9"/>
        <rFont val="Arial"/>
        <family val="2"/>
      </rPr>
      <t xml:space="preserve"> (Washington, DC: February 2012), table 1.</t>
    </r>
  </si>
  <si>
    <r>
      <t xml:space="preserve">2008-18: PennWell Corporation, </t>
    </r>
    <r>
      <rPr>
        <i/>
        <sz val="9"/>
        <rFont val="Arial"/>
        <family val="2"/>
      </rPr>
      <t>Oil and Gas Journal: Transportation Special Report</t>
    </r>
    <r>
      <rPr>
        <sz val="9"/>
        <rFont val="Arial"/>
        <family val="2"/>
      </rPr>
      <t xml:space="preserve"> (Houston, TX: October 2019 Issue), p. 44; and U.S. Department of Transportation, Federal Highway Administration, </t>
    </r>
    <r>
      <rPr>
        <i/>
        <sz val="9"/>
        <rFont val="Arial"/>
        <family val="2"/>
      </rPr>
      <t>Freight Analysis Framework</t>
    </r>
    <r>
      <rPr>
        <sz val="9"/>
        <rFont val="Arial"/>
        <family val="2"/>
      </rPr>
      <t>, available at http://faf.ornl.gov/fafweb/Extraction1.aspx, as of Jan. 21, 2020 special tabulation.</t>
    </r>
  </si>
  <si>
    <t>Producer Price Index:</t>
  </si>
  <si>
    <r>
      <t>U.S. Department of Labor, Bureau of Labor Statistics,</t>
    </r>
    <r>
      <rPr>
        <i/>
        <sz val="9"/>
        <rFont val="Arial"/>
        <family val="2"/>
      </rPr>
      <t xml:space="preserve"> Producer Price Index-Commodities</t>
    </r>
    <r>
      <rPr>
        <sz val="9"/>
        <rFont val="Arial"/>
        <family val="2"/>
      </rPr>
      <t>, available at http://www.bls.gov/ppi/ as of 2021</t>
    </r>
  </si>
  <si>
    <t>Fuel Costs</t>
  </si>
  <si>
    <t>Annual Energy Outlook 2023 Release, all in $2022 per gallon</t>
  </si>
  <si>
    <t>Petroleum Product Prices</t>
  </si>
  <si>
    <t>Components of Selected Petroleum Product Prices</t>
  </si>
  <si>
    <t>AEO 2023 Forecast of Retail Gasoline Price
(Motor Gasoline End User Price - All Sectors)</t>
  </si>
  <si>
    <t>AEO 2023 Forecast of Retail Diesel Fuel Price
(Diesel End User Price - Transportation Sector)</t>
  </si>
  <si>
    <t>AEO 2023 Federal &amp; State Taxes, 
(Motor Gasoline - All Sectors)</t>
  </si>
  <si>
    <t>AEO 2023 Federal &amp; State Taxes, 
(Diesel - Transportation Sector)</t>
  </si>
  <si>
    <t>Reference</t>
  </si>
  <si>
    <t>Low Oil Price Scenario</t>
  </si>
  <si>
    <t>High Oil Price Scenario</t>
  </si>
  <si>
    <t>Average 2022-2050</t>
  </si>
  <si>
    <t>Growth Rate 2022-2050</t>
  </si>
  <si>
    <t>Gasoline sales weighted-average price for all grades.  Includes Federal, State, and Local taxes.</t>
  </si>
  <si>
    <t> * Includes a 2-cent average local tax.</t>
  </si>
  <si>
    <t>Diesel fuel for on-road use.  Includes Federal and State taxes while excluding county and local taxes.</t>
  </si>
  <si>
    <t>http://www.eia.gov/forecasts/aeo/index.cfm</t>
  </si>
  <si>
    <t>Recommended Values</t>
  </si>
  <si>
    <t>Retail Gasoline Prices, $ per Gallon</t>
  </si>
  <si>
    <t>Retail Diesel Fuel Prices, $ per Gallon</t>
  </si>
  <si>
    <t>Real Growth in Gasoline Prices</t>
  </si>
  <si>
    <t>Real Growth in Diesel Fuel Prices</t>
  </si>
  <si>
    <t>Inflation Adjustment to 2022$</t>
  </si>
  <si>
    <t>If you are using a Real Resources approach, use the above cost estimates, net of federal and state taxes.</t>
  </si>
  <si>
    <t>If you are using a Willingness-to-Pay approach, use market prices (gross of all taxes) to estimate user benefits, but net out changes in tax revenue in the BCA calculus.</t>
  </si>
  <si>
    <t>If you are using a $ per VMT fuel cost estimate, you may consider using the real growth rates above for future years.</t>
  </si>
  <si>
    <t>If you want to include variations in fuel prices in the sensitivity analysis, use the HIGH and LOW oil price scenarios defined by EIA.</t>
  </si>
  <si>
    <t>Updated June 2023</t>
  </si>
  <si>
    <t>[Index numbers, 2017=100]</t>
  </si>
  <si>
    <t>Vegetation</t>
  </si>
  <si>
    <t>Signal</t>
  </si>
  <si>
    <t>Surfacing</t>
  </si>
  <si>
    <t>Ballast</t>
  </si>
  <si>
    <t>Ties</t>
  </si>
  <si>
    <t>Annual Total</t>
  </si>
  <si>
    <t>TF</t>
  </si>
  <si>
    <t>per tie</t>
  </si>
  <si>
    <t>per year for 20 years</t>
  </si>
  <si>
    <t>2022$/ton-mile</t>
  </si>
  <si>
    <t>2022$/truck mile</t>
  </si>
  <si>
    <t>Train Fuel Efficiency</t>
  </si>
  <si>
    <t>ton-miles/gallon</t>
  </si>
  <si>
    <t>Truck Fuel Efficiency</t>
  </si>
  <si>
    <t>miles/gallon</t>
  </si>
  <si>
    <t xml:space="preserve">Average reported by the Association of American Railroads </t>
  </si>
  <si>
    <t>Maximum found in Annual Fleet Fuel Study conducted by the North American Council for Freight Efficiency</t>
  </si>
  <si>
    <t>BLS Table 3-21:  Average Freight Revenue Per Ton-mile (Current cents), accessed 2022 dollars.</t>
  </si>
  <si>
    <t>Addendum to the 1997 Federal Highway Cost Allocation Study, Final Report, U.S. Department of Transportation and Federal Highway Administration, May 2000; Table 13. Assuming 60 kip 5-axle trucks 65% on rural and 35% on urban highways, escalated to 2022$.</t>
  </si>
  <si>
    <t>https://apps.bea.gov/iTable/?reqid=19&amp;step=3&amp;isuri=1&amp;1921=survey&amp;1903=13#eyJhcHBpZCI6MTksInN0ZXBzIjpbMSwyLDMsM10sImRhdGEiOltbIk5JUEFfVGFibGVfTGlzdCIsIjEzIl0sWyJDYXRlZ29yaWVzIiwiU3VydmV5Il0sWyJGaXJzdF9ZZWFyIiwiMTk5MCJdLFsiTGFzdF9ZZWFyIiwiMjAyNCJdLFsiU2NhbGUiLCIwIl0sWyJTZXJpZXMiLCJBIl1dfQ==</t>
  </si>
  <si>
    <t xml:space="preserve">        Gross domestic product</t>
  </si>
  <si>
    <t xml:space="preserve">        Durable goods</t>
  </si>
  <si>
    <t xml:space="preserve">        Nondurable goods</t>
  </si>
  <si>
    <t xml:space="preserve">    Fixed investment</t>
  </si>
  <si>
    <t xml:space="preserve">        Nonresidential</t>
  </si>
  <si>
    <t xml:space="preserve">            Structures</t>
  </si>
  <si>
    <t xml:space="preserve">            Equipment</t>
  </si>
  <si>
    <t xml:space="preserve">            Intellectual property products</t>
  </si>
  <si>
    <t xml:space="preserve">        Residential</t>
  </si>
  <si>
    <t xml:space="preserve">    Change in private inventories</t>
  </si>
  <si>
    <t xml:space="preserve">    Exports</t>
  </si>
  <si>
    <t xml:space="preserve">        Goods</t>
  </si>
  <si>
    <t xml:space="preserve">        Services</t>
  </si>
  <si>
    <t xml:space="preserve">    Imports</t>
  </si>
  <si>
    <t xml:space="preserve">    Federal</t>
  </si>
  <si>
    <t xml:space="preserve">        National defense</t>
  </si>
  <si>
    <t xml:space="preserve">        Nondefense</t>
  </si>
  <si>
    <t xml:space="preserve">    State and local</t>
  </si>
  <si>
    <t xml:space="preserve">    Gross national product</t>
  </si>
  <si>
    <t>Last Revised on: April 25, 2024 - Next Release Date May 30, 2024</t>
  </si>
  <si>
    <t>Inflation Adjustment 2000 - 2022</t>
  </si>
  <si>
    <t>Texas A&amp;M Transportation Institute. A Modal Comparison of Domestic Freight Transportation Effects on the General Public: 2001–2019. January 2022</t>
  </si>
  <si>
    <t>SEAEDD Maintenance Costs for the DeltaLink Regional Rail New Track Construction, adjusted to 2022 $</t>
  </si>
  <si>
    <t>25 % increase in capital</t>
  </si>
  <si>
    <t>25 % decrease in capital</t>
  </si>
  <si>
    <t>No shipper efficiencies</t>
  </si>
  <si>
    <t>Only 25% of freight is divered</t>
  </si>
  <si>
    <t>Truck Empty Back-haul Percentage</t>
  </si>
  <si>
    <t>Truck Empty Back-haul Cost</t>
  </si>
  <si>
    <t>Assumption with input option for sensitivity</t>
  </si>
  <si>
    <t>percentage</t>
  </si>
  <si>
    <t>All capital and O&amp;M costs were provided by Project Team</t>
  </si>
  <si>
    <t>USDOT BCA Guidance for Discretionary Grants, December 2023.</t>
  </si>
  <si>
    <t>External Congestion Cost, Buses and Trucks, Rural</t>
  </si>
  <si>
    <t>2022$/vehicle-mile</t>
  </si>
  <si>
    <t>US Department of Transportation, Benefit-Cost Analysis Guidance for Discretionary Grant Programs, December 2023.</t>
  </si>
  <si>
    <t>Undiscounted (2022$)</t>
  </si>
  <si>
    <t>Discounted (2022$)</t>
  </si>
  <si>
    <t>Avoided Congestion Costs</t>
  </si>
  <si>
    <t>Avoided Fuel 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</si>
</sst>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2">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_(* #,##0_);_(* \(#,##0\);_(* &quot;-&quot;??_);_(@_)"/>
    <numFmt numFmtId="165" formatCode="0.000"/>
    <numFmt numFmtId="166" formatCode="&quot;$&quot;#,##0"/>
    <numFmt numFmtId="167" formatCode="_(&quot;$&quot;* #,##0_);_(&quot;$&quot;* \(#,##0\);_(&quot;$&quot;* &quot;-&quot;??_);_(@_)"/>
    <numFmt numFmtId="168" formatCode="0.0%"/>
    <numFmt numFmtId="169" formatCode="_(&quot;$&quot;* #,##0.000_);_(&quot;$&quot;* \(#,##0.000\);_(&quot;$&quot;* &quot;-&quot;??_);_(@_)"/>
    <numFmt numFmtId="170" formatCode="[$-409]mmmm\ d\,\ yyyy;@"/>
    <numFmt numFmtId="171" formatCode="&quot;$&quot;#,##0.00"/>
    <numFmt numFmtId="172" formatCode="0.0"/>
    <numFmt numFmtId="173" formatCode="#,##0.0"/>
    <numFmt numFmtId="174" formatCode="###0.00_)"/>
    <numFmt numFmtId="175" formatCode="_(&quot;$&quot;* #,##0_);_(&quot;$&quot;* \(#,##0\);_(&quot;$&quot;* &quot;-&quot;???_);_(@_)"/>
    <numFmt numFmtId="176" formatCode="0.0000"/>
    <numFmt numFmtId="177" formatCode="0.00000"/>
    <numFmt numFmtId="178" formatCode="_(* #,##0.000000_);_(* \(#,##0.000000\);_(* &quot;-&quot;??_);_(@_)"/>
    <numFmt numFmtId="179" formatCode="&quot;$&quot;#,##0\ ;\(&quot;$&quot;#,##0\)"/>
    <numFmt numFmtId="180" formatCode="#,##0_)"/>
    <numFmt numFmtId="181" formatCode="0.0_W"/>
    <numFmt numFmtId="182" formatCode="#,##0.000"/>
    <numFmt numFmtId="183" formatCode="#,##0\ "/>
    <numFmt numFmtId="184" formatCode="_([$€-2]* #,##0.00_);_([$€-2]* \(#,##0.00\);_([$€-2]* &quot;-&quot;??_)"/>
    <numFmt numFmtId="185" formatCode="_-* #,##0\ _P_t_s_-;\-* #,##0\ _P_t_s_-;_-* &quot;-&quot;\ _P_t_s_-;_-@_-"/>
    <numFmt numFmtId="186" formatCode="_-* #,##0.00\ _P_t_s_-;\-* #,##0.00\ _P_t_s_-;_-* &quot;-&quot;??\ _P_t_s_-;_-@_-"/>
    <numFmt numFmtId="187" formatCode="_-&quot;S/.&quot;* #,##0_-;\-&quot;S/.&quot;* #,##0_-;_-&quot;S/.&quot;* &quot;-&quot;_-;_-@_-"/>
    <numFmt numFmtId="188" formatCode="_-&quot;S/.&quot;* #,##0.00_-;\-&quot;S/.&quot;* #,##0.00_-;_-&quot;S/.&quot;* &quot;-&quot;??_-;_-@_-"/>
    <numFmt numFmtId="189" formatCode="0.00_)"/>
    <numFmt numFmtId="190" formatCode="#,##0.0000"/>
    <numFmt numFmtId="191" formatCode="#,##0.000000"/>
    <numFmt numFmtId="192" formatCode="[$€-2]\ #,##0.00_);[Red]\([$€-2]\ #,##0.00\)"/>
    <numFmt numFmtId="193" formatCode="_-* #,##0.00_-;\-* #,##0.00_-;_-* &quot;-&quot;??_-;_-@_-"/>
    <numFmt numFmtId="194" formatCode="_-&quot;$&quot;* #,##0.00_-;\-&quot;$&quot;* #,##0.00_-;_-&quot;$&quot;* &quot;-&quot;??_-;_-@_-"/>
    <numFmt numFmtId="195" formatCode="#,##0.00\ ;&quot; (&quot;#,##0.00\);&quot; -&quot;#\ ;@\ "/>
    <numFmt numFmtId="196" formatCode="#,##0.0&quot; M&quot;"/>
    <numFmt numFmtId="197" formatCode="#,##0&quot; mi&quot;"/>
    <numFmt numFmtId="198" formatCode="#,##0;\-#,##0;\-"/>
    <numFmt numFmtId="199" formatCode="#,##0,,&quot; M&quot;"/>
    <numFmt numFmtId="200" formatCode="&quot;$&quot;#,##0.0,,&quot; M&quot;"/>
    <numFmt numFmtId="201" formatCode="#,##0.0,,&quot; M&quot;"/>
    <numFmt numFmtId="202" formatCode="&quot;$&quot;#,##0.00,,&quot; M&quot;;\-&quot;$&quot;#,##0.00,,&quot; M&quot;;\-"/>
    <numFmt numFmtId="203" formatCode="&quot;$&quot;#,##0,&quot; k&quot;;\-&quot;$&quot;#,##0,&quot; k&quot;;\-"/>
    <numFmt numFmtId="204" formatCode="#,##0&quot; tons&quot;"/>
    <numFmt numFmtId="205" formatCode="&quot;$&quot;#,##0.000"/>
    <numFmt numFmtId="206" formatCode="&quot;$&quot;#,##0.0,,&quot; M&quot;;\-&quot;$&quot;#,##0.0,,&quot; M&quot;;\-"/>
    <numFmt numFmtId="207" formatCode="#,##0\ &quot;mi&quot;"/>
    <numFmt numFmtId="208" formatCode="\(\R\)\ #,##0.00"/>
    <numFmt numFmtId="209" formatCode="\(\R\)\ #,##0"/>
    <numFmt numFmtId="210" formatCode="&quot;$&quot;#,##0.0"/>
    <numFmt numFmtId="211" formatCode="&quot;$&quot;#.##,,&quot;M&quot;"/>
    <numFmt numFmtId="212" formatCode="&quot;$&quot;#,##0.0000"/>
    <numFmt numFmtId="213" formatCode="#,##0.0\ &quot;tons&quot;"/>
    <numFmt numFmtId="214" formatCode="&quot;$&quot;#,###.0,&quot;k&quot;"/>
    <numFmt numFmtId="215" formatCode="#,###.0,\ &quot;k&quot;"/>
    <numFmt numFmtId="216" formatCode="&quot;$&quot;#,##0.0,,\ &quot;M&quot;"/>
    <numFmt numFmtId="217" formatCode="#,###.0,,\ &quot;M&quot;"/>
    <numFmt numFmtId="218" formatCode="#,##0.00;\(#,##0.00\)"/>
    <numFmt numFmtId="219" formatCode="#,##0.000\ &quot;tons&quot;"/>
    <numFmt numFmtId="220" formatCode="&quot;$&quot;#,##0.0_);\(&quot;$&quot;#,##0.0\)"/>
    <numFmt numFmtId="221" formatCode="#,##0.0_);\(#,##0.0\)"/>
    <numFmt numFmtId="222" formatCode="&quot;$&quot;#,##0.00,,\ &quot;M&quot;"/>
    <numFmt numFmtId="223" formatCode="&quot;$&quot;#,##0.000000,,&quot; M&quot;;\-&quot;$&quot;#,##0.000000,,&quot; M&quot;;\-"/>
    <numFmt numFmtId="224" formatCode="&quot;$&quot;#,##0.0000000,,&quot; M&quot;;\-&quot;$&quot;#,##0.0000000,,&quot; M&quot;;\-"/>
    <numFmt numFmtId="225" formatCode="#,##0&quot; ton-miles/gallon&quot;"/>
    <numFmt numFmtId="226" formatCode="#,##0&quot; miles/gallon&quot;"/>
    <numFmt numFmtId="227" formatCode="&quot;$&quot;#,##0.0,,&quot; M&quot;;\-&quot;$&quot;#,##0.0,,&quot; M&quot;;&quot;$&quot;\ \-"/>
    <numFmt numFmtId="228" formatCode="#,##0.0&quot; ton-miles/gallon&quot;"/>
  </numFmts>
  <fonts count="266">
    <font>
      <sz val="11"/>
      <color theme="1"/>
      <name val="Arial"/>
      <family val="2"/>
      <scheme val="minor"/>
    </font>
    <font>
      <b/>
      <sz val="11"/>
      <color theme="1"/>
      <name val="Arial"/>
      <family val="2"/>
      <scheme val="minor"/>
    </font>
    <font>
      <sz val="11"/>
      <color theme="1"/>
      <name val="Arial"/>
      <family val="2"/>
      <scheme val="minor"/>
    </font>
    <font>
      <sz val="10"/>
      <color theme="1"/>
      <name val="Arial"/>
      <family val="2"/>
    </font>
    <font>
      <sz val="11"/>
      <color theme="0"/>
      <name val="Arial"/>
      <family val="2"/>
      <scheme val="minor"/>
    </font>
    <font>
      <sz val="10"/>
      <name val="Arial"/>
      <family val="2"/>
    </font>
    <font>
      <sz val="8"/>
      <name val="Arial"/>
      <family val="2"/>
    </font>
    <font>
      <sz val="9"/>
      <name val="Arial"/>
      <family val="2"/>
    </font>
    <font>
      <sz val="11"/>
      <name val="Arial"/>
      <family val="2"/>
      <scheme val="minor"/>
    </font>
    <font>
      <sz val="11"/>
      <color rgb="FF006100"/>
      <name val="Arial"/>
      <family val="2"/>
      <scheme val="minor"/>
    </font>
    <font>
      <sz val="11"/>
      <color rgb="FF9C0006"/>
      <name val="Arial"/>
      <family val="2"/>
      <scheme val="minor"/>
    </font>
    <font>
      <b/>
      <sz val="11"/>
      <color rgb="FFFA7D00"/>
      <name val="Arial"/>
      <family val="2"/>
      <scheme val="minor"/>
    </font>
    <font>
      <b/>
      <sz val="11"/>
      <color theme="0"/>
      <name val="Arial"/>
      <family val="2"/>
      <scheme val="minor"/>
    </font>
    <font>
      <sz val="11"/>
      <color rgb="FFFF0000"/>
      <name val="Arial"/>
      <family val="2"/>
      <scheme val="minor"/>
    </font>
    <font>
      <b/>
      <sz val="18"/>
      <color theme="1"/>
      <name val="Arial"/>
      <family val="2"/>
      <scheme val="minor"/>
    </font>
    <font>
      <sz val="9"/>
      <color theme="1"/>
      <name val="Arial"/>
      <family val="2"/>
    </font>
    <font>
      <b/>
      <sz val="9"/>
      <name val="Arial"/>
      <family val="2"/>
    </font>
    <font>
      <b/>
      <sz val="9"/>
      <color theme="0"/>
      <name val="Arial"/>
      <family val="2"/>
    </font>
    <font>
      <b/>
      <sz val="9"/>
      <color theme="1"/>
      <name val="Arial"/>
      <family val="2"/>
    </font>
    <font>
      <sz val="9"/>
      <color theme="0"/>
      <name val="Arial"/>
      <family val="2"/>
    </font>
    <font>
      <b/>
      <sz val="18"/>
      <name val="Arial"/>
      <family val="2"/>
      <scheme val="minor"/>
    </font>
    <font>
      <b/>
      <sz val="11"/>
      <name val="Arial"/>
      <family val="2"/>
      <scheme val="minor"/>
    </font>
    <font>
      <b/>
      <sz val="11"/>
      <color theme="0"/>
      <name val="Calibri"/>
      <family val="2"/>
    </font>
    <font>
      <sz val="11"/>
      <name val="Calibri"/>
      <family val="2"/>
    </font>
    <font>
      <sz val="11"/>
      <color theme="1"/>
      <name val="Calibri"/>
      <family val="2"/>
    </font>
    <font>
      <sz val="10"/>
      <color rgb="FF000000"/>
      <name val="Times New Roman"/>
      <family val="1"/>
    </font>
    <font>
      <u/>
      <sz val="10"/>
      <color theme="10"/>
      <name val="Times New Roman"/>
      <family val="1"/>
    </font>
    <font>
      <b/>
      <sz val="8"/>
      <name val="Arial"/>
      <family val="2"/>
    </font>
    <font>
      <b/>
      <sz val="12"/>
      <name val="Helv"/>
    </font>
    <font>
      <b/>
      <sz val="10"/>
      <name val="Helv"/>
    </font>
    <font>
      <sz val="10"/>
      <name val="Helv"/>
    </font>
    <font>
      <b/>
      <sz val="9"/>
      <name val="Helv"/>
    </font>
    <font>
      <sz val="11"/>
      <color indexed="8"/>
      <name val="Arial"/>
      <family val="2"/>
      <scheme val="minor"/>
    </font>
    <font>
      <b/>
      <sz val="9"/>
      <color indexed="81"/>
      <name val="Tahoma"/>
      <family val="2"/>
    </font>
    <font>
      <sz val="9"/>
      <color indexed="81"/>
      <name val="Tahoma"/>
      <family val="2"/>
    </font>
    <font>
      <b/>
      <sz val="12"/>
      <color indexed="30"/>
      <name val="Calibri"/>
      <family val="2"/>
    </font>
    <font>
      <sz val="9"/>
      <color indexed="8"/>
      <name val="Calibri"/>
      <family val="2"/>
    </font>
    <font>
      <b/>
      <sz val="9"/>
      <color indexed="8"/>
      <name val="Calibri"/>
      <family val="2"/>
    </font>
    <font>
      <b/>
      <sz val="8"/>
      <color theme="0"/>
      <name val="Arial"/>
      <family val="2"/>
    </font>
    <font>
      <sz val="8"/>
      <color theme="0" tint="-0.499984740745262"/>
      <name val="Arial"/>
      <family val="2"/>
    </font>
    <font>
      <sz val="8"/>
      <color theme="0"/>
      <name val="Arial"/>
      <family val="2"/>
    </font>
    <font>
      <b/>
      <sz val="8"/>
      <color theme="1"/>
      <name val="Arial"/>
      <family val="2"/>
    </font>
    <font>
      <sz val="8"/>
      <color theme="1"/>
      <name val="Arial"/>
      <family val="2"/>
    </font>
    <font>
      <u/>
      <sz val="11"/>
      <color theme="10"/>
      <name val="Calibri"/>
      <family val="2"/>
    </font>
    <font>
      <u/>
      <sz val="8"/>
      <color theme="10"/>
      <name val="Arial"/>
      <family val="2"/>
    </font>
    <font>
      <b/>
      <sz val="8"/>
      <color rgb="FFFF0000"/>
      <name val="Arial"/>
      <family val="2"/>
    </font>
    <font>
      <sz val="8"/>
      <color rgb="FF00B050"/>
      <name val="Arial"/>
      <family val="2"/>
    </font>
    <font>
      <b/>
      <sz val="8"/>
      <color rgb="FF00B050"/>
      <name val="Arial"/>
      <family val="2"/>
    </font>
    <font>
      <sz val="10"/>
      <color theme="1"/>
      <name val="Verdana"/>
      <family val="2"/>
    </font>
    <font>
      <sz val="10"/>
      <color theme="0"/>
      <name val="Verdana"/>
      <family val="2"/>
    </font>
    <font>
      <sz val="10"/>
      <color rgb="FF9C0006"/>
      <name val="Verdana"/>
      <family val="2"/>
    </font>
    <font>
      <b/>
      <sz val="10"/>
      <color rgb="FFFA7D00"/>
      <name val="Verdana"/>
      <family val="2"/>
    </font>
    <font>
      <b/>
      <sz val="10"/>
      <color theme="0"/>
      <name val="Verdana"/>
      <family val="2"/>
    </font>
    <font>
      <sz val="12"/>
      <name val="Helv"/>
    </font>
    <font>
      <sz val="11"/>
      <color indexed="8"/>
      <name val="Calibri"/>
      <family val="2"/>
    </font>
    <font>
      <sz val="9"/>
      <name val="Helv"/>
    </font>
    <font>
      <sz val="10"/>
      <name val="Helv"/>
      <family val="2"/>
    </font>
    <font>
      <vertAlign val="superscript"/>
      <sz val="12"/>
      <name val="Helv"/>
    </font>
    <font>
      <i/>
      <sz val="10"/>
      <color rgb="FF7F7F7F"/>
      <name val="Verdana"/>
      <family val="2"/>
    </font>
    <font>
      <sz val="10"/>
      <color rgb="FF006100"/>
      <name val="Verdana"/>
      <family val="2"/>
    </font>
    <font>
      <b/>
      <sz val="15"/>
      <color theme="3"/>
      <name val="Verdana"/>
      <family val="2"/>
    </font>
    <font>
      <b/>
      <sz val="13"/>
      <color theme="3"/>
      <name val="Verdana"/>
      <family val="2"/>
    </font>
    <font>
      <b/>
      <sz val="11"/>
      <color theme="3"/>
      <name val="Verdana"/>
      <family val="2"/>
    </font>
    <font>
      <sz val="8.5"/>
      <name val="Helv"/>
    </font>
    <font>
      <sz val="10"/>
      <color rgb="FF3F3F76"/>
      <name val="Verdana"/>
      <family val="2"/>
    </font>
    <font>
      <sz val="10"/>
      <color rgb="FFFA7D00"/>
      <name val="Verdana"/>
      <family val="2"/>
    </font>
    <font>
      <sz val="10"/>
      <color rgb="FF9C6500"/>
      <name val="Verdana"/>
      <family val="2"/>
    </font>
    <font>
      <b/>
      <sz val="10"/>
      <color rgb="FF3F3F3F"/>
      <name val="Verdana"/>
      <family val="2"/>
    </font>
    <font>
      <sz val="8"/>
      <name val="Helv"/>
    </font>
    <font>
      <vertAlign val="superscript"/>
      <sz val="12"/>
      <name val="Helv"/>
      <family val="2"/>
    </font>
    <font>
      <sz val="8"/>
      <name val="Helv"/>
      <family val="2"/>
    </font>
    <font>
      <b/>
      <sz val="14"/>
      <name val="Helv"/>
    </font>
    <font>
      <b/>
      <sz val="10"/>
      <color theme="1"/>
      <name val="Verdana"/>
      <family val="2"/>
    </font>
    <font>
      <sz val="10"/>
      <color rgb="FFFF0000"/>
      <name val="Verdana"/>
      <family val="2"/>
    </font>
    <font>
      <sz val="11"/>
      <color indexed="9"/>
      <name val="Calibri"/>
      <family val="2"/>
    </font>
    <font>
      <sz val="11"/>
      <name val="Arial"/>
      <family val="2"/>
    </font>
    <font>
      <b/>
      <i/>
      <u/>
      <sz val="10"/>
      <name val="Arial"/>
      <family val="2"/>
    </font>
    <font>
      <sz val="10"/>
      <name val="Times New Roman"/>
      <family val="1"/>
    </font>
    <font>
      <sz val="8"/>
      <name val="Tms Rmn"/>
    </font>
    <font>
      <b/>
      <sz val="11"/>
      <color indexed="8"/>
      <name val="Calibri"/>
      <family val="2"/>
    </font>
    <font>
      <sz val="7"/>
      <name val="Small Fonts"/>
      <family val="2"/>
    </font>
    <font>
      <b/>
      <i/>
      <sz val="16"/>
      <name val="Helv"/>
    </font>
    <font>
      <sz val="14"/>
      <name val="–¾’©"/>
      <charset val="128"/>
    </font>
    <font>
      <sz val="10"/>
      <name val="MS Sans Serif"/>
      <family val="2"/>
    </font>
    <font>
      <sz val="8"/>
      <name val="Times New Roman"/>
      <family val="1"/>
    </font>
    <font>
      <sz val="14"/>
      <name val="Arial"/>
      <family val="2"/>
    </font>
    <font>
      <sz val="18"/>
      <name val="Arial"/>
      <family val="2"/>
    </font>
    <font>
      <b/>
      <sz val="18"/>
      <color indexed="62"/>
      <name val="Cambria"/>
      <family val="2"/>
    </font>
    <font>
      <b/>
      <sz val="8"/>
      <name val="Helv"/>
    </font>
    <font>
      <sz val="11"/>
      <color theme="9"/>
      <name val="Arial"/>
      <family val="2"/>
      <scheme val="minor"/>
    </font>
    <font>
      <b/>
      <sz val="11"/>
      <color theme="9"/>
      <name val="Arial"/>
      <family val="2"/>
      <scheme val="minor"/>
    </font>
    <font>
      <b/>
      <sz val="14"/>
      <color theme="0"/>
      <name val="Arial"/>
      <family val="2"/>
      <scheme val="minor"/>
    </font>
    <font>
      <b/>
      <sz val="12"/>
      <color theme="0"/>
      <name val="Arial"/>
      <family val="2"/>
    </font>
    <font>
      <sz val="10"/>
      <color theme="0"/>
      <name val="Arial"/>
      <family val="2"/>
      <scheme val="minor"/>
    </font>
    <font>
      <u/>
      <sz val="11"/>
      <color theme="10"/>
      <name val="Arial"/>
      <family val="2"/>
      <scheme val="minor"/>
    </font>
    <font>
      <b/>
      <sz val="8"/>
      <color rgb="FF000000"/>
      <name val="Arial"/>
      <family val="2"/>
    </font>
    <font>
      <sz val="8"/>
      <color rgb="FF000000"/>
      <name val="Arial"/>
      <family val="2"/>
    </font>
    <font>
      <sz val="9"/>
      <color rgb="FFFF0000"/>
      <name val="Arial"/>
      <family val="2"/>
    </font>
    <font>
      <i/>
      <sz val="9"/>
      <color theme="1"/>
      <name val="Arial"/>
      <family val="2"/>
    </font>
    <font>
      <u/>
      <sz val="8"/>
      <color theme="10"/>
      <name val="Arial Narrow"/>
      <family val="2"/>
    </font>
    <font>
      <b/>
      <sz val="10"/>
      <color theme="0"/>
      <name val="Arial"/>
      <family val="2"/>
    </font>
    <font>
      <b/>
      <sz val="12"/>
      <color theme="1"/>
      <name val="Calibri"/>
      <family val="2"/>
    </font>
    <font>
      <b/>
      <sz val="11"/>
      <color theme="1"/>
      <name val="Calibri"/>
      <family val="2"/>
    </font>
    <font>
      <b/>
      <i/>
      <sz val="11"/>
      <color theme="1"/>
      <name val="Calibri"/>
      <family val="2"/>
    </font>
    <font>
      <sz val="11"/>
      <color rgb="FF0000FF"/>
      <name val="Calibri"/>
      <family val="2"/>
    </font>
    <font>
      <b/>
      <sz val="18"/>
      <color theme="1"/>
      <name val="Calibri"/>
      <family val="2"/>
    </font>
    <font>
      <sz val="11"/>
      <color rgb="FF000000"/>
      <name val="Calibri"/>
      <family val="2"/>
    </font>
    <font>
      <sz val="11"/>
      <color rgb="FF9C0006"/>
      <name val="Calibri"/>
      <family val="2"/>
    </font>
    <font>
      <b/>
      <sz val="15"/>
      <color theme="3"/>
      <name val="Calibri"/>
      <family val="2"/>
    </font>
    <font>
      <sz val="11"/>
      <color rgb="FFFF0000"/>
      <name val="Calibri"/>
      <family val="2"/>
    </font>
    <font>
      <sz val="11"/>
      <color theme="0"/>
      <name val="Calibri"/>
      <family val="2"/>
    </font>
    <font>
      <sz val="11"/>
      <color indexed="16"/>
      <name val="Calibri"/>
      <family val="2"/>
    </font>
    <font>
      <sz val="11"/>
      <color indexed="20"/>
      <name val="Calibri"/>
      <family val="2"/>
    </font>
    <font>
      <b/>
      <sz val="11"/>
      <color indexed="53"/>
      <name val="Calibri"/>
      <family val="2"/>
    </font>
    <font>
      <b/>
      <sz val="11"/>
      <color rgb="FFFA7D00"/>
      <name val="Calibri"/>
      <family val="2"/>
    </font>
    <font>
      <b/>
      <sz val="11"/>
      <color indexed="52"/>
      <name val="Calibri"/>
      <family val="2"/>
    </font>
    <font>
      <b/>
      <sz val="11"/>
      <color indexed="9"/>
      <name val="Calibri"/>
      <family val="2"/>
    </font>
    <font>
      <sz val="12"/>
      <name val="Times New Roman"/>
      <family val="1"/>
    </font>
    <font>
      <sz val="10"/>
      <name val="SimSun"/>
      <family val="2"/>
    </font>
    <font>
      <i/>
      <sz val="11"/>
      <color indexed="23"/>
      <name val="Calibri"/>
      <family val="2"/>
    </font>
    <font>
      <i/>
      <sz val="11"/>
      <color rgb="FF7F7F7F"/>
      <name val="Calibri"/>
      <family val="2"/>
    </font>
    <font>
      <sz val="11"/>
      <color indexed="17"/>
      <name val="Calibri"/>
      <family val="2"/>
    </font>
    <font>
      <sz val="11"/>
      <color rgb="FF006100"/>
      <name val="Calibri"/>
      <family val="2"/>
    </font>
    <font>
      <b/>
      <sz val="15"/>
      <color indexed="62"/>
      <name val="Calibri"/>
      <family val="2"/>
    </font>
    <font>
      <b/>
      <sz val="15"/>
      <color indexed="56"/>
      <name val="Calibri"/>
      <family val="2"/>
    </font>
    <font>
      <b/>
      <sz val="13"/>
      <color indexed="62"/>
      <name val="Calibri"/>
      <family val="2"/>
    </font>
    <font>
      <b/>
      <sz val="13"/>
      <color theme="3"/>
      <name val="Calibri"/>
      <family val="2"/>
    </font>
    <font>
      <b/>
      <sz val="13"/>
      <color indexed="56"/>
      <name val="Calibri"/>
      <family val="2"/>
    </font>
    <font>
      <b/>
      <sz val="11"/>
      <color indexed="62"/>
      <name val="Calibri"/>
      <family val="2"/>
    </font>
    <font>
      <b/>
      <sz val="11"/>
      <color theme="3"/>
      <name val="Calibri"/>
      <family val="2"/>
    </font>
    <font>
      <b/>
      <sz val="11"/>
      <color indexed="56"/>
      <name val="Calibri"/>
      <family val="2"/>
    </font>
    <font>
      <u/>
      <sz val="10"/>
      <color theme="10"/>
      <name val="Arial"/>
      <family val="2"/>
    </font>
    <font>
      <u/>
      <sz val="10"/>
      <color indexed="12"/>
      <name val="Arial"/>
      <family val="2"/>
    </font>
    <font>
      <sz val="11"/>
      <color indexed="62"/>
      <name val="Calibri"/>
      <family val="2"/>
    </font>
    <font>
      <sz val="11"/>
      <color rgb="FF3F3F76"/>
      <name val="Calibri"/>
      <family val="2"/>
    </font>
    <font>
      <sz val="11"/>
      <color indexed="53"/>
      <name val="Calibri"/>
      <family val="2"/>
    </font>
    <font>
      <sz val="11"/>
      <color rgb="FFFA7D00"/>
      <name val="Calibri"/>
      <family val="2"/>
    </font>
    <font>
      <sz val="11"/>
      <color indexed="52"/>
      <name val="Calibri"/>
      <family val="2"/>
    </font>
    <font>
      <sz val="10"/>
      <name val="Geneva"/>
      <family val="2"/>
    </font>
    <font>
      <sz val="11"/>
      <color indexed="60"/>
      <name val="Calibri"/>
      <family val="2"/>
    </font>
    <font>
      <sz val="11"/>
      <color rgb="FF9C6500"/>
      <name val="Calibri"/>
      <family val="2"/>
    </font>
    <font>
      <sz val="10"/>
      <color indexed="8"/>
      <name val="Arial"/>
      <family val="2"/>
    </font>
    <font>
      <sz val="12"/>
      <name val="Arial"/>
      <family val="2"/>
    </font>
    <font>
      <sz val="12"/>
      <color theme="1"/>
      <name val="Arial"/>
      <family val="2"/>
    </font>
    <font>
      <b/>
      <sz val="11"/>
      <color indexed="63"/>
      <name val="Calibri"/>
      <family val="2"/>
    </font>
    <font>
      <b/>
      <sz val="11"/>
      <color rgb="FF3F3F3F"/>
      <name val="Calibri"/>
      <family val="2"/>
    </font>
    <font>
      <b/>
      <sz val="18"/>
      <color indexed="56"/>
      <name val="Cambria"/>
      <family val="2"/>
    </font>
    <font>
      <b/>
      <sz val="18"/>
      <color theme="3"/>
      <name val="Cambria"/>
      <family val="2"/>
    </font>
    <font>
      <sz val="11"/>
      <color indexed="10"/>
      <name val="Calibri"/>
      <family val="2"/>
    </font>
    <font>
      <sz val="10"/>
      <color rgb="FF000000"/>
      <name val="Arial"/>
      <family val="2"/>
    </font>
    <font>
      <i/>
      <sz val="11"/>
      <color theme="1"/>
      <name val="Arial"/>
      <family val="2"/>
      <scheme val="minor"/>
    </font>
    <font>
      <sz val="11"/>
      <color rgb="FF0000FF"/>
      <name val="Arial"/>
      <family val="2"/>
      <scheme val="minor"/>
    </font>
    <font>
      <b/>
      <sz val="12"/>
      <name val="Arial"/>
      <family val="2"/>
    </font>
    <font>
      <sz val="11"/>
      <name val="Arial Narrow"/>
      <family val="2"/>
    </font>
    <font>
      <b/>
      <sz val="11"/>
      <name val="Arial Narrow"/>
      <family val="2"/>
    </font>
    <font>
      <b/>
      <vertAlign val="superscript"/>
      <sz val="11"/>
      <name val="Arial Narrow"/>
      <family val="2"/>
    </font>
    <font>
      <b/>
      <sz val="10"/>
      <name val="Arial"/>
      <family val="2"/>
    </font>
    <font>
      <vertAlign val="superscript"/>
      <sz val="9"/>
      <name val="Arial"/>
      <family val="2"/>
    </font>
    <font>
      <i/>
      <sz val="9"/>
      <name val="Arial"/>
      <family val="2"/>
    </font>
    <font>
      <i/>
      <sz val="10"/>
      <color rgb="FF01426A"/>
      <name val="Arial"/>
      <family val="2"/>
    </font>
    <font>
      <b/>
      <sz val="10"/>
      <color theme="1"/>
      <name val="Arial"/>
      <family val="2"/>
      <scheme val="minor"/>
    </font>
    <font>
      <sz val="9"/>
      <color theme="1"/>
      <name val="Arial"/>
      <family val="2"/>
      <scheme val="minor"/>
    </font>
    <font>
      <b/>
      <sz val="11"/>
      <color theme="3"/>
      <name val="Arial"/>
      <family val="2"/>
      <scheme val="minor"/>
    </font>
    <font>
      <sz val="11"/>
      <color theme="0" tint="-0.249977111117893"/>
      <name val="Arial"/>
      <family val="2"/>
      <scheme val="minor"/>
    </font>
    <font>
      <sz val="11"/>
      <color theme="3"/>
      <name val="Arial"/>
      <family val="2"/>
      <scheme val="minor"/>
    </font>
    <font>
      <sz val="11"/>
      <color rgb="FF7030A0"/>
      <name val="Arial"/>
      <family val="2"/>
      <scheme val="minor"/>
    </font>
    <font>
      <sz val="11"/>
      <color theme="8" tint="-0.249977111117893"/>
      <name val="Calibri"/>
      <family val="2"/>
    </font>
    <font>
      <b/>
      <sz val="11"/>
      <color rgb="FF0000FF"/>
      <name val="Arial"/>
      <family val="2"/>
      <scheme val="minor"/>
    </font>
    <font>
      <b/>
      <sz val="11"/>
      <color rgb="FFC00000"/>
      <name val="Arial"/>
      <family val="2"/>
      <scheme val="minor"/>
    </font>
    <font>
      <b/>
      <sz val="14"/>
      <color theme="8"/>
      <name val="Arial"/>
      <family val="2"/>
      <scheme val="minor"/>
    </font>
    <font>
      <b/>
      <sz val="10"/>
      <color theme="0"/>
      <name val="Arial"/>
      <family val="2"/>
      <scheme val="major"/>
    </font>
    <font>
      <b/>
      <sz val="8"/>
      <color theme="0"/>
      <name val="Arial"/>
      <family val="2"/>
      <scheme val="major"/>
    </font>
    <font>
      <sz val="8"/>
      <color theme="0"/>
      <name val="Arial"/>
      <family val="2"/>
      <scheme val="major"/>
    </font>
    <font>
      <b/>
      <sz val="8"/>
      <color theme="1"/>
      <name val="Arial"/>
      <family val="2"/>
      <scheme val="major"/>
    </font>
    <font>
      <sz val="8"/>
      <color theme="1"/>
      <name val="Arial"/>
      <family val="2"/>
      <scheme val="major"/>
    </font>
    <font>
      <sz val="8"/>
      <name val="Arial"/>
      <family val="2"/>
      <scheme val="major"/>
    </font>
    <font>
      <i/>
      <sz val="8"/>
      <color theme="1"/>
      <name val="Arial"/>
      <family val="2"/>
      <scheme val="major"/>
    </font>
    <font>
      <u/>
      <sz val="8"/>
      <color theme="10"/>
      <name val="Arial"/>
      <family val="2"/>
      <scheme val="major"/>
    </font>
    <font>
      <sz val="8"/>
      <color theme="0" tint="-0.34998626667073579"/>
      <name val="Arial"/>
      <family val="2"/>
      <scheme val="major"/>
    </font>
    <font>
      <b/>
      <sz val="8"/>
      <color rgb="FFFF0000"/>
      <name val="Arial"/>
      <family val="2"/>
      <scheme val="major"/>
    </font>
    <font>
      <b/>
      <sz val="8"/>
      <color rgb="FF00B050"/>
      <name val="Arial"/>
      <family val="2"/>
      <scheme val="major"/>
    </font>
    <font>
      <sz val="8"/>
      <color rgb="FF00B050"/>
      <name val="Arial"/>
      <family val="2"/>
      <scheme val="major"/>
    </font>
    <font>
      <b/>
      <i/>
      <sz val="8"/>
      <color theme="1"/>
      <name val="Arial"/>
      <family val="2"/>
      <scheme val="major"/>
    </font>
    <font>
      <sz val="11"/>
      <color theme="2"/>
      <name val="Arial"/>
      <family val="2"/>
      <scheme val="minor"/>
    </font>
    <font>
      <b/>
      <sz val="15"/>
      <color theme="1"/>
      <name val="Arial"/>
      <family val="2"/>
    </font>
    <font>
      <sz val="10"/>
      <color rgb="FF0000FF"/>
      <name val="Arial"/>
      <family val="2"/>
    </font>
    <font>
      <b/>
      <sz val="10"/>
      <color theme="1"/>
      <name val="Arial"/>
      <family val="2"/>
    </font>
    <font>
      <i/>
      <sz val="10"/>
      <color theme="1"/>
      <name val="Arial"/>
      <family val="2"/>
    </font>
    <font>
      <b/>
      <sz val="11"/>
      <name val="Arial"/>
      <family val="2"/>
      <scheme val="major"/>
    </font>
    <font>
      <sz val="11"/>
      <name val="Arial"/>
      <family val="2"/>
      <scheme val="major"/>
    </font>
    <font>
      <sz val="11"/>
      <color rgb="FF0000FF"/>
      <name val="Arial"/>
      <family val="2"/>
      <scheme val="major"/>
    </font>
    <font>
      <sz val="9"/>
      <color theme="0" tint="-0.499984740745262"/>
      <name val="Arial"/>
      <family val="2"/>
    </font>
    <font>
      <u/>
      <sz val="9"/>
      <color theme="10"/>
      <name val="Arial"/>
      <family val="2"/>
    </font>
    <font>
      <sz val="9"/>
      <color theme="0" tint="-0.34998626667073579"/>
      <name val="Arial"/>
      <family val="2"/>
    </font>
    <font>
      <b/>
      <sz val="9"/>
      <color theme="10"/>
      <name val="Arial"/>
      <family val="2"/>
    </font>
    <font>
      <b/>
      <sz val="9"/>
      <color rgb="FFFF0000"/>
      <name val="Arial"/>
      <family val="2"/>
    </font>
    <font>
      <b/>
      <u/>
      <sz val="9"/>
      <color theme="0" tint="-0.34998626667073579"/>
      <name val="Arial"/>
      <family val="2"/>
    </font>
    <font>
      <b/>
      <sz val="9"/>
      <color rgb="FF00B050"/>
      <name val="Arial"/>
      <family val="2"/>
    </font>
    <font>
      <b/>
      <i/>
      <sz val="9"/>
      <color theme="0" tint="-0.249977111117893"/>
      <name val="Arial"/>
      <family val="2"/>
    </font>
    <font>
      <b/>
      <sz val="9"/>
      <color theme="0" tint="-0.249977111117893"/>
      <name val="Arial"/>
      <family val="2"/>
    </font>
    <font>
      <b/>
      <i/>
      <sz val="10"/>
      <name val="Arial"/>
      <family val="2"/>
    </font>
    <font>
      <sz val="10"/>
      <color rgb="FFFF0000"/>
      <name val="Arial"/>
      <family val="2"/>
    </font>
    <font>
      <b/>
      <sz val="15"/>
      <name val="Arial"/>
      <family val="2"/>
    </font>
    <font>
      <sz val="10"/>
      <color theme="1" tint="0.499984740745262"/>
      <name val="Arial"/>
      <family val="2"/>
    </font>
    <font>
      <i/>
      <sz val="8"/>
      <color theme="1"/>
      <name val="Arial"/>
      <family val="2"/>
      <scheme val="minor"/>
    </font>
    <font>
      <sz val="8"/>
      <color theme="1"/>
      <name val="Arial"/>
      <family val="2"/>
      <scheme val="minor"/>
    </font>
    <font>
      <u/>
      <sz val="8"/>
      <color theme="1"/>
      <name val="Arial"/>
      <family val="2"/>
      <scheme val="minor"/>
    </font>
    <font>
      <i/>
      <u/>
      <sz val="8"/>
      <color theme="1"/>
      <name val="Arial"/>
      <family val="2"/>
      <scheme val="minor"/>
    </font>
    <font>
      <u/>
      <sz val="8"/>
      <color theme="10"/>
      <name val="Arial"/>
      <family val="2"/>
      <scheme val="minor"/>
    </font>
    <font>
      <b/>
      <sz val="11"/>
      <color rgb="FFFF0000"/>
      <name val="Arial"/>
      <family val="2"/>
      <scheme val="minor"/>
    </font>
    <font>
      <b/>
      <sz val="8"/>
      <color rgb="FFFF0000"/>
      <name val="Arial"/>
      <family val="2"/>
      <scheme val="minor"/>
    </font>
    <font>
      <b/>
      <sz val="8"/>
      <color rgb="FF00B050"/>
      <name val="Arial"/>
      <family val="2"/>
      <scheme val="minor"/>
    </font>
    <font>
      <sz val="8"/>
      <name val="Arial"/>
      <family val="2"/>
      <scheme val="minor"/>
    </font>
    <font>
      <sz val="8"/>
      <color rgb="FFFF0000"/>
      <name val="Arial"/>
      <family val="2"/>
      <scheme val="minor"/>
    </font>
    <font>
      <sz val="9"/>
      <color theme="1"/>
      <name val="Calibri"/>
      <family val="2"/>
    </font>
    <font>
      <sz val="11"/>
      <color rgb="FF00B050"/>
      <name val="Arial"/>
      <family val="2"/>
      <scheme val="minor"/>
    </font>
    <font>
      <b/>
      <i/>
      <sz val="11"/>
      <color theme="3"/>
      <name val="Calibri"/>
      <family val="2"/>
    </font>
    <font>
      <i/>
      <sz val="11"/>
      <color theme="3"/>
      <name val="Calibri"/>
      <family val="2"/>
    </font>
    <font>
      <sz val="11"/>
      <color rgb="FF7030A0"/>
      <name val="Calibri"/>
      <family val="2"/>
    </font>
    <font>
      <i/>
      <sz val="11"/>
      <color theme="1"/>
      <name val="Calibri"/>
      <family val="2"/>
    </font>
    <font>
      <b/>
      <i/>
      <sz val="11"/>
      <color rgb="FF002060"/>
      <name val="Calibri"/>
      <family val="2"/>
    </font>
    <font>
      <u/>
      <sz val="11"/>
      <color theme="0"/>
      <name val="Calibri"/>
      <family val="2"/>
    </font>
    <font>
      <b/>
      <sz val="11"/>
      <color rgb="FFFF0000"/>
      <name val="Calibri"/>
      <family val="2"/>
    </font>
    <font>
      <b/>
      <sz val="11"/>
      <color rgb="FFFF0000"/>
      <name val="Arial Narrow"/>
      <family val="2"/>
    </font>
    <font>
      <b/>
      <vertAlign val="superscript"/>
      <sz val="11"/>
      <color rgb="FFFF0000"/>
      <name val="Arial Narrow"/>
      <family val="2"/>
    </font>
    <font>
      <sz val="10"/>
      <color theme="1"/>
      <name val="Arial"/>
      <family val="2"/>
      <scheme val="minor"/>
    </font>
    <font>
      <sz val="11"/>
      <color theme="1"/>
      <name val="Arial"/>
      <family val="2"/>
      <scheme val="major"/>
    </font>
    <font>
      <i/>
      <sz val="10"/>
      <name val="Arial"/>
      <family val="2"/>
    </font>
    <font>
      <b/>
      <sz val="10"/>
      <color theme="0"/>
      <name val="Arial"/>
      <family val="2"/>
      <scheme val="minor"/>
    </font>
    <font>
      <sz val="9"/>
      <color rgb="FF000000"/>
      <name val="Arial"/>
      <family val="2"/>
    </font>
    <font>
      <i/>
      <sz val="12"/>
      <color theme="1"/>
      <name val="Calibri"/>
      <family val="2"/>
    </font>
    <font>
      <b/>
      <u/>
      <sz val="11"/>
      <color theme="1"/>
      <name val="Arial"/>
      <family val="2"/>
      <scheme val="minor"/>
    </font>
    <font>
      <b/>
      <sz val="11"/>
      <color rgb="FF00B050"/>
      <name val="Arial"/>
      <family val="2"/>
      <scheme val="minor"/>
    </font>
    <font>
      <u/>
      <sz val="11"/>
      <color theme="1"/>
      <name val="Arial"/>
      <family val="2"/>
      <scheme val="minor"/>
    </font>
    <font>
      <u/>
      <sz val="9"/>
      <color theme="10"/>
      <name val="Arial"/>
      <family val="2"/>
      <scheme val="minor"/>
    </font>
    <font>
      <i/>
      <sz val="9"/>
      <color theme="1"/>
      <name val="Arial"/>
      <family val="2"/>
      <scheme val="minor"/>
    </font>
    <font>
      <vertAlign val="subscript"/>
      <sz val="9"/>
      <color theme="1"/>
      <name val="Arial"/>
      <family val="2"/>
      <scheme val="minor"/>
    </font>
    <font>
      <b/>
      <sz val="9"/>
      <color theme="1"/>
      <name val="Arial"/>
      <family val="2"/>
      <scheme val="minor"/>
    </font>
    <font>
      <sz val="11"/>
      <color theme="5"/>
      <name val="Arial Narrow"/>
      <family val="2"/>
    </font>
    <font>
      <b/>
      <sz val="11"/>
      <color theme="5"/>
      <name val="Arial Narrow"/>
      <family val="2"/>
    </font>
    <font>
      <b/>
      <sz val="10"/>
      <color theme="5"/>
      <name val="Arial"/>
      <family val="2"/>
    </font>
    <font>
      <sz val="11"/>
      <color theme="1"/>
      <name val="Arial Narrow"/>
      <family val="2"/>
    </font>
    <font>
      <b/>
      <sz val="11"/>
      <color theme="1"/>
      <name val="Arial Narrow"/>
      <family val="2"/>
    </font>
    <font>
      <b/>
      <sz val="9"/>
      <color theme="1"/>
      <name val="Calibri"/>
      <family val="2"/>
    </font>
    <font>
      <sz val="11"/>
      <color rgb="FF0070C0"/>
      <name val="Arial"/>
      <family val="2"/>
      <scheme val="minor"/>
    </font>
    <font>
      <i/>
      <sz val="10"/>
      <color theme="1"/>
      <name val="Arial"/>
      <family val="2"/>
      <scheme val="minor"/>
    </font>
    <font>
      <sz val="11"/>
      <color rgb="FF000000"/>
      <name val="Arial"/>
      <family val="2"/>
    </font>
    <font>
      <sz val="11"/>
      <color rgb="FFFFFFFF"/>
      <name val="Arial"/>
      <family val="2"/>
      <scheme val="minor"/>
    </font>
    <font>
      <b/>
      <sz val="18"/>
      <color theme="1"/>
      <name val="Arial"/>
      <family val="2"/>
      <scheme val="major"/>
    </font>
    <font>
      <i/>
      <sz val="11"/>
      <color theme="3"/>
      <name val="Arial"/>
      <family val="2"/>
      <scheme val="major"/>
    </font>
    <font>
      <b/>
      <sz val="11"/>
      <color theme="1"/>
      <name val="Arial"/>
      <family val="2"/>
      <scheme val="major"/>
    </font>
    <font>
      <b/>
      <sz val="11"/>
      <color theme="0"/>
      <name val="Arial"/>
      <family val="2"/>
      <scheme val="major"/>
    </font>
    <font>
      <sz val="11"/>
      <color rgb="FF00B050"/>
      <name val="Arial"/>
      <family val="2"/>
      <scheme val="major"/>
    </font>
    <font>
      <b/>
      <i/>
      <sz val="11"/>
      <color theme="0"/>
      <name val="Arial"/>
      <family val="2"/>
      <scheme val="major"/>
    </font>
    <font>
      <b/>
      <sz val="11"/>
      <color theme="4" tint="0.39997558519241921"/>
      <name val="Arial"/>
      <family val="2"/>
      <scheme val="major"/>
    </font>
    <font>
      <i/>
      <sz val="11"/>
      <color rgb="FFC00000"/>
      <name val="Arial"/>
      <family val="2"/>
      <scheme val="major"/>
    </font>
    <font>
      <i/>
      <sz val="12"/>
      <name val="Arial"/>
      <family val="2"/>
      <scheme val="major"/>
    </font>
    <font>
      <sz val="11"/>
      <color rgb="FFFF0000"/>
      <name val="Arial"/>
      <family val="2"/>
      <scheme val="major"/>
    </font>
    <font>
      <b/>
      <sz val="16"/>
      <color theme="1"/>
      <name val="Arial"/>
      <family val="2"/>
      <scheme val="major"/>
    </font>
    <font>
      <i/>
      <sz val="11"/>
      <color theme="0"/>
      <name val="Arial"/>
      <family val="2"/>
      <scheme val="major"/>
    </font>
    <font>
      <i/>
      <sz val="11"/>
      <color rgb="FFFF0000"/>
      <name val="Arial"/>
      <family val="2"/>
      <scheme val="major"/>
    </font>
    <font>
      <b/>
      <sz val="11"/>
      <color rgb="FFFF0000"/>
      <name val="Arial"/>
      <family val="2"/>
      <scheme val="major"/>
    </font>
    <font>
      <i/>
      <sz val="8"/>
      <color theme="1"/>
      <name val="Arial"/>
      <family val="2"/>
    </font>
    <font>
      <i/>
      <sz val="8"/>
      <name val="Arial"/>
      <family val="2"/>
    </font>
    <font>
      <b/>
      <sz val="12"/>
      <color theme="0"/>
      <name val="Arial"/>
      <family val="2"/>
      <scheme val="minor"/>
    </font>
    <font>
      <b/>
      <sz val="9"/>
      <color rgb="FFFFFFFF"/>
      <name val="Arial"/>
      <family val="2"/>
      <scheme val="minor"/>
    </font>
  </fonts>
  <fills count="109">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0" tint="-0.14999847407452621"/>
        <bgColor indexed="64"/>
      </patternFill>
    </fill>
    <fill>
      <patternFill patternType="solid">
        <fgColor rgb="FFFF0000"/>
        <bgColor indexed="64"/>
      </patternFill>
    </fill>
    <fill>
      <patternFill patternType="solid">
        <fgColor indexed="22"/>
        <bgColor indexed="9"/>
      </patternFill>
    </fill>
    <fill>
      <patternFill patternType="solid">
        <fgColor theme="1"/>
        <bgColor indexed="64"/>
      </patternFill>
    </fill>
    <fill>
      <patternFill patternType="solid">
        <fgColor rgb="FF00B050"/>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indexed="22"/>
        <bgColor indexed="5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2"/>
        <bgColor indexed="64"/>
      </patternFill>
    </fill>
    <fill>
      <patternFill patternType="solid">
        <fgColor indexed="26"/>
        <bgColor indexed="64"/>
      </patternFill>
    </fill>
    <fill>
      <patternFill patternType="solid">
        <fgColor theme="4" tint="0.59999389629810485"/>
        <bgColor indexed="64"/>
      </patternFill>
    </fill>
    <fill>
      <patternFill patternType="solid">
        <fgColor rgb="FF54585A"/>
        <bgColor indexed="64"/>
      </patternFill>
    </fill>
    <fill>
      <patternFill patternType="solid">
        <fgColor theme="3"/>
        <bgColor indexed="64"/>
      </patternFill>
    </fill>
    <fill>
      <patternFill patternType="solid">
        <fgColor theme="0" tint="-0.49998474074526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4"/>
        <bgColor indexed="54"/>
      </patternFill>
    </fill>
    <fill>
      <patternFill patternType="solid">
        <fgColor indexed="25"/>
        <bgColor indexed="25"/>
      </patternFill>
    </fill>
    <fill>
      <patternFill patternType="solid">
        <fgColor indexed="49"/>
        <bgColor indexed="49"/>
      </patternFill>
    </fill>
    <fill>
      <patternFill patternType="solid">
        <fgColor indexed="52"/>
        <bgColor indexed="52"/>
      </patternFill>
    </fill>
    <fill>
      <patternFill patternType="solid">
        <fgColor indexed="45"/>
        <bgColor indexed="45"/>
      </patternFill>
    </fill>
    <fill>
      <patternFill patternType="solid">
        <fgColor indexed="9"/>
        <bgColor indexed="9"/>
      </patternFill>
    </fill>
    <fill>
      <patternFill patternType="solid">
        <fgColor indexed="22"/>
      </patternFill>
    </fill>
    <fill>
      <patternFill patternType="solid">
        <fgColor indexed="55"/>
      </patternFill>
    </fill>
    <fill>
      <patternFill patternType="solid">
        <fgColor indexed="43"/>
        <bgColor indexed="43"/>
      </patternFill>
    </fill>
    <fill>
      <patternFill patternType="solid">
        <fgColor indexed="43"/>
      </patternFill>
    </fill>
    <fill>
      <patternFill patternType="solid">
        <fgColor theme="9" tint="0.59999389629810485"/>
        <bgColor indexed="64"/>
      </patternFill>
    </fill>
    <fill>
      <patternFill patternType="solid">
        <fgColor theme="4"/>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0070C0"/>
        <bgColor indexed="64"/>
      </patternFill>
    </fill>
    <fill>
      <patternFill patternType="solid">
        <fgColor theme="3" tint="0.79998168889431442"/>
        <bgColor indexed="64"/>
      </patternFill>
    </fill>
    <fill>
      <patternFill patternType="solid">
        <fgColor theme="2" tint="0.79998168889431442"/>
        <bgColor indexed="64"/>
      </patternFill>
    </fill>
    <fill>
      <patternFill patternType="solid">
        <fgColor theme="2" tint="0.59999389629810485"/>
        <bgColor indexed="64"/>
      </patternFill>
    </fill>
    <fill>
      <patternFill patternType="solid">
        <fgColor rgb="FF44546A"/>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000000"/>
        <bgColor indexed="64"/>
      </patternFill>
    </fill>
    <fill>
      <patternFill patternType="solid">
        <fgColor rgb="FFC9EE9B"/>
        <bgColor indexed="64"/>
      </patternFill>
    </fill>
    <fill>
      <patternFill patternType="solid">
        <fgColor theme="5"/>
        <bgColor indexed="64"/>
      </patternFill>
    </fill>
    <fill>
      <patternFill patternType="solid">
        <fgColor rgb="FF7030A0"/>
        <bgColor indexed="64"/>
      </patternFill>
    </fill>
    <fill>
      <patternFill patternType="solid">
        <fgColor theme="7"/>
        <bgColor indexed="64"/>
      </patternFill>
    </fill>
    <fill>
      <patternFill patternType="solid">
        <fgColor theme="4" tint="-0.499984740745262"/>
        <bgColor indexed="64"/>
      </patternFill>
    </fill>
    <fill>
      <patternFill patternType="solid">
        <fgColor rgb="FFFFFF00"/>
        <bgColor indexed="64"/>
      </patternFill>
    </fill>
    <fill>
      <patternFill patternType="solid">
        <fgColor theme="2"/>
        <bgColor indexed="64"/>
      </patternFill>
    </fill>
    <fill>
      <patternFill patternType="solid">
        <fgColor rgb="FF4298B5"/>
        <bgColor indexed="64"/>
      </patternFill>
    </fill>
    <fill>
      <patternFill patternType="solid">
        <fgColor rgb="FF214B5A"/>
        <bgColor indexed="64"/>
      </patternFill>
    </fill>
  </fills>
  <borders count="144">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bottom style="thin">
        <color indexed="22"/>
      </bottom>
      <diagonal/>
    </border>
    <border>
      <left/>
      <right/>
      <top/>
      <bottom style="thick">
        <color rgb="FF0096D7"/>
      </bottom>
      <diagonal/>
    </border>
    <border>
      <left/>
      <right/>
      <top/>
      <bottom style="dashed">
        <color rgb="FFBFBFBF"/>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style="thin">
        <color rgb="FFFF0000"/>
      </left>
      <right style="thin">
        <color rgb="FFFF0000"/>
      </right>
      <top style="thin">
        <color rgb="FFFF0000"/>
      </top>
      <bottom style="thin">
        <color rgb="FFFF0000"/>
      </bottom>
      <diagonal/>
    </border>
    <border>
      <left/>
      <right/>
      <top style="medium">
        <color rgb="FF0096D7"/>
      </top>
      <bottom/>
      <diagonal/>
    </border>
    <border>
      <left/>
      <right/>
      <top/>
      <bottom style="hair">
        <color indexed="64"/>
      </bottom>
      <diagonal/>
    </border>
    <border>
      <left/>
      <right/>
      <top/>
      <bottom style="thin">
        <color rgb="FFBFBFBF"/>
      </bottom>
      <diagonal/>
    </border>
    <border>
      <left/>
      <right/>
      <top/>
      <bottom style="hair">
        <color indexed="8"/>
      </bottom>
      <diagonal/>
    </border>
    <border>
      <left/>
      <right/>
      <top/>
      <bottom style="thin">
        <color indexed="8"/>
      </bottom>
      <diagonal/>
    </border>
    <border>
      <left style="thin">
        <color indexed="8"/>
      </left>
      <right/>
      <top/>
      <bottom/>
      <diagonal/>
    </border>
    <border>
      <left style="thin">
        <color indexed="22"/>
      </left>
      <right style="thin">
        <color indexed="22"/>
      </right>
      <top style="thin">
        <color indexed="22"/>
      </top>
      <bottom style="thin">
        <color indexed="22"/>
      </bottom>
      <diagonal/>
    </border>
    <border>
      <left/>
      <right/>
      <top style="thin">
        <color indexed="8"/>
      </top>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rgb="FF000000"/>
      </left>
      <right style="thin">
        <color rgb="FF000000"/>
      </right>
      <top style="thin">
        <color indexed="64"/>
      </top>
      <bottom/>
      <diagonal/>
    </border>
    <border>
      <left style="thin">
        <color rgb="FF000000"/>
      </left>
      <right/>
      <top/>
      <bottom style="thin">
        <color rgb="FF000000"/>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theme="0" tint="-0.24994659260841701"/>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62"/>
      </bottom>
      <diagonal/>
    </border>
    <border>
      <left/>
      <right/>
      <top/>
      <bottom style="thick">
        <color indexed="22"/>
      </bottom>
      <diagonal/>
    </border>
    <border>
      <left/>
      <right/>
      <top/>
      <bottom style="medium">
        <color indexed="44"/>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top style="thin">
        <color indexed="62"/>
      </top>
      <bottom style="double">
        <color indexed="62"/>
      </bottom>
      <diagonal/>
    </border>
    <border>
      <left style="thin">
        <color indexed="64"/>
      </left>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indexed="64"/>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right style="thin">
        <color theme="0" tint="-0.24994659260841701"/>
      </right>
      <top/>
      <bottom style="thin">
        <color theme="0" tint="-0.24994659260841701"/>
      </bottom>
      <diagonal/>
    </border>
    <border>
      <left style="thin">
        <color indexed="64"/>
      </left>
      <right style="thin">
        <color theme="0" tint="-0.14999847407452621"/>
      </right>
      <top/>
      <bottom style="thin">
        <color theme="0" tint="-0.24994659260841701"/>
      </bottom>
      <diagonal/>
    </border>
    <border>
      <left/>
      <right/>
      <top style="thin">
        <color theme="0" tint="-0.14999847407452621"/>
      </top>
      <bottom style="thin">
        <color theme="0" tint="-0.14999847407452621"/>
      </bottom>
      <diagonal/>
    </border>
    <border>
      <left style="thin">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right/>
      <top/>
      <bottom style="thin">
        <color theme="0"/>
      </bottom>
      <diagonal/>
    </border>
    <border>
      <left style="thin">
        <color theme="0"/>
      </left>
      <right style="thin">
        <color theme="0" tint="-0.24994659260841701"/>
      </right>
      <top style="thin">
        <color theme="0"/>
      </top>
      <bottom style="thin">
        <color theme="0" tint="-0.24994659260841701"/>
      </bottom>
      <diagonal/>
    </border>
    <border>
      <left style="thin">
        <color theme="0" tint="-0.24994659260841701"/>
      </left>
      <right style="thin">
        <color theme="0" tint="-0.24994659260841701"/>
      </right>
      <top style="thin">
        <color theme="0"/>
      </top>
      <bottom style="thin">
        <color theme="0" tint="-0.24994659260841701"/>
      </bottom>
      <diagonal/>
    </border>
    <border>
      <left style="thin">
        <color theme="0"/>
      </left>
      <right/>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64"/>
      </left>
      <right/>
      <top/>
      <bottom/>
      <diagonal/>
    </border>
    <border>
      <left style="thin">
        <color theme="0"/>
      </left>
      <right style="thin">
        <color theme="0"/>
      </right>
      <top style="thin">
        <color theme="0"/>
      </top>
      <bottom/>
      <diagonal/>
    </border>
    <border>
      <left style="thin">
        <color theme="0" tint="-0.24994659260841701"/>
      </left>
      <right/>
      <top style="thin">
        <color indexed="64"/>
      </top>
      <bottom/>
      <diagonal/>
    </border>
    <border>
      <left style="thin">
        <color theme="0" tint="-4.9989318521683403E-2"/>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rgb="FF44546A"/>
      </left>
      <right style="thin">
        <color rgb="FF44546A"/>
      </right>
      <top style="thin">
        <color rgb="FF44546A"/>
      </top>
      <bottom style="thin">
        <color rgb="FF44546A"/>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theme="0"/>
      </left>
      <right style="thin">
        <color rgb="FF44546A"/>
      </right>
      <top style="thin">
        <color rgb="FF44546A"/>
      </top>
      <bottom style="thin">
        <color rgb="FF44546A"/>
      </bottom>
      <diagonal/>
    </border>
    <border>
      <left style="thin">
        <color rgb="FF44546A"/>
      </left>
      <right style="thin">
        <color theme="0"/>
      </right>
      <top style="thin">
        <color rgb="FF44546A"/>
      </top>
      <bottom style="thin">
        <color rgb="FF44546A"/>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0" tint="-0.249977111117893"/>
      </left>
      <right/>
      <top/>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bottom/>
      <diagonal/>
    </border>
    <border>
      <left style="thin">
        <color indexed="64"/>
      </left>
      <right style="thin">
        <color theme="0" tint="-0.249977111117893"/>
      </right>
      <top style="thin">
        <color indexed="64"/>
      </top>
      <bottom style="thin">
        <color indexed="64"/>
      </bottom>
      <diagonal/>
    </border>
    <border>
      <left style="thin">
        <color theme="0" tint="-0.249977111117893"/>
      </left>
      <right style="thin">
        <color indexed="64"/>
      </right>
      <top style="thin">
        <color indexed="64"/>
      </top>
      <bottom style="thin">
        <color indexed="64"/>
      </bottom>
      <diagonal/>
    </border>
    <border>
      <left style="thin">
        <color theme="0" tint="-0.249977111117893"/>
      </left>
      <right style="thin">
        <color theme="0" tint="-0.249977111117893"/>
      </right>
      <top style="thin">
        <color indexed="64"/>
      </top>
      <bottom style="thin">
        <color indexed="64"/>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indexed="64"/>
      </right>
      <top style="thin">
        <color indexed="64"/>
      </top>
      <bottom style="thin">
        <color rgb="FFFF0000"/>
      </bottom>
      <diagonal/>
    </border>
    <border>
      <left style="thin">
        <color theme="0" tint="-0.24994659260841701"/>
      </left>
      <right/>
      <top/>
      <bottom style="thin">
        <color indexed="64"/>
      </bottom>
      <diagonal/>
    </border>
    <border>
      <left style="thin">
        <color theme="0" tint="-0.249977111117893"/>
      </left>
      <right style="thin">
        <color theme="0" tint="-0.249977111117893"/>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theme="0" tint="-0.249977111117893"/>
      </bottom>
      <diagonal/>
    </border>
    <border>
      <left style="thin">
        <color indexed="64"/>
      </left>
      <right style="thin">
        <color indexed="64"/>
      </right>
      <top style="thin">
        <color theme="0" tint="-0.249977111117893"/>
      </top>
      <bottom style="thin">
        <color theme="0" tint="-0.249977111117893"/>
      </bottom>
      <diagonal/>
    </border>
    <border>
      <left style="thin">
        <color indexed="64"/>
      </left>
      <right style="thin">
        <color indexed="64"/>
      </right>
      <top style="thin">
        <color theme="0" tint="-0.249977111117893"/>
      </top>
      <bottom style="thin">
        <color indexed="64"/>
      </bottom>
      <diagonal/>
    </border>
    <border>
      <left style="thin">
        <color theme="0" tint="-0.249977111117893"/>
      </left>
      <right style="thin">
        <color theme="0" tint="-0.249977111117893"/>
      </right>
      <top/>
      <bottom style="thin">
        <color indexed="64"/>
      </bottom>
      <diagonal/>
    </border>
  </borders>
  <cellStyleXfs count="43856">
    <xf numFmtId="0" fontId="0" fillId="0" borderId="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9" fillId="5" borderId="0" applyNumberFormat="0" applyBorder="0" applyAlignment="0" applyProtection="0"/>
    <xf numFmtId="0" fontId="10" fillId="6" borderId="0" applyNumberFormat="0" applyBorder="0" applyAlignment="0" applyProtection="0"/>
    <xf numFmtId="0" fontId="11" fillId="9" borderId="12" applyNumberFormat="0" applyAlignment="0" applyProtection="0"/>
    <xf numFmtId="0" fontId="4" fillId="12" borderId="0" applyNumberFormat="0" applyBorder="0" applyAlignment="0" applyProtection="0"/>
    <xf numFmtId="0" fontId="25" fillId="0" borderId="0"/>
    <xf numFmtId="0" fontId="26" fillId="0" borderId="0" applyNumberFormat="0" applyFill="0" applyBorder="0" applyAlignment="0" applyProtection="0"/>
    <xf numFmtId="0" fontId="5" fillId="0" borderId="0"/>
    <xf numFmtId="0" fontId="5" fillId="0" borderId="0"/>
    <xf numFmtId="0" fontId="28" fillId="0" borderId="0">
      <alignment horizontal="left"/>
    </xf>
    <xf numFmtId="0" fontId="5" fillId="0" borderId="0"/>
    <xf numFmtId="0" fontId="32" fillId="0" borderId="0"/>
    <xf numFmtId="0" fontId="35" fillId="0" borderId="0" applyNumberFormat="0" applyProtection="0">
      <alignment horizontal="left"/>
    </xf>
    <xf numFmtId="0" fontId="36" fillId="0" borderId="0" applyNumberFormat="0" applyFill="0" applyBorder="0" applyAlignment="0" applyProtection="0"/>
    <xf numFmtId="0" fontId="37" fillId="0" borderId="27" applyNumberFormat="0" applyProtection="0">
      <alignment wrapText="1"/>
    </xf>
    <xf numFmtId="0" fontId="36" fillId="0" borderId="28" applyNumberFormat="0" applyFont="0" applyProtection="0">
      <alignment wrapText="1"/>
    </xf>
    <xf numFmtId="0" fontId="43"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48" fillId="13" borderId="0" applyNumberFormat="0" applyBorder="0" applyAlignment="0" applyProtection="0"/>
    <xf numFmtId="0" fontId="48" fillId="17" borderId="0" applyNumberFormat="0" applyBorder="0" applyAlignment="0" applyProtection="0"/>
    <xf numFmtId="0" fontId="48" fillId="21" borderId="0" applyNumberFormat="0" applyBorder="0" applyAlignment="0" applyProtection="0"/>
    <xf numFmtId="0" fontId="48" fillId="25" borderId="0" applyNumberFormat="0" applyBorder="0" applyAlignment="0" applyProtection="0"/>
    <xf numFmtId="0" fontId="48" fillId="29" borderId="0" applyNumberFormat="0" applyBorder="0" applyAlignment="0" applyProtection="0"/>
    <xf numFmtId="0" fontId="48" fillId="33" borderId="0" applyNumberFormat="0" applyBorder="0" applyAlignment="0" applyProtection="0"/>
    <xf numFmtId="0" fontId="48" fillId="14" borderId="0" applyNumberFormat="0" applyBorder="0" applyAlignment="0" applyProtection="0"/>
    <xf numFmtId="0" fontId="48" fillId="18" borderId="0" applyNumberFormat="0" applyBorder="0" applyAlignment="0" applyProtection="0"/>
    <xf numFmtId="0" fontId="48" fillId="22" borderId="0" applyNumberFormat="0" applyBorder="0" applyAlignment="0" applyProtection="0"/>
    <xf numFmtId="0" fontId="48" fillId="26" borderId="0" applyNumberFormat="0" applyBorder="0" applyAlignment="0" applyProtection="0"/>
    <xf numFmtId="0" fontId="48" fillId="30" borderId="0" applyNumberFormat="0" applyBorder="0" applyAlignment="0" applyProtection="0"/>
    <xf numFmtId="0" fontId="48" fillId="34" borderId="0" applyNumberFormat="0" applyBorder="0" applyAlignment="0" applyProtection="0"/>
    <xf numFmtId="0" fontId="49" fillId="15" borderId="0" applyNumberFormat="0" applyBorder="0" applyAlignment="0" applyProtection="0"/>
    <xf numFmtId="0" fontId="49" fillId="19" borderId="0" applyNumberFormat="0" applyBorder="0" applyAlignment="0" applyProtection="0"/>
    <xf numFmtId="0" fontId="49" fillId="23" borderId="0" applyNumberFormat="0" applyBorder="0" applyAlignment="0" applyProtection="0"/>
    <xf numFmtId="0" fontId="49" fillId="27" borderId="0" applyNumberFormat="0" applyBorder="0" applyAlignment="0" applyProtection="0"/>
    <xf numFmtId="0" fontId="49" fillId="31" borderId="0" applyNumberFormat="0" applyBorder="0" applyAlignment="0" applyProtection="0"/>
    <xf numFmtId="0" fontId="49" fillId="35" borderId="0" applyNumberFormat="0" applyBorder="0" applyAlignment="0" applyProtection="0"/>
    <xf numFmtId="0" fontId="49" fillId="12" borderId="0" applyNumberFormat="0" applyBorder="0" applyAlignment="0" applyProtection="0"/>
    <xf numFmtId="0" fontId="49" fillId="16" borderId="0" applyNumberFormat="0" applyBorder="0" applyAlignment="0" applyProtection="0"/>
    <xf numFmtId="0" fontId="49" fillId="20" borderId="0" applyNumberFormat="0" applyBorder="0" applyAlignment="0" applyProtection="0"/>
    <xf numFmtId="0" fontId="49" fillId="24" borderId="0" applyNumberFormat="0" applyBorder="0" applyAlignment="0" applyProtection="0"/>
    <xf numFmtId="0" fontId="49" fillId="28" borderId="0" applyNumberFormat="0" applyBorder="0" applyAlignment="0" applyProtection="0"/>
    <xf numFmtId="0" fontId="49" fillId="32" borderId="0" applyNumberFormat="0" applyBorder="0" applyAlignment="0" applyProtection="0"/>
    <xf numFmtId="0" fontId="50" fillId="6" borderId="0" applyNumberFormat="0" applyBorder="0" applyAlignment="0" applyProtection="0"/>
    <xf numFmtId="0" fontId="51" fillId="9" borderId="12" applyNumberFormat="0" applyAlignment="0" applyProtection="0"/>
    <xf numFmtId="0" fontId="52" fillId="10" borderId="15" applyNumberFormat="0" applyAlignment="0" applyProtection="0"/>
    <xf numFmtId="0" fontId="53" fillId="0" borderId="0">
      <alignment horizontal="center" vertical="center" wrapText="1"/>
    </xf>
    <xf numFmtId="43" fontId="5" fillId="0" borderId="0" applyFont="0" applyFill="0" applyBorder="0" applyAlignment="0" applyProtection="0"/>
    <xf numFmtId="43" fontId="54" fillId="0" borderId="0" applyFont="0" applyFill="0" applyBorder="0" applyAlignment="0" applyProtection="0"/>
    <xf numFmtId="3" fontId="5" fillId="0" borderId="0" applyFont="0" applyFill="0" applyBorder="0" applyAlignment="0" applyProtection="0"/>
    <xf numFmtId="0" fontId="28" fillId="0" borderId="0">
      <alignment horizontal="left" vertical="center" wrapText="1"/>
    </xf>
    <xf numFmtId="44" fontId="5" fillId="0" borderId="0" applyFont="0" applyFill="0" applyBorder="0" applyAlignment="0" applyProtection="0"/>
    <xf numFmtId="44" fontId="2" fillId="0" borderId="0" applyFont="0" applyFill="0" applyBorder="0" applyAlignment="0" applyProtection="0"/>
    <xf numFmtId="179" fontId="5" fillId="0" borderId="0" applyFont="0" applyFill="0" applyBorder="0" applyAlignment="0" applyProtection="0"/>
    <xf numFmtId="179" fontId="5" fillId="0" borderId="0" applyFont="0" applyFill="0" applyBorder="0" applyAlignment="0" applyProtection="0"/>
    <xf numFmtId="3" fontId="55" fillId="0" borderId="26" applyAlignment="0">
      <alignment horizontal="right" vertical="center"/>
    </xf>
    <xf numFmtId="174" fontId="56" fillId="0" borderId="26" applyNumberFormat="0" applyFill="0">
      <alignment horizontal="right"/>
    </xf>
    <xf numFmtId="180" fontId="55" fillId="0" borderId="26">
      <alignment horizontal="right" vertical="center"/>
    </xf>
    <xf numFmtId="49" fontId="57" fillId="0" borderId="26">
      <alignment horizontal="left" vertical="center"/>
    </xf>
    <xf numFmtId="174" fontId="30" fillId="0" borderId="26" applyNumberFormat="0" applyFill="0">
      <alignment horizontal="right"/>
    </xf>
    <xf numFmtId="181" fontId="30" fillId="0" borderId="26">
      <alignment horizontal="right"/>
    </xf>
    <xf numFmtId="0" fontId="5" fillId="0" borderId="0" applyFont="0" applyFill="0" applyBorder="0" applyAlignment="0" applyProtection="0"/>
    <xf numFmtId="0" fontId="58" fillId="0" borderId="0" applyNumberFormat="0" applyFill="0" applyBorder="0" applyAlignment="0" applyProtection="0"/>
    <xf numFmtId="2" fontId="5" fillId="0" borderId="0" applyFont="0" applyFill="0" applyBorder="0" applyAlignment="0" applyProtection="0"/>
    <xf numFmtId="0" fontId="36" fillId="0" borderId="33" applyNumberFormat="0" applyProtection="0">
      <alignment wrapText="1"/>
    </xf>
    <xf numFmtId="0" fontId="59" fillId="5" borderId="0" applyNumberFormat="0" applyBorder="0" applyAlignment="0" applyProtection="0"/>
    <xf numFmtId="0" fontId="60" fillId="0" borderId="9" applyNumberFormat="0" applyFill="0" applyAlignment="0" applyProtection="0"/>
    <xf numFmtId="0" fontId="61" fillId="0" borderId="10" applyNumberFormat="0" applyFill="0" applyAlignment="0" applyProtection="0"/>
    <xf numFmtId="0" fontId="62" fillId="0" borderId="11" applyNumberFormat="0" applyFill="0" applyAlignment="0" applyProtection="0"/>
    <xf numFmtId="0" fontId="62" fillId="0" borderId="0" applyNumberFormat="0" applyFill="0" applyBorder="0" applyAlignment="0" applyProtection="0"/>
    <xf numFmtId="0" fontId="31" fillId="0" borderId="26">
      <alignment horizontal="left"/>
    </xf>
    <xf numFmtId="0" fontId="31" fillId="0" borderId="34">
      <alignment horizontal="right" vertical="center"/>
    </xf>
    <xf numFmtId="0" fontId="63" fillId="0" borderId="26">
      <alignment horizontal="left" vertical="center"/>
    </xf>
    <xf numFmtId="0" fontId="30" fillId="0" borderId="26">
      <alignment horizontal="left" vertical="center"/>
    </xf>
    <xf numFmtId="0" fontId="29" fillId="0" borderId="26">
      <alignment horizontal="left"/>
    </xf>
    <xf numFmtId="0" fontId="29" fillId="39" borderId="0">
      <alignment horizontal="centerContinuous" wrapText="1"/>
    </xf>
    <xf numFmtId="49" fontId="29" fillId="39" borderId="25">
      <alignment horizontal="left" vertical="center"/>
    </xf>
    <xf numFmtId="0" fontId="29" fillId="39" borderId="0">
      <alignment horizontal="centerContinuous" vertical="center" wrapText="1"/>
    </xf>
    <xf numFmtId="0" fontId="64" fillId="8" borderId="12" applyNumberFormat="0" applyAlignment="0" applyProtection="0"/>
    <xf numFmtId="0" fontId="65" fillId="0" borderId="14" applyNumberFormat="0" applyFill="0" applyAlignment="0" applyProtection="0"/>
    <xf numFmtId="0" fontId="66" fillId="7" borderId="0" applyNumberFormat="0" applyBorder="0" applyAlignment="0" applyProtection="0"/>
    <xf numFmtId="0" fontId="36" fillId="0" borderId="0"/>
    <xf numFmtId="0" fontId="5" fillId="0" borderId="0"/>
    <xf numFmtId="0" fontId="5" fillId="0" borderId="0"/>
    <xf numFmtId="0" fontId="2" fillId="0" borderId="0"/>
    <xf numFmtId="0" fontId="48" fillId="0" borderId="0"/>
    <xf numFmtId="0" fontId="5" fillId="0" borderId="0"/>
    <xf numFmtId="0" fontId="2" fillId="0" borderId="0"/>
    <xf numFmtId="0" fontId="5" fillId="0" borderId="0"/>
    <xf numFmtId="0" fontId="5" fillId="0" borderId="0"/>
    <xf numFmtId="0" fontId="48" fillId="11" borderId="16" applyNumberFormat="0" applyFont="0" applyAlignment="0" applyProtection="0"/>
    <xf numFmtId="0" fontId="67" fillId="9" borderId="13" applyNumberFormat="0" applyAlignment="0" applyProtection="0"/>
    <xf numFmtId="0" fontId="37" fillId="0" borderId="35" applyNumberFormat="0" applyProtection="0">
      <alignment wrapText="1"/>
    </xf>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3" fontId="55" fillId="0" borderId="0">
      <alignment horizontal="left" vertical="center"/>
    </xf>
    <xf numFmtId="0" fontId="53" fillId="0" borderId="0">
      <alignment horizontal="left" vertical="center"/>
    </xf>
    <xf numFmtId="0" fontId="68" fillId="0" borderId="0">
      <alignment horizontal="right"/>
    </xf>
    <xf numFmtId="49" fontId="68" fillId="0" borderId="0">
      <alignment horizontal="center"/>
    </xf>
    <xf numFmtId="0" fontId="57" fillId="0" borderId="0">
      <alignment horizontal="right"/>
    </xf>
    <xf numFmtId="0" fontId="69" fillId="0" borderId="0">
      <alignment horizontal="right"/>
    </xf>
    <xf numFmtId="0" fontId="68" fillId="0" borderId="0">
      <alignment horizontal="left"/>
    </xf>
    <xf numFmtId="0" fontId="70" fillId="0" borderId="0">
      <alignment horizontal="left"/>
    </xf>
    <xf numFmtId="49" fontId="55" fillId="0" borderId="0">
      <alignment horizontal="left" vertical="center"/>
    </xf>
    <xf numFmtId="49" fontId="57" fillId="0" borderId="26">
      <alignment horizontal="left" vertical="center"/>
    </xf>
    <xf numFmtId="49" fontId="53" fillId="0" borderId="26" applyFill="0">
      <alignment horizontal="left" vertical="center"/>
    </xf>
    <xf numFmtId="49" fontId="57" fillId="0" borderId="26">
      <alignment horizontal="left"/>
    </xf>
    <xf numFmtId="174" fontId="55" fillId="0" borderId="0" applyNumberFormat="0">
      <alignment horizontal="right"/>
    </xf>
    <xf numFmtId="0" fontId="31" fillId="44" borderId="0">
      <alignment horizontal="centerContinuous" vertical="center" wrapText="1"/>
    </xf>
    <xf numFmtId="0" fontId="31" fillId="0" borderId="36">
      <alignment horizontal="left" vertical="center"/>
    </xf>
    <xf numFmtId="0" fontId="71" fillId="0" borderId="0">
      <alignment horizontal="left" vertical="top"/>
    </xf>
    <xf numFmtId="0" fontId="29" fillId="0" borderId="0">
      <alignment horizontal="left"/>
    </xf>
    <xf numFmtId="0" fontId="28" fillId="0" borderId="0">
      <alignment horizontal="left"/>
    </xf>
    <xf numFmtId="0" fontId="30" fillId="0" borderId="0">
      <alignment horizontal="left"/>
    </xf>
    <xf numFmtId="0" fontId="71" fillId="0" borderId="0">
      <alignment horizontal="left" vertical="top"/>
    </xf>
    <xf numFmtId="0" fontId="30" fillId="0" borderId="0">
      <alignment horizontal="left"/>
    </xf>
    <xf numFmtId="0" fontId="72" fillId="0" borderId="17" applyNumberFormat="0" applyFill="0" applyAlignment="0" applyProtection="0"/>
    <xf numFmtId="0" fontId="73" fillId="0" borderId="0" applyNumberFormat="0" applyFill="0" applyBorder="0" applyAlignment="0" applyProtection="0"/>
    <xf numFmtId="49" fontId="55" fillId="0" borderId="26">
      <alignment horizontal="left"/>
    </xf>
    <xf numFmtId="0" fontId="31" fillId="0" borderId="34">
      <alignment horizontal="left"/>
    </xf>
    <xf numFmtId="0" fontId="29" fillId="0" borderId="0">
      <alignment horizontal="left" vertical="center"/>
    </xf>
    <xf numFmtId="49" fontId="68" fillId="0" borderId="26">
      <alignment horizontal="left"/>
    </xf>
    <xf numFmtId="0" fontId="54" fillId="45" borderId="0" applyNumberFormat="0" applyBorder="0" applyAlignment="0" applyProtection="0"/>
    <xf numFmtId="0" fontId="54" fillId="45" borderId="0" applyNumberFormat="0" applyBorder="0" applyAlignment="0" applyProtection="0"/>
    <xf numFmtId="0" fontId="74" fillId="46" borderId="0" applyNumberFormat="0" applyBorder="0" applyAlignment="0" applyProtection="0"/>
    <xf numFmtId="0" fontId="54" fillId="47" borderId="0" applyNumberFormat="0" applyBorder="0" applyAlignment="0" applyProtection="0"/>
    <xf numFmtId="0" fontId="54" fillId="48" borderId="0" applyNumberFormat="0" applyBorder="0" applyAlignment="0" applyProtection="0"/>
    <xf numFmtId="0" fontId="74" fillId="49" borderId="0" applyNumberFormat="0" applyBorder="0" applyAlignment="0" applyProtection="0"/>
    <xf numFmtId="0" fontId="54" fillId="47" borderId="0" applyNumberFormat="0" applyBorder="0" applyAlignment="0" applyProtection="0"/>
    <xf numFmtId="0" fontId="54" fillId="50" borderId="0" applyNumberFormat="0" applyBorder="0" applyAlignment="0" applyProtection="0"/>
    <xf numFmtId="0" fontId="74" fillId="48" borderId="0" applyNumberFormat="0" applyBorder="0" applyAlignment="0" applyProtection="0"/>
    <xf numFmtId="0" fontId="54" fillId="45" borderId="0" applyNumberFormat="0" applyBorder="0" applyAlignment="0" applyProtection="0"/>
    <xf numFmtId="0" fontId="54" fillId="48" borderId="0" applyNumberFormat="0" applyBorder="0" applyAlignment="0" applyProtection="0"/>
    <xf numFmtId="0" fontId="74" fillId="48" borderId="0" applyNumberFormat="0" applyBorder="0" applyAlignment="0" applyProtection="0"/>
    <xf numFmtId="0" fontId="54" fillId="51" borderId="0" applyNumberFormat="0" applyBorder="0" applyAlignment="0" applyProtection="0"/>
    <xf numFmtId="0" fontId="54" fillId="45" borderId="0" applyNumberFormat="0" applyBorder="0" applyAlignment="0" applyProtection="0"/>
    <xf numFmtId="0" fontId="74" fillId="46" borderId="0" applyNumberFormat="0" applyBorder="0" applyAlignment="0" applyProtection="0"/>
    <xf numFmtId="0" fontId="54" fillId="47" borderId="0" applyNumberFormat="0" applyBorder="0" applyAlignment="0" applyProtection="0"/>
    <xf numFmtId="0" fontId="54" fillId="52" borderId="0" applyNumberFormat="0" applyBorder="0" applyAlignment="0" applyProtection="0"/>
    <xf numFmtId="0" fontId="74" fillId="52" borderId="0" applyNumberFormat="0" applyBorder="0" applyAlignment="0" applyProtection="0"/>
    <xf numFmtId="183" fontId="75" fillId="0" borderId="0">
      <alignment vertical="center"/>
    </xf>
    <xf numFmtId="2" fontId="76" fillId="0" borderId="0">
      <alignment horizontal="right"/>
      <protection locked="0"/>
    </xf>
    <xf numFmtId="43" fontId="3" fillId="0" borderId="0" applyFont="0" applyFill="0" applyBorder="0" applyAlignment="0" applyProtection="0"/>
    <xf numFmtId="43" fontId="5" fillId="0" borderId="0" applyFont="0" applyFill="0" applyBorder="0" applyAlignment="0" applyProtection="0"/>
    <xf numFmtId="43" fontId="2" fillId="0" borderId="0" applyFont="0" applyFill="0" applyBorder="0" applyAlignment="0" applyProtection="0"/>
    <xf numFmtId="3" fontId="77" fillId="0" borderId="0"/>
    <xf numFmtId="6" fontId="30" fillId="0" borderId="0" applyFont="0" applyFill="0" applyBorder="0" applyAlignment="0" applyProtection="0"/>
    <xf numFmtId="8" fontId="78" fillId="0" borderId="0" applyBorder="0" applyAlignment="0"/>
    <xf numFmtId="3" fontId="68" fillId="0" borderId="26">
      <alignment horizontal="right"/>
    </xf>
    <xf numFmtId="3" fontId="68" fillId="0" borderId="26">
      <alignment horizontal="right"/>
    </xf>
    <xf numFmtId="174" fontId="30" fillId="0" borderId="26" applyNumberFormat="0" applyFill="0">
      <alignment horizontal="right"/>
    </xf>
    <xf numFmtId="174" fontId="30" fillId="0" borderId="26" applyNumberFormat="0" applyFill="0">
      <alignment horizontal="right"/>
    </xf>
    <xf numFmtId="180" fontId="55" fillId="0" borderId="26">
      <alignment horizontal="right" vertical="center"/>
    </xf>
    <xf numFmtId="180" fontId="55" fillId="0" borderId="26">
      <alignment horizontal="right" vertical="center"/>
    </xf>
    <xf numFmtId="49" fontId="57" fillId="0" borderId="26">
      <alignment horizontal="left" vertical="center"/>
    </xf>
    <xf numFmtId="49" fontId="57" fillId="0" borderId="26">
      <alignment horizontal="left" vertical="center"/>
    </xf>
    <xf numFmtId="0" fontId="79" fillId="53" borderId="0" applyNumberFormat="0" applyBorder="0" applyAlignment="0" applyProtection="0"/>
    <xf numFmtId="0" fontId="79" fillId="54" borderId="0" applyNumberFormat="0" applyBorder="0" applyAlignment="0" applyProtection="0"/>
    <xf numFmtId="0" fontId="79" fillId="55" borderId="0" applyNumberFormat="0" applyBorder="0" applyAlignment="0" applyProtection="0"/>
    <xf numFmtId="184" fontId="5" fillId="0" borderId="0" applyFont="0" applyFill="0" applyBorder="0" applyAlignment="0" applyProtection="0"/>
    <xf numFmtId="38" fontId="6" fillId="56" borderId="0" applyNumberFormat="0" applyBorder="0" applyAlignment="0" applyProtection="0"/>
    <xf numFmtId="0" fontId="29" fillId="0" borderId="26">
      <alignment horizontal="left"/>
    </xf>
    <xf numFmtId="0" fontId="29" fillId="0" borderId="26">
      <alignment horizontal="left"/>
    </xf>
    <xf numFmtId="0" fontId="63" fillId="0" borderId="26">
      <alignment horizontal="left" vertical="center"/>
    </xf>
    <xf numFmtId="0" fontId="63" fillId="0" borderId="26">
      <alignment horizontal="left" vertical="center"/>
    </xf>
    <xf numFmtId="0" fontId="30" fillId="0" borderId="26">
      <alignment horizontal="left" vertical="center"/>
    </xf>
    <xf numFmtId="0" fontId="30" fillId="0" borderId="26">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29" fillId="39" borderId="25">
      <alignment horizontal="left" vertical="center"/>
    </xf>
    <xf numFmtId="49" fontId="29" fillId="39" borderId="25">
      <alignment horizontal="left" vertical="center"/>
    </xf>
    <xf numFmtId="10" fontId="6" fillId="57" borderId="20" applyNumberFormat="0" applyBorder="0" applyAlignment="0" applyProtection="0"/>
    <xf numFmtId="185" fontId="5" fillId="0" borderId="0" applyFont="0" applyFill="0" applyBorder="0" applyAlignment="0" applyProtection="0"/>
    <xf numFmtId="186" fontId="5" fillId="0" borderId="0" applyFont="0" applyFill="0" applyBorder="0" applyAlignment="0" applyProtection="0"/>
    <xf numFmtId="187" fontId="77" fillId="0" borderId="0" applyFont="0" applyFill="0" applyBorder="0" applyAlignment="0" applyProtection="0"/>
    <xf numFmtId="188" fontId="77" fillId="0" borderId="0" applyFont="0" applyFill="0" applyBorder="0" applyAlignment="0" applyProtection="0"/>
    <xf numFmtId="37" fontId="80" fillId="0" borderId="0"/>
    <xf numFmtId="189" fontId="81" fillId="0" borderId="0"/>
    <xf numFmtId="0" fontId="5" fillId="0" borderId="0"/>
    <xf numFmtId="0" fontId="2" fillId="0" borderId="0"/>
    <xf numFmtId="40" fontId="82" fillId="0" borderId="0" applyFont="0" applyFill="0" applyBorder="0" applyAlignment="0" applyProtection="0"/>
    <xf numFmtId="38" fontId="82" fillId="0" borderId="0" applyFont="0" applyFill="0" applyBorder="0" applyAlignment="0" applyProtection="0"/>
    <xf numFmtId="10" fontId="5" fillId="0" borderId="0" applyFont="0" applyFill="0" applyBorder="0" applyAlignment="0" applyProtection="0"/>
    <xf numFmtId="9" fontId="54" fillId="0" borderId="0" applyFont="0" applyFill="0" applyBorder="0" applyAlignment="0" applyProtection="0"/>
    <xf numFmtId="10" fontId="83" fillId="0" borderId="0" applyFont="0" applyFill="0" applyBorder="0" applyAlignment="0" applyProtection="0"/>
    <xf numFmtId="0" fontId="84" fillId="0" borderId="34" applyNumberFormat="0" applyAlignment="0"/>
    <xf numFmtId="0" fontId="5" fillId="0" borderId="37" applyNumberFormat="0" applyFont="0" applyFill="0" applyAlignment="0" applyProtection="0"/>
    <xf numFmtId="0" fontId="5" fillId="0" borderId="37" applyNumberFormat="0" applyFont="0" applyFill="0" applyAlignment="0" applyProtection="0"/>
    <xf numFmtId="0" fontId="5" fillId="0" borderId="38" applyNumberFormat="0" applyFont="0" applyFill="0" applyAlignment="0" applyProtection="0"/>
    <xf numFmtId="0" fontId="5" fillId="0" borderId="39" applyNumberFormat="0" applyFont="0" applyFill="0" applyAlignment="0" applyProtection="0"/>
    <xf numFmtId="0" fontId="85" fillId="0" borderId="0" applyNumberFormat="0" applyFill="0" applyBorder="0" applyAlignment="0" applyProtection="0"/>
    <xf numFmtId="0" fontId="16" fillId="0" borderId="0" applyNumberFormat="0" applyFill="0" applyBorder="0" applyProtection="0">
      <alignment horizontal="left"/>
    </xf>
    <xf numFmtId="0" fontId="86" fillId="0" borderId="0" applyNumberFormat="0" applyFill="0" applyBorder="0" applyAlignment="0" applyProtection="0"/>
    <xf numFmtId="0" fontId="5" fillId="0" borderId="40" applyNumberFormat="0" applyFont="0" applyFill="0" applyAlignment="0" applyProtection="0"/>
    <xf numFmtId="0" fontId="87" fillId="0" borderId="0" applyNumberFormat="0" applyFill="0" applyBorder="0" applyAlignment="0" applyProtection="0"/>
    <xf numFmtId="49" fontId="57" fillId="0" borderId="26">
      <alignment horizontal="left"/>
    </xf>
    <xf numFmtId="49" fontId="57" fillId="0" borderId="26">
      <alignment horizontal="left"/>
    </xf>
    <xf numFmtId="49" fontId="68" fillId="0" borderId="26">
      <alignment horizontal="left"/>
    </xf>
    <xf numFmtId="49" fontId="68" fillId="0" borderId="26">
      <alignment horizontal="left"/>
    </xf>
    <xf numFmtId="49" fontId="68" fillId="0" borderId="26">
      <alignment horizontal="left"/>
    </xf>
    <xf numFmtId="49" fontId="55" fillId="0" borderId="26">
      <alignment horizontal="left"/>
    </xf>
    <xf numFmtId="49" fontId="55" fillId="0" borderId="26">
      <alignment horizontal="left"/>
    </xf>
    <xf numFmtId="0" fontId="88" fillId="0" borderId="26">
      <alignment horizontal="left"/>
    </xf>
    <xf numFmtId="0" fontId="88" fillId="0" borderId="26">
      <alignment horizontal="left"/>
    </xf>
    <xf numFmtId="0" fontId="88" fillId="0" borderId="26">
      <alignment horizontal="left"/>
    </xf>
    <xf numFmtId="43" fontId="54" fillId="0" borderId="0" applyFont="0" applyFill="0" applyBorder="0" applyAlignment="0" applyProtection="0"/>
    <xf numFmtId="174" fontId="56" fillId="0" borderId="26" applyNumberFormat="0" applyFill="0">
      <alignment horizontal="right"/>
    </xf>
    <xf numFmtId="0" fontId="26" fillId="0" borderId="0" applyNumberFormat="0" applyFill="0" applyBorder="0" applyAlignment="0" applyProtection="0"/>
    <xf numFmtId="0" fontId="2" fillId="0" borderId="0"/>
    <xf numFmtId="0" fontId="5" fillId="0" borderId="0"/>
    <xf numFmtId="0" fontId="25" fillId="0" borderId="0"/>
    <xf numFmtId="0" fontId="32" fillId="0" borderId="0"/>
    <xf numFmtId="0" fontId="32" fillId="0" borderId="0"/>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3" fontId="68" fillId="0" borderId="26">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56"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174" fontId="30" fillId="0" borderId="26" applyNumberFormat="0" applyFill="0">
      <alignment horizontal="right"/>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3" fontId="55" fillId="0" borderId="26" applyAlignment="0">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180" fontId="55" fillId="0" borderId="26">
      <alignment horizontal="righ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181" fontId="30" fillId="0" borderId="26">
      <alignment horizontal="righ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29"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31" fillId="0" borderId="26">
      <alignment horizontal="left"/>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63"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0" fontId="30" fillId="0" borderId="26">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31"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49" fontId="29" fillId="39" borderId="25">
      <alignment horizontal="left" vertical="center"/>
    </xf>
    <xf numFmtId="0" fontId="94" fillId="0" borderId="0" applyNumberFormat="0" applyFill="0" applyBorder="0" applyAlignment="0" applyProtection="0"/>
    <xf numFmtId="0" fontId="5" fillId="0" borderId="0"/>
    <xf numFmtId="9" fontId="5" fillId="0" borderId="0" applyFont="0" applyFill="0" applyBorder="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0" fontId="5" fillId="0" borderId="37" applyNumberFormat="0" applyFont="0" applyFill="0" applyAlignment="0" applyProtection="0"/>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7" fillId="0" borderId="26">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53" fillId="0" borderId="26" applyFill="0">
      <alignment horizontal="left" vertical="center"/>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68"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49" fontId="55"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88" fillId="0" borderId="26">
      <alignment horizontal="left"/>
    </xf>
    <xf numFmtId="0" fontId="24" fillId="0" borderId="0"/>
    <xf numFmtId="0" fontId="50" fillId="6" borderId="0" applyNumberFormat="0" applyBorder="0" applyAlignment="0" applyProtection="0"/>
    <xf numFmtId="0" fontId="107" fillId="6" borderId="0" applyNumberFormat="0" applyBorder="0" applyAlignment="0" applyProtection="0"/>
    <xf numFmtId="170" fontId="107" fillId="6" borderId="0" applyNumberFormat="0" applyBorder="0" applyAlignment="0" applyProtection="0"/>
    <xf numFmtId="0" fontId="60" fillId="0" borderId="9" applyNumberFormat="0" applyFill="0" applyAlignment="0" applyProtection="0"/>
    <xf numFmtId="0" fontId="108" fillId="0" borderId="9" applyNumberFormat="0" applyFill="0" applyAlignment="0" applyProtection="0"/>
    <xf numFmtId="170" fontId="108" fillId="0" borderId="9" applyNumberFormat="0" applyFill="0" applyAlignment="0" applyProtection="0"/>
    <xf numFmtId="0" fontId="36"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106"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48" fillId="0" borderId="0"/>
    <xf numFmtId="0" fontId="54"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4" fillId="0" borderId="0"/>
    <xf numFmtId="170" fontId="24" fillId="0" borderId="0"/>
    <xf numFmtId="170" fontId="24" fillId="0" borderId="0"/>
    <xf numFmtId="170" fontId="24" fillId="0" borderId="0"/>
    <xf numFmtId="0" fontId="2" fillId="0" borderId="0"/>
    <xf numFmtId="0" fontId="25" fillId="0" borderId="0"/>
    <xf numFmtId="0" fontId="24" fillId="0" borderId="0"/>
    <xf numFmtId="0" fontId="54" fillId="0" borderId="0"/>
    <xf numFmtId="0" fontId="24" fillId="0" borderId="0"/>
    <xf numFmtId="0" fontId="24" fillId="0" borderId="0"/>
    <xf numFmtId="9" fontId="24" fillId="0" borderId="0" applyFont="0" applyFill="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54" fillId="62"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54" fillId="62"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24" fillId="13" borderId="0" applyNumberFormat="0" applyBorder="0" applyAlignment="0" applyProtection="0"/>
    <xf numFmtId="192" fontId="24" fillId="13" borderId="0" applyNumberFormat="0" applyBorder="0" applyAlignment="0" applyProtection="0"/>
    <xf numFmtId="0"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2"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0" fontId="54" fillId="63" borderId="0" applyNumberFormat="0" applyBorder="0" applyAlignment="0" applyProtection="0"/>
    <xf numFmtId="0" fontId="54" fillId="63"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54" fillId="63"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54" fillId="63"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24" fillId="17" borderId="0" applyNumberFormat="0" applyBorder="0" applyAlignment="0" applyProtection="0"/>
    <xf numFmtId="192" fontId="24" fillId="17" borderId="0" applyNumberFormat="0" applyBorder="0" applyAlignment="0" applyProtection="0"/>
    <xf numFmtId="0" fontId="54" fillId="63"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3"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0" fontId="54" fillId="64" borderId="0" applyNumberFormat="0" applyBorder="0" applyAlignment="0" applyProtection="0"/>
    <xf numFmtId="0" fontId="54" fillId="64"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54" fillId="64"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54" fillId="64"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24" fillId="21" borderId="0" applyNumberFormat="0" applyBorder="0" applyAlignment="0" applyProtection="0"/>
    <xf numFmtId="192" fontId="24" fillId="21" borderId="0" applyNumberFormat="0" applyBorder="0" applyAlignment="0" applyProtection="0"/>
    <xf numFmtId="0"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4"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0" fontId="54" fillId="65" borderId="0" applyNumberFormat="0" applyBorder="0" applyAlignment="0" applyProtection="0"/>
    <xf numFmtId="0" fontId="54" fillId="6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54" fillId="6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54" fillId="6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24" fillId="25" borderId="0" applyNumberFormat="0" applyBorder="0" applyAlignment="0" applyProtection="0"/>
    <xf numFmtId="192" fontId="24" fillId="25" borderId="0" applyNumberFormat="0" applyBorder="0" applyAlignment="0" applyProtection="0"/>
    <xf numFmtId="0"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0" fontId="54" fillId="66" borderId="0" applyNumberFormat="0" applyBorder="0" applyAlignment="0" applyProtection="0"/>
    <xf numFmtId="0" fontId="54" fillId="66"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54" fillId="66"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54" fillId="66"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24" fillId="29" borderId="0" applyNumberFormat="0" applyBorder="0" applyAlignment="0" applyProtection="0"/>
    <xf numFmtId="192" fontId="24" fillId="29" borderId="0" applyNumberFormat="0" applyBorder="0" applyAlignment="0" applyProtection="0"/>
    <xf numFmtId="0"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6"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0" fontId="54" fillId="67" borderId="0" applyNumberFormat="0" applyBorder="0" applyAlignment="0" applyProtection="0"/>
    <xf numFmtId="0" fontId="54" fillId="67"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54" fillId="67"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54" fillId="67"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24" fillId="33" borderId="0" applyNumberFormat="0" applyBorder="0" applyAlignment="0" applyProtection="0"/>
    <xf numFmtId="192" fontId="24" fillId="33" borderId="0" applyNumberFormat="0" applyBorder="0" applyAlignment="0" applyProtection="0"/>
    <xf numFmtId="0"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7"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0" fontId="54" fillId="68" borderId="0" applyNumberFormat="0" applyBorder="0" applyAlignment="0" applyProtection="0"/>
    <xf numFmtId="0" fontId="54" fillId="68"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54" fillId="68"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54" fillId="68"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24" fillId="14" borderId="0" applyNumberFormat="0" applyBorder="0" applyAlignment="0" applyProtection="0"/>
    <xf numFmtId="192" fontId="24" fillId="14" borderId="0" applyNumberFormat="0" applyBorder="0" applyAlignment="0" applyProtection="0"/>
    <xf numFmtId="0" fontId="54" fillId="68"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0" fontId="54" fillId="69" borderId="0" applyNumberFormat="0" applyBorder="0" applyAlignment="0" applyProtection="0"/>
    <xf numFmtId="0" fontId="54" fillId="69"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54" fillId="69"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54" fillId="69"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24" fillId="18" borderId="0" applyNumberFormat="0" applyBorder="0" applyAlignment="0" applyProtection="0"/>
    <xf numFmtId="192" fontId="24" fillId="18" borderId="0" applyNumberFormat="0" applyBorder="0" applyAlignment="0" applyProtection="0"/>
    <xf numFmtId="0"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69"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0" fontId="54" fillId="70" borderId="0" applyNumberFormat="0" applyBorder="0" applyAlignment="0" applyProtection="0"/>
    <xf numFmtId="0" fontId="54" fillId="70"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54" fillId="70"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54" fillId="70"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24" fillId="22" borderId="0" applyNumberFormat="0" applyBorder="0" applyAlignment="0" applyProtection="0"/>
    <xf numFmtId="192" fontId="24" fillId="22" borderId="0" applyNumberFormat="0" applyBorder="0" applyAlignment="0" applyProtection="0"/>
    <xf numFmtId="0" fontId="54" fillId="70"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70"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0" fontId="54" fillId="65" borderId="0" applyNumberFormat="0" applyBorder="0" applyAlignment="0" applyProtection="0"/>
    <xf numFmtId="0" fontId="54" fillId="65"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54" fillId="65"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54" fillId="65"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24" fillId="26" borderId="0" applyNumberFormat="0" applyBorder="0" applyAlignment="0" applyProtection="0"/>
    <xf numFmtId="192" fontId="24" fillId="26" borderId="0" applyNumberFormat="0" applyBorder="0" applyAlignment="0" applyProtection="0"/>
    <xf numFmtId="0" fontId="54" fillId="65"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5"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0" fontId="54" fillId="68" borderId="0" applyNumberFormat="0" applyBorder="0" applyAlignment="0" applyProtection="0"/>
    <xf numFmtId="0" fontId="54" fillId="68"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54" fillId="68"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54" fillId="68"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24" fillId="30" borderId="0" applyNumberFormat="0" applyBorder="0" applyAlignment="0" applyProtection="0"/>
    <xf numFmtId="192" fontId="24" fillId="30" borderId="0" applyNumberFormat="0" applyBorder="0" applyAlignment="0" applyProtection="0"/>
    <xf numFmtId="0"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68"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0" fontId="54" fillId="71" borderId="0" applyNumberFormat="0" applyBorder="0" applyAlignment="0" applyProtection="0"/>
    <xf numFmtId="0" fontId="54" fillId="71"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54" fillId="71"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54" fillId="71"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24" fillId="34" borderId="0" applyNumberFormat="0" applyBorder="0" applyAlignment="0" applyProtection="0"/>
    <xf numFmtId="192" fontId="24" fillId="34" borderId="0" applyNumberFormat="0" applyBorder="0" applyAlignment="0" applyProtection="0"/>
    <xf numFmtId="0" fontId="54" fillId="71" borderId="0" applyNumberFormat="0" applyBorder="0" applyAlignment="0" applyProtection="0"/>
    <xf numFmtId="0" fontId="24" fillId="34" borderId="0" applyNumberFormat="0" applyBorder="0" applyAlignment="0" applyProtection="0"/>
    <xf numFmtId="0" fontId="24" fillId="34"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54" fillId="71"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0" fontId="74" fillId="72" borderId="0" applyNumberFormat="0" applyBorder="0" applyAlignment="0" applyProtection="0"/>
    <xf numFmtId="0" fontId="74" fillId="72" borderId="0" applyNumberFormat="0" applyBorder="0" applyAlignment="0" applyProtection="0"/>
    <xf numFmtId="0" fontId="110" fillId="15" borderId="0" applyNumberFormat="0" applyBorder="0" applyAlignment="0" applyProtection="0"/>
    <xf numFmtId="0" fontId="110" fillId="15" borderId="0" applyNumberFormat="0" applyBorder="0" applyAlignment="0" applyProtection="0"/>
    <xf numFmtId="0" fontId="110" fillId="15" borderId="0" applyNumberFormat="0" applyBorder="0" applyAlignment="0" applyProtection="0"/>
    <xf numFmtId="0" fontId="74" fillId="72" borderId="0" applyNumberFormat="0" applyBorder="0" applyAlignment="0" applyProtection="0"/>
    <xf numFmtId="0" fontId="110" fillId="15" borderId="0" applyNumberFormat="0" applyBorder="0" applyAlignment="0" applyProtection="0"/>
    <xf numFmtId="0" fontId="110" fillId="15" borderId="0" applyNumberFormat="0" applyBorder="0" applyAlignment="0" applyProtection="0"/>
    <xf numFmtId="0" fontId="74" fillId="72" borderId="0" applyNumberFormat="0" applyBorder="0" applyAlignment="0" applyProtection="0"/>
    <xf numFmtId="0"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72"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0" fontId="74" fillId="69" borderId="0" applyNumberFormat="0" applyBorder="0" applyAlignment="0" applyProtection="0"/>
    <xf numFmtId="0" fontId="74" fillId="69" borderId="0" applyNumberFormat="0" applyBorder="0" applyAlignment="0" applyProtection="0"/>
    <xf numFmtId="0" fontId="110" fillId="19" borderId="0" applyNumberFormat="0" applyBorder="0" applyAlignment="0" applyProtection="0"/>
    <xf numFmtId="0" fontId="110" fillId="19" borderId="0" applyNumberFormat="0" applyBorder="0" applyAlignment="0" applyProtection="0"/>
    <xf numFmtId="0" fontId="110" fillId="19" borderId="0" applyNumberFormat="0" applyBorder="0" applyAlignment="0" applyProtection="0"/>
    <xf numFmtId="0" fontId="74" fillId="69" borderId="0" applyNumberFormat="0" applyBorder="0" applyAlignment="0" applyProtection="0"/>
    <xf numFmtId="0" fontId="110" fillId="19" borderId="0" applyNumberFormat="0" applyBorder="0" applyAlignment="0" applyProtection="0"/>
    <xf numFmtId="0" fontId="110" fillId="19" borderId="0" applyNumberFormat="0" applyBorder="0" applyAlignment="0" applyProtection="0"/>
    <xf numFmtId="0" fontId="74" fillId="69" borderId="0" applyNumberFormat="0" applyBorder="0" applyAlignment="0" applyProtection="0"/>
    <xf numFmtId="0"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69"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0" fontId="74" fillId="70" borderId="0" applyNumberFormat="0" applyBorder="0" applyAlignment="0" applyProtection="0"/>
    <xf numFmtId="0" fontId="74" fillId="70" borderId="0" applyNumberFormat="0" applyBorder="0" applyAlignment="0" applyProtection="0"/>
    <xf numFmtId="0" fontId="110" fillId="23" borderId="0" applyNumberFormat="0" applyBorder="0" applyAlignment="0" applyProtection="0"/>
    <xf numFmtId="0" fontId="110" fillId="23" borderId="0" applyNumberFormat="0" applyBorder="0" applyAlignment="0" applyProtection="0"/>
    <xf numFmtId="0" fontId="110" fillId="23" borderId="0" applyNumberFormat="0" applyBorder="0" applyAlignment="0" applyProtection="0"/>
    <xf numFmtId="0" fontId="74" fillId="70" borderId="0" applyNumberFormat="0" applyBorder="0" applyAlignment="0" applyProtection="0"/>
    <xf numFmtId="0" fontId="110" fillId="23" borderId="0" applyNumberFormat="0" applyBorder="0" applyAlignment="0" applyProtection="0"/>
    <xf numFmtId="0" fontId="110" fillId="23" borderId="0" applyNumberFormat="0" applyBorder="0" applyAlignment="0" applyProtection="0"/>
    <xf numFmtId="0" fontId="74" fillId="70" borderId="0" applyNumberFormat="0" applyBorder="0" applyAlignment="0" applyProtection="0"/>
    <xf numFmtId="0"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0"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0" fontId="74" fillId="73" borderId="0" applyNumberFormat="0" applyBorder="0" applyAlignment="0" applyProtection="0"/>
    <xf numFmtId="0" fontId="74" fillId="73" borderId="0" applyNumberFormat="0" applyBorder="0" applyAlignment="0" applyProtection="0"/>
    <xf numFmtId="0" fontId="110" fillId="27" borderId="0" applyNumberFormat="0" applyBorder="0" applyAlignment="0" applyProtection="0"/>
    <xf numFmtId="0" fontId="110" fillId="27" borderId="0" applyNumberFormat="0" applyBorder="0" applyAlignment="0" applyProtection="0"/>
    <xf numFmtId="0" fontId="110" fillId="27" borderId="0" applyNumberFormat="0" applyBorder="0" applyAlignment="0" applyProtection="0"/>
    <xf numFmtId="0" fontId="74" fillId="73" borderId="0" applyNumberFormat="0" applyBorder="0" applyAlignment="0" applyProtection="0"/>
    <xf numFmtId="0" fontId="110" fillId="27" borderId="0" applyNumberFormat="0" applyBorder="0" applyAlignment="0" applyProtection="0"/>
    <xf numFmtId="0" fontId="110" fillId="27" borderId="0" applyNumberFormat="0" applyBorder="0" applyAlignment="0" applyProtection="0"/>
    <xf numFmtId="0" fontId="74" fillId="73" borderId="0" applyNumberFormat="0" applyBorder="0" applyAlignment="0" applyProtection="0"/>
    <xf numFmtId="0"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3"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0" fontId="74" fillId="74" borderId="0" applyNumberFormat="0" applyBorder="0" applyAlignment="0" applyProtection="0"/>
    <xf numFmtId="0" fontId="74" fillId="74" borderId="0" applyNumberFormat="0" applyBorder="0" applyAlignment="0" applyProtection="0"/>
    <xf numFmtId="0" fontId="110" fillId="31" borderId="0" applyNumberFormat="0" applyBorder="0" applyAlignment="0" applyProtection="0"/>
    <xf numFmtId="0" fontId="110" fillId="31" borderId="0" applyNumberFormat="0" applyBorder="0" applyAlignment="0" applyProtection="0"/>
    <xf numFmtId="0" fontId="110" fillId="31" borderId="0" applyNumberFormat="0" applyBorder="0" applyAlignment="0" applyProtection="0"/>
    <xf numFmtId="0" fontId="74" fillId="74" borderId="0" applyNumberFormat="0" applyBorder="0" applyAlignment="0" applyProtection="0"/>
    <xf numFmtId="0" fontId="110" fillId="31" borderId="0" applyNumberFormat="0" applyBorder="0" applyAlignment="0" applyProtection="0"/>
    <xf numFmtId="0" fontId="110" fillId="31" borderId="0" applyNumberFormat="0" applyBorder="0" applyAlignment="0" applyProtection="0"/>
    <xf numFmtId="0" fontId="74" fillId="74" borderId="0" applyNumberFormat="0" applyBorder="0" applyAlignment="0" applyProtection="0"/>
    <xf numFmtId="0"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4"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0" fontId="74" fillId="75" borderId="0" applyNumberFormat="0" applyBorder="0" applyAlignment="0" applyProtection="0"/>
    <xf numFmtId="0" fontId="74" fillId="75" borderId="0" applyNumberFormat="0" applyBorder="0" applyAlignment="0" applyProtection="0"/>
    <xf numFmtId="0" fontId="110" fillId="35" borderId="0" applyNumberFormat="0" applyBorder="0" applyAlignment="0" applyProtection="0"/>
    <xf numFmtId="0" fontId="110" fillId="35" borderId="0" applyNumberFormat="0" applyBorder="0" applyAlignment="0" applyProtection="0"/>
    <xf numFmtId="0" fontId="110" fillId="35" borderId="0" applyNumberFormat="0" applyBorder="0" applyAlignment="0" applyProtection="0"/>
    <xf numFmtId="0" fontId="74" fillId="75" borderId="0" applyNumberFormat="0" applyBorder="0" applyAlignment="0" applyProtection="0"/>
    <xf numFmtId="0" fontId="110" fillId="35" borderId="0" applyNumberFormat="0" applyBorder="0" applyAlignment="0" applyProtection="0"/>
    <xf numFmtId="0" fontId="110" fillId="35" borderId="0" applyNumberFormat="0" applyBorder="0" applyAlignment="0" applyProtection="0"/>
    <xf numFmtId="0" fontId="74" fillId="75" borderId="0" applyNumberFormat="0" applyBorder="0" applyAlignment="0" applyProtection="0"/>
    <xf numFmtId="0"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74" fillId="7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110" fillId="12" borderId="0" applyNumberFormat="0" applyBorder="0" applyAlignment="0" applyProtection="0"/>
    <xf numFmtId="0" fontId="74" fillId="76" borderId="0" applyNumberFormat="0" applyBorder="0" applyAlignment="0" applyProtection="0"/>
    <xf numFmtId="184"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184" fontId="74" fillId="76" borderId="0" applyNumberFormat="0" applyBorder="0" applyAlignment="0" applyProtection="0"/>
    <xf numFmtId="0"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77" borderId="0" applyNumberFormat="0" applyBorder="0" applyAlignment="0" applyProtection="0"/>
    <xf numFmtId="184" fontId="74" fillId="77" borderId="0" applyNumberFormat="0" applyBorder="0" applyAlignment="0" applyProtection="0"/>
    <xf numFmtId="184" fontId="74" fillId="77" borderId="0" applyNumberFormat="0" applyBorder="0" applyAlignment="0" applyProtection="0"/>
    <xf numFmtId="184" fontId="74" fillId="77" borderId="0" applyNumberFormat="0" applyBorder="0" applyAlignment="0" applyProtection="0"/>
    <xf numFmtId="184"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0" fontId="110" fillId="16" borderId="0" applyNumberFormat="0" applyBorder="0" applyAlignment="0" applyProtection="0"/>
    <xf numFmtId="0" fontId="74" fillId="77" borderId="0" applyNumberFormat="0" applyBorder="0" applyAlignment="0" applyProtection="0"/>
    <xf numFmtId="184" fontId="74" fillId="77" borderId="0" applyNumberFormat="0" applyBorder="0" applyAlignment="0" applyProtection="0"/>
    <xf numFmtId="0" fontId="74" fillId="77" borderId="0" applyNumberFormat="0" applyBorder="0" applyAlignment="0" applyProtection="0"/>
    <xf numFmtId="0" fontId="74" fillId="77" borderId="0" applyNumberFormat="0" applyBorder="0" applyAlignment="0" applyProtection="0"/>
    <xf numFmtId="184" fontId="74" fillId="77" borderId="0" applyNumberFormat="0" applyBorder="0" applyAlignment="0" applyProtection="0"/>
    <xf numFmtId="0" fontId="74" fillId="77" borderId="0" applyNumberFormat="0" applyBorder="0" applyAlignment="0" applyProtection="0"/>
    <xf numFmtId="184" fontId="74" fillId="77" borderId="0" applyNumberFormat="0" applyBorder="0" applyAlignment="0" applyProtection="0"/>
    <xf numFmtId="184" fontId="74" fillId="77" borderId="0" applyNumberFormat="0" applyBorder="0" applyAlignment="0" applyProtection="0"/>
    <xf numFmtId="184" fontId="74" fillId="77" borderId="0" applyNumberFormat="0" applyBorder="0" applyAlignment="0" applyProtection="0"/>
    <xf numFmtId="184" fontId="74" fillId="77" borderId="0" applyNumberFormat="0" applyBorder="0" applyAlignment="0" applyProtection="0"/>
    <xf numFmtId="184" fontId="74" fillId="7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54" fillId="50"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110" fillId="20" borderId="0" applyNumberFormat="0" applyBorder="0" applyAlignment="0" applyProtection="0"/>
    <xf numFmtId="0" fontId="74" fillId="49" borderId="0" applyNumberFormat="0" applyBorder="0" applyAlignment="0" applyProtection="0"/>
    <xf numFmtId="184"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184" fontId="74" fillId="49" borderId="0" applyNumberFormat="0" applyBorder="0" applyAlignment="0" applyProtection="0"/>
    <xf numFmtId="0"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74" fillId="49"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5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48"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0" fontId="110" fillId="24" borderId="0" applyNumberFormat="0" applyBorder="0" applyAlignment="0" applyProtection="0"/>
    <xf numFmtId="0" fontId="74" fillId="76" borderId="0" applyNumberFormat="0" applyBorder="0" applyAlignment="0" applyProtection="0"/>
    <xf numFmtId="184" fontId="74" fillId="76" borderId="0" applyNumberFormat="0" applyBorder="0" applyAlignment="0" applyProtection="0"/>
    <xf numFmtId="0" fontId="74" fillId="76" borderId="0" applyNumberFormat="0" applyBorder="0" applyAlignment="0" applyProtection="0"/>
    <xf numFmtId="0" fontId="74" fillId="76" borderId="0" applyNumberFormat="0" applyBorder="0" applyAlignment="0" applyProtection="0"/>
    <xf numFmtId="184" fontId="74" fillId="76" borderId="0" applyNumberFormat="0" applyBorder="0" applyAlignment="0" applyProtection="0"/>
    <xf numFmtId="0"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74" fillId="76"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51"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54" fillId="45"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46" borderId="0" applyNumberFormat="0" applyBorder="0" applyAlignment="0" applyProtection="0"/>
    <xf numFmtId="184" fontId="74" fillId="78" borderId="0" applyNumberFormat="0" applyBorder="0" applyAlignment="0" applyProtection="0"/>
    <xf numFmtId="184" fontId="74" fillId="78" borderId="0" applyNumberFormat="0" applyBorder="0" applyAlignment="0" applyProtection="0"/>
    <xf numFmtId="184" fontId="74" fillId="78" borderId="0" applyNumberFormat="0" applyBorder="0" applyAlignment="0" applyProtection="0"/>
    <xf numFmtId="184" fontId="74" fillId="78" borderId="0" applyNumberFormat="0" applyBorder="0" applyAlignment="0" applyProtection="0"/>
    <xf numFmtId="184"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0" fontId="110" fillId="28" borderId="0" applyNumberFormat="0" applyBorder="0" applyAlignment="0" applyProtection="0"/>
    <xf numFmtId="0" fontId="74" fillId="78" borderId="0" applyNumberFormat="0" applyBorder="0" applyAlignment="0" applyProtection="0"/>
    <xf numFmtId="184" fontId="74" fillId="78" borderId="0" applyNumberFormat="0" applyBorder="0" applyAlignment="0" applyProtection="0"/>
    <xf numFmtId="0" fontId="74" fillId="78" borderId="0" applyNumberFormat="0" applyBorder="0" applyAlignment="0" applyProtection="0"/>
    <xf numFmtId="0" fontId="74" fillId="78" borderId="0" applyNumberFormat="0" applyBorder="0" applyAlignment="0" applyProtection="0"/>
    <xf numFmtId="192" fontId="74" fillId="78" borderId="0" applyNumberFormat="0" applyBorder="0" applyAlignment="0" applyProtection="0"/>
    <xf numFmtId="184" fontId="74" fillId="78" borderId="0" applyNumberFormat="0" applyBorder="0" applyAlignment="0" applyProtection="0"/>
    <xf numFmtId="0" fontId="74" fillId="78" borderId="0" applyNumberFormat="0" applyBorder="0" applyAlignment="0" applyProtection="0"/>
    <xf numFmtId="184" fontId="74" fillId="78" borderId="0" applyNumberFormat="0" applyBorder="0" applyAlignment="0" applyProtection="0"/>
    <xf numFmtId="184" fontId="74" fillId="78" borderId="0" applyNumberFormat="0" applyBorder="0" applyAlignment="0" applyProtection="0"/>
    <xf numFmtId="184" fontId="74" fillId="78" borderId="0" applyNumberFormat="0" applyBorder="0" applyAlignment="0" applyProtection="0"/>
    <xf numFmtId="184" fontId="74" fillId="78" borderId="0" applyNumberFormat="0" applyBorder="0" applyAlignment="0" applyProtection="0"/>
    <xf numFmtId="184" fontId="74" fillId="78"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47"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5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52" borderId="0" applyNumberFormat="0" applyBorder="0" applyAlignment="0" applyProtection="0"/>
    <xf numFmtId="184" fontId="74" fillId="79" borderId="0" applyNumberFormat="0" applyBorder="0" applyAlignment="0" applyProtection="0"/>
    <xf numFmtId="184" fontId="74" fillId="79" borderId="0" applyNumberFormat="0" applyBorder="0" applyAlignment="0" applyProtection="0"/>
    <xf numFmtId="184" fontId="74" fillId="79" borderId="0" applyNumberFormat="0" applyBorder="0" applyAlignment="0" applyProtection="0"/>
    <xf numFmtId="184" fontId="74" fillId="79" borderId="0" applyNumberFormat="0" applyBorder="0" applyAlignment="0" applyProtection="0"/>
    <xf numFmtId="184"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0" fontId="110" fillId="32" borderId="0" applyNumberFormat="0" applyBorder="0" applyAlignment="0" applyProtection="0"/>
    <xf numFmtId="0" fontId="74" fillId="79" borderId="0" applyNumberFormat="0" applyBorder="0" applyAlignment="0" applyProtection="0"/>
    <xf numFmtId="184" fontId="74" fillId="79" borderId="0" applyNumberFormat="0" applyBorder="0" applyAlignment="0" applyProtection="0"/>
    <xf numFmtId="0" fontId="74" fillId="79" borderId="0" applyNumberFormat="0" applyBorder="0" applyAlignment="0" applyProtection="0"/>
    <xf numFmtId="0" fontId="74" fillId="79" borderId="0" applyNumberFormat="0" applyBorder="0" applyAlignment="0" applyProtection="0"/>
    <xf numFmtId="184" fontId="74" fillId="79" borderId="0" applyNumberFormat="0" applyBorder="0" applyAlignment="0" applyProtection="0"/>
    <xf numFmtId="0" fontId="74" fillId="79" borderId="0" applyNumberFormat="0" applyBorder="0" applyAlignment="0" applyProtection="0"/>
    <xf numFmtId="184" fontId="74" fillId="79" borderId="0" applyNumberFormat="0" applyBorder="0" applyAlignment="0" applyProtection="0"/>
    <xf numFmtId="184" fontId="74" fillId="79" borderId="0" applyNumberFormat="0" applyBorder="0" applyAlignment="0" applyProtection="0"/>
    <xf numFmtId="184" fontId="74" fillId="79" borderId="0" applyNumberFormat="0" applyBorder="0" applyAlignment="0" applyProtection="0"/>
    <xf numFmtId="184" fontId="74" fillId="79" borderId="0" applyNumberFormat="0" applyBorder="0" applyAlignment="0" applyProtection="0"/>
    <xf numFmtId="184" fontId="74" fillId="79" borderId="0" applyNumberFormat="0" applyBorder="0" applyAlignment="0" applyProtection="0"/>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3" fontId="75" fillId="0" borderId="0">
      <alignment vertical="center"/>
    </xf>
    <xf numFmtId="184" fontId="111" fillId="80" borderId="0" applyNumberFormat="0" applyBorder="0" applyAlignment="0" applyProtection="0"/>
    <xf numFmtId="184" fontId="111" fillId="80" borderId="0" applyNumberFormat="0" applyBorder="0" applyAlignment="0" applyProtection="0"/>
    <xf numFmtId="184" fontId="111" fillId="80" borderId="0" applyNumberFormat="0" applyBorder="0" applyAlignment="0" applyProtection="0"/>
    <xf numFmtId="184" fontId="111" fillId="80" borderId="0" applyNumberFormat="0" applyBorder="0" applyAlignment="0" applyProtection="0"/>
    <xf numFmtId="184" fontId="111" fillId="80" borderId="0" applyNumberFormat="0" applyBorder="0" applyAlignment="0" applyProtection="0"/>
    <xf numFmtId="0" fontId="111" fillId="80" borderId="0" applyNumberFormat="0" applyBorder="0" applyAlignment="0" applyProtection="0"/>
    <xf numFmtId="0" fontId="111" fillId="80" borderId="0" applyNumberFormat="0" applyBorder="0" applyAlignment="0" applyProtection="0"/>
    <xf numFmtId="0" fontId="107" fillId="6" borderId="0" applyNumberFormat="0" applyBorder="0" applyAlignment="0" applyProtection="0"/>
    <xf numFmtId="0" fontId="107" fillId="6" borderId="0" applyNumberFormat="0" applyBorder="0" applyAlignment="0" applyProtection="0"/>
    <xf numFmtId="0" fontId="107" fillId="6" borderId="0" applyNumberFormat="0" applyBorder="0" applyAlignment="0" applyProtection="0"/>
    <xf numFmtId="0" fontId="107" fillId="6" borderId="0" applyNumberFormat="0" applyBorder="0" applyAlignment="0" applyProtection="0"/>
    <xf numFmtId="0" fontId="107" fillId="6" borderId="0" applyNumberFormat="0" applyBorder="0" applyAlignment="0" applyProtection="0"/>
    <xf numFmtId="0" fontId="112" fillId="63" borderId="0" applyNumberFormat="0" applyBorder="0" applyAlignment="0" applyProtection="0"/>
    <xf numFmtId="0" fontId="111" fillId="80" borderId="0" applyNumberFormat="0" applyBorder="0" applyAlignment="0" applyProtection="0"/>
    <xf numFmtId="184" fontId="111" fillId="80" borderId="0" applyNumberFormat="0" applyBorder="0" applyAlignment="0" applyProtection="0"/>
    <xf numFmtId="184" fontId="111" fillId="80" borderId="0" applyNumberFormat="0" applyBorder="0" applyAlignment="0" applyProtection="0"/>
    <xf numFmtId="184" fontId="111" fillId="80" borderId="0" applyNumberFormat="0" applyBorder="0" applyAlignment="0" applyProtection="0"/>
    <xf numFmtId="184" fontId="111" fillId="80" borderId="0" applyNumberFormat="0" applyBorder="0" applyAlignment="0" applyProtection="0"/>
    <xf numFmtId="184" fontId="111" fillId="80" borderId="0" applyNumberFormat="0" applyBorder="0" applyAlignment="0" applyProtection="0"/>
    <xf numFmtId="184" fontId="111" fillId="80" borderId="0" applyNumberFormat="0" applyBorder="0" applyAlignment="0" applyProtection="0"/>
    <xf numFmtId="184"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0" fontId="113" fillId="81" borderId="66" applyNumberFormat="0" applyAlignment="0" applyProtection="0"/>
    <xf numFmtId="0" fontId="113" fillId="81" borderId="66" applyNumberFormat="0" applyAlignment="0" applyProtection="0"/>
    <xf numFmtId="0" fontId="114" fillId="9" borderId="12" applyNumberFormat="0" applyAlignment="0" applyProtection="0"/>
    <xf numFmtId="0" fontId="114" fillId="9" borderId="12" applyNumberFormat="0" applyAlignment="0" applyProtection="0"/>
    <xf numFmtId="0" fontId="114" fillId="9" borderId="12" applyNumberFormat="0" applyAlignment="0" applyProtection="0"/>
    <xf numFmtId="0" fontId="113" fillId="81" borderId="66" applyNumberFormat="0" applyAlignment="0" applyProtection="0"/>
    <xf numFmtId="0" fontId="114" fillId="9" borderId="12" applyNumberFormat="0" applyAlignment="0" applyProtection="0"/>
    <xf numFmtId="0" fontId="114" fillId="9" borderId="12" applyNumberFormat="0" applyAlignment="0" applyProtection="0"/>
    <xf numFmtId="0" fontId="115" fillId="82" borderId="66" applyNumberFormat="0" applyAlignment="0" applyProtection="0"/>
    <xf numFmtId="0"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184" fontId="113" fillId="81" borderId="66" applyNumberFormat="0" applyAlignment="0" applyProtection="0"/>
    <xf numFmtId="184"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0" fontId="116" fillId="49" borderId="67" applyNumberFormat="0" applyAlignment="0" applyProtection="0"/>
    <xf numFmtId="0" fontId="116" fillId="49" borderId="67" applyNumberFormat="0" applyAlignment="0" applyProtection="0"/>
    <xf numFmtId="0" fontId="22" fillId="10" borderId="15" applyNumberFormat="0" applyAlignment="0" applyProtection="0"/>
    <xf numFmtId="0" fontId="22" fillId="10" borderId="15" applyNumberFormat="0" applyAlignment="0" applyProtection="0"/>
    <xf numFmtId="0" fontId="22" fillId="10" borderId="15" applyNumberFormat="0" applyAlignment="0" applyProtection="0"/>
    <xf numFmtId="0" fontId="116" fillId="49" borderId="67" applyNumberFormat="0" applyAlignment="0" applyProtection="0"/>
    <xf numFmtId="0" fontId="22" fillId="10" borderId="15" applyNumberFormat="0" applyAlignment="0" applyProtection="0"/>
    <xf numFmtId="0" fontId="22" fillId="10" borderId="15" applyNumberFormat="0" applyAlignment="0" applyProtection="0"/>
    <xf numFmtId="0" fontId="116" fillId="83" borderId="67" applyNumberFormat="0" applyAlignment="0" applyProtection="0"/>
    <xf numFmtId="0"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184" fontId="116" fillId="49" borderId="67" applyNumberFormat="0" applyAlignment="0" applyProtection="0"/>
    <xf numFmtId="43" fontId="5"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5"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193" fontId="5"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193" fontId="5" fillId="0" borderId="0" applyFont="0" applyFill="0" applyBorder="0" applyAlignment="0" applyProtection="0"/>
    <xf numFmtId="43" fontId="5"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5"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3" fontId="117" fillId="81" borderId="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75" fillId="0" borderId="0" applyFont="0" applyFill="0" applyBorder="0" applyAlignment="0" applyProtection="0"/>
    <xf numFmtId="19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5" fillId="0" borderId="0" applyFont="0" applyFill="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3"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4"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79" fillId="55" borderId="0" applyNumberFormat="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84" fontId="5" fillId="0" borderId="0" applyFont="0" applyFill="0" applyBorder="0" applyAlignment="0" applyProtection="0"/>
    <xf numFmtId="195" fontId="118" fillId="0" borderId="0"/>
    <xf numFmtId="0" fontId="118" fillId="0" borderId="0"/>
    <xf numFmtId="184"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20" fillId="0" borderId="0" applyNumberFormat="0" applyFill="0" applyBorder="0" applyAlignment="0" applyProtection="0"/>
    <xf numFmtId="0" fontId="120" fillId="0" borderId="0" applyNumberFormat="0" applyFill="0" applyBorder="0" applyAlignment="0" applyProtection="0"/>
    <xf numFmtId="0" fontId="120" fillId="0" borderId="0" applyNumberFormat="0" applyFill="0" applyBorder="0" applyAlignment="0" applyProtection="0"/>
    <xf numFmtId="0" fontId="119" fillId="0" borderId="0" applyNumberFormat="0" applyFill="0" applyBorder="0" applyAlignment="0" applyProtection="0"/>
    <xf numFmtId="0" fontId="120" fillId="0" borderId="0" applyNumberFormat="0" applyFill="0" applyBorder="0" applyAlignment="0" applyProtection="0"/>
    <xf numFmtId="0" fontId="120"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184" fontId="119" fillId="0" borderId="0" applyNumberFormat="0" applyFill="0" applyBorder="0" applyAlignment="0" applyProtection="0"/>
    <xf numFmtId="0" fontId="117" fillId="81" borderId="0"/>
    <xf numFmtId="0" fontId="117" fillId="81" borderId="0"/>
    <xf numFmtId="0" fontId="117" fillId="81" borderId="0"/>
    <xf numFmtId="0" fontId="117" fillId="81" borderId="0"/>
    <xf numFmtId="0" fontId="117" fillId="81" borderId="0"/>
    <xf numFmtId="0" fontId="117" fillId="81" borderId="0"/>
    <xf numFmtId="0" fontId="117" fillId="81" borderId="0"/>
    <xf numFmtId="0" fontId="117" fillId="81" borderId="0"/>
    <xf numFmtId="0" fontId="117" fillId="81" borderId="0"/>
    <xf numFmtId="0" fontId="117" fillId="81" borderId="0"/>
    <xf numFmtId="184"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0" fontId="121" fillId="50" borderId="0" applyNumberFormat="0" applyBorder="0" applyAlignment="0" applyProtection="0"/>
    <xf numFmtId="0" fontId="121" fillId="50" borderId="0" applyNumberFormat="0" applyBorder="0" applyAlignment="0" applyProtection="0"/>
    <xf numFmtId="0" fontId="122" fillId="5" borderId="0" applyNumberFormat="0" applyBorder="0" applyAlignment="0" applyProtection="0"/>
    <xf numFmtId="0" fontId="122" fillId="5" borderId="0" applyNumberFormat="0" applyBorder="0" applyAlignment="0" applyProtection="0"/>
    <xf numFmtId="0" fontId="122" fillId="5" borderId="0" applyNumberFormat="0" applyBorder="0" applyAlignment="0" applyProtection="0"/>
    <xf numFmtId="0" fontId="121" fillId="50" borderId="0" applyNumberFormat="0" applyBorder="0" applyAlignment="0" applyProtection="0"/>
    <xf numFmtId="0" fontId="122" fillId="5" borderId="0" applyNumberFormat="0" applyBorder="0" applyAlignment="0" applyProtection="0"/>
    <xf numFmtId="0" fontId="122" fillId="5" borderId="0" applyNumberFormat="0" applyBorder="0" applyAlignment="0" applyProtection="0"/>
    <xf numFmtId="0" fontId="121" fillId="64" borderId="0" applyNumberFormat="0" applyBorder="0" applyAlignment="0" applyProtection="0"/>
    <xf numFmtId="0"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184" fontId="121" fillId="50"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38" fontId="6" fillId="56" borderId="0" applyNumberFormat="0" applyBorder="0" applyAlignment="0" applyProtection="0"/>
    <xf numFmtId="184" fontId="123" fillId="0" borderId="68" applyNumberFormat="0" applyFill="0" applyAlignment="0" applyProtection="0"/>
    <xf numFmtId="184" fontId="123" fillId="0" borderId="68" applyNumberFormat="0" applyFill="0" applyAlignment="0" applyProtection="0"/>
    <xf numFmtId="184" fontId="123" fillId="0" borderId="68" applyNumberFormat="0" applyFill="0" applyAlignment="0" applyProtection="0"/>
    <xf numFmtId="184" fontId="123" fillId="0" borderId="68" applyNumberFormat="0" applyFill="0" applyAlignment="0" applyProtection="0"/>
    <xf numFmtId="184" fontId="123" fillId="0" borderId="68" applyNumberFormat="0" applyFill="0" applyAlignment="0" applyProtection="0"/>
    <xf numFmtId="0" fontId="123" fillId="0" borderId="68" applyNumberFormat="0" applyFill="0" applyAlignment="0" applyProtection="0"/>
    <xf numFmtId="0" fontId="123" fillId="0" borderId="68" applyNumberFormat="0" applyFill="0" applyAlignment="0" applyProtection="0"/>
    <xf numFmtId="0" fontId="108" fillId="0" borderId="9" applyNumberFormat="0" applyFill="0" applyAlignment="0" applyProtection="0"/>
    <xf numFmtId="0" fontId="108" fillId="0" borderId="9" applyNumberFormat="0" applyFill="0" applyAlignment="0" applyProtection="0"/>
    <xf numFmtId="0" fontId="108" fillId="0" borderId="9" applyNumberFormat="0" applyFill="0" applyAlignment="0" applyProtection="0"/>
    <xf numFmtId="0" fontId="108" fillId="0" borderId="9" applyNumberFormat="0" applyFill="0" applyAlignment="0" applyProtection="0"/>
    <xf numFmtId="0" fontId="108" fillId="0" borderId="9" applyNumberFormat="0" applyFill="0" applyAlignment="0" applyProtection="0"/>
    <xf numFmtId="0" fontId="124" fillId="0" borderId="69" applyNumberFormat="0" applyFill="0" applyAlignment="0" applyProtection="0"/>
    <xf numFmtId="0" fontId="123" fillId="0" borderId="68" applyNumberFormat="0" applyFill="0" applyAlignment="0" applyProtection="0"/>
    <xf numFmtId="184" fontId="123" fillId="0" borderId="68" applyNumberFormat="0" applyFill="0" applyAlignment="0" applyProtection="0"/>
    <xf numFmtId="184" fontId="123" fillId="0" borderId="68" applyNumberFormat="0" applyFill="0" applyAlignment="0" applyProtection="0"/>
    <xf numFmtId="184" fontId="123" fillId="0" borderId="68" applyNumberFormat="0" applyFill="0" applyAlignment="0" applyProtection="0"/>
    <xf numFmtId="184" fontId="123" fillId="0" borderId="68" applyNumberFormat="0" applyFill="0" applyAlignment="0" applyProtection="0"/>
    <xf numFmtId="184" fontId="123" fillId="0" borderId="68" applyNumberFormat="0" applyFill="0" applyAlignment="0" applyProtection="0"/>
    <xf numFmtId="184" fontId="123" fillId="0" borderId="68"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0" fontId="125" fillId="0" borderId="70" applyNumberFormat="0" applyFill="0" applyAlignment="0" applyProtection="0"/>
    <xf numFmtId="0" fontId="125" fillId="0" borderId="7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5" fillId="0" borderId="7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7" fillId="0" borderId="70" applyNumberFormat="0" applyFill="0" applyAlignment="0" applyProtection="0"/>
    <xf numFmtId="0"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5" fillId="0" borderId="70"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0" fontId="128" fillId="0" borderId="71" applyNumberFormat="0" applyFill="0" applyAlignment="0" applyProtection="0"/>
    <xf numFmtId="192" fontId="128" fillId="0" borderId="71" applyNumberFormat="0" applyFill="0" applyAlignment="0" applyProtection="0"/>
    <xf numFmtId="0" fontId="128" fillId="0" borderId="71" applyNumberFormat="0" applyFill="0" applyAlignment="0" applyProtection="0"/>
    <xf numFmtId="192" fontId="128" fillId="0" borderId="71" applyNumberFormat="0" applyFill="0" applyAlignment="0" applyProtection="0"/>
    <xf numFmtId="0" fontId="129" fillId="0" borderId="11" applyNumberFormat="0" applyFill="0" applyAlignment="0" applyProtection="0"/>
    <xf numFmtId="0" fontId="129" fillId="0" borderId="11" applyNumberFormat="0" applyFill="0" applyAlignment="0" applyProtection="0"/>
    <xf numFmtId="0" fontId="129" fillId="0" borderId="11" applyNumberFormat="0" applyFill="0" applyAlignment="0" applyProtection="0"/>
    <xf numFmtId="0" fontId="128" fillId="0" borderId="71" applyNumberFormat="0" applyFill="0" applyAlignment="0" applyProtection="0"/>
    <xf numFmtId="192" fontId="128" fillId="0" borderId="71" applyNumberFormat="0" applyFill="0" applyAlignment="0" applyProtection="0"/>
    <xf numFmtId="192" fontId="128" fillId="0" borderId="71" applyNumberFormat="0" applyFill="0" applyAlignment="0" applyProtection="0"/>
    <xf numFmtId="0" fontId="129" fillId="0" borderId="11" applyNumberFormat="0" applyFill="0" applyAlignment="0" applyProtection="0"/>
    <xf numFmtId="0" fontId="129" fillId="0" borderId="11" applyNumberFormat="0" applyFill="0" applyAlignment="0" applyProtection="0"/>
    <xf numFmtId="0" fontId="130" fillId="0" borderId="72" applyNumberFormat="0" applyFill="0" applyAlignment="0" applyProtection="0"/>
    <xf numFmtId="192" fontId="130" fillId="0" borderId="72" applyNumberFormat="0" applyFill="0" applyAlignment="0" applyProtection="0"/>
    <xf numFmtId="0" fontId="128" fillId="0" borderId="71" applyNumberFormat="0" applyFill="0" applyAlignment="0" applyProtection="0"/>
    <xf numFmtId="192"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71" applyNumberFormat="0" applyFill="0" applyAlignment="0" applyProtection="0"/>
    <xf numFmtId="192" fontId="128" fillId="0" borderId="71" applyNumberFormat="0" applyFill="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8"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30" fillId="0" borderId="0" applyNumberFormat="0" applyFill="0" applyBorder="0" applyAlignment="0" applyProtection="0"/>
    <xf numFmtId="0"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184" fontId="128" fillId="0" borderId="0" applyNumberFormat="0" applyFill="0" applyBorder="0" applyAlignment="0" applyProtection="0"/>
    <xf numFmtId="0" fontId="68" fillId="0" borderId="26">
      <alignment horizontal="left" vertical="center"/>
    </xf>
    <xf numFmtId="0" fontId="43" fillId="0" borderId="0" applyNumberFormat="0" applyFill="0" applyBorder="0" applyAlignment="0" applyProtection="0">
      <alignment vertical="top"/>
      <protection locked="0"/>
    </xf>
    <xf numFmtId="192" fontId="43"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0" fontId="131" fillId="0" borderId="0" applyNumberFormat="0" applyFill="0" applyBorder="0" applyAlignment="0" applyProtection="0"/>
    <xf numFmtId="0" fontId="132" fillId="0" borderId="0" applyNumberFormat="0" applyFill="0" applyBorder="0" applyAlignment="0" applyProtection="0">
      <alignment vertical="top"/>
      <protection locked="0"/>
    </xf>
    <xf numFmtId="0" fontId="132" fillId="0" borderId="0" applyNumberFormat="0" applyFill="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0" fontId="6" fillId="57" borderId="20" applyNumberFormat="0" applyBorder="0" applyAlignment="0" applyProtection="0"/>
    <xf numFmtId="184" fontId="133" fillId="52" borderId="66" applyNumberFormat="0" applyAlignment="0" applyProtection="0"/>
    <xf numFmtId="184" fontId="133" fillId="52" borderId="66" applyNumberFormat="0" applyAlignment="0" applyProtection="0"/>
    <xf numFmtId="184" fontId="133" fillId="52" borderId="66" applyNumberFormat="0" applyAlignment="0" applyProtection="0"/>
    <xf numFmtId="184" fontId="133" fillId="52" borderId="66" applyNumberFormat="0" applyAlignment="0" applyProtection="0"/>
    <xf numFmtId="184"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0" fontId="134" fillId="8" borderId="12" applyNumberFormat="0" applyAlignment="0" applyProtection="0"/>
    <xf numFmtId="0" fontId="133" fillId="52" borderId="66" applyNumberFormat="0" applyAlignment="0" applyProtection="0"/>
    <xf numFmtId="184" fontId="133" fillId="52" borderId="66" applyNumberFormat="0" applyAlignment="0" applyProtection="0"/>
    <xf numFmtId="0" fontId="133" fillId="52" borderId="66" applyNumberFormat="0" applyAlignment="0" applyProtection="0"/>
    <xf numFmtId="0" fontId="133" fillId="52" borderId="66" applyNumberFormat="0" applyAlignment="0" applyProtection="0"/>
    <xf numFmtId="184" fontId="133" fillId="52" borderId="66" applyNumberFormat="0" applyAlignment="0" applyProtection="0"/>
    <xf numFmtId="0" fontId="133" fillId="52" borderId="66" applyNumberFormat="0" applyAlignment="0" applyProtection="0"/>
    <xf numFmtId="184" fontId="133" fillId="52" borderId="66" applyNumberFormat="0" applyAlignment="0" applyProtection="0"/>
    <xf numFmtId="184" fontId="133" fillId="52" borderId="66" applyNumberFormat="0" applyAlignment="0" applyProtection="0"/>
    <xf numFmtId="184" fontId="133" fillId="52" borderId="66" applyNumberFormat="0" applyAlignment="0" applyProtection="0"/>
    <xf numFmtId="184" fontId="133" fillId="52" borderId="66" applyNumberFormat="0" applyAlignment="0" applyProtection="0"/>
    <xf numFmtId="184" fontId="133" fillId="52" borderId="66" applyNumberFormat="0" applyAlignment="0" applyProtection="0"/>
    <xf numFmtId="184"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0" fontId="135" fillId="0" borderId="73" applyNumberFormat="0" applyFill="0" applyAlignment="0" applyProtection="0"/>
    <xf numFmtId="0" fontId="135" fillId="0" borderId="73" applyNumberFormat="0" applyFill="0" applyAlignment="0" applyProtection="0"/>
    <xf numFmtId="0" fontId="136" fillId="0" borderId="14" applyNumberFormat="0" applyFill="0" applyAlignment="0" applyProtection="0"/>
    <xf numFmtId="0" fontId="136" fillId="0" borderId="14" applyNumberFormat="0" applyFill="0" applyAlignment="0" applyProtection="0"/>
    <xf numFmtId="0" fontId="136" fillId="0" borderId="14" applyNumberFormat="0" applyFill="0" applyAlignment="0" applyProtection="0"/>
    <xf numFmtId="0" fontId="135" fillId="0" borderId="73" applyNumberFormat="0" applyFill="0" applyAlignment="0" applyProtection="0"/>
    <xf numFmtId="0" fontId="136" fillId="0" borderId="14" applyNumberFormat="0" applyFill="0" applyAlignment="0" applyProtection="0"/>
    <xf numFmtId="0" fontId="136" fillId="0" borderId="14" applyNumberFormat="0" applyFill="0" applyAlignment="0" applyProtection="0"/>
    <xf numFmtId="0" fontId="137" fillId="0" borderId="73" applyNumberFormat="0" applyFill="0" applyAlignment="0" applyProtection="0"/>
    <xf numFmtId="0"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184" fontId="135" fillId="0" borderId="73" applyNumberFormat="0" applyFill="0" applyAlignment="0" applyProtection="0"/>
    <xf numFmtId="184" fontId="138" fillId="0" borderId="0"/>
    <xf numFmtId="184" fontId="138" fillId="0" borderId="0"/>
    <xf numFmtId="184"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0" fontId="139" fillId="84" borderId="0" applyNumberFormat="0" applyBorder="0" applyAlignment="0" applyProtection="0"/>
    <xf numFmtId="0" fontId="139" fillId="84" borderId="0" applyNumberFormat="0" applyBorder="0" applyAlignment="0" applyProtection="0"/>
    <xf numFmtId="0" fontId="140" fillId="7" borderId="0" applyNumberFormat="0" applyBorder="0" applyAlignment="0" applyProtection="0"/>
    <xf numFmtId="0" fontId="140" fillId="7" borderId="0" applyNumberFormat="0" applyBorder="0" applyAlignment="0" applyProtection="0"/>
    <xf numFmtId="0" fontId="140" fillId="7" borderId="0" applyNumberFormat="0" applyBorder="0" applyAlignment="0" applyProtection="0"/>
    <xf numFmtId="0" fontId="139" fillId="84" borderId="0" applyNumberFormat="0" applyBorder="0" applyAlignment="0" applyProtection="0"/>
    <xf numFmtId="0" fontId="140" fillId="7" borderId="0" applyNumberFormat="0" applyBorder="0" applyAlignment="0" applyProtection="0"/>
    <xf numFmtId="0" fontId="140" fillId="7" borderId="0" applyNumberFormat="0" applyBorder="0" applyAlignment="0" applyProtection="0"/>
    <xf numFmtId="0" fontId="139" fillId="85" borderId="0" applyNumberFormat="0" applyBorder="0" applyAlignment="0" applyProtection="0"/>
    <xf numFmtId="0"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184" fontId="139" fillId="84" borderId="0" applyNumberFormat="0" applyBorder="0" applyAlignment="0" applyProtection="0"/>
    <xf numFmtId="0" fontId="5" fillId="0" borderId="0"/>
    <xf numFmtId="192"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41" fillId="0" borderId="0">
      <alignment vertical="top"/>
    </xf>
    <xf numFmtId="0" fontId="5" fillId="0" borderId="0"/>
    <xf numFmtId="192" fontId="5" fillId="0" borderId="0"/>
    <xf numFmtId="0" fontId="5" fillId="0" borderId="0"/>
    <xf numFmtId="0" fontId="5" fillId="0" borderId="0"/>
    <xf numFmtId="0" fontId="5" fillId="0" borderId="0"/>
    <xf numFmtId="0" fontId="24" fillId="0" borderId="0"/>
    <xf numFmtId="0" fontId="24" fillId="0" borderId="0"/>
    <xf numFmtId="192" fontId="24" fillId="0" borderId="0"/>
    <xf numFmtId="0" fontId="5" fillId="0" borderId="0"/>
    <xf numFmtId="0" fontId="5" fillId="0" borderId="0"/>
    <xf numFmtId="0" fontId="5" fillId="0" borderId="0"/>
    <xf numFmtId="0" fontId="5" fillId="0" borderId="0"/>
    <xf numFmtId="0"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192" fontId="24" fillId="0" borderId="0"/>
    <xf numFmtId="0"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142"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5"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5"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24" fillId="0" borderId="0"/>
    <xf numFmtId="0" fontId="24" fillId="0" borderId="0"/>
    <xf numFmtId="0" fontId="24" fillId="0" borderId="0"/>
    <xf numFmtId="192" fontId="24" fillId="0" borderId="0"/>
    <xf numFmtId="192" fontId="24" fillId="0" borderId="0"/>
    <xf numFmtId="0" fontId="24" fillId="0" borderId="0"/>
    <xf numFmtId="0" fontId="24" fillId="0" borderId="0"/>
    <xf numFmtId="192" fontId="24" fillId="0" borderId="0"/>
    <xf numFmtId="0" fontId="24" fillId="0" borderId="0"/>
    <xf numFmtId="192" fontId="24" fillId="0" borderId="0"/>
    <xf numFmtId="0" fontId="5" fillId="0" borderId="0"/>
    <xf numFmtId="0" fontId="143" fillId="0" borderId="0"/>
    <xf numFmtId="0" fontId="24" fillId="0" borderId="0"/>
    <xf numFmtId="0" fontId="24" fillId="0" borderId="0"/>
    <xf numFmtId="192" fontId="24" fillId="0" borderId="0"/>
    <xf numFmtId="0" fontId="24" fillId="0" borderId="0"/>
    <xf numFmtId="192" fontId="24" fillId="0" borderId="0"/>
    <xf numFmtId="0" fontId="75" fillId="0" borderId="0"/>
    <xf numFmtId="0" fontId="24" fillId="0" borderId="0"/>
    <xf numFmtId="0" fontId="24" fillId="0" borderId="0"/>
    <xf numFmtId="192" fontId="24" fillId="0" borderId="0"/>
    <xf numFmtId="0" fontId="83" fillId="0" borderId="0"/>
    <xf numFmtId="0" fontId="24" fillId="0" borderId="0"/>
    <xf numFmtId="192" fontId="24" fillId="0" borderId="0"/>
    <xf numFmtId="0" fontId="5" fillId="0" borderId="0"/>
    <xf numFmtId="0" fontId="24" fillId="0" borderId="0"/>
    <xf numFmtId="0" fontId="24" fillId="0" borderId="0"/>
    <xf numFmtId="192" fontId="24" fillId="0" borderId="0"/>
    <xf numFmtId="0" fontId="5" fillId="0" borderId="0"/>
    <xf numFmtId="0" fontId="24" fillId="0" borderId="0"/>
    <xf numFmtId="0" fontId="5" fillId="0" borderId="0"/>
    <xf numFmtId="0" fontId="24" fillId="0" borderId="0"/>
    <xf numFmtId="0" fontId="24" fillId="0" borderId="0"/>
    <xf numFmtId="192" fontId="24" fillId="0" borderId="0"/>
    <xf numFmtId="0" fontId="24" fillId="0" borderId="0"/>
    <xf numFmtId="0" fontId="24" fillId="0" borderId="0"/>
    <xf numFmtId="192" fontId="24" fillId="0" borderId="0"/>
    <xf numFmtId="0" fontId="5" fillId="0" borderId="0"/>
    <xf numFmtId="192" fontId="5" fillId="0" borderId="0"/>
    <xf numFmtId="192" fontId="24" fillId="0" borderId="0"/>
    <xf numFmtId="192" fontId="24" fillId="0" borderId="0"/>
    <xf numFmtId="192"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5" fillId="0" borderId="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0" fontId="5" fillId="47" borderId="39" applyNumberFormat="0" applyFont="0" applyAlignment="0" applyProtection="0"/>
    <xf numFmtId="0" fontId="24" fillId="11" borderId="16" applyNumberFormat="0" applyFont="0" applyAlignment="0" applyProtection="0"/>
    <xf numFmtId="0" fontId="24" fillId="11" borderId="16" applyNumberFormat="0" applyFont="0" applyAlignment="0" applyProtection="0"/>
    <xf numFmtId="0" fontId="24" fillId="11" borderId="16" applyNumberFormat="0" applyFont="0" applyAlignment="0" applyProtection="0"/>
    <xf numFmtId="192" fontId="24" fillId="11" borderId="16" applyNumberFormat="0" applyFont="0" applyAlignment="0" applyProtection="0"/>
    <xf numFmtId="0" fontId="24" fillId="11" borderId="16" applyNumberFormat="0" applyFont="0" applyAlignment="0" applyProtection="0"/>
    <xf numFmtId="0" fontId="24" fillId="11" borderId="16" applyNumberFormat="0" applyFont="0" applyAlignment="0" applyProtection="0"/>
    <xf numFmtId="192" fontId="24" fillId="11" borderId="16" applyNumberFormat="0" applyFont="0" applyAlignment="0" applyProtection="0"/>
    <xf numFmtId="0" fontId="24" fillId="11" borderId="16" applyNumberFormat="0" applyFont="0" applyAlignment="0" applyProtection="0"/>
    <xf numFmtId="192" fontId="24" fillId="11" borderId="16"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0" fontId="5" fillId="47" borderId="39" applyNumberFormat="0" applyFont="0" applyAlignment="0" applyProtection="0"/>
    <xf numFmtId="0" fontId="5" fillId="47" borderId="39" applyNumberFormat="0" applyFont="0" applyAlignment="0" applyProtection="0"/>
    <xf numFmtId="0" fontId="24" fillId="11" borderId="16" applyNumberFormat="0" applyFont="0" applyAlignment="0" applyProtection="0"/>
    <xf numFmtId="0" fontId="24" fillId="11" borderId="16" applyNumberFormat="0" applyFont="0" applyAlignment="0" applyProtection="0"/>
    <xf numFmtId="0" fontId="24" fillId="11" borderId="16" applyNumberFormat="0" applyFont="0" applyAlignment="0" applyProtection="0"/>
    <xf numFmtId="192" fontId="24" fillId="11" borderId="16" applyNumberFormat="0" applyFont="0" applyAlignment="0" applyProtection="0"/>
    <xf numFmtId="0" fontId="24" fillId="11" borderId="16" applyNumberFormat="0" applyFont="0" applyAlignment="0" applyProtection="0"/>
    <xf numFmtId="0" fontId="24" fillId="11" borderId="16" applyNumberFormat="0" applyFont="0" applyAlignment="0" applyProtection="0"/>
    <xf numFmtId="192" fontId="24" fillId="11" borderId="16" applyNumberFormat="0" applyFont="0" applyAlignment="0" applyProtection="0"/>
    <xf numFmtId="0" fontId="24" fillId="11" borderId="16" applyNumberFormat="0" applyFont="0" applyAlignment="0" applyProtection="0"/>
    <xf numFmtId="192" fontId="24" fillId="11" borderId="16" applyNumberFormat="0" applyFont="0" applyAlignment="0" applyProtection="0"/>
    <xf numFmtId="0"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5" fillId="47" borderId="39" applyNumberFormat="0" applyFont="0" applyAlignment="0" applyProtection="0"/>
    <xf numFmtId="184"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0" fontId="144" fillId="81" borderId="74" applyNumberFormat="0" applyAlignment="0" applyProtection="0"/>
    <xf numFmtId="0" fontId="144" fillId="81" borderId="74" applyNumberFormat="0" applyAlignment="0" applyProtection="0"/>
    <xf numFmtId="0" fontId="145" fillId="9" borderId="13" applyNumberFormat="0" applyAlignment="0" applyProtection="0"/>
    <xf numFmtId="0" fontId="145" fillId="9" borderId="13" applyNumberFormat="0" applyAlignment="0" applyProtection="0"/>
    <xf numFmtId="0" fontId="145" fillId="9" borderId="13" applyNumberFormat="0" applyAlignment="0" applyProtection="0"/>
    <xf numFmtId="0" fontId="144" fillId="81" borderId="74" applyNumberFormat="0" applyAlignment="0" applyProtection="0"/>
    <xf numFmtId="0" fontId="145" fillId="9" borderId="13" applyNumberFormat="0" applyAlignment="0" applyProtection="0"/>
    <xf numFmtId="0" fontId="145" fillId="9" borderId="13" applyNumberFormat="0" applyAlignment="0" applyProtection="0"/>
    <xf numFmtId="0" fontId="144" fillId="82" borderId="74" applyNumberFormat="0" applyAlignment="0" applyProtection="0"/>
    <xf numFmtId="0"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184" fontId="144" fillId="81" borderId="74" applyNumberFormat="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10" fontId="5"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168" fontId="5" fillId="0" borderId="0" applyFont="0" applyFill="0" applyBorder="0" applyAlignment="0" applyProtection="0"/>
    <xf numFmtId="9" fontId="5" fillId="0" borderId="0" applyFont="0" applyFill="0" applyBorder="0" applyAlignment="0" applyProtection="0"/>
    <xf numFmtId="168"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7"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0"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8" applyNumberFormat="0" applyFont="0" applyFill="0" applyAlignment="0" applyProtection="0"/>
    <xf numFmtId="184" fontId="5" fillId="0" borderId="38" applyNumberFormat="0" applyFont="0" applyFill="0" applyAlignment="0" applyProtection="0"/>
    <xf numFmtId="192" fontId="5" fillId="0" borderId="38"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39"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184" fontId="5" fillId="0" borderId="40" applyNumberFormat="0" applyFont="0" applyFill="0" applyAlignment="0" applyProtection="0"/>
    <xf numFmtId="0" fontId="5" fillId="0" borderId="0" applyNumberFormat="0" applyFill="0" applyBorder="0" applyProtection="0">
      <alignment horizontal="right" wrapText="1"/>
    </xf>
    <xf numFmtId="184"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0" fontId="146" fillId="0" borderId="0" applyNumberFormat="0" applyFill="0" applyBorder="0" applyAlignment="0" applyProtection="0"/>
    <xf numFmtId="0" fontId="146" fillId="0" borderId="0" applyNumberFormat="0" applyFill="0" applyBorder="0" applyAlignment="0" applyProtection="0"/>
    <xf numFmtId="0" fontId="147" fillId="0" borderId="0" applyNumberFormat="0" applyFill="0" applyBorder="0" applyAlignment="0" applyProtection="0"/>
    <xf numFmtId="0" fontId="147" fillId="0" borderId="0" applyNumberFormat="0" applyFill="0" applyBorder="0" applyAlignment="0" applyProtection="0"/>
    <xf numFmtId="0" fontId="147" fillId="0" borderId="0" applyNumberFormat="0" applyFill="0" applyBorder="0" applyAlignment="0" applyProtection="0"/>
    <xf numFmtId="184" fontId="146" fillId="0" borderId="0" applyNumberFormat="0" applyFill="0" applyBorder="0" applyAlignment="0" applyProtection="0"/>
    <xf numFmtId="0" fontId="146" fillId="0" borderId="0" applyNumberFormat="0" applyFill="0" applyBorder="0" applyAlignment="0" applyProtection="0"/>
    <xf numFmtId="0" fontId="147" fillId="0" borderId="0" applyNumberFormat="0" applyFill="0" applyBorder="0" applyAlignment="0" applyProtection="0"/>
    <xf numFmtId="0" fontId="147" fillId="0" borderId="0" applyNumberFormat="0" applyFill="0" applyBorder="0" applyAlignment="0" applyProtection="0"/>
    <xf numFmtId="0" fontId="146" fillId="0" borderId="0" applyNumberFormat="0" applyFill="0" applyBorder="0" applyAlignment="0" applyProtection="0"/>
    <xf numFmtId="0"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184" fontId="146" fillId="0" borderId="0" applyNumberFormat="0" applyFill="0" applyBorder="0" applyAlignment="0" applyProtection="0"/>
    <xf numFmtId="184"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0" fontId="79" fillId="0" borderId="75" applyNumberFormat="0" applyFill="0" applyAlignment="0" applyProtection="0"/>
    <xf numFmtId="0" fontId="79" fillId="0" borderId="75" applyNumberFormat="0" applyFill="0" applyAlignment="0" applyProtection="0"/>
    <xf numFmtId="0" fontId="102" fillId="0" borderId="17" applyNumberFormat="0" applyFill="0" applyAlignment="0" applyProtection="0"/>
    <xf numFmtId="0" fontId="102" fillId="0" borderId="17" applyNumberFormat="0" applyFill="0" applyAlignment="0" applyProtection="0"/>
    <xf numFmtId="0" fontId="102" fillId="0" borderId="17" applyNumberFormat="0" applyFill="0" applyAlignment="0" applyProtection="0"/>
    <xf numFmtId="0" fontId="79" fillId="0" borderId="75" applyNumberFormat="0" applyFill="0" applyAlignment="0" applyProtection="0"/>
    <xf numFmtId="0" fontId="102" fillId="0" borderId="17" applyNumberFormat="0" applyFill="0" applyAlignment="0" applyProtection="0"/>
    <xf numFmtId="0" fontId="102" fillId="0" borderId="17" applyNumberFormat="0" applyFill="0" applyAlignment="0" applyProtection="0"/>
    <xf numFmtId="0" fontId="79" fillId="0" borderId="76" applyNumberFormat="0" applyFill="0" applyAlignment="0" applyProtection="0"/>
    <xf numFmtId="0"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184" fontId="79" fillId="0" borderId="75" applyNumberFormat="0" applyFill="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0" fontId="148" fillId="0" borderId="0" applyNumberFormat="0" applyFill="0" applyBorder="0" applyAlignment="0" applyProtection="0"/>
    <xf numFmtId="0" fontId="148"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48"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48" fillId="0" borderId="0" applyNumberFormat="0" applyFill="0" applyBorder="0" applyAlignment="0" applyProtection="0"/>
    <xf numFmtId="0"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184" fontId="148" fillId="0" borderId="0" applyNumberFormat="0" applyFill="0" applyBorder="0" applyAlignment="0" applyProtection="0"/>
    <xf numFmtId="43" fontId="149" fillId="0" borderId="0" applyFont="0" applyFill="0" applyBorder="0" applyAlignment="0" applyProtection="0"/>
    <xf numFmtId="0" fontId="149" fillId="0" borderId="0"/>
    <xf numFmtId="0" fontId="2" fillId="0" borderId="0"/>
    <xf numFmtId="0" fontId="94" fillId="0" borderId="0" applyNumberFormat="0" applyFill="0" applyBorder="0" applyAlignment="0" applyProtection="0"/>
    <xf numFmtId="0" fontId="32" fillId="0" borderId="0"/>
    <xf numFmtId="0" fontId="32" fillId="0" borderId="0"/>
  </cellStyleXfs>
  <cellXfs count="1328">
    <xf numFmtId="0" fontId="0" fillId="0" borderId="0" xfId="0"/>
    <xf numFmtId="0" fontId="1" fillId="0" borderId="0" xfId="0" applyFont="1"/>
    <xf numFmtId="0" fontId="0" fillId="4" borderId="0" xfId="0" applyFill="1"/>
    <xf numFmtId="0" fontId="0" fillId="4" borderId="0" xfId="0" applyFill="1" applyAlignment="1">
      <alignment vertical="center"/>
    </xf>
    <xf numFmtId="0" fontId="0" fillId="4" borderId="0" xfId="0" applyFill="1" applyAlignment="1">
      <alignment vertical="center" wrapText="1"/>
    </xf>
    <xf numFmtId="0" fontId="13" fillId="4" borderId="0" xfId="0" quotePrefix="1" applyFont="1" applyFill="1" applyAlignment="1">
      <alignment vertical="center"/>
    </xf>
    <xf numFmtId="0" fontId="0" fillId="0" borderId="0" xfId="0" applyAlignment="1">
      <alignment horizontal="center"/>
    </xf>
    <xf numFmtId="0" fontId="14" fillId="4" borderId="0" xfId="0" applyFont="1" applyFill="1"/>
    <xf numFmtId="0" fontId="0" fillId="4" borderId="0" xfId="0" applyFill="1" applyAlignment="1">
      <alignment horizontal="center" vertical="center" wrapText="1"/>
    </xf>
    <xf numFmtId="0" fontId="38" fillId="40" borderId="0" xfId="0" applyFont="1" applyFill="1" applyAlignment="1">
      <alignment vertical="top"/>
    </xf>
    <xf numFmtId="0" fontId="41" fillId="0" borderId="0" xfId="0" applyFont="1" applyAlignment="1">
      <alignment vertical="top"/>
    </xf>
    <xf numFmtId="0" fontId="42" fillId="0" borderId="0" xfId="0" applyFont="1" applyAlignment="1">
      <alignment vertical="top"/>
    </xf>
    <xf numFmtId="0" fontId="41" fillId="0" borderId="0" xfId="0" applyFont="1" applyAlignment="1">
      <alignment horizontal="center" vertical="top"/>
    </xf>
    <xf numFmtId="0" fontId="41" fillId="0" borderId="0" xfId="0" applyFont="1" applyAlignment="1">
      <alignment horizontal="center" vertical="top" wrapText="1" shrinkToFit="1"/>
    </xf>
    <xf numFmtId="0" fontId="39" fillId="0" borderId="0" xfId="0" applyFont="1" applyAlignment="1">
      <alignment vertical="top"/>
    </xf>
    <xf numFmtId="0" fontId="42" fillId="0" borderId="0" xfId="0" applyFont="1" applyAlignment="1">
      <alignment horizontal="center" vertical="top"/>
    </xf>
    <xf numFmtId="0" fontId="42" fillId="0" borderId="0" xfId="0" applyFont="1" applyAlignment="1">
      <alignment horizontal="left" vertical="top"/>
    </xf>
    <xf numFmtId="0" fontId="42" fillId="0" borderId="0" xfId="0" applyFont="1" applyAlignment="1">
      <alignment horizontal="right" vertical="center"/>
    </xf>
    <xf numFmtId="0" fontId="42" fillId="0" borderId="0" xfId="0" applyFont="1" applyAlignment="1">
      <alignment vertical="center"/>
    </xf>
    <xf numFmtId="0" fontId="40" fillId="40" borderId="0" xfId="0" applyFont="1" applyFill="1" applyAlignment="1">
      <alignment horizontal="center" vertical="top"/>
    </xf>
    <xf numFmtId="0" fontId="40" fillId="40" borderId="0" xfId="0" applyFont="1" applyFill="1" applyAlignment="1">
      <alignment horizontal="left" vertical="top"/>
    </xf>
    <xf numFmtId="0" fontId="40" fillId="40" borderId="0" xfId="0" applyFont="1" applyFill="1" applyAlignment="1">
      <alignment vertical="top"/>
    </xf>
    <xf numFmtId="0" fontId="6" fillId="0" borderId="0" xfId="0" applyFont="1" applyAlignment="1">
      <alignment vertical="top"/>
    </xf>
    <xf numFmtId="0" fontId="27" fillId="0" borderId="0" xfId="0" applyFont="1" applyAlignment="1">
      <alignment vertical="top"/>
    </xf>
    <xf numFmtId="0" fontId="6" fillId="0" borderId="0" xfId="0" applyFont="1" applyAlignment="1">
      <alignment horizontal="center" vertical="top"/>
    </xf>
    <xf numFmtId="0" fontId="42" fillId="0" borderId="0" xfId="0" applyFont="1" applyAlignment="1">
      <alignment vertical="top" wrapText="1"/>
    </xf>
    <xf numFmtId="0" fontId="42" fillId="0" borderId="0" xfId="0" applyFont="1" applyAlignment="1">
      <alignment vertical="top" wrapText="1" shrinkToFit="1"/>
    </xf>
    <xf numFmtId="168" fontId="42" fillId="0" borderId="0" xfId="1" applyNumberFormat="1" applyFont="1" applyAlignment="1">
      <alignment vertical="top"/>
    </xf>
    <xf numFmtId="172" fontId="42" fillId="0" borderId="0" xfId="0" applyNumberFormat="1" applyFont="1" applyAlignment="1">
      <alignment vertical="top"/>
    </xf>
    <xf numFmtId="0" fontId="42" fillId="0" borderId="0" xfId="0" applyFont="1"/>
    <xf numFmtId="0" fontId="8" fillId="0" borderId="0" xfId="0" applyFont="1"/>
    <xf numFmtId="0" fontId="0" fillId="0" borderId="0" xfId="0" applyAlignment="1">
      <alignment vertical="center"/>
    </xf>
    <xf numFmtId="1" fontId="12" fillId="36" borderId="0" xfId="0" applyNumberFormat="1" applyFont="1" applyFill="1" applyAlignment="1">
      <alignment horizontal="right"/>
    </xf>
    <xf numFmtId="0" fontId="0" fillId="0" borderId="0" xfId="0" applyAlignment="1">
      <alignment horizontal="right"/>
    </xf>
    <xf numFmtId="0" fontId="0" fillId="0" borderId="0" xfId="0" applyAlignment="1">
      <alignment horizontal="left"/>
    </xf>
    <xf numFmtId="2" fontId="0" fillId="0" borderId="0" xfId="0" applyNumberFormat="1" applyAlignment="1">
      <alignment horizontal="center"/>
    </xf>
    <xf numFmtId="0" fontId="20" fillId="4" borderId="0" xfId="0" applyFont="1" applyFill="1"/>
    <xf numFmtId="0" fontId="8" fillId="0" borderId="0" xfId="0" applyFont="1" applyAlignment="1">
      <alignment vertical="center" wrapText="1"/>
    </xf>
    <xf numFmtId="0" fontId="0" fillId="4" borderId="0" xfId="0" applyFill="1" applyAlignment="1">
      <alignment horizontal="left"/>
    </xf>
    <xf numFmtId="0" fontId="14" fillId="4" borderId="0" xfId="0" applyFont="1" applyFill="1" applyAlignment="1">
      <alignment horizontal="left"/>
    </xf>
    <xf numFmtId="0" fontId="0" fillId="4" borderId="0" xfId="0" applyFill="1" applyAlignment="1">
      <alignment horizontal="left" vertical="center" wrapText="1"/>
    </xf>
    <xf numFmtId="0" fontId="0" fillId="4" borderId="0" xfId="0" applyFill="1" applyAlignment="1">
      <alignment horizontal="center"/>
    </xf>
    <xf numFmtId="177" fontId="0" fillId="0" borderId="0" xfId="0" applyNumberFormat="1"/>
    <xf numFmtId="0" fontId="1" fillId="3" borderId="0" xfId="0" applyFont="1" applyFill="1"/>
    <xf numFmtId="0" fontId="0" fillId="3" borderId="0" xfId="0" applyFill="1"/>
    <xf numFmtId="177" fontId="0" fillId="3" borderId="0" xfId="0" applyNumberFormat="1" applyFill="1"/>
    <xf numFmtId="176" fontId="0" fillId="3" borderId="0" xfId="0" applyNumberFormat="1" applyFill="1"/>
    <xf numFmtId="0" fontId="1" fillId="42" borderId="3" xfId="0" applyFont="1" applyFill="1" applyBorder="1" applyAlignment="1">
      <alignment wrapText="1"/>
    </xf>
    <xf numFmtId="0" fontId="0" fillId="42" borderId="4" xfId="0" applyFill="1" applyBorder="1" applyAlignment="1">
      <alignment horizontal="center" vertical="center"/>
    </xf>
    <xf numFmtId="0" fontId="1" fillId="42" borderId="3" xfId="0" applyFont="1" applyFill="1" applyBorder="1" applyAlignment="1">
      <alignment horizontal="center" vertical="center" wrapText="1"/>
    </xf>
    <xf numFmtId="0" fontId="1" fillId="42" borderId="41" xfId="0" applyFont="1" applyFill="1" applyBorder="1" applyAlignment="1">
      <alignment vertical="center"/>
    </xf>
    <xf numFmtId="0" fontId="0" fillId="42" borderId="42" xfId="0" applyFill="1" applyBorder="1" applyAlignment="1">
      <alignment vertical="center"/>
    </xf>
    <xf numFmtId="0" fontId="0" fillId="42" borderId="42" xfId="0" applyFill="1" applyBorder="1"/>
    <xf numFmtId="0" fontId="0" fillId="42" borderId="8" xfId="0" applyFill="1" applyBorder="1"/>
    <xf numFmtId="0" fontId="1" fillId="42" borderId="6" xfId="0" applyFont="1" applyFill="1" applyBorder="1" applyAlignment="1">
      <alignment vertical="center"/>
    </xf>
    <xf numFmtId="0" fontId="0" fillId="42" borderId="43" xfId="0" applyFill="1" applyBorder="1" applyAlignment="1">
      <alignment vertical="center"/>
    </xf>
    <xf numFmtId="0" fontId="0" fillId="42" borderId="43" xfId="0" applyFill="1" applyBorder="1"/>
    <xf numFmtId="0" fontId="0" fillId="42" borderId="7" xfId="0" applyFill="1" applyBorder="1"/>
    <xf numFmtId="0" fontId="90" fillId="42" borderId="18" xfId="0" applyFont="1" applyFill="1" applyBorder="1" applyAlignment="1">
      <alignment horizontal="center"/>
    </xf>
    <xf numFmtId="0" fontId="89" fillId="42" borderId="19" xfId="0" applyFont="1" applyFill="1" applyBorder="1" applyAlignment="1">
      <alignment horizontal="center"/>
    </xf>
    <xf numFmtId="0" fontId="89" fillId="42" borderId="5" xfId="0" applyFont="1" applyFill="1" applyBorder="1" applyAlignment="1">
      <alignment horizontal="center"/>
    </xf>
    <xf numFmtId="0" fontId="0" fillId="59" borderId="0" xfId="0" applyFill="1"/>
    <xf numFmtId="0" fontId="0" fillId="59" borderId="0" xfId="0" quotePrefix="1" applyFill="1"/>
    <xf numFmtId="0" fontId="93" fillId="59" borderId="0" xfId="0" applyFont="1" applyFill="1" applyAlignment="1">
      <alignment vertical="top" wrapText="1"/>
    </xf>
    <xf numFmtId="0" fontId="0" fillId="0" borderId="0" xfId="0" applyAlignment="1">
      <alignment vertical="center" wrapText="1"/>
    </xf>
    <xf numFmtId="0" fontId="24" fillId="0" borderId="0" xfId="0" applyFont="1"/>
    <xf numFmtId="171" fontId="0" fillId="0" borderId="0" xfId="0" applyNumberFormat="1"/>
    <xf numFmtId="0" fontId="12" fillId="60" borderId="0" xfId="0" applyFont="1" applyFill="1" applyAlignment="1">
      <alignment horizontal="left" vertical="center"/>
    </xf>
    <xf numFmtId="0" fontId="40" fillId="40" borderId="0" xfId="0" applyFont="1" applyFill="1" applyAlignment="1">
      <alignment vertical="top" wrapText="1" shrinkToFit="1"/>
    </xf>
    <xf numFmtId="0" fontId="96" fillId="0" borderId="45" xfId="0" applyFont="1" applyBorder="1" applyAlignment="1">
      <alignment vertical="top" wrapText="1"/>
    </xf>
    <xf numFmtId="0" fontId="95" fillId="0" borderId="45" xfId="0" applyFont="1" applyBorder="1" applyAlignment="1">
      <alignment horizontal="center" vertical="top" wrapText="1"/>
    </xf>
    <xf numFmtId="2" fontId="96" fillId="2" borderId="45" xfId="0" applyNumberFormat="1" applyFont="1" applyFill="1" applyBorder="1" applyAlignment="1">
      <alignment horizontal="center" vertical="top" wrapText="1"/>
    </xf>
    <xf numFmtId="0" fontId="95" fillId="0" borderId="45" xfId="0" applyFont="1" applyBorder="1" applyAlignment="1">
      <alignment vertical="top" wrapText="1"/>
    </xf>
    <xf numFmtId="2" fontId="95" fillId="2" borderId="45" xfId="0" applyNumberFormat="1" applyFont="1" applyFill="1" applyBorder="1" applyAlignment="1">
      <alignment horizontal="center" vertical="top" wrapText="1"/>
    </xf>
    <xf numFmtId="0" fontId="96" fillId="0" borderId="45" xfId="0" applyFont="1" applyBorder="1" applyAlignment="1">
      <alignment horizontal="center" wrapText="1"/>
    </xf>
    <xf numFmtId="0" fontId="95" fillId="0" borderId="45" xfId="0" applyFont="1" applyBorder="1" applyAlignment="1">
      <alignment horizontal="center" wrapText="1"/>
    </xf>
    <xf numFmtId="0" fontId="42" fillId="0" borderId="0" xfId="0" applyFont="1" applyAlignment="1">
      <alignment vertical="top" shrinkToFit="1"/>
    </xf>
    <xf numFmtId="0" fontId="42" fillId="0" borderId="49" xfId="0" applyFont="1" applyBorder="1" applyAlignment="1">
      <alignment vertical="top" wrapText="1"/>
    </xf>
    <xf numFmtId="3" fontId="42" fillId="2" borderId="49" xfId="0" applyNumberFormat="1" applyFont="1" applyFill="1" applyBorder="1" applyAlignment="1">
      <alignment horizontal="right" vertical="top" wrapText="1"/>
    </xf>
    <xf numFmtId="3" fontId="42" fillId="2" borderId="59" xfId="0" applyNumberFormat="1" applyFont="1" applyFill="1" applyBorder="1" applyAlignment="1">
      <alignment horizontal="right" vertical="top" wrapText="1"/>
    </xf>
    <xf numFmtId="168" fontId="6" fillId="0" borderId="24" xfId="1" applyNumberFormat="1" applyFont="1" applyBorder="1" applyAlignment="1">
      <alignment horizontal="right" vertical="top"/>
    </xf>
    <xf numFmtId="0" fontId="42" fillId="0" borderId="45" xfId="0" applyFont="1" applyBorder="1" applyAlignment="1">
      <alignment vertical="top" wrapText="1"/>
    </xf>
    <xf numFmtId="3" fontId="42" fillId="2" borderId="45" xfId="0" applyNumberFormat="1" applyFont="1" applyFill="1" applyBorder="1" applyAlignment="1">
      <alignment horizontal="right" vertical="top" wrapText="1"/>
    </xf>
    <xf numFmtId="3" fontId="42" fillId="2" borderId="46" xfId="0" applyNumberFormat="1" applyFont="1" applyFill="1" applyBorder="1" applyAlignment="1">
      <alignment horizontal="right" vertical="top" wrapText="1"/>
    </xf>
    <xf numFmtId="0" fontId="41" fillId="0" borderId="45" xfId="0" applyFont="1" applyBorder="1" applyAlignment="1">
      <alignment vertical="top" wrapText="1"/>
    </xf>
    <xf numFmtId="3" fontId="41" fillId="0" borderId="45" xfId="0" applyNumberFormat="1" applyFont="1" applyBorder="1" applyAlignment="1">
      <alignment horizontal="right" vertical="top" wrapText="1"/>
    </xf>
    <xf numFmtId="0" fontId="41" fillId="0" borderId="0" xfId="0" applyFont="1" applyAlignment="1">
      <alignment horizontal="left" vertical="top"/>
    </xf>
    <xf numFmtId="0" fontId="41" fillId="0" borderId="0" xfId="0" applyFont="1" applyAlignment="1">
      <alignment vertical="top" wrapText="1"/>
    </xf>
    <xf numFmtId="172" fontId="42" fillId="0" borderId="0" xfId="0" applyNumberFormat="1" applyFont="1" applyAlignment="1">
      <alignment horizontal="center" vertical="top" wrapText="1"/>
    </xf>
    <xf numFmtId="0" fontId="38" fillId="38" borderId="0" xfId="0" applyFont="1" applyFill="1" applyAlignment="1">
      <alignment vertical="top"/>
    </xf>
    <xf numFmtId="0" fontId="40" fillId="38" borderId="0" xfId="0" applyFont="1" applyFill="1" applyAlignment="1">
      <alignment horizontal="center" vertical="top"/>
    </xf>
    <xf numFmtId="0" fontId="40" fillId="38" borderId="0" xfId="0" applyFont="1" applyFill="1" applyAlignment="1">
      <alignment horizontal="left" vertical="top"/>
    </xf>
    <xf numFmtId="0" fontId="40" fillId="38" borderId="0" xfId="0" applyFont="1" applyFill="1" applyAlignment="1">
      <alignment vertical="top" wrapText="1" shrinkToFit="1"/>
    </xf>
    <xf numFmtId="0" fontId="40" fillId="38" borderId="0" xfId="0" applyFont="1" applyFill="1" applyAlignment="1">
      <alignment vertical="top"/>
    </xf>
    <xf numFmtId="169" fontId="45" fillId="0" borderId="29" xfId="3" applyNumberFormat="1" applyFont="1" applyBorder="1" applyAlignment="1">
      <alignment horizontal="center" vertical="top"/>
    </xf>
    <xf numFmtId="169" fontId="42" fillId="0" borderId="0" xfId="3" applyNumberFormat="1" applyFont="1" applyBorder="1" applyAlignment="1">
      <alignment horizontal="center" vertical="top"/>
    </xf>
    <xf numFmtId="0" fontId="47" fillId="0" borderId="0" xfId="0" applyFont="1" applyAlignment="1">
      <alignment horizontal="center" vertical="top"/>
    </xf>
    <xf numFmtId="169" fontId="45" fillId="0" borderId="30" xfId="3" applyNumberFormat="1" applyFont="1" applyBorder="1" applyAlignment="1">
      <alignment horizontal="center" vertical="top"/>
    </xf>
    <xf numFmtId="0" fontId="45" fillId="0" borderId="30" xfId="0" applyFont="1" applyBorder="1" applyAlignment="1">
      <alignment horizontal="center" vertical="top"/>
    </xf>
    <xf numFmtId="169" fontId="45" fillId="0" borderId="31" xfId="3" applyNumberFormat="1" applyFont="1" applyBorder="1" applyAlignment="1">
      <alignment horizontal="center" vertical="top"/>
    </xf>
    <xf numFmtId="0" fontId="6" fillId="0" borderId="0" xfId="0" applyFont="1" applyAlignment="1">
      <alignment horizontal="left" vertical="top"/>
    </xf>
    <xf numFmtId="0" fontId="6" fillId="0" borderId="0" xfId="0" applyFont="1" applyAlignment="1">
      <alignment vertical="top" wrapText="1" shrinkToFit="1"/>
    </xf>
    <xf numFmtId="0" fontId="45" fillId="0" borderId="0" xfId="0" applyFont="1" applyAlignment="1">
      <alignment vertical="top"/>
    </xf>
    <xf numFmtId="0" fontId="15" fillId="0" borderId="0" xfId="0" applyFont="1"/>
    <xf numFmtId="0" fontId="99" fillId="0" borderId="0" xfId="19" applyFont="1" applyBorder="1" applyAlignment="1" applyProtection="1">
      <alignment horizontal="left" vertical="top"/>
    </xf>
    <xf numFmtId="0" fontId="38" fillId="40" borderId="0" xfId="0" applyFont="1" applyFill="1" applyAlignment="1">
      <alignment horizontal="left" vertical="top"/>
    </xf>
    <xf numFmtId="0" fontId="38" fillId="40" borderId="22" xfId="0" applyFont="1" applyFill="1" applyBorder="1" applyAlignment="1">
      <alignment vertical="top"/>
    </xf>
    <xf numFmtId="172" fontId="6" fillId="0" borderId="0" xfId="0" applyNumberFormat="1" applyFont="1" applyAlignment="1">
      <alignment vertical="top"/>
    </xf>
    <xf numFmtId="0" fontId="46" fillId="0" borderId="0" xfId="0" applyFont="1" applyAlignment="1">
      <alignment vertical="top"/>
    </xf>
    <xf numFmtId="0" fontId="47" fillId="0" borderId="0" xfId="0" applyFont="1" applyAlignment="1">
      <alignment vertical="top" wrapText="1"/>
    </xf>
    <xf numFmtId="172" fontId="42" fillId="2" borderId="0" xfId="0" applyNumberFormat="1" applyFont="1" applyFill="1" applyAlignment="1">
      <alignment vertical="top"/>
    </xf>
    <xf numFmtId="0" fontId="44" fillId="0" borderId="0" xfId="19" applyFont="1" applyAlignment="1" applyProtection="1">
      <alignment vertical="top" wrapText="1"/>
    </xf>
    <xf numFmtId="168" fontId="6" fillId="0" borderId="0" xfId="1" applyNumberFormat="1" applyFont="1" applyFill="1" applyAlignment="1">
      <alignment vertical="top"/>
    </xf>
    <xf numFmtId="168" fontId="41" fillId="0" borderId="0" xfId="1" applyNumberFormat="1" applyFont="1" applyAlignment="1">
      <alignment vertical="top"/>
    </xf>
    <xf numFmtId="168" fontId="27" fillId="0" borderId="0" xfId="1" applyNumberFormat="1" applyFont="1" applyFill="1" applyAlignment="1">
      <alignment vertical="top"/>
    </xf>
    <xf numFmtId="168" fontId="39" fillId="0" borderId="0" xfId="1" applyNumberFormat="1" applyFont="1" applyAlignment="1">
      <alignment vertical="top"/>
    </xf>
    <xf numFmtId="168" fontId="46" fillId="0" borderId="0" xfId="1" applyNumberFormat="1" applyFont="1" applyAlignment="1">
      <alignment vertical="top"/>
    </xf>
    <xf numFmtId="172" fontId="6" fillId="2" borderId="0" xfId="0" applyNumberFormat="1" applyFont="1" applyFill="1" applyAlignment="1">
      <alignment vertical="top"/>
    </xf>
    <xf numFmtId="168" fontId="6" fillId="0" borderId="0" xfId="1" applyNumberFormat="1" applyFont="1" applyAlignment="1">
      <alignment vertical="top"/>
    </xf>
    <xf numFmtId="0" fontId="41" fillId="0" borderId="0" xfId="0" applyFont="1" applyAlignment="1">
      <alignment horizontal="left" vertical="top" wrapText="1"/>
    </xf>
    <xf numFmtId="172" fontId="41" fillId="0" borderId="0" xfId="0" applyNumberFormat="1" applyFont="1" applyAlignment="1">
      <alignment vertical="top"/>
    </xf>
    <xf numFmtId="165" fontId="42" fillId="0" borderId="0" xfId="0" applyNumberFormat="1" applyFont="1" applyAlignment="1">
      <alignment horizontal="left" vertical="top"/>
    </xf>
    <xf numFmtId="165" fontId="42" fillId="0" borderId="0" xfId="0" applyNumberFormat="1" applyFont="1" applyAlignment="1">
      <alignment vertical="top"/>
    </xf>
    <xf numFmtId="165" fontId="42" fillId="0" borderId="0" xfId="0" applyNumberFormat="1" applyFont="1" applyAlignment="1">
      <alignment horizontal="right" vertical="top"/>
    </xf>
    <xf numFmtId="0" fontId="101" fillId="0" borderId="0" xfId="0" applyFont="1" applyAlignment="1">
      <alignment horizontal="left"/>
    </xf>
    <xf numFmtId="0" fontId="0" fillId="0" borderId="0" xfId="0" applyAlignment="1">
      <alignment horizontal="center" vertical="center"/>
    </xf>
    <xf numFmtId="0" fontId="5" fillId="0" borderId="0" xfId="42939"/>
    <xf numFmtId="0" fontId="5" fillId="0" borderId="0" xfId="42939" applyAlignment="1">
      <alignment horizontal="center"/>
    </xf>
    <xf numFmtId="0" fontId="156" fillId="0" borderId="0" xfId="42939" applyFont="1"/>
    <xf numFmtId="0" fontId="154" fillId="0" borderId="43" xfId="80" applyFont="1" applyFill="1" applyBorder="1" applyAlignment="1">
      <alignment horizontal="left"/>
    </xf>
    <xf numFmtId="3" fontId="154" fillId="0" borderId="43" xfId="80" applyNumberFormat="1" applyFont="1" applyFill="1" applyBorder="1" applyAlignment="1">
      <alignment horizontal="right"/>
    </xf>
    <xf numFmtId="0" fontId="7" fillId="0" borderId="0" xfId="42939" applyFont="1"/>
    <xf numFmtId="0" fontId="100" fillId="61" borderId="0" xfId="42939" applyFont="1" applyFill="1" applyAlignment="1">
      <alignment horizontal="center" vertical="center" wrapText="1"/>
    </xf>
    <xf numFmtId="0" fontId="5" fillId="0" borderId="78" xfId="42939" applyBorder="1"/>
    <xf numFmtId="171" fontId="5" fillId="0" borderId="78" xfId="42939" applyNumberFormat="1" applyBorder="1"/>
    <xf numFmtId="171" fontId="5" fillId="86" borderId="78" xfId="42939" applyNumberFormat="1" applyFill="1" applyBorder="1"/>
    <xf numFmtId="0" fontId="105" fillId="0" borderId="0" xfId="40722" applyFont="1"/>
    <xf numFmtId="0" fontId="21" fillId="0" borderId="0" xfId="42939" applyFont="1"/>
    <xf numFmtId="0" fontId="150" fillId="0" borderId="0" xfId="0" applyFont="1"/>
    <xf numFmtId="1" fontId="5" fillId="0" borderId="78" xfId="42939" applyNumberFormat="1" applyBorder="1"/>
    <xf numFmtId="2" fontId="5" fillId="0" borderId="78" xfId="42939" applyNumberFormat="1" applyBorder="1"/>
    <xf numFmtId="0" fontId="13" fillId="0" borderId="0" xfId="0" applyFont="1" applyAlignment="1">
      <alignment vertical="center"/>
    </xf>
    <xf numFmtId="0" fontId="13" fillId="0" borderId="0" xfId="0" quotePrefix="1" applyFont="1" applyAlignment="1">
      <alignment vertical="center"/>
    </xf>
    <xf numFmtId="0" fontId="13" fillId="0" borderId="0" xfId="0" applyFont="1"/>
    <xf numFmtId="0" fontId="16" fillId="0" borderId="0" xfId="80" applyFont="1" applyFill="1" applyAlignment="1">
      <alignment horizontal="left" wrapText="1"/>
    </xf>
    <xf numFmtId="0" fontId="161" fillId="0" borderId="0" xfId="0" applyFont="1"/>
    <xf numFmtId="0" fontId="162" fillId="0" borderId="0" xfId="0" applyFont="1" applyAlignment="1">
      <alignment horizontal="left" vertical="center"/>
    </xf>
    <xf numFmtId="0" fontId="162" fillId="0" borderId="0" xfId="0" applyFont="1" applyAlignment="1">
      <alignment horizontal="center" vertical="center"/>
    </xf>
    <xf numFmtId="0" fontId="164" fillId="0" borderId="0" xfId="0" applyFont="1"/>
    <xf numFmtId="3" fontId="8" fillId="0" borderId="0" xfId="0" applyNumberFormat="1" applyFont="1"/>
    <xf numFmtId="0" fontId="0" fillId="0" borderId="25" xfId="0" applyBorder="1"/>
    <xf numFmtId="1" fontId="12" fillId="36" borderId="0" xfId="0" applyNumberFormat="1" applyFont="1" applyFill="1" applyAlignment="1">
      <alignment horizontal="left"/>
    </xf>
    <xf numFmtId="198" fontId="151" fillId="0" borderId="0" xfId="3" applyNumberFormat="1" applyFont="1" applyFill="1" applyAlignment="1">
      <alignment horizontal="right"/>
    </xf>
    <xf numFmtId="0" fontId="1" fillId="0" borderId="0" xfId="0" quotePrefix="1" applyFont="1" applyAlignment="1">
      <alignment horizontal="left"/>
    </xf>
    <xf numFmtId="202" fontId="0" fillId="0" borderId="25" xfId="3" applyNumberFormat="1" applyFont="1" applyFill="1" applyBorder="1" applyAlignment="1">
      <alignment horizontal="right"/>
    </xf>
    <xf numFmtId="202" fontId="8" fillId="0" borderId="25" xfId="3" applyNumberFormat="1" applyFont="1" applyFill="1" applyBorder="1" applyAlignment="1">
      <alignment horizontal="right"/>
    </xf>
    <xf numFmtId="0" fontId="162" fillId="0" borderId="0" xfId="0" applyFont="1" applyAlignment="1">
      <alignment horizontal="right" vertical="center"/>
    </xf>
    <xf numFmtId="0" fontId="1" fillId="88" borderId="0" xfId="0" applyFont="1" applyFill="1"/>
    <xf numFmtId="203" fontId="1" fillId="88" borderId="0" xfId="3" applyNumberFormat="1" applyFont="1" applyFill="1" applyAlignment="1">
      <alignment horizontal="right"/>
    </xf>
    <xf numFmtId="202" fontId="1" fillId="88" borderId="0" xfId="3" applyNumberFormat="1" applyFont="1" applyFill="1" applyAlignment="1">
      <alignment horizontal="right"/>
    </xf>
    <xf numFmtId="2" fontId="167" fillId="89" borderId="23" xfId="0" applyNumberFormat="1" applyFont="1" applyFill="1" applyBorder="1" applyAlignment="1">
      <alignment horizontal="right"/>
    </xf>
    <xf numFmtId="0" fontId="0" fillId="89" borderId="21" xfId="0" applyFill="1" applyBorder="1" applyAlignment="1">
      <alignment horizontal="right"/>
    </xf>
    <xf numFmtId="0" fontId="168" fillId="0" borderId="0" xfId="0" applyFont="1" applyAlignment="1">
      <alignment horizontal="left"/>
    </xf>
    <xf numFmtId="0" fontId="12" fillId="60" borderId="0" xfId="0" applyFont="1" applyFill="1" applyAlignment="1">
      <alignment horizontal="center" vertical="center"/>
    </xf>
    <xf numFmtId="167" fontId="0" fillId="4" borderId="0" xfId="3" applyNumberFormat="1" applyFont="1" applyFill="1" applyAlignment="1">
      <alignment vertical="center" wrapText="1"/>
    </xf>
    <xf numFmtId="167" fontId="1" fillId="4" borderId="0" xfId="0" applyNumberFormat="1" applyFont="1" applyFill="1" applyAlignment="1">
      <alignment vertical="center" wrapText="1"/>
    </xf>
    <xf numFmtId="44" fontId="0" fillId="4" borderId="0" xfId="0" applyNumberFormat="1" applyFill="1" applyAlignment="1">
      <alignment vertical="center" wrapText="1"/>
    </xf>
    <xf numFmtId="9" fontId="151" fillId="0" borderId="0" xfId="1" applyFont="1" applyFill="1" applyBorder="1" applyAlignment="1">
      <alignment horizontal="right" vertical="center"/>
    </xf>
    <xf numFmtId="0" fontId="164" fillId="0" borderId="0" xfId="0" applyFont="1" applyAlignment="1">
      <alignment horizontal="right" vertical="center"/>
    </xf>
    <xf numFmtId="3" fontId="8" fillId="2" borderId="0" xfId="0" applyNumberFormat="1" applyFont="1" applyFill="1"/>
    <xf numFmtId="206" fontId="151" fillId="2" borderId="0" xfId="3" applyNumberFormat="1" applyFont="1" applyFill="1" applyAlignment="1">
      <alignment horizontal="right"/>
    </xf>
    <xf numFmtId="0" fontId="42" fillId="0" borderId="0" xfId="0" applyFont="1" applyAlignment="1">
      <alignment horizontal="left" vertical="top" wrapText="1"/>
    </xf>
    <xf numFmtId="0" fontId="174" fillId="0" borderId="0" xfId="0" applyFont="1" applyAlignment="1">
      <alignment horizontal="right" vertical="center"/>
    </xf>
    <xf numFmtId="0" fontId="170" fillId="40" borderId="0" xfId="0" applyFont="1" applyFill="1"/>
    <xf numFmtId="0" fontId="171" fillId="40" borderId="0" xfId="0" applyFont="1" applyFill="1"/>
    <xf numFmtId="0" fontId="174" fillId="40" borderId="0" xfId="0" applyFont="1" applyFill="1" applyAlignment="1">
      <alignment horizontal="right" vertical="center"/>
    </xf>
    <xf numFmtId="0" fontId="174" fillId="40" borderId="0" xfId="0" applyFont="1" applyFill="1" applyAlignment="1">
      <alignment horizontal="center" vertical="center"/>
    </xf>
    <xf numFmtId="0" fontId="174" fillId="40" borderId="0" xfId="0" applyFont="1" applyFill="1" applyAlignment="1">
      <alignment horizontal="left" vertical="center" shrinkToFit="1"/>
    </xf>
    <xf numFmtId="0" fontId="174" fillId="40" borderId="0" xfId="0" applyFont="1" applyFill="1" applyAlignment="1">
      <alignment shrinkToFit="1"/>
    </xf>
    <xf numFmtId="0" fontId="174" fillId="40" borderId="0" xfId="0" applyFont="1" applyFill="1" applyAlignment="1">
      <alignment horizontal="right"/>
    </xf>
    <xf numFmtId="0" fontId="175" fillId="40" borderId="0" xfId="0" applyFont="1" applyFill="1" applyAlignment="1">
      <alignment horizontal="right"/>
    </xf>
    <xf numFmtId="0" fontId="174" fillId="40" borderId="0" xfId="0" applyFont="1" applyFill="1"/>
    <xf numFmtId="0" fontId="174" fillId="40" borderId="0" xfId="0" applyFont="1" applyFill="1" applyAlignment="1">
      <alignment horizontal="center"/>
    </xf>
    <xf numFmtId="0" fontId="171" fillId="40" borderId="0" xfId="7" applyFont="1" applyFill="1" applyBorder="1" applyAlignment="1">
      <alignment horizontal="center" wrapText="1"/>
    </xf>
    <xf numFmtId="0" fontId="171" fillId="40" borderId="0" xfId="7" applyFont="1" applyFill="1" applyBorder="1" applyAlignment="1">
      <alignment horizontal="center" vertical="center"/>
    </xf>
    <xf numFmtId="0" fontId="171" fillId="40" borderId="0" xfId="7" applyFont="1" applyFill="1" applyBorder="1" applyAlignment="1">
      <alignment horizontal="center" vertical="center" wrapText="1"/>
    </xf>
    <xf numFmtId="0" fontId="171" fillId="40" borderId="0" xfId="7" applyFont="1" applyFill="1" applyBorder="1" applyAlignment="1">
      <alignment horizontal="center" vertical="center" shrinkToFit="1"/>
    </xf>
    <xf numFmtId="0" fontId="171" fillId="40" borderId="0" xfId="7" applyFont="1" applyFill="1" applyBorder="1" applyAlignment="1">
      <alignment horizontal="center" shrinkToFit="1"/>
    </xf>
    <xf numFmtId="0" fontId="171" fillId="40" borderId="0" xfId="0" applyFont="1" applyFill="1" applyAlignment="1">
      <alignment horizontal="center" shrinkToFit="1"/>
    </xf>
    <xf numFmtId="0" fontId="175" fillId="40" borderId="0" xfId="0" applyFont="1" applyFill="1" applyAlignment="1">
      <alignment horizontal="center"/>
    </xf>
    <xf numFmtId="0" fontId="174" fillId="0" borderId="0" xfId="0" applyFont="1" applyAlignment="1">
      <alignment horizontal="center"/>
    </xf>
    <xf numFmtId="0" fontId="171" fillId="0" borderId="0" xfId="7" applyFont="1" applyFill="1" applyBorder="1" applyAlignment="1">
      <alignment horizontal="center" wrapText="1"/>
    </xf>
    <xf numFmtId="0" fontId="171" fillId="0" borderId="0" xfId="7" applyFont="1" applyFill="1" applyBorder="1" applyAlignment="1">
      <alignment horizontal="center" vertical="center"/>
    </xf>
    <xf numFmtId="0" fontId="171" fillId="0" borderId="0" xfId="7" applyFont="1" applyFill="1" applyBorder="1" applyAlignment="1">
      <alignment horizontal="center" vertical="center" wrapText="1"/>
    </xf>
    <xf numFmtId="0" fontId="171" fillId="0" borderId="0" xfId="7" applyFont="1" applyFill="1" applyBorder="1" applyAlignment="1">
      <alignment horizontal="center" vertical="center" shrinkToFit="1"/>
    </xf>
    <xf numFmtId="0" fontId="171" fillId="0" borderId="0" xfId="7" applyFont="1" applyFill="1" applyBorder="1" applyAlignment="1">
      <alignment horizontal="center" shrinkToFit="1"/>
    </xf>
    <xf numFmtId="0" fontId="171" fillId="0" borderId="0" xfId="0" applyFont="1" applyAlignment="1">
      <alignment horizontal="center" shrinkToFit="1"/>
    </xf>
    <xf numFmtId="0" fontId="175" fillId="0" borderId="0" xfId="0" applyFont="1" applyAlignment="1">
      <alignment horizontal="center"/>
    </xf>
    <xf numFmtId="0" fontId="172" fillId="40" borderId="0" xfId="0" applyFont="1" applyFill="1" applyAlignment="1">
      <alignment vertical="center"/>
    </xf>
    <xf numFmtId="0" fontId="172" fillId="40" borderId="0" xfId="0" applyFont="1" applyFill="1" applyAlignment="1">
      <alignment vertical="center" shrinkToFit="1"/>
    </xf>
    <xf numFmtId="0" fontId="172" fillId="40" borderId="0" xfId="0" applyFont="1" applyFill="1" applyAlignment="1">
      <alignment horizontal="left" vertical="center"/>
    </xf>
    <xf numFmtId="0" fontId="174" fillId="0" borderId="0" xfId="0" applyFont="1"/>
    <xf numFmtId="0" fontId="179" fillId="0" borderId="0" xfId="0" applyFont="1" applyAlignment="1">
      <alignment vertical="center"/>
    </xf>
    <xf numFmtId="0" fontId="174" fillId="0" borderId="0" xfId="0" applyFont="1" applyAlignment="1">
      <alignment horizontal="center" vertical="center"/>
    </xf>
    <xf numFmtId="0" fontId="174" fillId="0" borderId="0" xfId="0" applyFont="1" applyAlignment="1">
      <alignment horizontal="left" vertical="center" shrinkToFit="1"/>
    </xf>
    <xf numFmtId="0" fontId="174" fillId="0" borderId="0" xfId="0" applyFont="1" applyAlignment="1">
      <alignment shrinkToFit="1"/>
    </xf>
    <xf numFmtId="0" fontId="174" fillId="0" borderId="0" xfId="0" applyFont="1" applyAlignment="1">
      <alignment horizontal="right"/>
    </xf>
    <xf numFmtId="0" fontId="175" fillId="0" borderId="0" xfId="0" applyFont="1" applyAlignment="1">
      <alignment horizontal="right"/>
    </xf>
    <xf numFmtId="0" fontId="173" fillId="0" borderId="0" xfId="0" applyFont="1" applyAlignment="1">
      <alignment horizontal="left" vertical="center" wrapText="1"/>
    </xf>
    <xf numFmtId="0" fontId="173" fillId="0" borderId="0" xfId="0" applyFont="1" applyAlignment="1">
      <alignment horizontal="left" vertical="center" wrapText="1" indent="2"/>
    </xf>
    <xf numFmtId="0" fontId="174" fillId="0" borderId="0" xfId="0" applyFont="1" applyAlignment="1">
      <alignment horizontal="center" vertical="center" wrapText="1"/>
    </xf>
    <xf numFmtId="0" fontId="174" fillId="0" borderId="0" xfId="0" applyFont="1" applyAlignment="1">
      <alignment horizontal="left" wrapText="1" indent="4"/>
    </xf>
    <xf numFmtId="44" fontId="175" fillId="2" borderId="0" xfId="6" applyNumberFormat="1" applyFont="1" applyFill="1" applyBorder="1" applyAlignment="1">
      <alignment horizontal="right" vertical="center"/>
    </xf>
    <xf numFmtId="44" fontId="175" fillId="0" borderId="0" xfId="6" applyNumberFormat="1" applyFont="1" applyFill="1" applyBorder="1" applyAlignment="1">
      <alignment horizontal="right" vertical="center"/>
    </xf>
    <xf numFmtId="0" fontId="180" fillId="0" borderId="0" xfId="0" applyFont="1" applyAlignment="1">
      <alignment horizontal="center" vertical="center"/>
    </xf>
    <xf numFmtId="171" fontId="178" fillId="37" borderId="0" xfId="6" applyNumberFormat="1" applyFont="1" applyFill="1" applyBorder="1" applyAlignment="1">
      <alignment horizontal="right" vertical="center"/>
    </xf>
    <xf numFmtId="2" fontId="178" fillId="0" borderId="0" xfId="0" applyNumberFormat="1" applyFont="1"/>
    <xf numFmtId="0" fontId="175" fillId="0" borderId="0" xfId="0" applyFont="1" applyAlignment="1">
      <alignment horizontal="center" vertical="center"/>
    </xf>
    <xf numFmtId="0" fontId="173" fillId="0" borderId="0" xfId="0" applyFont="1" applyAlignment="1">
      <alignment horizontal="left" wrapText="1" indent="2"/>
    </xf>
    <xf numFmtId="171" fontId="175" fillId="0" borderId="0" xfId="0" applyNumberFormat="1" applyFont="1" applyAlignment="1">
      <alignment horizontal="right" vertical="center"/>
    </xf>
    <xf numFmtId="171" fontId="178" fillId="0" borderId="0" xfId="0" applyNumberFormat="1" applyFont="1" applyAlignment="1">
      <alignment horizontal="right" vertical="center"/>
    </xf>
    <xf numFmtId="0" fontId="174" fillId="0" borderId="0" xfId="0" applyFont="1" applyAlignment="1">
      <alignment horizontal="left" wrapText="1" indent="6"/>
    </xf>
    <xf numFmtId="172" fontId="174" fillId="0" borderId="0" xfId="0" applyNumberFormat="1" applyFont="1" applyAlignment="1">
      <alignment horizontal="left" vertical="center" shrinkToFit="1"/>
    </xf>
    <xf numFmtId="171" fontId="178" fillId="0" borderId="0" xfId="6" applyNumberFormat="1" applyFont="1" applyFill="1" applyBorder="1" applyAlignment="1">
      <alignment horizontal="right" vertical="center"/>
    </xf>
    <xf numFmtId="171" fontId="175" fillId="0" borderId="0" xfId="0" applyNumberFormat="1" applyFont="1" applyAlignment="1">
      <alignment horizontal="left" vertical="center"/>
    </xf>
    <xf numFmtId="171" fontId="178" fillId="0" borderId="0" xfId="0" applyNumberFormat="1" applyFont="1" applyAlignment="1">
      <alignment horizontal="left" vertical="center"/>
    </xf>
    <xf numFmtId="0" fontId="174" fillId="0" borderId="0" xfId="0" applyFont="1" applyAlignment="1">
      <alignment wrapText="1"/>
    </xf>
    <xf numFmtId="0" fontId="172" fillId="38" borderId="0" xfId="0" applyFont="1" applyFill="1" applyAlignment="1">
      <alignment vertical="center"/>
    </xf>
    <xf numFmtId="0" fontId="171" fillId="38" borderId="0" xfId="0" applyFont="1" applyFill="1" applyAlignment="1">
      <alignment vertical="center"/>
    </xf>
    <xf numFmtId="0" fontId="172" fillId="38" borderId="0" xfId="0" applyFont="1" applyFill="1" applyAlignment="1">
      <alignment vertical="center" shrinkToFit="1"/>
    </xf>
    <xf numFmtId="0" fontId="174" fillId="38" borderId="0" xfId="0" applyFont="1" applyFill="1" applyAlignment="1">
      <alignment horizontal="right"/>
    </xf>
    <xf numFmtId="0" fontId="174" fillId="38" borderId="0" xfId="0" applyFont="1" applyFill="1"/>
    <xf numFmtId="0" fontId="174" fillId="4" borderId="0" xfId="0" applyFont="1" applyFill="1" applyAlignment="1">
      <alignment horizontal="left" vertical="center" shrinkToFit="1"/>
    </xf>
    <xf numFmtId="0" fontId="174" fillId="4" borderId="0" xfId="0" applyFont="1" applyFill="1" applyAlignment="1">
      <alignment shrinkToFit="1"/>
    </xf>
    <xf numFmtId="0" fontId="174" fillId="4" borderId="0" xfId="0" applyFont="1" applyFill="1" applyAlignment="1">
      <alignment horizontal="right"/>
    </xf>
    <xf numFmtId="0" fontId="173" fillId="4" borderId="0" xfId="0" applyFont="1" applyFill="1" applyAlignment="1">
      <alignment horizontal="right" wrapText="1" shrinkToFit="1"/>
    </xf>
    <xf numFmtId="0" fontId="173" fillId="4" borderId="0" xfId="0" applyFont="1" applyFill="1" applyAlignment="1">
      <alignment horizontal="right"/>
    </xf>
    <xf numFmtId="44" fontId="179" fillId="0" borderId="0" xfId="6" applyNumberFormat="1" applyFont="1" applyFill="1" applyBorder="1" applyAlignment="1">
      <alignment horizontal="right" vertical="center"/>
    </xf>
    <xf numFmtId="165" fontId="181" fillId="0" borderId="0" xfId="1" applyNumberFormat="1" applyFont="1" applyBorder="1" applyAlignment="1">
      <alignment horizontal="right"/>
    </xf>
    <xf numFmtId="168" fontId="174" fillId="0" borderId="0" xfId="1" applyNumberFormat="1" applyFont="1" applyBorder="1" applyAlignment="1">
      <alignment horizontal="right"/>
    </xf>
    <xf numFmtId="165" fontId="175" fillId="0" borderId="0" xfId="0" applyNumberFormat="1" applyFont="1" applyAlignment="1">
      <alignment horizontal="right"/>
    </xf>
    <xf numFmtId="168" fontId="174" fillId="0" borderId="0" xfId="0" applyNumberFormat="1" applyFont="1" applyAlignment="1">
      <alignment horizontal="right"/>
    </xf>
    <xf numFmtId="165" fontId="180" fillId="0" borderId="0" xfId="0" applyNumberFormat="1" applyFont="1" applyAlignment="1">
      <alignment horizontal="right"/>
    </xf>
    <xf numFmtId="0" fontId="182" fillId="0" borderId="0" xfId="0" applyFont="1"/>
    <xf numFmtId="0" fontId="176" fillId="0" borderId="0" xfId="0" applyFont="1"/>
    <xf numFmtId="0" fontId="172" fillId="40" borderId="0" xfId="0" applyFont="1" applyFill="1"/>
    <xf numFmtId="0" fontId="171" fillId="40" borderId="0" xfId="0" applyFont="1" applyFill="1" applyAlignment="1">
      <alignment wrapText="1"/>
    </xf>
    <xf numFmtId="0" fontId="172" fillId="40" borderId="0" xfId="0" applyFont="1" applyFill="1" applyAlignment="1">
      <alignment horizontal="right" vertical="center"/>
    </xf>
    <xf numFmtId="0" fontId="172" fillId="40" borderId="0" xfId="0" applyFont="1" applyFill="1" applyAlignment="1">
      <alignment horizontal="center" vertical="center"/>
    </xf>
    <xf numFmtId="0" fontId="172" fillId="40" borderId="0" xfId="0" applyFont="1" applyFill="1" applyAlignment="1">
      <alignment horizontal="left" vertical="center" shrinkToFit="1"/>
    </xf>
    <xf numFmtId="0" fontId="172" fillId="40" borderId="0" xfId="0" applyFont="1" applyFill="1" applyAlignment="1">
      <alignment shrinkToFit="1"/>
    </xf>
    <xf numFmtId="0" fontId="172" fillId="40" borderId="0" xfId="0" applyFont="1" applyFill="1" applyAlignment="1">
      <alignment horizontal="right"/>
    </xf>
    <xf numFmtId="0" fontId="172" fillId="0" borderId="0" xfId="0" applyFont="1"/>
    <xf numFmtId="0" fontId="171" fillId="0" borderId="0" xfId="0" applyFont="1" applyAlignment="1">
      <alignment wrapText="1"/>
    </xf>
    <xf numFmtId="0" fontId="172" fillId="0" borderId="0" xfId="0" applyFont="1" applyAlignment="1">
      <alignment horizontal="right" vertical="center"/>
    </xf>
    <xf numFmtId="0" fontId="172" fillId="0" borderId="0" xfId="0" applyFont="1" applyAlignment="1">
      <alignment horizontal="center" vertical="center"/>
    </xf>
    <xf numFmtId="0" fontId="172" fillId="0" borderId="0" xfId="0" applyFont="1" applyAlignment="1">
      <alignment horizontal="left" vertical="center" shrinkToFit="1"/>
    </xf>
    <xf numFmtId="0" fontId="172" fillId="0" borderId="0" xfId="0" applyFont="1" applyAlignment="1">
      <alignment shrinkToFit="1"/>
    </xf>
    <xf numFmtId="0" fontId="172" fillId="0" borderId="0" xfId="0" applyFont="1" applyAlignment="1">
      <alignment horizontal="right"/>
    </xf>
    <xf numFmtId="0" fontId="175" fillId="0" borderId="0" xfId="0" applyFont="1"/>
    <xf numFmtId="0" fontId="175" fillId="0" borderId="0" xfId="0" applyFont="1" applyAlignment="1">
      <alignment horizontal="left" vertical="center"/>
    </xf>
    <xf numFmtId="0" fontId="176" fillId="0" borderId="0" xfId="0" applyFont="1" applyAlignment="1">
      <alignment horizontal="left"/>
    </xf>
    <xf numFmtId="171" fontId="174" fillId="0" borderId="0" xfId="0" applyNumberFormat="1" applyFont="1" applyAlignment="1">
      <alignment horizontal="right" vertical="center"/>
    </xf>
    <xf numFmtId="0" fontId="174" fillId="0" borderId="0" xfId="0" applyFont="1" applyAlignment="1">
      <alignment horizontal="left" vertical="center"/>
    </xf>
    <xf numFmtId="0" fontId="174" fillId="0" borderId="0" xfId="0" applyFont="1" applyAlignment="1">
      <alignment horizontal="left"/>
    </xf>
    <xf numFmtId="0" fontId="174" fillId="0" borderId="0" xfId="0" applyFont="1" applyAlignment="1">
      <alignment vertical="center"/>
    </xf>
    <xf numFmtId="2" fontId="179" fillId="2" borderId="29" xfId="0" applyNumberFormat="1" applyFont="1" applyFill="1" applyBorder="1" applyAlignment="1">
      <alignment horizontal="right" vertical="center"/>
    </xf>
    <xf numFmtId="0" fontId="174" fillId="0" borderId="0" xfId="0" applyFont="1" applyAlignment="1">
      <alignment vertical="center" wrapText="1" shrinkToFit="1"/>
    </xf>
    <xf numFmtId="2" fontId="179" fillId="2" borderId="31" xfId="0" applyNumberFormat="1" applyFont="1" applyFill="1" applyBorder="1" applyAlignment="1">
      <alignment horizontal="right" vertical="center"/>
    </xf>
    <xf numFmtId="0" fontId="177" fillId="0" borderId="0" xfId="19" applyFont="1" applyBorder="1" applyAlignment="1" applyProtection="1">
      <alignment wrapText="1" shrinkToFit="1"/>
    </xf>
    <xf numFmtId="0" fontId="174" fillId="0" borderId="0" xfId="0" applyFont="1" applyAlignment="1">
      <alignment horizontal="left" vertical="center" indent="3"/>
    </xf>
    <xf numFmtId="0" fontId="174" fillId="0" borderId="0" xfId="0" applyFont="1" applyAlignment="1">
      <alignment wrapText="1" shrinkToFit="1"/>
    </xf>
    <xf numFmtId="0" fontId="177" fillId="0" borderId="0" xfId="19" applyFont="1" applyBorder="1" applyAlignment="1" applyProtection="1">
      <alignment shrinkToFit="1"/>
    </xf>
    <xf numFmtId="0" fontId="100" fillId="40" borderId="0" xfId="0" applyFont="1" applyFill="1" applyAlignment="1">
      <alignment vertical="top"/>
    </xf>
    <xf numFmtId="172" fontId="42" fillId="2" borderId="0" xfId="0" applyNumberFormat="1" applyFont="1" applyFill="1"/>
    <xf numFmtId="0" fontId="42" fillId="2" borderId="0" xfId="0" applyFont="1" applyFill="1"/>
    <xf numFmtId="176" fontId="39" fillId="0" borderId="0" xfId="0" applyNumberFormat="1" applyFont="1" applyAlignment="1">
      <alignment vertical="top"/>
    </xf>
    <xf numFmtId="0" fontId="102" fillId="0" borderId="0" xfId="0" applyFont="1" applyAlignment="1">
      <alignment horizontal="center"/>
    </xf>
    <xf numFmtId="165" fontId="104" fillId="0" borderId="0" xfId="0" applyNumberFormat="1" applyFont="1" applyAlignment="1">
      <alignment horizontal="center"/>
    </xf>
    <xf numFmtId="176" fontId="0" fillId="0" borderId="0" xfId="0" applyNumberFormat="1" applyAlignment="1">
      <alignment horizontal="center"/>
    </xf>
    <xf numFmtId="176" fontId="0" fillId="4" borderId="0" xfId="0" applyNumberFormat="1" applyFill="1" applyAlignment="1">
      <alignment horizontal="center"/>
    </xf>
    <xf numFmtId="0" fontId="3" fillId="0" borderId="0" xfId="0" applyFont="1"/>
    <xf numFmtId="0" fontId="3" fillId="0" borderId="0" xfId="0" applyFont="1" applyAlignment="1">
      <alignment vertical="center"/>
    </xf>
    <xf numFmtId="0" fontId="184" fillId="0" borderId="0" xfId="0" applyFont="1" applyAlignment="1">
      <alignment vertical="center"/>
    </xf>
    <xf numFmtId="0" fontId="3" fillId="3" borderId="0" xfId="0" applyFont="1" applyFill="1" applyAlignment="1">
      <alignment vertical="center"/>
    </xf>
    <xf numFmtId="0" fontId="3" fillId="3" borderId="84" xfId="0" applyFont="1" applyFill="1" applyBorder="1" applyAlignment="1">
      <alignment vertical="center"/>
    </xf>
    <xf numFmtId="0" fontId="3" fillId="3" borderId="0" xfId="0" applyFont="1" applyFill="1"/>
    <xf numFmtId="0" fontId="3" fillId="0" borderId="0" xfId="0" applyFont="1" applyAlignment="1">
      <alignment horizontal="center"/>
    </xf>
    <xf numFmtId="3" fontId="185" fillId="0" borderId="84" xfId="0" applyNumberFormat="1" applyFont="1" applyBorder="1" applyAlignment="1">
      <alignment horizontal="center" vertical="center"/>
    </xf>
    <xf numFmtId="1" fontId="3" fillId="0" borderId="0" xfId="0" applyNumberFormat="1" applyFont="1" applyAlignment="1">
      <alignment vertical="center"/>
    </xf>
    <xf numFmtId="3" fontId="5" fillId="3" borderId="84" xfId="0" applyNumberFormat="1" applyFont="1" applyFill="1" applyBorder="1" applyAlignment="1">
      <alignment horizontal="center" vertical="center"/>
    </xf>
    <xf numFmtId="0" fontId="5" fillId="3" borderId="0" xfId="0" applyFont="1" applyFill="1" applyAlignment="1">
      <alignment horizontal="center"/>
    </xf>
    <xf numFmtId="205" fontId="5" fillId="3" borderId="84" xfId="0" applyNumberFormat="1" applyFont="1" applyFill="1" applyBorder="1" applyAlignment="1">
      <alignment horizontal="center" vertical="center"/>
    </xf>
    <xf numFmtId="0" fontId="186" fillId="0" borderId="25" xfId="0" applyFont="1" applyBorder="1"/>
    <xf numFmtId="0" fontId="3" fillId="0" borderId="25" xfId="0" applyFont="1" applyBorder="1"/>
    <xf numFmtId="0" fontId="188" fillId="0" borderId="0" xfId="0" applyFont="1" applyAlignment="1">
      <alignment vertical="top"/>
    </xf>
    <xf numFmtId="0" fontId="189" fillId="0" borderId="0" xfId="0" applyFont="1" applyAlignment="1">
      <alignment vertical="top"/>
    </xf>
    <xf numFmtId="0" fontId="189" fillId="0" borderId="0" xfId="0" applyFont="1" applyAlignment="1">
      <alignment horizontal="center" vertical="top"/>
    </xf>
    <xf numFmtId="0" fontId="0" fillId="0" borderId="80" xfId="0" applyBorder="1"/>
    <xf numFmtId="0" fontId="0" fillId="0" borderId="79" xfId="0" applyBorder="1"/>
    <xf numFmtId="0" fontId="0" fillId="0" borderId="81" xfId="0" applyBorder="1"/>
    <xf numFmtId="0" fontId="189" fillId="0" borderId="25" xfId="0" applyFont="1" applyBorder="1" applyAlignment="1">
      <alignment horizontal="center" vertical="top"/>
    </xf>
    <xf numFmtId="0" fontId="188" fillId="0" borderId="25" xfId="0" applyFont="1" applyBorder="1" applyAlignment="1">
      <alignment horizontal="center" vertical="top"/>
    </xf>
    <xf numFmtId="0" fontId="0" fillId="0" borderId="83" xfId="0" applyBorder="1"/>
    <xf numFmtId="0" fontId="190" fillId="0" borderId="0" xfId="0" applyFont="1" applyAlignment="1">
      <alignment horizontal="center" vertical="top"/>
    </xf>
    <xf numFmtId="0" fontId="188" fillId="0" borderId="0" xfId="0" applyFont="1" applyAlignment="1">
      <alignment horizontal="center" vertical="top"/>
    </xf>
    <xf numFmtId="10" fontId="189" fillId="0" borderId="0" xfId="0" applyNumberFormat="1" applyFont="1" applyAlignment="1">
      <alignment horizontal="center" vertical="top"/>
    </xf>
    <xf numFmtId="10" fontId="188" fillId="0" borderId="0" xfId="0" applyNumberFormat="1" applyFont="1" applyAlignment="1">
      <alignment horizontal="center" vertical="top"/>
    </xf>
    <xf numFmtId="0" fontId="0" fillId="0" borderId="25" xfId="0" applyBorder="1" applyAlignment="1">
      <alignment horizontal="center"/>
    </xf>
    <xf numFmtId="0" fontId="0" fillId="0" borderId="77" xfId="0" applyBorder="1"/>
    <xf numFmtId="0" fontId="0" fillId="0" borderId="82" xfId="0" applyBorder="1"/>
    <xf numFmtId="0" fontId="100" fillId="87" borderId="24" xfId="0" applyFont="1" applyFill="1" applyBorder="1" applyAlignment="1">
      <alignment horizontal="center" vertical="center" wrapText="1"/>
    </xf>
    <xf numFmtId="3" fontId="3" fillId="0" borderId="0" xfId="0" applyNumberFormat="1" applyFont="1" applyAlignment="1">
      <alignment vertical="center"/>
    </xf>
    <xf numFmtId="0" fontId="3" fillId="0" borderId="0" xfId="0" applyFont="1" applyAlignment="1">
      <alignment horizontal="left"/>
    </xf>
    <xf numFmtId="0" fontId="186" fillId="0" borderId="25" xfId="0" applyFont="1" applyBorder="1" applyAlignment="1">
      <alignment horizontal="right" vertical="center" wrapText="1" indent="3"/>
    </xf>
    <xf numFmtId="3" fontId="3" fillId="0" borderId="0" xfId="0" applyNumberFormat="1" applyFont="1" applyAlignment="1">
      <alignment horizontal="right" indent="2"/>
    </xf>
    <xf numFmtId="0" fontId="17" fillId="40" borderId="0" xfId="0" applyFont="1" applyFill="1" applyAlignment="1">
      <alignment vertical="top"/>
    </xf>
    <xf numFmtId="0" fontId="19" fillId="40" borderId="0" xfId="0" applyFont="1" applyFill="1" applyAlignment="1">
      <alignment horizontal="center" vertical="top"/>
    </xf>
    <xf numFmtId="0" fontId="19" fillId="40" borderId="0" xfId="0" applyFont="1" applyFill="1" applyAlignment="1">
      <alignment horizontal="center" vertical="top" wrapText="1" shrinkToFit="1"/>
    </xf>
    <xf numFmtId="0" fontId="191" fillId="40" borderId="0" xfId="0" applyFont="1" applyFill="1" applyAlignment="1">
      <alignment vertical="top"/>
    </xf>
    <xf numFmtId="0" fontId="19" fillId="40" borderId="0" xfId="0" applyFont="1" applyFill="1" applyAlignment="1">
      <alignment vertical="top"/>
    </xf>
    <xf numFmtId="0" fontId="18" fillId="0" borderId="0" xfId="0" applyFont="1" applyAlignment="1">
      <alignment vertical="top"/>
    </xf>
    <xf numFmtId="0" fontId="15" fillId="0" borderId="0" xfId="0" applyFont="1" applyAlignment="1">
      <alignment vertical="top"/>
    </xf>
    <xf numFmtId="0" fontId="18" fillId="0" borderId="0" xfId="0" applyFont="1" applyAlignment="1">
      <alignment horizontal="center" vertical="top"/>
    </xf>
    <xf numFmtId="0" fontId="18" fillId="0" borderId="0" xfId="0" applyFont="1" applyAlignment="1">
      <alignment horizontal="center" vertical="top" wrapText="1" shrinkToFit="1"/>
    </xf>
    <xf numFmtId="0" fontId="191" fillId="0" borderId="0" xfId="0" applyFont="1" applyAlignment="1">
      <alignment vertical="top"/>
    </xf>
    <xf numFmtId="0" fontId="15" fillId="0" borderId="0" xfId="0" applyFont="1" applyAlignment="1">
      <alignment horizontal="center" vertical="top"/>
    </xf>
    <xf numFmtId="168" fontId="193" fillId="0" borderId="0" xfId="1" applyNumberFormat="1" applyFont="1" applyBorder="1" applyAlignment="1">
      <alignment vertical="top"/>
    </xf>
    <xf numFmtId="0" fontId="193" fillId="0" borderId="0" xfId="0" applyFont="1" applyAlignment="1">
      <alignment vertical="top"/>
    </xf>
    <xf numFmtId="171" fontId="15" fillId="0" borderId="0" xfId="0" applyNumberFormat="1" applyFont="1" applyAlignment="1">
      <alignment horizontal="center" vertical="top"/>
    </xf>
    <xf numFmtId="5" fontId="193" fillId="0" borderId="0" xfId="0" applyNumberFormat="1" applyFont="1" applyAlignment="1">
      <alignment vertical="top"/>
    </xf>
    <xf numFmtId="0" fontId="192" fillId="0" borderId="0" xfId="19" applyFont="1" applyAlignment="1" applyProtection="1">
      <alignment horizontal="left" vertical="top" wrapText="1" shrinkToFit="1"/>
    </xf>
    <xf numFmtId="0" fontId="15" fillId="0" borderId="0" xfId="0" applyFont="1" applyAlignment="1">
      <alignment horizontal="left" vertical="top" indent="2"/>
    </xf>
    <xf numFmtId="175" fontId="15" fillId="0" borderId="0" xfId="0" applyNumberFormat="1" applyFont="1" applyAlignment="1">
      <alignment horizontal="center" vertical="top"/>
    </xf>
    <xf numFmtId="0" fontId="15" fillId="0" borderId="0" xfId="0" applyFont="1" applyAlignment="1">
      <alignment horizontal="left" vertical="top"/>
    </xf>
    <xf numFmtId="176" fontId="15" fillId="0" borderId="0" xfId="1" applyNumberFormat="1" applyFont="1" applyFill="1" applyAlignment="1">
      <alignment horizontal="right" vertical="top"/>
    </xf>
    <xf numFmtId="0" fontId="15" fillId="0" borderId="0" xfId="0" applyFont="1" applyAlignment="1">
      <alignment horizontal="left" vertical="top" wrapText="1" indent="2"/>
    </xf>
    <xf numFmtId="167" fontId="15" fillId="0" borderId="0" xfId="3" applyNumberFormat="1" applyFont="1" applyFill="1" applyAlignment="1">
      <alignment horizontal="center" vertical="top"/>
    </xf>
    <xf numFmtId="0" fontId="192" fillId="0" borderId="0" xfId="19" applyFont="1" applyAlignment="1" applyProtection="1">
      <alignment vertical="top" wrapText="1" shrinkToFit="1"/>
    </xf>
    <xf numFmtId="167" fontId="193" fillId="0" borderId="0" xfId="3" applyNumberFormat="1" applyFont="1" applyFill="1" applyBorder="1" applyAlignment="1">
      <alignment horizontal="center" vertical="top"/>
    </xf>
    <xf numFmtId="0" fontId="16" fillId="0" borderId="0" xfId="19" applyFont="1" applyAlignment="1" applyProtection="1">
      <alignment vertical="top"/>
    </xf>
    <xf numFmtId="0" fontId="16" fillId="0" borderId="0" xfId="20" applyFont="1" applyAlignment="1">
      <alignment vertical="top"/>
    </xf>
    <xf numFmtId="0" fontId="15" fillId="0" borderId="0" xfId="20" applyFont="1" applyAlignment="1">
      <alignment vertical="top"/>
    </xf>
    <xf numFmtId="0" fontId="7" fillId="0" borderId="0" xfId="19" applyFont="1" applyAlignment="1" applyProtection="1">
      <alignment vertical="top"/>
    </xf>
    <xf numFmtId="0" fontId="195" fillId="0" borderId="0" xfId="0" applyFont="1" applyAlignment="1">
      <alignment vertical="top"/>
    </xf>
    <xf numFmtId="0" fontId="18" fillId="0" borderId="0" xfId="20" applyFont="1" applyAlignment="1">
      <alignment vertical="top"/>
    </xf>
    <xf numFmtId="0" fontId="192" fillId="0" borderId="0" xfId="19" applyFont="1" applyAlignment="1" applyProtection="1">
      <alignment vertical="top"/>
    </xf>
    <xf numFmtId="0" fontId="7" fillId="0" borderId="0" xfId="20" applyFont="1" applyAlignment="1">
      <alignment vertical="top"/>
    </xf>
    <xf numFmtId="0" fontId="17" fillId="38" borderId="0" xfId="0" applyFont="1" applyFill="1" applyAlignment="1">
      <alignment vertical="top"/>
    </xf>
    <xf numFmtId="0" fontId="19" fillId="38" borderId="0" xfId="0" applyFont="1" applyFill="1" applyAlignment="1">
      <alignment vertical="top"/>
    </xf>
    <xf numFmtId="0" fontId="191" fillId="38" borderId="0" xfId="0" applyFont="1" applyFill="1" applyAlignment="1">
      <alignment vertical="top"/>
    </xf>
    <xf numFmtId="0" fontId="195" fillId="0" borderId="0" xfId="0" applyFont="1" applyAlignment="1">
      <alignment horizontal="right" vertical="top"/>
    </xf>
    <xf numFmtId="0" fontId="18" fillId="0" borderId="0" xfId="0" applyFont="1" applyAlignment="1">
      <alignment horizontal="right" vertical="top"/>
    </xf>
    <xf numFmtId="0" fontId="196" fillId="0" borderId="0" xfId="0" applyFont="1" applyAlignment="1">
      <alignment vertical="top"/>
    </xf>
    <xf numFmtId="9" fontId="193" fillId="0" borderId="0" xfId="1" applyFont="1" applyAlignment="1">
      <alignment horizontal="left" vertical="top"/>
    </xf>
    <xf numFmtId="0" fontId="7" fillId="0" borderId="0" xfId="19" applyFont="1" applyBorder="1" applyAlignment="1" applyProtection="1">
      <alignment vertical="top"/>
    </xf>
    <xf numFmtId="167" fontId="15" fillId="0" borderId="0" xfId="0" applyNumberFormat="1" applyFont="1" applyAlignment="1">
      <alignment vertical="top"/>
    </xf>
    <xf numFmtId="165" fontId="193" fillId="0" borderId="0" xfId="0" applyNumberFormat="1" applyFont="1" applyAlignment="1">
      <alignment vertical="top"/>
    </xf>
    <xf numFmtId="177" fontId="15" fillId="0" borderId="0" xfId="0" applyNumberFormat="1" applyFont="1" applyAlignment="1">
      <alignment vertical="top"/>
    </xf>
    <xf numFmtId="44" fontId="15" fillId="0" borderId="0" xfId="0" applyNumberFormat="1" applyFont="1" applyAlignment="1">
      <alignment vertical="top"/>
    </xf>
    <xf numFmtId="167" fontId="195" fillId="0" borderId="0" xfId="0" applyNumberFormat="1" applyFont="1" applyAlignment="1">
      <alignment vertical="top"/>
    </xf>
    <xf numFmtId="9" fontId="191" fillId="0" borderId="0" xfId="1" applyFont="1" applyAlignment="1">
      <alignment horizontal="left" vertical="top"/>
    </xf>
    <xf numFmtId="0" fontId="15" fillId="0" borderId="0" xfId="0" applyFont="1" applyAlignment="1">
      <alignment horizontal="right" vertical="center"/>
    </xf>
    <xf numFmtId="165" fontId="197" fillId="0" borderId="0" xfId="0" applyNumberFormat="1" applyFont="1" applyAlignment="1">
      <alignment vertical="center"/>
    </xf>
    <xf numFmtId="178" fontId="15" fillId="0" borderId="0" xfId="2" applyNumberFormat="1" applyFont="1" applyAlignment="1">
      <alignment vertical="top"/>
    </xf>
    <xf numFmtId="166" fontId="195" fillId="0" borderId="0" xfId="20" applyNumberFormat="1" applyFont="1" applyAlignment="1">
      <alignment horizontal="center" vertical="top"/>
    </xf>
    <xf numFmtId="167" fontId="198" fillId="0" borderId="0" xfId="20" applyNumberFormat="1" applyFont="1" applyAlignment="1">
      <alignment vertical="top"/>
    </xf>
    <xf numFmtId="44" fontId="7" fillId="0" borderId="0" xfId="20" applyNumberFormat="1" applyFont="1" applyAlignment="1">
      <alignment vertical="top"/>
    </xf>
    <xf numFmtId="0" fontId="199" fillId="0" borderId="0" xfId="20" applyFont="1" applyAlignment="1">
      <alignment vertical="top"/>
    </xf>
    <xf numFmtId="0" fontId="195" fillId="0" borderId="0" xfId="0" applyFont="1" applyAlignment="1">
      <alignment vertical="center"/>
    </xf>
    <xf numFmtId="0" fontId="17" fillId="40" borderId="0" xfId="0" applyFont="1" applyFill="1" applyAlignment="1">
      <alignment vertical="top" wrapText="1"/>
    </xf>
    <xf numFmtId="0" fontId="19" fillId="40" borderId="0" xfId="0" applyFont="1" applyFill="1" applyAlignment="1">
      <alignment horizontal="left" vertical="top"/>
    </xf>
    <xf numFmtId="0" fontId="17" fillId="41" borderId="0" xfId="0" applyFont="1" applyFill="1" applyAlignment="1">
      <alignment vertical="top"/>
    </xf>
    <xf numFmtId="0" fontId="19" fillId="41" borderId="0" xfId="0" applyFont="1" applyFill="1" applyAlignment="1">
      <alignment vertical="top"/>
    </xf>
    <xf numFmtId="0" fontId="98" fillId="0" borderId="0" xfId="0" applyFont="1" applyAlignment="1">
      <alignment vertical="top"/>
    </xf>
    <xf numFmtId="0" fontId="42" fillId="4" borderId="0" xfId="0" applyFont="1" applyFill="1" applyAlignment="1">
      <alignment vertical="top" wrapText="1"/>
    </xf>
    <xf numFmtId="0" fontId="41" fillId="42" borderId="0" xfId="0" applyFont="1" applyFill="1" applyAlignment="1">
      <alignment vertical="top" wrapText="1"/>
    </xf>
    <xf numFmtId="165" fontId="41" fillId="42" borderId="0" xfId="0" applyNumberFormat="1" applyFont="1" applyFill="1" applyAlignment="1">
      <alignment vertical="top"/>
    </xf>
    <xf numFmtId="0" fontId="41" fillId="42" borderId="0" xfId="0" applyFont="1" applyFill="1" applyAlignment="1">
      <alignment vertical="top"/>
    </xf>
    <xf numFmtId="0" fontId="41" fillId="42" borderId="0" xfId="0" applyFont="1" applyFill="1"/>
    <xf numFmtId="0" fontId="42" fillId="0" borderId="0" xfId="0" applyFont="1" applyAlignment="1">
      <alignment horizontal="right" vertical="top"/>
    </xf>
    <xf numFmtId="0" fontId="27" fillId="0" borderId="0" xfId="0" applyFont="1" applyAlignment="1">
      <alignment horizontal="right" vertical="top"/>
    </xf>
    <xf numFmtId="0" fontId="5" fillId="0" borderId="0" xfId="0" applyFont="1" applyAlignment="1">
      <alignment horizontal="center" vertical="center"/>
    </xf>
    <xf numFmtId="0" fontId="156" fillId="4" borderId="0" xfId="0" applyFont="1" applyFill="1" applyAlignment="1">
      <alignment horizontal="left" vertical="center"/>
    </xf>
    <xf numFmtId="2" fontId="5" fillId="4" borderId="0" xfId="0" applyNumberFormat="1" applyFont="1" applyFill="1" applyAlignment="1">
      <alignment vertical="center"/>
    </xf>
    <xf numFmtId="2" fontId="5" fillId="4" borderId="0" xfId="0" applyNumberFormat="1" applyFont="1" applyFill="1" applyAlignment="1">
      <alignment horizontal="right" vertical="center"/>
    </xf>
    <xf numFmtId="0" fontId="5" fillId="4" borderId="0" xfId="0" applyFont="1" applyFill="1" applyAlignment="1">
      <alignment horizontal="right" vertical="center"/>
    </xf>
    <xf numFmtId="0" fontId="5" fillId="4" borderId="0" xfId="0" applyFont="1" applyFill="1" applyAlignment="1">
      <alignment vertical="center"/>
    </xf>
    <xf numFmtId="0" fontId="5" fillId="4" borderId="0" xfId="0" applyFont="1" applyFill="1" applyAlignment="1">
      <alignment horizontal="center" vertical="center"/>
    </xf>
    <xf numFmtId="0" fontId="5" fillId="0" borderId="0" xfId="0" applyFont="1" applyAlignment="1">
      <alignment horizontal="right" vertical="center"/>
    </xf>
    <xf numFmtId="0" fontId="200" fillId="4" borderId="0" xfId="0" applyFont="1" applyFill="1" applyAlignment="1">
      <alignment vertical="center"/>
    </xf>
    <xf numFmtId="9" fontId="5" fillId="4" borderId="0" xfId="0" applyNumberFormat="1" applyFont="1" applyFill="1" applyAlignment="1">
      <alignment horizontal="right" vertical="center"/>
    </xf>
    <xf numFmtId="0" fontId="156" fillId="2" borderId="92" xfId="0" applyFont="1" applyFill="1" applyBorder="1" applyAlignment="1">
      <alignment horizontal="left" vertical="center"/>
    </xf>
    <xf numFmtId="0" fontId="5" fillId="0" borderId="90" xfId="0" applyFont="1" applyBorder="1" applyAlignment="1">
      <alignment vertical="center"/>
    </xf>
    <xf numFmtId="166" fontId="5" fillId="4" borderId="0" xfId="3" applyNumberFormat="1" applyFont="1" applyFill="1" applyBorder="1" applyAlignment="1">
      <alignment horizontal="right" vertical="center"/>
    </xf>
    <xf numFmtId="166" fontId="5" fillId="4" borderId="0" xfId="0" applyNumberFormat="1" applyFont="1" applyFill="1" applyAlignment="1">
      <alignment horizontal="right" vertical="center"/>
    </xf>
    <xf numFmtId="171" fontId="5" fillId="4" borderId="0" xfId="0" applyNumberFormat="1" applyFont="1" applyFill="1" applyAlignment="1">
      <alignment horizontal="right" vertical="center"/>
    </xf>
    <xf numFmtId="0" fontId="5" fillId="0" borderId="62" xfId="0" applyFont="1" applyBorder="1" applyAlignment="1">
      <alignment vertical="center"/>
    </xf>
    <xf numFmtId="0" fontId="156" fillId="0" borderId="55" xfId="0" applyFont="1" applyBorder="1" applyAlignment="1">
      <alignment vertical="center"/>
    </xf>
    <xf numFmtId="0" fontId="156" fillId="0" borderId="86" xfId="0" applyFont="1" applyBorder="1" applyAlignment="1">
      <alignment vertical="center"/>
    </xf>
    <xf numFmtId="0" fontId="156" fillId="2" borderId="55" xfId="0" applyFont="1" applyFill="1" applyBorder="1" applyAlignment="1">
      <alignment vertical="center"/>
    </xf>
    <xf numFmtId="0" fontId="100" fillId="36" borderId="50" xfId="0" applyFont="1" applyFill="1" applyBorder="1" applyAlignment="1">
      <alignment vertical="center"/>
    </xf>
    <xf numFmtId="0" fontId="5" fillId="4" borderId="53" xfId="0" applyFont="1" applyFill="1" applyBorder="1" applyAlignment="1">
      <alignment vertical="center"/>
    </xf>
    <xf numFmtId="0" fontId="5" fillId="0" borderId="53" xfId="0" applyFont="1" applyBorder="1" applyAlignment="1">
      <alignment vertical="center"/>
    </xf>
    <xf numFmtId="0" fontId="5" fillId="4" borderId="55" xfId="0" applyFont="1" applyFill="1" applyBorder="1" applyAlignment="1">
      <alignment vertical="center"/>
    </xf>
    <xf numFmtId="0" fontId="100" fillId="36" borderId="51" xfId="0" applyFont="1" applyFill="1" applyBorder="1" applyAlignment="1">
      <alignment horizontal="center" vertical="center"/>
    </xf>
    <xf numFmtId="0" fontId="5" fillId="0" borderId="0" xfId="0" applyFont="1" applyAlignment="1">
      <alignment vertical="center"/>
    </xf>
    <xf numFmtId="0" fontId="156" fillId="2" borderId="53" xfId="0" applyFont="1" applyFill="1" applyBorder="1" applyAlignment="1">
      <alignment vertical="center"/>
    </xf>
    <xf numFmtId="0" fontId="156" fillId="58" borderId="53" xfId="0" applyFont="1" applyFill="1" applyBorder="1" applyAlignment="1">
      <alignment vertical="center"/>
    </xf>
    <xf numFmtId="0" fontId="5" fillId="0" borderId="55" xfId="0" applyFont="1" applyBorder="1" applyAlignment="1">
      <alignment vertical="center"/>
    </xf>
    <xf numFmtId="0" fontId="5" fillId="0" borderId="56" xfId="0" applyFont="1" applyBorder="1" applyAlignment="1">
      <alignment horizontal="center" vertical="center"/>
    </xf>
    <xf numFmtId="166" fontId="3" fillId="0" borderId="0" xfId="40722" applyNumberFormat="1" applyFont="1"/>
    <xf numFmtId="9" fontId="186" fillId="0" borderId="0" xfId="40803" applyFont="1" applyFill="1" applyBorder="1" applyAlignment="1">
      <alignment horizontal="center"/>
    </xf>
    <xf numFmtId="9" fontId="186" fillId="0" borderId="0" xfId="40803" applyFont="1" applyFill="1" applyBorder="1" applyAlignment="1">
      <alignment horizontal="center" vertical="center"/>
    </xf>
    <xf numFmtId="0" fontId="100" fillId="60" borderId="60" xfId="0" applyFont="1" applyFill="1" applyBorder="1" applyAlignment="1">
      <alignment horizontal="left" vertical="center"/>
    </xf>
    <xf numFmtId="0" fontId="100" fillId="60" borderId="60" xfId="0" applyFont="1" applyFill="1" applyBorder="1" applyAlignment="1">
      <alignment horizontal="center" vertical="center"/>
    </xf>
    <xf numFmtId="0" fontId="100" fillId="60" borderId="61" xfId="0" applyFont="1" applyFill="1" applyBorder="1" applyAlignment="1">
      <alignment horizontal="right" vertical="center"/>
    </xf>
    <xf numFmtId="0" fontId="3" fillId="0" borderId="0" xfId="0" applyFont="1" applyAlignment="1">
      <alignment horizontal="right"/>
    </xf>
    <xf numFmtId="0" fontId="3" fillId="3" borderId="0" xfId="0" applyFont="1" applyFill="1" applyAlignment="1">
      <alignment horizontal="center"/>
    </xf>
    <xf numFmtId="3" fontId="3" fillId="3" borderId="0" xfId="0" applyNumberFormat="1" applyFont="1" applyFill="1" applyAlignment="1">
      <alignment horizontal="right"/>
    </xf>
    <xf numFmtId="190" fontId="3" fillId="3" borderId="0" xfId="0" applyNumberFormat="1" applyFont="1" applyFill="1" applyAlignment="1">
      <alignment horizontal="right"/>
    </xf>
    <xf numFmtId="3" fontId="3" fillId="0" borderId="0" xfId="0" applyNumberFormat="1" applyFont="1" applyAlignment="1">
      <alignment horizontal="right"/>
    </xf>
    <xf numFmtId="2" fontId="3" fillId="3" borderId="0" xfId="0" applyNumberFormat="1" applyFont="1" applyFill="1" applyAlignment="1">
      <alignment horizontal="right"/>
    </xf>
    <xf numFmtId="0" fontId="3" fillId="3" borderId="25" xfId="0" applyFont="1" applyFill="1" applyBorder="1"/>
    <xf numFmtId="0" fontId="3" fillId="3" borderId="25" xfId="0" applyFont="1" applyFill="1" applyBorder="1" applyAlignment="1">
      <alignment horizontal="center"/>
    </xf>
    <xf numFmtId="2" fontId="3" fillId="3" borderId="25" xfId="0" applyNumberFormat="1" applyFont="1" applyFill="1" applyBorder="1" applyAlignment="1">
      <alignment horizontal="right"/>
    </xf>
    <xf numFmtId="4" fontId="3" fillId="3" borderId="0" xfId="0" applyNumberFormat="1" applyFont="1" applyFill="1" applyAlignment="1">
      <alignment horizontal="right"/>
    </xf>
    <xf numFmtId="199" fontId="3" fillId="3" borderId="0" xfId="0" applyNumberFormat="1" applyFont="1" applyFill="1" applyAlignment="1">
      <alignment horizontal="right"/>
    </xf>
    <xf numFmtId="2" fontId="3" fillId="3" borderId="0" xfId="0" applyNumberFormat="1" applyFont="1" applyFill="1"/>
    <xf numFmtId="2" fontId="3" fillId="3" borderId="25" xfId="0" applyNumberFormat="1" applyFont="1" applyFill="1" applyBorder="1"/>
    <xf numFmtId="4" fontId="3" fillId="3" borderId="25" xfId="0" applyNumberFormat="1" applyFont="1" applyFill="1" applyBorder="1" applyAlignment="1">
      <alignment horizontal="right"/>
    </xf>
    <xf numFmtId="0" fontId="100" fillId="36" borderId="51" xfId="0" applyFont="1" applyFill="1" applyBorder="1" applyAlignment="1">
      <alignment horizontal="right" vertical="center" indent="1"/>
    </xf>
    <xf numFmtId="1" fontId="3" fillId="0" borderId="0" xfId="40722" applyNumberFormat="1" applyFont="1" applyAlignment="1">
      <alignment horizontal="right" vertical="center" indent="1"/>
    </xf>
    <xf numFmtId="4" fontId="3" fillId="0" borderId="0" xfId="40722" applyNumberFormat="1" applyFont="1" applyAlignment="1">
      <alignment horizontal="right" indent="1"/>
    </xf>
    <xf numFmtId="9" fontId="186" fillId="0" borderId="94" xfId="40803" applyFont="1" applyFill="1" applyBorder="1" applyAlignment="1">
      <alignment horizontal="center" vertical="center"/>
    </xf>
    <xf numFmtId="4" fontId="3" fillId="0" borderId="94" xfId="40722" applyNumberFormat="1" applyFont="1" applyBorder="1" applyAlignment="1">
      <alignment horizontal="right" indent="1"/>
    </xf>
    <xf numFmtId="0" fontId="100" fillId="36" borderId="95" xfId="0" applyFont="1" applyFill="1" applyBorder="1" applyAlignment="1">
      <alignment horizontal="center" vertical="center"/>
    </xf>
    <xf numFmtId="0" fontId="100" fillId="36" borderId="96" xfId="0" applyFont="1" applyFill="1" applyBorder="1" applyAlignment="1">
      <alignment horizontal="center" vertical="center"/>
    </xf>
    <xf numFmtId="0" fontId="100" fillId="36" borderId="96" xfId="0" applyFont="1" applyFill="1" applyBorder="1" applyAlignment="1">
      <alignment horizontal="right" vertical="center" indent="1"/>
    </xf>
    <xf numFmtId="0" fontId="156" fillId="0" borderId="97" xfId="40722" applyFont="1" applyBorder="1" applyAlignment="1">
      <alignment horizontal="left"/>
    </xf>
    <xf numFmtId="0" fontId="156" fillId="0" borderId="98" xfId="40722" applyFont="1" applyBorder="1" applyAlignment="1">
      <alignment horizontal="left"/>
    </xf>
    <xf numFmtId="9" fontId="156" fillId="2" borderId="93" xfId="1" applyFont="1" applyFill="1" applyBorder="1" applyAlignment="1">
      <alignment horizontal="right" vertical="center" indent="1"/>
    </xf>
    <xf numFmtId="9" fontId="100" fillId="36" borderId="52" xfId="1" applyFont="1" applyFill="1" applyBorder="1" applyAlignment="1">
      <alignment horizontal="right" vertical="center" indent="1"/>
    </xf>
    <xf numFmtId="9" fontId="5" fillId="0" borderId="54" xfId="1" applyFont="1" applyFill="1" applyBorder="1" applyAlignment="1">
      <alignment horizontal="right" vertical="center" indent="1"/>
    </xf>
    <xf numFmtId="9" fontId="5" fillId="0" borderId="44" xfId="1" applyFont="1" applyFill="1" applyBorder="1" applyAlignment="1">
      <alignment horizontal="right" vertical="center" indent="1"/>
    </xf>
    <xf numFmtId="0" fontId="100" fillId="36" borderId="51" xfId="0" applyFont="1" applyFill="1" applyBorder="1" applyAlignment="1">
      <alignment horizontal="right" vertical="center" wrapText="1" indent="1"/>
    </xf>
    <xf numFmtId="0" fontId="156" fillId="2" borderId="91" xfId="0" applyFont="1" applyFill="1" applyBorder="1" applyAlignment="1">
      <alignment horizontal="right" vertical="center" wrapText="1" indent="1"/>
    </xf>
    <xf numFmtId="0" fontId="202" fillId="4" borderId="0" xfId="0" applyFont="1" applyFill="1" applyAlignment="1">
      <alignment horizontal="left" vertical="center"/>
    </xf>
    <xf numFmtId="3" fontId="5" fillId="4" borderId="0" xfId="0" applyNumberFormat="1" applyFont="1" applyFill="1" applyAlignment="1">
      <alignment horizontal="right" vertical="center"/>
    </xf>
    <xf numFmtId="3" fontId="203" fillId="4" borderId="0" xfId="0" applyNumberFormat="1" applyFont="1" applyFill="1" applyAlignment="1">
      <alignment horizontal="right" vertical="center"/>
    </xf>
    <xf numFmtId="0" fontId="203" fillId="4" borderId="0" xfId="0" applyFont="1" applyFill="1" applyAlignment="1">
      <alignment vertical="center"/>
    </xf>
    <xf numFmtId="0" fontId="97" fillId="0" borderId="0" xfId="0" applyFont="1" applyAlignment="1">
      <alignment horizontal="center" vertical="top"/>
    </xf>
    <xf numFmtId="0" fontId="195" fillId="0" borderId="0" xfId="0" applyFont="1" applyAlignment="1">
      <alignment horizontal="center" vertical="top"/>
    </xf>
    <xf numFmtId="0" fontId="204" fillId="0" borderId="0" xfId="40753" applyFont="1" applyAlignment="1">
      <alignment horizontal="left" vertical="center" wrapText="1" shrinkToFit="1"/>
    </xf>
    <xf numFmtId="0" fontId="208" fillId="0" borderId="0" xfId="19" applyFont="1" applyAlignment="1" applyProtection="1">
      <alignment horizontal="left" vertical="center" wrapText="1" shrinkToFit="1"/>
    </xf>
    <xf numFmtId="166" fontId="13" fillId="0" borderId="0" xfId="0" applyNumberFormat="1" applyFont="1"/>
    <xf numFmtId="10" fontId="13" fillId="0" borderId="0" xfId="0" applyNumberFormat="1" applyFont="1"/>
    <xf numFmtId="167" fontId="210" fillId="0" borderId="29" xfId="40753" applyNumberFormat="1" applyFont="1" applyBorder="1" applyAlignment="1">
      <alignment vertical="top"/>
    </xf>
    <xf numFmtId="167" fontId="210" fillId="0" borderId="30" xfId="40753" applyNumberFormat="1" applyFont="1" applyBorder="1" applyAlignment="1">
      <alignment vertical="top"/>
    </xf>
    <xf numFmtId="167" fontId="210" fillId="0" borderId="31" xfId="40753" applyNumberFormat="1" applyFont="1" applyBorder="1" applyAlignment="1">
      <alignment vertical="top"/>
    </xf>
    <xf numFmtId="0" fontId="205" fillId="0" borderId="0" xfId="40753" applyFont="1"/>
    <xf numFmtId="167" fontId="210" fillId="0" borderId="32" xfId="42581" applyNumberFormat="1" applyFont="1" applyFill="1" applyBorder="1" applyAlignment="1">
      <alignment vertical="top"/>
    </xf>
    <xf numFmtId="0" fontId="205" fillId="0" borderId="0" xfId="40753" applyFont="1" applyAlignment="1">
      <alignment vertical="top"/>
    </xf>
    <xf numFmtId="165" fontId="211" fillId="0" borderId="0" xfId="40753" applyNumberFormat="1" applyFont="1"/>
    <xf numFmtId="2" fontId="205" fillId="0" borderId="0" xfId="40753" applyNumberFormat="1" applyFont="1" applyAlignment="1">
      <alignment vertical="top"/>
    </xf>
    <xf numFmtId="0" fontId="97" fillId="0" borderId="0" xfId="0" applyFont="1"/>
    <xf numFmtId="0" fontId="7" fillId="0" borderId="0" xfId="0" applyFont="1" applyAlignment="1">
      <alignment vertical="top"/>
    </xf>
    <xf numFmtId="0" fontId="192" fillId="0" borderId="0" xfId="19" applyFont="1" applyFill="1" applyBorder="1" applyAlignment="1" applyProtection="1">
      <alignment horizontal="left" vertical="top" wrapText="1" shrinkToFit="1"/>
    </xf>
    <xf numFmtId="0" fontId="192" fillId="0" borderId="0" xfId="19" applyFont="1" applyBorder="1" applyAlignment="1" applyProtection="1">
      <alignment horizontal="left" vertical="top" wrapText="1" shrinkToFit="1"/>
    </xf>
    <xf numFmtId="0" fontId="15" fillId="0" borderId="0" xfId="0" applyFont="1" applyAlignment="1">
      <alignment vertical="top" wrapText="1" shrinkToFit="1"/>
    </xf>
    <xf numFmtId="0" fontId="214" fillId="0" borderId="0" xfId="42964" applyFont="1" applyAlignment="1">
      <alignment vertical="top"/>
    </xf>
    <xf numFmtId="0" fontId="38" fillId="40" borderId="100" xfId="0" applyFont="1" applyFill="1" applyBorder="1" applyAlignment="1">
      <alignment vertical="top"/>
    </xf>
    <xf numFmtId="0" fontId="216" fillId="0" borderId="0" xfId="0" applyFont="1"/>
    <xf numFmtId="0" fontId="24" fillId="0" borderId="0" xfId="0" applyFont="1" applyAlignment="1">
      <alignment vertical="center"/>
    </xf>
    <xf numFmtId="0" fontId="217" fillId="0" borderId="0" xfId="0" applyFont="1"/>
    <xf numFmtId="0" fontId="218" fillId="0" borderId="0" xfId="0" applyFont="1" applyAlignment="1">
      <alignment horizontal="center"/>
    </xf>
    <xf numFmtId="0" fontId="218" fillId="0" borderId="0" xfId="0" applyFont="1" applyAlignment="1">
      <alignment horizontal="center" vertical="center"/>
    </xf>
    <xf numFmtId="0" fontId="102" fillId="90" borderId="101" xfId="0" applyFont="1" applyFill="1" applyBorder="1" applyAlignment="1">
      <alignment horizontal="center" vertical="center" wrapText="1"/>
    </xf>
    <xf numFmtId="0" fontId="102" fillId="90" borderId="102" xfId="0" applyFont="1" applyFill="1" applyBorder="1" applyAlignment="1">
      <alignment horizontal="center" vertical="center" wrapText="1"/>
    </xf>
    <xf numFmtId="0" fontId="102" fillId="90" borderId="103" xfId="0" applyFont="1" applyFill="1" applyBorder="1" applyAlignment="1">
      <alignment horizontal="center" vertical="center" wrapText="1"/>
    </xf>
    <xf numFmtId="0" fontId="24" fillId="0" borderId="104" xfId="0" applyFont="1" applyBorder="1" applyAlignment="1">
      <alignment horizontal="center"/>
    </xf>
    <xf numFmtId="6" fontId="24" fillId="2" borderId="99" xfId="0" applyNumberFormat="1" applyFont="1" applyFill="1" applyBorder="1" applyAlignment="1">
      <alignment horizontal="center"/>
    </xf>
    <xf numFmtId="6" fontId="24" fillId="2" borderId="105" xfId="0" applyNumberFormat="1" applyFont="1" applyFill="1" applyBorder="1" applyAlignment="1">
      <alignment horizontal="center"/>
    </xf>
    <xf numFmtId="6" fontId="24" fillId="0" borderId="99" xfId="0" applyNumberFormat="1" applyFont="1" applyBorder="1" applyAlignment="1">
      <alignment horizontal="center"/>
    </xf>
    <xf numFmtId="0" fontId="24" fillId="0" borderId="106" xfId="0" applyFont="1" applyBorder="1" applyAlignment="1">
      <alignment horizontal="center"/>
    </xf>
    <xf numFmtId="6" fontId="24" fillId="2" borderId="107" xfId="0" applyNumberFormat="1" applyFont="1" applyFill="1" applyBorder="1" applyAlignment="1">
      <alignment horizontal="center"/>
    </xf>
    <xf numFmtId="6" fontId="24" fillId="2" borderId="108" xfId="0" applyNumberFormat="1" applyFont="1" applyFill="1" applyBorder="1" applyAlignment="1">
      <alignment horizontal="center"/>
    </xf>
    <xf numFmtId="0" fontId="24" fillId="0" borderId="42" xfId="0" applyFont="1" applyBorder="1"/>
    <xf numFmtId="0" fontId="219" fillId="0" borderId="0" xfId="0" applyFont="1"/>
    <xf numFmtId="0" fontId="220" fillId="2" borderId="0" xfId="0" applyFont="1" applyFill="1" applyAlignment="1">
      <alignment horizontal="left"/>
    </xf>
    <xf numFmtId="0" fontId="219" fillId="0" borderId="0" xfId="0" applyFont="1" applyAlignment="1">
      <alignment wrapText="1"/>
    </xf>
    <xf numFmtId="0" fontId="43" fillId="0" borderId="0" xfId="43853" applyFont="1" applyAlignment="1">
      <alignment vertical="center"/>
    </xf>
    <xf numFmtId="0" fontId="22" fillId="40" borderId="0" xfId="0" applyFont="1" applyFill="1" applyAlignment="1">
      <alignment vertical="top"/>
    </xf>
    <xf numFmtId="0" fontId="110" fillId="40" borderId="0" xfId="0" applyFont="1" applyFill="1" applyAlignment="1">
      <alignment vertical="top"/>
    </xf>
    <xf numFmtId="0" fontId="110" fillId="40" borderId="0" xfId="0" applyFont="1" applyFill="1" applyAlignment="1">
      <alignment horizontal="center" vertical="top"/>
    </xf>
    <xf numFmtId="0" fontId="110" fillId="40" borderId="0" xfId="0" applyFont="1" applyFill="1" applyAlignment="1">
      <alignment vertical="top" wrapText="1" shrinkToFit="1"/>
    </xf>
    <xf numFmtId="0" fontId="221" fillId="40" borderId="0" xfId="19" applyFont="1" applyFill="1" applyAlignment="1" applyProtection="1">
      <alignment vertical="top" wrapText="1" shrinkToFit="1"/>
    </xf>
    <xf numFmtId="0" fontId="24" fillId="0" borderId="0" xfId="0" applyFont="1" applyAlignment="1">
      <alignment vertical="top"/>
    </xf>
    <xf numFmtId="0" fontId="222" fillId="0" borderId="0" xfId="0" applyFont="1" applyAlignment="1">
      <alignment vertical="center"/>
    </xf>
    <xf numFmtId="0" fontId="46" fillId="0" borderId="0" xfId="0" applyFont="1" applyAlignment="1">
      <alignment vertical="top" wrapText="1" shrinkToFit="1"/>
    </xf>
    <xf numFmtId="0" fontId="174" fillId="0" borderId="0" xfId="42964" applyFont="1" applyAlignment="1">
      <alignment horizontal="left" vertical="center"/>
    </xf>
    <xf numFmtId="0" fontId="171" fillId="38" borderId="0" xfId="42964" applyFont="1" applyFill="1" applyAlignment="1">
      <alignment vertical="center"/>
    </xf>
    <xf numFmtId="0" fontId="180" fillId="0" borderId="0" xfId="42964" applyFont="1" applyAlignment="1">
      <alignment horizontal="center" vertical="center"/>
    </xf>
    <xf numFmtId="0" fontId="175" fillId="0" borderId="0" xfId="42964" applyFont="1" applyAlignment="1">
      <alignment horizontal="center" vertical="center"/>
    </xf>
    <xf numFmtId="168" fontId="174" fillId="0" borderId="99" xfId="43601" applyNumberFormat="1" applyFont="1" applyBorder="1" applyAlignment="1">
      <alignment horizontal="right"/>
    </xf>
    <xf numFmtId="0" fontId="173" fillId="0" borderId="0" xfId="0" applyFont="1" applyAlignment="1">
      <alignment horizontal="right"/>
    </xf>
    <xf numFmtId="0" fontId="174" fillId="0" borderId="0" xfId="42964" applyFont="1"/>
    <xf numFmtId="0" fontId="179" fillId="0" borderId="0" xfId="42964" applyFont="1" applyAlignment="1">
      <alignment horizontal="left" vertical="center" indent="3"/>
    </xf>
    <xf numFmtId="0" fontId="174" fillId="0" borderId="0" xfId="42964" applyFont="1" applyAlignment="1">
      <alignment horizontal="right" vertical="center"/>
    </xf>
    <xf numFmtId="0" fontId="174" fillId="0" borderId="0" xfId="42964" applyFont="1" applyAlignment="1">
      <alignment horizontal="center" vertical="center"/>
    </xf>
    <xf numFmtId="0" fontId="174" fillId="0" borderId="0" xfId="42964" applyFont="1" applyAlignment="1">
      <alignment horizontal="left" vertical="center" shrinkToFit="1"/>
    </xf>
    <xf numFmtId="0" fontId="174" fillId="0" borderId="0" xfId="42964" applyFont="1" applyAlignment="1">
      <alignment shrinkToFit="1"/>
    </xf>
    <xf numFmtId="0" fontId="174" fillId="0" borderId="0" xfId="42964" applyFont="1" applyAlignment="1">
      <alignment horizontal="right"/>
    </xf>
    <xf numFmtId="0" fontId="175" fillId="0" borderId="0" xfId="42964" applyFont="1" applyAlignment="1">
      <alignment horizontal="right"/>
    </xf>
    <xf numFmtId="0" fontId="173" fillId="0" borderId="99" xfId="42964" applyFont="1" applyBorder="1" applyAlignment="1">
      <alignment horizontal="left" vertical="center" indent="3"/>
    </xf>
    <xf numFmtId="2" fontId="179" fillId="0" borderId="99" xfId="42964" applyNumberFormat="1" applyFont="1" applyBorder="1" applyAlignment="1">
      <alignment horizontal="right" vertical="center"/>
    </xf>
    <xf numFmtId="0" fontId="174" fillId="4" borderId="99" xfId="42964" applyFont="1" applyFill="1" applyBorder="1" applyAlignment="1">
      <alignment horizontal="left" vertical="center" indent="3"/>
    </xf>
    <xf numFmtId="2" fontId="179" fillId="2" borderId="99" xfId="42964" applyNumberFormat="1" applyFont="1" applyFill="1" applyBorder="1" applyAlignment="1">
      <alignment horizontal="right" vertical="center"/>
    </xf>
    <xf numFmtId="0" fontId="174" fillId="0" borderId="99" xfId="42964" applyFont="1" applyBorder="1" applyAlignment="1">
      <alignment horizontal="left" vertical="center" indent="3"/>
    </xf>
    <xf numFmtId="2" fontId="179" fillId="91" borderId="99" xfId="42964" applyNumberFormat="1" applyFont="1" applyFill="1" applyBorder="1" applyAlignment="1">
      <alignment horizontal="right" vertical="center"/>
    </xf>
    <xf numFmtId="0" fontId="174" fillId="0" borderId="109" xfId="42964" applyFont="1" applyBorder="1" applyAlignment="1">
      <alignment vertical="center"/>
    </xf>
    <xf numFmtId="0" fontId="174" fillId="0" borderId="0" xfId="42964" applyFont="1" applyAlignment="1">
      <alignment vertical="center"/>
    </xf>
    <xf numFmtId="0" fontId="174" fillId="0" borderId="0" xfId="42964" applyFont="1" applyAlignment="1">
      <alignment horizontal="left" vertical="center" indent="3"/>
    </xf>
    <xf numFmtId="0" fontId="174" fillId="0" borderId="0" xfId="42964" applyFont="1" applyAlignment="1">
      <alignment vertical="center" shrinkToFit="1"/>
    </xf>
    <xf numFmtId="0" fontId="174" fillId="0" borderId="0" xfId="42964" applyFont="1" applyAlignment="1">
      <alignment wrapText="1"/>
    </xf>
    <xf numFmtId="0" fontId="179" fillId="0" borderId="0" xfId="42964" applyFont="1" applyAlignment="1">
      <alignment vertical="center"/>
    </xf>
    <xf numFmtId="0" fontId="171" fillId="40" borderId="0" xfId="42964" applyFont="1" applyFill="1" applyAlignment="1">
      <alignment vertical="center"/>
    </xf>
    <xf numFmtId="0" fontId="172" fillId="40" borderId="0" xfId="42964" applyFont="1" applyFill="1" applyAlignment="1">
      <alignment vertical="center"/>
    </xf>
    <xf numFmtId="0" fontId="94" fillId="0" borderId="0" xfId="43853"/>
    <xf numFmtId="0" fontId="159" fillId="0" borderId="0" xfId="42939" applyFont="1" applyAlignment="1">
      <alignment horizontal="right"/>
    </xf>
    <xf numFmtId="0" fontId="153" fillId="0" borderId="25" xfId="0" applyFont="1" applyBorder="1" applyAlignment="1">
      <alignment horizontal="center"/>
    </xf>
    <xf numFmtId="0" fontId="154" fillId="0" borderId="25" xfId="168" applyFont="1" applyBorder="1" applyAlignment="1">
      <alignment horizontal="center"/>
    </xf>
    <xf numFmtId="0" fontId="154" fillId="0" borderId="25" xfId="0" applyFont="1" applyBorder="1" applyAlignment="1">
      <alignment horizontal="center"/>
    </xf>
    <xf numFmtId="0" fontId="154" fillId="0" borderId="0" xfId="80" applyFont="1" applyFill="1" applyAlignment="1">
      <alignment horizontal="left"/>
    </xf>
    <xf numFmtId="2" fontId="154" fillId="0" borderId="0" xfId="80" applyNumberFormat="1" applyFont="1" applyFill="1" applyAlignment="1">
      <alignment horizontal="right"/>
    </xf>
    <xf numFmtId="0" fontId="153" fillId="0" borderId="0" xfId="80" applyFont="1" applyFill="1" applyAlignment="1">
      <alignment horizontal="left"/>
    </xf>
    <xf numFmtId="3" fontId="153" fillId="0" borderId="0" xfId="80" applyNumberFormat="1" applyFont="1" applyFill="1" applyAlignment="1">
      <alignment horizontal="right"/>
    </xf>
    <xf numFmtId="3" fontId="154" fillId="0" borderId="0" xfId="80" applyNumberFormat="1" applyFont="1" applyFill="1" applyAlignment="1">
      <alignment horizontal="right"/>
    </xf>
    <xf numFmtId="208" fontId="154" fillId="0" borderId="0" xfId="0" applyNumberFormat="1" applyFont="1" applyAlignment="1">
      <alignment horizontal="right"/>
    </xf>
    <xf numFmtId="2" fontId="154" fillId="0" borderId="0" xfId="0" applyNumberFormat="1" applyFont="1" applyAlignment="1">
      <alignment horizontal="right"/>
    </xf>
    <xf numFmtId="209" fontId="153" fillId="0" borderId="0" xfId="80" applyNumberFormat="1" applyFont="1" applyFill="1" applyAlignment="1">
      <alignment horizontal="right"/>
    </xf>
    <xf numFmtId="1" fontId="153" fillId="0" borderId="0" xfId="80" applyNumberFormat="1" applyFont="1" applyFill="1" applyAlignment="1">
      <alignment horizontal="right"/>
    </xf>
    <xf numFmtId="4" fontId="154" fillId="0" borderId="0" xfId="80" applyNumberFormat="1" applyFont="1" applyFill="1" applyAlignment="1">
      <alignment horizontal="right"/>
    </xf>
    <xf numFmtId="2" fontId="154" fillId="0" borderId="0" xfId="0" applyNumberFormat="1" applyFont="1"/>
    <xf numFmtId="0" fontId="154" fillId="0" borderId="0" xfId="0" applyFont="1"/>
    <xf numFmtId="4" fontId="154" fillId="0" borderId="0" xfId="80" applyNumberFormat="1" applyFont="1" applyFill="1" applyAlignment="1"/>
    <xf numFmtId="0" fontId="154" fillId="0" borderId="0" xfId="80" applyFont="1" applyFill="1" applyAlignment="1">
      <alignment horizontal="right"/>
    </xf>
    <xf numFmtId="0" fontId="154" fillId="0" borderId="0" xfId="0" applyFont="1" applyAlignment="1">
      <alignment horizontal="right"/>
    </xf>
    <xf numFmtId="0" fontId="153" fillId="0" borderId="0" xfId="0" applyFont="1" applyAlignment="1">
      <alignment horizontal="right"/>
    </xf>
    <xf numFmtId="4" fontId="154" fillId="0" borderId="0" xfId="0" applyNumberFormat="1" applyFont="1"/>
    <xf numFmtId="1" fontId="154" fillId="0" borderId="43" xfId="0" applyNumberFormat="1" applyFont="1" applyBorder="1"/>
    <xf numFmtId="1" fontId="154" fillId="0" borderId="43" xfId="0" applyNumberFormat="1" applyFont="1" applyBorder="1" applyAlignment="1">
      <alignment horizontal="right"/>
    </xf>
    <xf numFmtId="3" fontId="154" fillId="0" borderId="43" xfId="0" applyNumberFormat="1" applyFont="1" applyBorder="1" applyAlignment="1">
      <alignment horizontal="right"/>
    </xf>
    <xf numFmtId="3" fontId="154" fillId="0" borderId="43" xfId="0" applyNumberFormat="1" applyFont="1" applyBorder="1"/>
    <xf numFmtId="0" fontId="223" fillId="0" borderId="0" xfId="80" applyFont="1" applyFill="1" applyAlignment="1">
      <alignment horizontal="left"/>
    </xf>
    <xf numFmtId="0" fontId="7" fillId="0" borderId="0" xfId="0" applyFont="1"/>
    <xf numFmtId="0" fontId="5" fillId="0" borderId="0" xfId="0" applyFont="1"/>
    <xf numFmtId="10" fontId="3" fillId="0" borderId="0" xfId="1" applyNumberFormat="1" applyFont="1" applyAlignment="1">
      <alignment horizontal="right" indent="2"/>
    </xf>
    <xf numFmtId="164" fontId="3" fillId="0" borderId="0" xfId="2" applyNumberFormat="1" applyFont="1" applyAlignment="1">
      <alignment vertical="center"/>
    </xf>
    <xf numFmtId="0" fontId="0" fillId="4" borderId="1" xfId="0" applyFill="1" applyBorder="1" applyAlignment="1">
      <alignment vertical="top"/>
    </xf>
    <xf numFmtId="0" fontId="0" fillId="4" borderId="99" xfId="0" applyFill="1" applyBorder="1" applyAlignment="1">
      <alignment horizontal="center" vertical="center" wrapText="1"/>
    </xf>
    <xf numFmtId="171" fontId="0" fillId="0" borderId="21" xfId="4" applyNumberFormat="1" applyFont="1" applyFill="1" applyBorder="1" applyAlignment="1">
      <alignment horizontal="center" vertical="center" wrapText="1"/>
    </xf>
    <xf numFmtId="0" fontId="0" fillId="0" borderId="1" xfId="0" applyBorder="1" applyAlignment="1">
      <alignment horizontal="left" vertical="center" wrapText="1"/>
    </xf>
    <xf numFmtId="0" fontId="0" fillId="4" borderId="99" xfId="0" applyFill="1" applyBorder="1" applyAlignment="1">
      <alignment horizontal="left" vertical="center" wrapText="1"/>
    </xf>
    <xf numFmtId="0" fontId="0" fillId="4" borderId="99" xfId="0" applyFill="1" applyBorder="1" applyAlignment="1">
      <alignment vertical="top"/>
    </xf>
    <xf numFmtId="43" fontId="0" fillId="0" borderId="0" xfId="2" applyFont="1"/>
    <xf numFmtId="10" fontId="0" fillId="0" borderId="0" xfId="1" applyNumberFormat="1" applyFont="1"/>
    <xf numFmtId="3" fontId="3" fillId="0" borderId="84" xfId="0" applyNumberFormat="1" applyFont="1" applyBorder="1" applyAlignment="1">
      <alignment horizontal="center" vertical="center"/>
    </xf>
    <xf numFmtId="0" fontId="225" fillId="0" borderId="0" xfId="0" applyFont="1" applyAlignment="1">
      <alignment vertical="center"/>
    </xf>
    <xf numFmtId="0" fontId="0" fillId="0" borderId="99" xfId="0" applyBorder="1"/>
    <xf numFmtId="171" fontId="3" fillId="0" borderId="0" xfId="0" applyNumberFormat="1" applyFont="1" applyAlignment="1">
      <alignment horizontal="right" indent="2"/>
    </xf>
    <xf numFmtId="205" fontId="3" fillId="0" borderId="0" xfId="0" applyNumberFormat="1" applyFont="1" applyAlignment="1">
      <alignment horizontal="right" indent="2"/>
    </xf>
    <xf numFmtId="0" fontId="8" fillId="0" borderId="1" xfId="0" applyFont="1" applyBorder="1" applyAlignment="1">
      <alignment vertical="center" wrapText="1"/>
    </xf>
    <xf numFmtId="0" fontId="100" fillId="0" borderId="0" xfId="0" applyFont="1" applyAlignment="1">
      <alignment vertical="center"/>
    </xf>
    <xf numFmtId="9" fontId="100" fillId="0" borderId="0" xfId="1" applyFont="1" applyFill="1" applyBorder="1" applyAlignment="1">
      <alignment horizontal="right" vertical="center" indent="1"/>
    </xf>
    <xf numFmtId="9" fontId="156" fillId="0" borderId="0" xfId="1" applyFont="1" applyFill="1" applyBorder="1" applyAlignment="1">
      <alignment horizontal="right" vertical="center" indent="1"/>
    </xf>
    <xf numFmtId="5" fontId="5" fillId="0" borderId="0" xfId="0" applyNumberFormat="1" applyFont="1" applyAlignment="1">
      <alignment horizontal="right" vertical="center" indent="1"/>
    </xf>
    <xf numFmtId="5" fontId="156" fillId="0" borderId="0" xfId="0" applyNumberFormat="1" applyFont="1" applyAlignment="1">
      <alignment horizontal="right" vertical="center" indent="1"/>
    </xf>
    <xf numFmtId="166" fontId="5" fillId="0" borderId="0" xfId="0" applyNumberFormat="1" applyFont="1" applyAlignment="1">
      <alignment horizontal="right" vertical="center" indent="1"/>
    </xf>
    <xf numFmtId="9" fontId="5" fillId="0" borderId="0" xfId="1" applyFont="1" applyFill="1" applyBorder="1" applyAlignment="1">
      <alignment horizontal="right" vertical="center" indent="1"/>
    </xf>
    <xf numFmtId="2" fontId="5" fillId="0" borderId="0" xfId="1" applyNumberFormat="1" applyFont="1" applyFill="1" applyBorder="1" applyAlignment="1">
      <alignment horizontal="right" vertical="center" indent="1"/>
    </xf>
    <xf numFmtId="2" fontId="5" fillId="0" borderId="0" xfId="0" applyNumberFormat="1" applyFont="1" applyAlignment="1">
      <alignment horizontal="right" vertical="center" indent="1"/>
    </xf>
    <xf numFmtId="0" fontId="201" fillId="0" borderId="0" xfId="0" applyFont="1" applyAlignment="1">
      <alignment vertical="center"/>
    </xf>
    <xf numFmtId="0" fontId="8" fillId="0" borderId="99" xfId="0" applyFont="1" applyBorder="1" applyAlignment="1">
      <alignment vertical="center" wrapText="1"/>
    </xf>
    <xf numFmtId="0" fontId="227" fillId="4" borderId="0" xfId="0" applyFont="1" applyFill="1" applyAlignment="1">
      <alignment vertical="center"/>
    </xf>
    <xf numFmtId="0" fontId="225" fillId="0" borderId="0" xfId="0" applyFont="1" applyAlignment="1">
      <alignment horizontal="right" vertical="center" indent="1"/>
    </xf>
    <xf numFmtId="165" fontId="104" fillId="0" borderId="99" xfId="0" applyNumberFormat="1" applyFont="1" applyBorder="1" applyAlignment="1">
      <alignment horizontal="center"/>
    </xf>
    <xf numFmtId="0" fontId="0" fillId="40" borderId="0" xfId="0" applyFill="1"/>
    <xf numFmtId="0" fontId="12" fillId="40" borderId="0" xfId="0" applyFont="1" applyFill="1"/>
    <xf numFmtId="0" fontId="228" fillId="0" borderId="0" xfId="0" applyFont="1" applyAlignment="1">
      <alignment horizontal="right" vertical="center" indent="1"/>
    </xf>
    <xf numFmtId="164" fontId="225" fillId="0" borderId="0" xfId="2" applyNumberFormat="1" applyFont="1" applyFill="1" applyBorder="1" applyAlignment="1">
      <alignment horizontal="right" vertical="center" indent="1"/>
    </xf>
    <xf numFmtId="44" fontId="225" fillId="0" borderId="0" xfId="3" applyFont="1" applyFill="1" applyBorder="1" applyAlignment="1">
      <alignment horizontal="right" vertical="center" indent="1"/>
    </xf>
    <xf numFmtId="0" fontId="230" fillId="0" borderId="0" xfId="0" applyFont="1" applyAlignment="1">
      <alignment horizontal="left"/>
    </xf>
    <xf numFmtId="0" fontId="150" fillId="0" borderId="0" xfId="43853" applyFont="1"/>
    <xf numFmtId="0" fontId="150" fillId="94" borderId="0" xfId="0" applyFont="1" applyFill="1" applyAlignment="1">
      <alignment horizontal="right"/>
    </xf>
    <xf numFmtId="0" fontId="0" fillId="90" borderId="0" xfId="0" applyFill="1"/>
    <xf numFmtId="0" fontId="150" fillId="94" borderId="0" xfId="0" applyFont="1" applyFill="1"/>
    <xf numFmtId="212" fontId="0" fillId="0" borderId="0" xfId="0" applyNumberFormat="1"/>
    <xf numFmtId="211" fontId="225" fillId="0" borderId="0" xfId="2" applyNumberFormat="1" applyFont="1" applyBorder="1" applyAlignment="1">
      <alignment vertical="center"/>
    </xf>
    <xf numFmtId="3" fontId="0" fillId="0" borderId="0" xfId="0" applyNumberFormat="1"/>
    <xf numFmtId="0" fontId="8" fillId="0" borderId="99" xfId="0" applyFont="1" applyBorder="1"/>
    <xf numFmtId="0" fontId="228" fillId="96" borderId="110" xfId="0" applyFont="1" applyFill="1" applyBorder="1" applyAlignment="1">
      <alignment vertical="center"/>
    </xf>
    <xf numFmtId="0" fontId="228" fillId="96" borderId="110" xfId="0" applyFont="1" applyFill="1" applyBorder="1" applyAlignment="1">
      <alignment horizontal="center" vertical="center"/>
    </xf>
    <xf numFmtId="0" fontId="228" fillId="96" borderId="110" xfId="0" applyFont="1" applyFill="1" applyBorder="1" applyAlignment="1">
      <alignment horizontal="left" vertical="center"/>
    </xf>
    <xf numFmtId="0" fontId="228" fillId="96" borderId="116" xfId="0" applyFont="1" applyFill="1" applyBorder="1" applyAlignment="1">
      <alignment horizontal="center" vertical="center"/>
    </xf>
    <xf numFmtId="0" fontId="228" fillId="96" borderId="117" xfId="0" applyFont="1" applyFill="1" applyBorder="1" applyAlignment="1">
      <alignment vertical="center"/>
    </xf>
    <xf numFmtId="216" fontId="228" fillId="96" borderId="117" xfId="0" applyNumberFormat="1" applyFont="1" applyFill="1" applyBorder="1" applyAlignment="1">
      <alignment horizontal="right" vertical="center" indent="1"/>
    </xf>
    <xf numFmtId="216" fontId="225" fillId="0" borderId="115" xfId="2" applyNumberFormat="1" applyFont="1" applyBorder="1" applyAlignment="1">
      <alignment horizontal="right" vertical="center" indent="1"/>
    </xf>
    <xf numFmtId="201" fontId="225" fillId="0" borderId="115" xfId="2" applyNumberFormat="1" applyFont="1" applyBorder="1" applyAlignment="1">
      <alignment horizontal="right" vertical="center" indent="1"/>
    </xf>
    <xf numFmtId="218" fontId="225" fillId="0" borderId="115" xfId="2" applyNumberFormat="1" applyFont="1" applyBorder="1" applyAlignment="1">
      <alignment horizontal="right" vertical="center" indent="1"/>
    </xf>
    <xf numFmtId="215" fontId="225" fillId="0" borderId="115" xfId="2" applyNumberFormat="1" applyFont="1" applyBorder="1" applyAlignment="1">
      <alignment horizontal="right" vertical="center" indent="1"/>
    </xf>
    <xf numFmtId="214" fontId="225" fillId="0" borderId="115" xfId="2" applyNumberFormat="1" applyFont="1" applyBorder="1" applyAlignment="1">
      <alignment horizontal="right" vertical="center" indent="1"/>
    </xf>
    <xf numFmtId="213" fontId="225" fillId="0" borderId="115" xfId="2" applyNumberFormat="1" applyFont="1" applyBorder="1" applyAlignment="1">
      <alignment horizontal="right" vertical="center" indent="1"/>
    </xf>
    <xf numFmtId="219" fontId="225" fillId="0" borderId="115" xfId="2" applyNumberFormat="1" applyFont="1" applyBorder="1" applyAlignment="1">
      <alignment horizontal="right" vertical="center" indent="1"/>
    </xf>
    <xf numFmtId="0" fontId="225" fillId="0" borderId="118" xfId="0" applyFont="1" applyBorder="1" applyAlignment="1">
      <alignment vertical="center"/>
    </xf>
    <xf numFmtId="213" fontId="225" fillId="0" borderId="119" xfId="2" applyNumberFormat="1" applyFont="1" applyBorder="1" applyAlignment="1">
      <alignment horizontal="right" vertical="center" indent="1"/>
    </xf>
    <xf numFmtId="219" fontId="225" fillId="0" borderId="119" xfId="2" applyNumberFormat="1" applyFont="1" applyBorder="1" applyAlignment="1">
      <alignment horizontal="right" vertical="center" indent="1"/>
    </xf>
    <xf numFmtId="214" fontId="225" fillId="0" borderId="119" xfId="2" applyNumberFormat="1" applyFont="1" applyBorder="1" applyAlignment="1">
      <alignment horizontal="right" vertical="center" indent="1"/>
    </xf>
    <xf numFmtId="217" fontId="225" fillId="0" borderId="119" xfId="2" applyNumberFormat="1" applyFont="1" applyBorder="1" applyAlignment="1">
      <alignment horizontal="right" vertical="center" indent="1"/>
    </xf>
    <xf numFmtId="216" fontId="225" fillId="0" borderId="119" xfId="2" applyNumberFormat="1" applyFont="1" applyBorder="1" applyAlignment="1">
      <alignment horizontal="right" vertical="center" indent="1"/>
    </xf>
    <xf numFmtId="218" fontId="225" fillId="0" borderId="119" xfId="2" applyNumberFormat="1" applyFont="1" applyBorder="1" applyAlignment="1">
      <alignment horizontal="right" vertical="center" indent="1"/>
    </xf>
    <xf numFmtId="201" fontId="225" fillId="0" borderId="119" xfId="2" applyNumberFormat="1" applyFont="1" applyBorder="1" applyAlignment="1">
      <alignment horizontal="right" vertical="center" indent="1"/>
    </xf>
    <xf numFmtId="197" fontId="185" fillId="0" borderId="0" xfId="0" applyNumberFormat="1" applyFont="1" applyAlignment="1">
      <alignment horizontal="right" indent="2"/>
    </xf>
    <xf numFmtId="173" fontId="5" fillId="3" borderId="84" xfId="0" applyNumberFormat="1" applyFont="1" applyFill="1" applyBorder="1" applyAlignment="1">
      <alignment horizontal="center" vertical="center"/>
    </xf>
    <xf numFmtId="10" fontId="0" fillId="0" borderId="0" xfId="2" applyNumberFormat="1" applyFont="1"/>
    <xf numFmtId="165" fontId="23" fillId="0" borderId="99" xfId="0" applyNumberFormat="1" applyFont="1" applyBorder="1" applyAlignment="1">
      <alignment horizontal="center"/>
    </xf>
    <xf numFmtId="197" fontId="185" fillId="0" borderId="0" xfId="0" applyNumberFormat="1" applyFont="1" applyAlignment="1">
      <alignment horizontal="center"/>
    </xf>
    <xf numFmtId="168" fontId="0" fillId="0" borderId="0" xfId="1" applyNumberFormat="1" applyFont="1" applyBorder="1"/>
    <xf numFmtId="10" fontId="1" fillId="0" borderId="0" xfId="1" applyNumberFormat="1" applyFont="1"/>
    <xf numFmtId="1" fontId="3" fillId="3" borderId="0" xfId="0" applyNumberFormat="1" applyFont="1" applyFill="1" applyAlignment="1">
      <alignment horizontal="right"/>
    </xf>
    <xf numFmtId="1" fontId="5" fillId="0" borderId="0" xfId="0" applyNumberFormat="1" applyFont="1" applyAlignment="1">
      <alignment horizontal="right" vertical="center"/>
    </xf>
    <xf numFmtId="167" fontId="1" fillId="0" borderId="0" xfId="0" applyNumberFormat="1" applyFont="1"/>
    <xf numFmtId="2" fontId="0" fillId="0" borderId="0" xfId="0" applyNumberFormat="1"/>
    <xf numFmtId="0" fontId="1" fillId="0" borderId="113" xfId="0" applyFont="1" applyBorder="1" applyAlignment="1">
      <alignment horizontal="center"/>
    </xf>
    <xf numFmtId="0" fontId="0" fillId="93" borderId="113" xfId="0" applyFill="1" applyBorder="1"/>
    <xf numFmtId="10" fontId="0" fillId="93" borderId="113" xfId="0" applyNumberFormat="1" applyFill="1" applyBorder="1" applyAlignment="1">
      <alignment horizontal="center" vertical="center"/>
    </xf>
    <xf numFmtId="10" fontId="0" fillId="93" borderId="113" xfId="1" applyNumberFormat="1" applyFont="1" applyFill="1" applyBorder="1" applyAlignment="1">
      <alignment horizontal="center"/>
    </xf>
    <xf numFmtId="10" fontId="0" fillId="93" borderId="113" xfId="0" applyNumberFormat="1" applyFill="1" applyBorder="1" applyAlignment="1">
      <alignment horizontal="center"/>
    </xf>
    <xf numFmtId="0" fontId="0" fillId="3" borderId="113" xfId="0" applyFill="1" applyBorder="1"/>
    <xf numFmtId="10" fontId="0" fillId="3" borderId="113" xfId="0" applyNumberFormat="1" applyFill="1" applyBorder="1" applyAlignment="1">
      <alignment horizontal="center"/>
    </xf>
    <xf numFmtId="10" fontId="0" fillId="0" borderId="0" xfId="0" applyNumberFormat="1"/>
    <xf numFmtId="173" fontId="3" fillId="3" borderId="25" xfId="0" applyNumberFormat="1" applyFont="1" applyFill="1" applyBorder="1" applyAlignment="1">
      <alignment horizontal="right"/>
    </xf>
    <xf numFmtId="201" fontId="3" fillId="3" borderId="0" xfId="0" applyNumberFormat="1" applyFont="1" applyFill="1" applyAlignment="1">
      <alignment horizontal="right"/>
    </xf>
    <xf numFmtId="196" fontId="5" fillId="4" borderId="0" xfId="0" applyNumberFormat="1" applyFont="1" applyFill="1" applyAlignment="1">
      <alignment horizontal="center" vertical="center"/>
    </xf>
    <xf numFmtId="210" fontId="5" fillId="4" borderId="0" xfId="0" applyNumberFormat="1" applyFont="1" applyFill="1" applyAlignment="1">
      <alignment horizontal="right" vertical="center"/>
    </xf>
    <xf numFmtId="205" fontId="5" fillId="4" borderId="0" xfId="0" applyNumberFormat="1" applyFont="1" applyFill="1" applyAlignment="1">
      <alignment horizontal="right" vertical="center"/>
    </xf>
    <xf numFmtId="7" fontId="5" fillId="4" borderId="0" xfId="0" applyNumberFormat="1" applyFont="1" applyFill="1" applyAlignment="1">
      <alignment horizontal="right" vertical="center"/>
    </xf>
    <xf numFmtId="220" fontId="5" fillId="4" borderId="0" xfId="0" applyNumberFormat="1" applyFont="1" applyFill="1" applyAlignment="1">
      <alignment horizontal="right" vertical="center"/>
    </xf>
    <xf numFmtId="0" fontId="228" fillId="96" borderId="110" xfId="0" applyFont="1" applyFill="1" applyBorder="1" applyAlignment="1">
      <alignment horizontal="center" vertical="center" wrapText="1"/>
    </xf>
    <xf numFmtId="216" fontId="225" fillId="0" borderId="121" xfId="2" applyNumberFormat="1" applyFont="1" applyBorder="1" applyAlignment="1">
      <alignment horizontal="center" vertical="center"/>
    </xf>
    <xf numFmtId="0" fontId="228" fillId="96" borderId="116" xfId="0" applyFont="1" applyFill="1" applyBorder="1" applyAlignment="1">
      <alignment horizontal="center" vertical="center" wrapText="1"/>
    </xf>
    <xf numFmtId="0" fontId="4" fillId="40" borderId="0" xfId="0" applyFont="1" applyFill="1"/>
    <xf numFmtId="3" fontId="0" fillId="2" borderId="0" xfId="0" applyNumberFormat="1" applyFill="1"/>
    <xf numFmtId="0" fontId="231" fillId="0" borderId="0" xfId="0" applyFont="1"/>
    <xf numFmtId="3" fontId="1" fillId="0" borderId="0" xfId="0" applyNumberFormat="1" applyFont="1"/>
    <xf numFmtId="3" fontId="1" fillId="2" borderId="0" xfId="0" applyNumberFormat="1" applyFont="1" applyFill="1"/>
    <xf numFmtId="9" fontId="0" fillId="0" borderId="0" xfId="1" applyFont="1"/>
    <xf numFmtId="3" fontId="232" fillId="0" borderId="0" xfId="0" applyNumberFormat="1" applyFont="1" applyAlignment="1">
      <alignment horizontal="center"/>
    </xf>
    <xf numFmtId="168" fontId="1" fillId="0" borderId="0" xfId="1" applyNumberFormat="1" applyFont="1"/>
    <xf numFmtId="3" fontId="215" fillId="0" borderId="0" xfId="0" applyNumberFormat="1" applyFont="1" applyAlignment="1">
      <alignment horizontal="center"/>
    </xf>
    <xf numFmtId="0" fontId="1" fillId="90" borderId="0" xfId="0" applyFont="1" applyFill="1"/>
    <xf numFmtId="0" fontId="0" fillId="2" borderId="99" xfId="0" applyFill="1" applyBorder="1"/>
    <xf numFmtId="0" fontId="233" fillId="0" borderId="0" xfId="0" applyFont="1"/>
    <xf numFmtId="10" fontId="0" fillId="0" borderId="81" xfId="0" applyNumberFormat="1" applyBorder="1"/>
    <xf numFmtId="0" fontId="0" fillId="0" borderId="109" xfId="0" applyBorder="1"/>
    <xf numFmtId="10" fontId="0" fillId="0" borderId="83" xfId="0" applyNumberFormat="1" applyBorder="1"/>
    <xf numFmtId="10" fontId="0" fillId="0" borderId="82" xfId="0" applyNumberFormat="1" applyBorder="1"/>
    <xf numFmtId="0" fontId="0" fillId="86" borderId="0" xfId="0" applyFill="1"/>
    <xf numFmtId="0" fontId="235" fillId="0" borderId="0" xfId="0" applyFont="1" applyAlignment="1">
      <alignment vertical="center"/>
    </xf>
    <xf numFmtId="0" fontId="234" fillId="0" borderId="0" xfId="43853" applyFont="1" applyAlignment="1">
      <alignment vertical="center"/>
    </xf>
    <xf numFmtId="0" fontId="234" fillId="0" borderId="0" xfId="43853" applyFont="1"/>
    <xf numFmtId="0" fontId="161" fillId="0" borderId="0" xfId="0" applyFont="1" applyAlignment="1">
      <alignment vertical="center"/>
    </xf>
    <xf numFmtId="0" fontId="176" fillId="0" borderId="0" xfId="42964" applyFont="1" applyAlignment="1">
      <alignment vertical="center" wrapText="1" shrinkToFit="1"/>
    </xf>
    <xf numFmtId="0" fontId="154" fillId="0" borderId="21" xfId="0" applyFont="1" applyBorder="1" applyAlignment="1">
      <alignment horizontal="center"/>
    </xf>
    <xf numFmtId="0" fontId="154" fillId="0" borderId="100" xfId="0" applyFont="1" applyBorder="1" applyAlignment="1">
      <alignment horizontal="center"/>
    </xf>
    <xf numFmtId="0" fontId="154" fillId="0" borderId="23" xfId="0" applyFont="1" applyBorder="1" applyAlignment="1">
      <alignment horizontal="center"/>
    </xf>
    <xf numFmtId="3" fontId="238" fillId="0" borderId="0" xfId="80" applyNumberFormat="1" applyFont="1" applyFill="1" applyAlignment="1">
      <alignment horizontal="right"/>
    </xf>
    <xf numFmtId="0" fontId="240" fillId="0" borderId="0" xfId="42939" applyFont="1"/>
    <xf numFmtId="3" fontId="241" fillId="0" borderId="0" xfId="80" applyNumberFormat="1" applyFont="1" applyFill="1" applyAlignment="1">
      <alignment horizontal="right"/>
    </xf>
    <xf numFmtId="208" fontId="242" fillId="0" borderId="0" xfId="0" applyNumberFormat="1" applyFont="1" applyAlignment="1">
      <alignment horizontal="right"/>
    </xf>
    <xf numFmtId="2" fontId="242" fillId="0" borderId="0" xfId="0" applyNumberFormat="1" applyFont="1" applyAlignment="1">
      <alignment horizontal="right"/>
    </xf>
    <xf numFmtId="209" fontId="241" fillId="0" borderId="0" xfId="80" applyNumberFormat="1" applyFont="1" applyFill="1" applyAlignment="1">
      <alignment horizontal="right"/>
    </xf>
    <xf numFmtId="1" fontId="241" fillId="0" borderId="0" xfId="80" applyNumberFormat="1" applyFont="1" applyFill="1" applyAlignment="1">
      <alignment horizontal="right"/>
    </xf>
    <xf numFmtId="4" fontId="242" fillId="0" borderId="0" xfId="80" applyNumberFormat="1" applyFont="1" applyFill="1" applyAlignment="1"/>
    <xf numFmtId="4" fontId="239" fillId="0" borderId="0" xfId="80" applyNumberFormat="1" applyFont="1" applyFill="1" applyAlignment="1">
      <alignment horizontal="right"/>
    </xf>
    <xf numFmtId="0" fontId="214" fillId="2" borderId="0" xfId="42964" applyFont="1" applyFill="1"/>
    <xf numFmtId="165" fontId="214" fillId="2" borderId="0" xfId="42964" applyNumberFormat="1" applyFont="1" applyFill="1"/>
    <xf numFmtId="168" fontId="214" fillId="0" borderId="0" xfId="43601" applyNumberFormat="1" applyFont="1" applyFill="1" applyAlignment="1">
      <alignment vertical="top"/>
    </xf>
    <xf numFmtId="2" fontId="214" fillId="2" borderId="0" xfId="42964" applyNumberFormat="1" applyFont="1" applyFill="1"/>
    <xf numFmtId="168" fontId="214" fillId="0" borderId="0" xfId="43601" applyNumberFormat="1" applyFont="1" applyAlignment="1">
      <alignment vertical="top"/>
    </xf>
    <xf numFmtId="0" fontId="243" fillId="0" borderId="0" xfId="42964" applyFont="1" applyAlignment="1">
      <alignment vertical="top"/>
    </xf>
    <xf numFmtId="172" fontId="214" fillId="2" borderId="0" xfId="42964" applyNumberFormat="1" applyFont="1" applyFill="1" applyAlignment="1">
      <alignment vertical="top"/>
    </xf>
    <xf numFmtId="172" fontId="214" fillId="2" borderId="0" xfId="42964" applyNumberFormat="1" applyFont="1" applyFill="1" applyAlignment="1">
      <alignment horizontal="right" vertical="top"/>
    </xf>
    <xf numFmtId="172" fontId="243" fillId="0" borderId="0" xfId="42964" applyNumberFormat="1" applyFont="1" applyAlignment="1">
      <alignment vertical="top"/>
    </xf>
    <xf numFmtId="0" fontId="208" fillId="0" borderId="0" xfId="43853" applyFont="1"/>
    <xf numFmtId="207" fontId="5" fillId="0" borderId="84" xfId="0" applyNumberFormat="1" applyFont="1" applyBorder="1" applyAlignment="1">
      <alignment horizontal="center" vertical="center"/>
    </xf>
    <xf numFmtId="0" fontId="5" fillId="0" borderId="84" xfId="0" applyFont="1" applyBorder="1" applyAlignment="1">
      <alignment horizontal="center" vertical="center"/>
    </xf>
    <xf numFmtId="173" fontId="5" fillId="0" borderId="84" xfId="0" applyNumberFormat="1" applyFont="1" applyBorder="1" applyAlignment="1">
      <alignment horizontal="center" vertical="center"/>
    </xf>
    <xf numFmtId="10" fontId="185" fillId="0" borderId="84" xfId="0" applyNumberFormat="1" applyFont="1" applyBorder="1" applyAlignment="1">
      <alignment horizontal="center" vertical="center"/>
    </xf>
    <xf numFmtId="205" fontId="185" fillId="0" borderId="84" xfId="0" applyNumberFormat="1" applyFont="1" applyBorder="1" applyAlignment="1">
      <alignment horizontal="center" vertical="center"/>
    </xf>
    <xf numFmtId="167" fontId="210" fillId="97" borderId="29" xfId="40753" applyNumberFormat="1" applyFont="1" applyFill="1" applyBorder="1" applyAlignment="1">
      <alignment vertical="top"/>
    </xf>
    <xf numFmtId="167" fontId="210" fillId="97" borderId="30" xfId="40753" applyNumberFormat="1" applyFont="1" applyFill="1" applyBorder="1" applyAlignment="1">
      <alignment vertical="top"/>
    </xf>
    <xf numFmtId="167" fontId="210" fillId="97" borderId="31" xfId="40753" applyNumberFormat="1" applyFont="1" applyFill="1" applyBorder="1" applyAlignment="1">
      <alignment vertical="top"/>
    </xf>
    <xf numFmtId="1" fontId="5" fillId="0" borderId="84" xfId="0" applyNumberFormat="1" applyFont="1" applyBorder="1" applyAlignment="1">
      <alignment horizontal="center" vertical="center"/>
    </xf>
    <xf numFmtId="9" fontId="187" fillId="0" borderId="0" xfId="0" applyNumberFormat="1" applyFont="1" applyAlignment="1">
      <alignment horizontal="left" vertical="center"/>
    </xf>
    <xf numFmtId="0" fontId="187" fillId="0" borderId="0" xfId="0" applyFont="1" applyAlignment="1">
      <alignment horizontal="right" vertical="center"/>
    </xf>
    <xf numFmtId="197" fontId="3" fillId="94" borderId="80" xfId="0" applyNumberFormat="1" applyFont="1" applyFill="1" applyBorder="1" applyAlignment="1">
      <alignment horizontal="center" vertical="center"/>
    </xf>
    <xf numFmtId="0" fontId="3" fillId="3" borderId="80" xfId="0" applyFont="1" applyFill="1" applyBorder="1" applyAlignment="1">
      <alignment horizontal="left" indent="3"/>
    </xf>
    <xf numFmtId="0" fontId="3" fillId="3" borderId="79" xfId="0" applyFont="1" applyFill="1" applyBorder="1"/>
    <xf numFmtId="1" fontId="185" fillId="3" borderId="79" xfId="2" applyNumberFormat="1" applyFont="1" applyFill="1" applyBorder="1" applyAlignment="1">
      <alignment horizontal="center"/>
    </xf>
    <xf numFmtId="0" fontId="3" fillId="3" borderId="109" xfId="0" applyFont="1" applyFill="1" applyBorder="1" applyAlignment="1">
      <alignment horizontal="left" indent="3"/>
    </xf>
    <xf numFmtId="1" fontId="185" fillId="3" borderId="0" xfId="2" applyNumberFormat="1" applyFont="1" applyFill="1" applyBorder="1" applyAlignment="1">
      <alignment horizontal="center"/>
    </xf>
    <xf numFmtId="0" fontId="3" fillId="3" borderId="77" xfId="0" applyFont="1" applyFill="1" applyBorder="1" applyAlignment="1">
      <alignment horizontal="left" indent="3"/>
    </xf>
    <xf numFmtId="1" fontId="185" fillId="3" borderId="25" xfId="2" applyNumberFormat="1" applyFont="1" applyFill="1" applyBorder="1" applyAlignment="1">
      <alignment horizontal="center"/>
    </xf>
    <xf numFmtId="168" fontId="3" fillId="0" borderId="0" xfId="1" applyNumberFormat="1" applyFont="1" applyAlignment="1">
      <alignment vertical="center"/>
    </xf>
    <xf numFmtId="210" fontId="3" fillId="0" borderId="0" xfId="0" applyNumberFormat="1" applyFont="1" applyAlignment="1">
      <alignment horizontal="right" indent="2"/>
    </xf>
    <xf numFmtId="9" fontId="3" fillId="0" borderId="0" xfId="1" applyFont="1" applyAlignment="1">
      <alignment horizontal="right" indent="2"/>
    </xf>
    <xf numFmtId="10" fontId="5" fillId="3" borderId="84" xfId="0" applyNumberFormat="1" applyFont="1" applyFill="1" applyBorder="1" applyAlignment="1">
      <alignment horizontal="center" vertical="center"/>
    </xf>
    <xf numFmtId="0" fontId="100" fillId="36" borderId="0" xfId="0" applyFont="1" applyFill="1" applyAlignment="1">
      <alignment horizontal="center" vertical="center" wrapText="1"/>
    </xf>
    <xf numFmtId="0" fontId="1" fillId="0" borderId="100" xfId="0" applyFont="1" applyBorder="1"/>
    <xf numFmtId="0" fontId="0" fillId="2" borderId="0" xfId="0" applyFill="1"/>
    <xf numFmtId="9" fontId="0" fillId="2" borderId="0" xfId="0" applyNumberFormat="1" applyFill="1"/>
    <xf numFmtId="0" fontId="1" fillId="86" borderId="0" xfId="0" applyFont="1" applyFill="1"/>
    <xf numFmtId="0" fontId="0" fillId="98" borderId="0" xfId="0" applyFill="1"/>
    <xf numFmtId="0" fontId="1" fillId="98" borderId="100" xfId="0" applyFont="1" applyFill="1" applyBorder="1"/>
    <xf numFmtId="171" fontId="244" fillId="0" borderId="0" xfId="0" applyNumberFormat="1" applyFont="1"/>
    <xf numFmtId="0" fontId="4" fillId="43" borderId="0" xfId="0" applyFont="1" applyFill="1"/>
    <xf numFmtId="3" fontId="0" fillId="94" borderId="0" xfId="0" applyNumberFormat="1" applyFill="1"/>
    <xf numFmtId="0" fontId="156" fillId="58" borderId="122" xfId="0" applyFont="1" applyFill="1" applyBorder="1" applyAlignment="1">
      <alignment vertical="center"/>
    </xf>
    <xf numFmtId="0" fontId="3" fillId="3" borderId="123" xfId="0" applyFont="1" applyFill="1" applyBorder="1" applyAlignment="1">
      <alignment vertical="center"/>
    </xf>
    <xf numFmtId="0" fontId="3" fillId="0" borderId="124" xfId="0" applyFont="1" applyBorder="1" applyAlignment="1">
      <alignment horizontal="left" vertical="center"/>
    </xf>
    <xf numFmtId="0" fontId="3" fillId="3" borderId="125" xfId="0" applyFont="1" applyFill="1" applyBorder="1" applyAlignment="1">
      <alignment vertical="center"/>
    </xf>
    <xf numFmtId="0" fontId="3" fillId="0" borderId="126" xfId="0" applyFont="1" applyBorder="1" applyAlignment="1">
      <alignment horizontal="left" vertical="center"/>
    </xf>
    <xf numFmtId="0" fontId="3" fillId="3" borderId="127" xfId="0" applyFont="1" applyFill="1" applyBorder="1" applyAlignment="1">
      <alignment vertical="center"/>
    </xf>
    <xf numFmtId="0" fontId="3" fillId="0" borderId="128" xfId="0" applyFont="1" applyBorder="1" applyAlignment="1">
      <alignment horizontal="left" vertical="center"/>
    </xf>
    <xf numFmtId="207" fontId="185" fillId="0" borderId="84" xfId="0" applyNumberFormat="1" applyFont="1" applyBorder="1" applyAlignment="1">
      <alignment horizontal="center" vertical="center"/>
    </xf>
    <xf numFmtId="207" fontId="5" fillId="0" borderId="85" xfId="0" applyNumberFormat="1" applyFont="1" applyBorder="1" applyAlignment="1">
      <alignment horizontal="center" vertical="center"/>
    </xf>
    <xf numFmtId="0" fontId="3" fillId="0" borderId="25" xfId="0" applyFont="1" applyBorder="1" applyAlignment="1">
      <alignment vertical="center"/>
    </xf>
    <xf numFmtId="3" fontId="3" fillId="0" borderId="129" xfId="0" applyNumberFormat="1" applyFont="1" applyBorder="1" applyAlignment="1">
      <alignment horizontal="center" vertical="center"/>
    </xf>
    <xf numFmtId="0" fontId="185" fillId="0" borderId="25" xfId="0" applyFont="1" applyBorder="1" applyAlignment="1">
      <alignment horizontal="center"/>
    </xf>
    <xf numFmtId="207" fontId="185" fillId="0" borderId="129" xfId="0" applyNumberFormat="1" applyFont="1" applyBorder="1" applyAlignment="1">
      <alignment horizontal="center" vertical="center"/>
    </xf>
    <xf numFmtId="207" fontId="5" fillId="0" borderId="129" xfId="0" applyNumberFormat="1" applyFont="1" applyBorder="1" applyAlignment="1">
      <alignment horizontal="center" vertical="center"/>
    </xf>
    <xf numFmtId="173" fontId="5" fillId="0" borderId="129" xfId="0" applyNumberFormat="1" applyFont="1" applyBorder="1" applyAlignment="1">
      <alignment horizontal="center" vertical="center"/>
    </xf>
    <xf numFmtId="0" fontId="5" fillId="0" borderId="129" xfId="0" applyFont="1" applyBorder="1" applyAlignment="1">
      <alignment horizontal="center" vertical="center"/>
    </xf>
    <xf numFmtId="3" fontId="185" fillId="0" borderId="129" xfId="0" applyNumberFormat="1" applyFont="1" applyBorder="1" applyAlignment="1">
      <alignment horizontal="center" vertical="center"/>
    </xf>
    <xf numFmtId="10" fontId="185" fillId="0" borderId="129" xfId="0" applyNumberFormat="1" applyFont="1" applyBorder="1" applyAlignment="1">
      <alignment horizontal="center" vertical="center"/>
    </xf>
    <xf numFmtId="1" fontId="5" fillId="0" borderId="129" xfId="0" applyNumberFormat="1" applyFont="1" applyBorder="1" applyAlignment="1">
      <alignment horizontal="center" vertical="center"/>
    </xf>
    <xf numFmtId="0" fontId="5" fillId="0" borderId="25" xfId="0" applyFont="1" applyBorder="1" applyAlignment="1">
      <alignment vertical="center"/>
    </xf>
    <xf numFmtId="205" fontId="185" fillId="0" borderId="129" xfId="0" applyNumberFormat="1" applyFont="1" applyBorder="1" applyAlignment="1">
      <alignment horizontal="center" vertical="center"/>
    </xf>
    <xf numFmtId="207" fontId="5" fillId="2" borderId="84" xfId="0" applyNumberFormat="1" applyFont="1" applyFill="1" applyBorder="1" applyAlignment="1">
      <alignment horizontal="center" vertical="center"/>
    </xf>
    <xf numFmtId="207" fontId="5" fillId="2" borderId="129" xfId="0" applyNumberFormat="1" applyFont="1" applyFill="1" applyBorder="1" applyAlignment="1">
      <alignment horizontal="center" vertical="center"/>
    </xf>
    <xf numFmtId="3" fontId="5" fillId="0" borderId="84" xfId="0" applyNumberFormat="1" applyFont="1" applyBorder="1" applyAlignment="1">
      <alignment horizontal="center" vertical="center"/>
    </xf>
    <xf numFmtId="3" fontId="5" fillId="0" borderId="129" xfId="0" applyNumberFormat="1" applyFont="1" applyBorder="1" applyAlignment="1">
      <alignment horizontal="center" vertical="center"/>
    </xf>
    <xf numFmtId="190" fontId="0" fillId="0" borderId="0" xfId="0" applyNumberFormat="1"/>
    <xf numFmtId="3" fontId="0" fillId="94" borderId="25" xfId="0" applyNumberFormat="1" applyFill="1" applyBorder="1"/>
    <xf numFmtId="0" fontId="8" fillId="2" borderId="0" xfId="0" applyFont="1" applyFill="1"/>
    <xf numFmtId="3" fontId="8" fillId="94" borderId="0" xfId="0" applyNumberFormat="1" applyFont="1" applyFill="1"/>
    <xf numFmtId="3" fontId="8" fillId="94" borderId="25" xfId="0" applyNumberFormat="1" applyFont="1" applyFill="1" applyBorder="1"/>
    <xf numFmtId="9" fontId="0" fillId="0" borderId="0" xfId="0" applyNumberFormat="1"/>
    <xf numFmtId="0" fontId="0" fillId="2" borderId="99" xfId="0" applyFill="1" applyBorder="1" applyAlignment="1">
      <alignment horizontal="center"/>
    </xf>
    <xf numFmtId="0" fontId="167" fillId="0" borderId="99" xfId="0" applyFont="1" applyBorder="1" applyAlignment="1">
      <alignment horizontal="center" vertical="center"/>
    </xf>
    <xf numFmtId="164" fontId="0" fillId="0" borderId="0" xfId="2" applyNumberFormat="1" applyFont="1" applyFill="1" applyBorder="1"/>
    <xf numFmtId="207" fontId="5" fillId="0" borderId="0" xfId="0" applyNumberFormat="1" applyFont="1" applyAlignment="1">
      <alignment horizontal="center" vertical="center"/>
    </xf>
    <xf numFmtId="0" fontId="156" fillId="58" borderId="0" xfId="0" applyFont="1" applyFill="1" applyAlignment="1">
      <alignment vertical="center"/>
    </xf>
    <xf numFmtId="0" fontId="156" fillId="58" borderId="131" xfId="0" applyFont="1" applyFill="1" applyBorder="1" applyAlignment="1">
      <alignment vertical="center"/>
    </xf>
    <xf numFmtId="0" fontId="3" fillId="3" borderId="132" xfId="0" applyFont="1" applyFill="1" applyBorder="1" applyAlignment="1">
      <alignment vertical="center"/>
    </xf>
    <xf numFmtId="0" fontId="3" fillId="0" borderId="133" xfId="0" applyFont="1" applyBorder="1" applyAlignment="1">
      <alignment horizontal="left" vertical="center"/>
    </xf>
    <xf numFmtId="0" fontId="3" fillId="0" borderId="100" xfId="0" applyFont="1" applyBorder="1" applyAlignment="1">
      <alignment vertical="center"/>
    </xf>
    <xf numFmtId="3" fontId="3" fillId="0" borderId="134" xfId="0" applyNumberFormat="1" applyFont="1" applyBorder="1" applyAlignment="1">
      <alignment horizontal="center" vertical="center"/>
    </xf>
    <xf numFmtId="0" fontId="185" fillId="0" borderId="100" xfId="0" applyFont="1" applyBorder="1" applyAlignment="1">
      <alignment horizontal="center"/>
    </xf>
    <xf numFmtId="0" fontId="3" fillId="0" borderId="100" xfId="0" applyFont="1" applyBorder="1"/>
    <xf numFmtId="207" fontId="185" fillId="0" borderId="134" xfId="0" applyNumberFormat="1" applyFont="1" applyBorder="1" applyAlignment="1">
      <alignment horizontal="center" vertical="center"/>
    </xf>
    <xf numFmtId="207" fontId="5" fillId="2" borderId="134" xfId="0" applyNumberFormat="1" applyFont="1" applyFill="1" applyBorder="1" applyAlignment="1">
      <alignment horizontal="center" vertical="center"/>
    </xf>
    <xf numFmtId="207" fontId="5" fillId="0" borderId="134" xfId="0" applyNumberFormat="1" applyFont="1" applyBorder="1" applyAlignment="1">
      <alignment horizontal="center" vertical="center"/>
    </xf>
    <xf numFmtId="3" fontId="5" fillId="0" borderId="134" xfId="0" applyNumberFormat="1" applyFont="1" applyBorder="1" applyAlignment="1">
      <alignment horizontal="center" vertical="center"/>
    </xf>
    <xf numFmtId="0" fontId="5" fillId="0" borderId="134" xfId="0" applyFont="1" applyBorder="1" applyAlignment="1">
      <alignment horizontal="center" vertical="center"/>
    </xf>
    <xf numFmtId="173" fontId="5" fillId="0" borderId="134" xfId="0" applyNumberFormat="1" applyFont="1" applyBorder="1" applyAlignment="1">
      <alignment horizontal="center" vertical="center"/>
    </xf>
    <xf numFmtId="3" fontId="185" fillId="0" borderId="134" xfId="0" applyNumberFormat="1" applyFont="1" applyBorder="1" applyAlignment="1">
      <alignment horizontal="center" vertical="center"/>
    </xf>
    <xf numFmtId="10" fontId="185" fillId="0" borderId="134" xfId="0" applyNumberFormat="1" applyFont="1" applyBorder="1" applyAlignment="1">
      <alignment horizontal="center" vertical="center"/>
    </xf>
    <xf numFmtId="1" fontId="5" fillId="0" borderId="134" xfId="0" applyNumberFormat="1" applyFont="1" applyBorder="1" applyAlignment="1">
      <alignment horizontal="center" vertical="center"/>
    </xf>
    <xf numFmtId="0" fontId="5" fillId="0" borderId="100" xfId="0" applyFont="1" applyBorder="1" applyAlignment="1">
      <alignment vertical="center"/>
    </xf>
    <xf numFmtId="205" fontId="185" fillId="0" borderId="134" xfId="0" applyNumberFormat="1" applyFont="1" applyBorder="1" applyAlignment="1">
      <alignment horizontal="center" vertical="center"/>
    </xf>
    <xf numFmtId="205" fontId="185" fillId="0" borderId="133" xfId="0" applyNumberFormat="1" applyFont="1" applyBorder="1" applyAlignment="1">
      <alignment horizontal="center" vertical="center"/>
    </xf>
    <xf numFmtId="0" fontId="3" fillId="0" borderId="79" xfId="0" applyFont="1" applyBorder="1" applyAlignment="1">
      <alignment vertical="center"/>
    </xf>
    <xf numFmtId="3" fontId="3" fillId="0" borderId="135" xfId="0" applyNumberFormat="1" applyFont="1" applyBorder="1" applyAlignment="1">
      <alignment horizontal="center" vertical="center"/>
    </xf>
    <xf numFmtId="0" fontId="185" fillId="0" borderId="79" xfId="0" applyFont="1" applyBorder="1" applyAlignment="1">
      <alignment horizontal="center"/>
    </xf>
    <xf numFmtId="0" fontId="3" fillId="0" borderId="79" xfId="0" applyFont="1" applyBorder="1"/>
    <xf numFmtId="207" fontId="185" fillId="0" borderId="135" xfId="0" applyNumberFormat="1" applyFont="1" applyBorder="1" applyAlignment="1">
      <alignment horizontal="center" vertical="center"/>
    </xf>
    <xf numFmtId="207" fontId="5" fillId="2" borderId="135" xfId="0" applyNumberFormat="1" applyFont="1" applyFill="1" applyBorder="1" applyAlignment="1">
      <alignment horizontal="center" vertical="center"/>
    </xf>
    <xf numFmtId="207" fontId="5" fillId="0" borderId="135" xfId="0" applyNumberFormat="1" applyFont="1" applyBorder="1" applyAlignment="1">
      <alignment horizontal="center" vertical="center"/>
    </xf>
    <xf numFmtId="3" fontId="5" fillId="0" borderId="135" xfId="0" applyNumberFormat="1" applyFont="1" applyBorder="1" applyAlignment="1">
      <alignment horizontal="center" vertical="center"/>
    </xf>
    <xf numFmtId="0" fontId="5" fillId="0" borderId="135" xfId="0" applyFont="1" applyBorder="1" applyAlignment="1">
      <alignment horizontal="center" vertical="center"/>
    </xf>
    <xf numFmtId="173" fontId="5" fillId="0" borderId="135" xfId="0" applyNumberFormat="1" applyFont="1" applyBorder="1" applyAlignment="1">
      <alignment horizontal="center" vertical="center"/>
    </xf>
    <xf numFmtId="3" fontId="185" fillId="0" borderId="135" xfId="0" applyNumberFormat="1" applyFont="1" applyBorder="1" applyAlignment="1">
      <alignment horizontal="center" vertical="center"/>
    </xf>
    <xf numFmtId="10" fontId="185" fillId="0" borderId="135" xfId="0" applyNumberFormat="1" applyFont="1" applyBorder="1" applyAlignment="1">
      <alignment horizontal="center" vertical="center"/>
    </xf>
    <xf numFmtId="1" fontId="5" fillId="0" borderId="135" xfId="0" applyNumberFormat="1" applyFont="1" applyBorder="1" applyAlignment="1">
      <alignment horizontal="center" vertical="center"/>
    </xf>
    <xf numFmtId="0" fontId="5" fillId="0" borderId="79" xfId="0" applyFont="1" applyBorder="1" applyAlignment="1">
      <alignment vertical="center"/>
    </xf>
    <xf numFmtId="205" fontId="185" fillId="0" borderId="135" xfId="0" applyNumberFormat="1" applyFont="1" applyBorder="1" applyAlignment="1">
      <alignment horizontal="center" vertical="center"/>
    </xf>
    <xf numFmtId="205" fontId="185" fillId="0" borderId="124" xfId="0" applyNumberFormat="1" applyFont="1" applyBorder="1" applyAlignment="1">
      <alignment horizontal="center" vertical="center"/>
    </xf>
    <xf numFmtId="0" fontId="185" fillId="0" borderId="0" xfId="0" applyFont="1" applyAlignment="1">
      <alignment horizontal="center"/>
    </xf>
    <xf numFmtId="205" fontId="185" fillId="0" borderId="126" xfId="0" applyNumberFormat="1" applyFont="1" applyBorder="1" applyAlignment="1">
      <alignment horizontal="center" vertical="center"/>
    </xf>
    <xf numFmtId="205" fontId="185" fillId="0" borderId="128" xfId="0" applyNumberFormat="1" applyFont="1" applyBorder="1" applyAlignment="1">
      <alignment horizontal="center" vertical="center"/>
    </xf>
    <xf numFmtId="0" fontId="1" fillId="0" borderId="99" xfId="0" applyFont="1" applyBorder="1" applyAlignment="1">
      <alignment horizontal="center" vertical="center"/>
    </xf>
    <xf numFmtId="0" fontId="13" fillId="4" borderId="0" xfId="0" applyFont="1" applyFill="1" applyAlignment="1">
      <alignment vertical="center"/>
    </xf>
    <xf numFmtId="0" fontId="22" fillId="87" borderId="1" xfId="0" applyFont="1" applyFill="1" applyBorder="1" applyAlignment="1">
      <alignment horizontal="center" vertical="center" wrapText="1"/>
    </xf>
    <xf numFmtId="216" fontId="225" fillId="86" borderId="121" xfId="2" applyNumberFormat="1" applyFont="1" applyFill="1" applyBorder="1" applyAlignment="1">
      <alignment horizontal="center" vertical="center"/>
    </xf>
    <xf numFmtId="0" fontId="246" fillId="0" borderId="0" xfId="0" applyFont="1" applyAlignment="1">
      <alignment horizontal="left" vertical="center" wrapText="1"/>
    </xf>
    <xf numFmtId="216" fontId="225" fillId="0" borderId="99" xfId="2" applyNumberFormat="1" applyFont="1" applyBorder="1" applyAlignment="1">
      <alignment vertical="center"/>
    </xf>
    <xf numFmtId="0" fontId="229" fillId="0" borderId="99" xfId="0" quotePrefix="1" applyFont="1" applyBorder="1" applyAlignment="1">
      <alignment horizontal="left" vertical="center" wrapText="1"/>
    </xf>
    <xf numFmtId="0" fontId="161" fillId="0" borderId="99" xfId="0" applyFont="1" applyBorder="1" applyAlignment="1">
      <alignment wrapText="1"/>
    </xf>
    <xf numFmtId="172" fontId="225" fillId="86" borderId="99" xfId="2" applyNumberFormat="1" applyFont="1" applyFill="1" applyBorder="1" applyAlignment="1">
      <alignment vertical="center"/>
    </xf>
    <xf numFmtId="207" fontId="5" fillId="0" borderId="130" xfId="0" applyNumberFormat="1" applyFont="1" applyBorder="1" applyAlignment="1">
      <alignment horizontal="center" vertical="center"/>
    </xf>
    <xf numFmtId="221" fontId="3" fillId="0" borderId="99" xfId="0" applyNumberFormat="1" applyFont="1" applyBorder="1" applyAlignment="1">
      <alignment horizontal="right" vertical="center" wrapText="1" indent="1"/>
    </xf>
    <xf numFmtId="0" fontId="247" fillId="99" borderId="99" xfId="0" applyFont="1" applyFill="1" applyBorder="1"/>
    <xf numFmtId="0" fontId="94" fillId="0" borderId="99" xfId="43853" applyBorder="1"/>
    <xf numFmtId="0" fontId="247" fillId="92" borderId="99" xfId="0" applyFont="1" applyFill="1" applyBorder="1"/>
    <xf numFmtId="0" fontId="0" fillId="100" borderId="99" xfId="0" applyFill="1" applyBorder="1"/>
    <xf numFmtId="0" fontId="227" fillId="0" borderId="0" xfId="0" applyFont="1" applyAlignment="1">
      <alignment vertical="center"/>
    </xf>
    <xf numFmtId="204" fontId="5" fillId="0" borderId="0" xfId="0" applyNumberFormat="1" applyFont="1" applyAlignment="1">
      <alignment horizontal="right" indent="2"/>
    </xf>
    <xf numFmtId="168" fontId="0" fillId="2" borderId="99" xfId="1" applyNumberFormat="1" applyFont="1" applyFill="1" applyBorder="1"/>
    <xf numFmtId="0" fontId="247" fillId="101" borderId="99" xfId="0" applyFont="1" applyFill="1" applyBorder="1"/>
    <xf numFmtId="0" fontId="4" fillId="102" borderId="99" xfId="0" applyFont="1" applyFill="1" applyBorder="1"/>
    <xf numFmtId="0" fontId="0" fillId="103" borderId="99" xfId="0" applyFill="1" applyBorder="1"/>
    <xf numFmtId="0" fontId="4" fillId="40" borderId="99" xfId="0" applyFont="1" applyFill="1" applyBorder="1"/>
    <xf numFmtId="0" fontId="247" fillId="104" borderId="99" xfId="0" applyFont="1" applyFill="1" applyBorder="1"/>
    <xf numFmtId="222" fontId="225" fillId="0" borderId="115" xfId="2" applyNumberFormat="1" applyFont="1" applyBorder="1" applyAlignment="1">
      <alignment horizontal="right" vertical="center" indent="1"/>
    </xf>
    <xf numFmtId="0" fontId="0" fillId="0" borderId="99" xfId="0" applyBorder="1" applyAlignment="1">
      <alignment horizontal="right"/>
    </xf>
    <xf numFmtId="224" fontId="151" fillId="0" borderId="0" xfId="1" applyNumberFormat="1" applyFont="1" applyFill="1" applyBorder="1" applyAlignment="1">
      <alignment horizontal="right" vertical="center"/>
    </xf>
    <xf numFmtId="167" fontId="0" fillId="0" borderId="0" xfId="0" applyNumberFormat="1" applyAlignment="1">
      <alignment horizontal="right"/>
    </xf>
    <xf numFmtId="223" fontId="0" fillId="0" borderId="0" xfId="0" applyNumberFormat="1" applyAlignment="1">
      <alignment horizontal="right"/>
    </xf>
    <xf numFmtId="0" fontId="151" fillId="0" borderId="0" xfId="0" applyFont="1"/>
    <xf numFmtId="0" fontId="0" fillId="0" borderId="100" xfId="0" applyBorder="1"/>
    <xf numFmtId="0" fontId="160" fillId="0" borderId="0" xfId="0" applyFont="1" applyAlignment="1">
      <alignment horizontal="center" vertical="center"/>
    </xf>
    <xf numFmtId="39" fontId="149" fillId="0" borderId="99" xfId="0" applyNumberFormat="1" applyFont="1" applyBorder="1" applyAlignment="1">
      <alignment horizontal="right" vertical="center" wrapText="1" indent="1"/>
    </xf>
    <xf numFmtId="213" fontId="225" fillId="0" borderId="115" xfId="2" applyNumberFormat="1" applyFont="1" applyFill="1" applyBorder="1" applyAlignment="1">
      <alignment horizontal="right" vertical="center" indent="1"/>
    </xf>
    <xf numFmtId="4" fontId="0" fillId="0" borderId="99" xfId="1" applyNumberFormat="1" applyFont="1" applyBorder="1"/>
    <xf numFmtId="39" fontId="3" fillId="0" borderId="99" xfId="0" applyNumberFormat="1" applyFont="1" applyBorder="1" applyAlignment="1">
      <alignment horizontal="right" vertical="center" wrapText="1" indent="1"/>
    </xf>
    <xf numFmtId="0" fontId="100" fillId="36" borderId="50" xfId="0" applyFont="1" applyFill="1" applyBorder="1" applyAlignment="1">
      <alignment horizontal="center" vertical="center"/>
    </xf>
    <xf numFmtId="0" fontId="100" fillId="36" borderId="111" xfId="0" applyFont="1" applyFill="1" applyBorder="1" applyAlignment="1">
      <alignment horizontal="center" vertical="center" wrapText="1"/>
    </xf>
    <xf numFmtId="9" fontId="100" fillId="36" borderId="112" xfId="1" applyFont="1" applyFill="1" applyBorder="1" applyAlignment="1">
      <alignment horizontal="center" vertical="center"/>
    </xf>
    <xf numFmtId="0" fontId="163" fillId="0" borderId="0" xfId="0" applyFont="1" applyAlignment="1">
      <alignment vertical="center"/>
    </xf>
    <xf numFmtId="0" fontId="164" fillId="0" borderId="0" xfId="0" applyFont="1" applyAlignment="1">
      <alignment vertical="center"/>
    </xf>
    <xf numFmtId="0" fontId="1" fillId="3" borderId="0" xfId="0" applyFont="1" applyFill="1" applyAlignment="1">
      <alignment vertical="center"/>
    </xf>
    <xf numFmtId="0" fontId="0" fillId="3" borderId="0" xfId="0" applyFill="1" applyAlignment="1">
      <alignment vertical="center"/>
    </xf>
    <xf numFmtId="0" fontId="1" fillId="0" borderId="0" xfId="0" applyFont="1" applyAlignment="1">
      <alignment vertical="center"/>
    </xf>
    <xf numFmtId="10" fontId="165" fillId="3" borderId="0" xfId="1" applyNumberFormat="1" applyFont="1" applyFill="1" applyAlignment="1">
      <alignment horizontal="center" vertical="center"/>
    </xf>
    <xf numFmtId="3" fontId="0" fillId="0" borderId="0" xfId="0" applyNumberFormat="1" applyAlignment="1">
      <alignment vertical="center"/>
    </xf>
    <xf numFmtId="172" fontId="0" fillId="0" borderId="0" xfId="0" applyNumberFormat="1" applyAlignment="1">
      <alignment vertical="center"/>
    </xf>
    <xf numFmtId="0" fontId="0" fillId="0" borderId="0" xfId="0" applyAlignment="1">
      <alignment horizontal="left" vertical="center"/>
    </xf>
    <xf numFmtId="197" fontId="165" fillId="3" borderId="0" xfId="0" applyNumberFormat="1" applyFont="1" applyFill="1" applyAlignment="1">
      <alignment horizontal="center" vertical="center"/>
    </xf>
    <xf numFmtId="10" fontId="165" fillId="94" borderId="0" xfId="1" applyNumberFormat="1" applyFont="1" applyFill="1" applyAlignment="1">
      <alignment horizontal="center" vertical="center"/>
    </xf>
    <xf numFmtId="10" fontId="165" fillId="0" borderId="0" xfId="1" applyNumberFormat="1" applyFont="1" applyFill="1" applyAlignment="1">
      <alignment horizontal="center" vertical="center"/>
    </xf>
    <xf numFmtId="3" fontId="165" fillId="3" borderId="0" xfId="1" applyNumberFormat="1" applyFont="1" applyFill="1" applyAlignment="1">
      <alignment horizontal="center" vertical="center"/>
    </xf>
    <xf numFmtId="0" fontId="165" fillId="3" borderId="0" xfId="0" applyFont="1" applyFill="1" applyAlignment="1">
      <alignment horizontal="center" vertical="center"/>
    </xf>
    <xf numFmtId="197" fontId="165" fillId="0" borderId="0" xfId="0" applyNumberFormat="1" applyFont="1" applyAlignment="1">
      <alignment horizontal="center" vertical="center"/>
    </xf>
    <xf numFmtId="3" fontId="8" fillId="3" borderId="0" xfId="0" applyNumberFormat="1" applyFont="1" applyFill="1" applyAlignment="1">
      <alignment horizontal="center" vertical="center"/>
    </xf>
    <xf numFmtId="201" fontId="8" fillId="3" borderId="0" xfId="0" applyNumberFormat="1" applyFont="1" applyFill="1" applyAlignment="1">
      <alignment horizontal="center" vertical="center"/>
    </xf>
    <xf numFmtId="0" fontId="150" fillId="0" borderId="0" xfId="0" applyFont="1" applyAlignment="1">
      <alignment vertical="center"/>
    </xf>
    <xf numFmtId="172" fontId="0" fillId="0" borderId="0" xfId="0" applyNumberFormat="1" applyAlignment="1">
      <alignment horizontal="left" vertical="center" indent="1"/>
    </xf>
    <xf numFmtId="0" fontId="0" fillId="0" borderId="0" xfId="0" applyAlignment="1">
      <alignment horizontal="left" vertical="center" indent="1"/>
    </xf>
    <xf numFmtId="172" fontId="245" fillId="0" borderId="0" xfId="0" applyNumberFormat="1" applyFont="1" applyAlignment="1">
      <alignment horizontal="left" vertical="center" indent="2"/>
    </xf>
    <xf numFmtId="0" fontId="162" fillId="0" borderId="0" xfId="0" applyFont="1" applyAlignment="1">
      <alignment horizontal="right" vertical="center" indent="1"/>
    </xf>
    <xf numFmtId="0" fontId="12" fillId="60" borderId="0" xfId="0" applyFont="1" applyFill="1" applyAlignment="1">
      <alignment horizontal="right" vertical="center" indent="1"/>
    </xf>
    <xf numFmtId="0" fontId="0" fillId="3" borderId="0" xfId="0" applyFill="1" applyAlignment="1">
      <alignment horizontal="right" vertical="center" indent="1"/>
    </xf>
    <xf numFmtId="0" fontId="0" fillId="0" borderId="0" xfId="0" applyAlignment="1">
      <alignment horizontal="right" vertical="center" indent="1"/>
    </xf>
    <xf numFmtId="3" fontId="165" fillId="0" borderId="0" xfId="0" applyNumberFormat="1" applyFont="1" applyAlignment="1">
      <alignment horizontal="right" vertical="center" indent="1"/>
    </xf>
    <xf numFmtId="3" fontId="0" fillId="0" borderId="0" xfId="0" applyNumberFormat="1" applyAlignment="1">
      <alignment horizontal="right" vertical="center" indent="1"/>
    </xf>
    <xf numFmtId="3" fontId="8" fillId="2" borderId="0" xfId="0" applyNumberFormat="1" applyFont="1" applyFill="1" applyAlignment="1">
      <alignment horizontal="right" vertical="center" indent="1"/>
    </xf>
    <xf numFmtId="3" fontId="8" fillId="0" borderId="0" xfId="0" applyNumberFormat="1" applyFont="1" applyAlignment="1">
      <alignment horizontal="right" vertical="center" indent="1"/>
    </xf>
    <xf numFmtId="201" fontId="8" fillId="0" borderId="0" xfId="0" applyNumberFormat="1" applyFont="1" applyAlignment="1">
      <alignment horizontal="right" vertical="center" indent="1"/>
    </xf>
    <xf numFmtId="4" fontId="165" fillId="3" borderId="0" xfId="0" applyNumberFormat="1" applyFont="1" applyFill="1" applyAlignment="1">
      <alignment horizontal="right" vertical="center" indent="1"/>
    </xf>
    <xf numFmtId="3" fontId="0" fillId="37" borderId="0" xfId="0" applyNumberFormat="1" applyFill="1" applyAlignment="1">
      <alignment horizontal="right" vertical="center" indent="1"/>
    </xf>
    <xf numFmtId="3" fontId="0" fillId="3" borderId="0" xfId="0" applyNumberFormat="1" applyFill="1" applyAlignment="1">
      <alignment horizontal="right" vertical="center" indent="1"/>
    </xf>
    <xf numFmtId="3" fontId="8" fillId="95" borderId="0" xfId="0" applyNumberFormat="1" applyFont="1" applyFill="1" applyAlignment="1">
      <alignment horizontal="right" vertical="center" indent="1"/>
    </xf>
    <xf numFmtId="3" fontId="8" fillId="3" borderId="0" xfId="0" applyNumberFormat="1" applyFont="1" applyFill="1" applyAlignment="1">
      <alignment horizontal="right" vertical="center" indent="1"/>
    </xf>
    <xf numFmtId="201" fontId="8" fillId="3" borderId="0" xfId="0" applyNumberFormat="1" applyFont="1" applyFill="1" applyAlignment="1">
      <alignment horizontal="right" vertical="center" indent="1"/>
    </xf>
    <xf numFmtId="2" fontId="0" fillId="0" borderId="0" xfId="2" applyNumberFormat="1" applyFont="1" applyFill="1" applyAlignment="1">
      <alignment horizontal="right" vertical="center" indent="1"/>
    </xf>
    <xf numFmtId="0" fontId="150" fillId="0" borderId="0" xfId="0" applyFont="1" applyAlignment="1">
      <alignment horizontal="right" vertical="center" indent="1"/>
    </xf>
    <xf numFmtId="164" fontId="0" fillId="0" borderId="0" xfId="2" applyNumberFormat="1" applyFont="1" applyAlignment="1">
      <alignment horizontal="right" vertical="center" indent="1"/>
    </xf>
    <xf numFmtId="225" fontId="165" fillId="3" borderId="0" xfId="0" applyNumberFormat="1" applyFont="1" applyFill="1" applyAlignment="1">
      <alignment horizontal="center" vertical="center"/>
    </xf>
    <xf numFmtId="0" fontId="226" fillId="4" borderId="0" xfId="0" applyFont="1" applyFill="1"/>
    <xf numFmtId="0" fontId="226" fillId="4" borderId="0" xfId="0" applyFont="1" applyFill="1" applyAlignment="1">
      <alignment horizontal="center"/>
    </xf>
    <xf numFmtId="0" fontId="226" fillId="4" borderId="0" xfId="0" applyFont="1" applyFill="1" applyAlignment="1">
      <alignment horizontal="right"/>
    </xf>
    <xf numFmtId="199" fontId="226" fillId="0" borderId="0" xfId="0" applyNumberFormat="1" applyFont="1"/>
    <xf numFmtId="0" fontId="248" fillId="4" borderId="0" xfId="0" applyFont="1" applyFill="1"/>
    <xf numFmtId="0" fontId="248" fillId="4" borderId="0" xfId="0" applyFont="1" applyFill="1" applyAlignment="1">
      <alignment horizontal="right"/>
    </xf>
    <xf numFmtId="200" fontId="226" fillId="0" borderId="0" xfId="0" applyNumberFormat="1" applyFont="1" applyAlignment="1">
      <alignment horizontal="right"/>
    </xf>
    <xf numFmtId="0" fontId="249" fillId="4" borderId="0" xfId="0" applyFont="1" applyFill="1" applyAlignment="1">
      <alignment horizontal="center"/>
    </xf>
    <xf numFmtId="0" fontId="226" fillId="0" borderId="0" xfId="0" applyFont="1"/>
    <xf numFmtId="1" fontId="251" fillId="36" borderId="0" xfId="40722" applyNumberFormat="1" applyFont="1" applyFill="1" applyAlignment="1">
      <alignment horizontal="right" vertical="center"/>
    </xf>
    <xf numFmtId="166" fontId="226" fillId="4" borderId="0" xfId="0" applyNumberFormat="1" applyFont="1" applyFill="1" applyAlignment="1">
      <alignment horizontal="right"/>
    </xf>
    <xf numFmtId="0" fontId="188" fillId="0" borderId="0" xfId="0" applyFont="1" applyAlignment="1">
      <alignment horizontal="left"/>
    </xf>
    <xf numFmtId="9" fontId="250" fillId="0" borderId="0" xfId="1" applyFont="1" applyFill="1" applyBorder="1" applyAlignment="1">
      <alignment horizontal="center"/>
    </xf>
    <xf numFmtId="1" fontId="226" fillId="0" borderId="0" xfId="0" applyNumberFormat="1" applyFont="1" applyAlignment="1">
      <alignment horizontal="right"/>
    </xf>
    <xf numFmtId="0" fontId="226" fillId="0" borderId="0" xfId="0" applyFont="1" applyAlignment="1">
      <alignment horizontal="right"/>
    </xf>
    <xf numFmtId="0" fontId="189" fillId="0" borderId="0" xfId="0" applyFont="1" applyAlignment="1">
      <alignment vertical="center" wrapText="1"/>
    </xf>
    <xf numFmtId="0" fontId="189" fillId="0" borderId="0" xfId="0" applyFont="1" applyAlignment="1">
      <alignment horizontal="center" vertical="center" wrapText="1"/>
    </xf>
    <xf numFmtId="3" fontId="189" fillId="0" borderId="0" xfId="3" applyNumberFormat="1" applyFont="1" applyFill="1" applyAlignment="1">
      <alignment horizontal="right"/>
    </xf>
    <xf numFmtId="0" fontId="189" fillId="0" borderId="0" xfId="0" applyFont="1" applyAlignment="1">
      <alignment horizontal="right"/>
    </xf>
    <xf numFmtId="172" fontId="189" fillId="0" borderId="0" xfId="0" applyNumberFormat="1" applyFont="1" applyAlignment="1">
      <alignment vertical="center" wrapText="1"/>
    </xf>
    <xf numFmtId="4" fontId="189" fillId="0" borderId="0" xfId="3" applyNumberFormat="1" applyFont="1" applyFill="1" applyAlignment="1">
      <alignment horizontal="right"/>
    </xf>
    <xf numFmtId="182" fontId="189" fillId="0" borderId="0" xfId="3" applyNumberFormat="1" applyFont="1" applyFill="1" applyAlignment="1">
      <alignment horizontal="right"/>
    </xf>
    <xf numFmtId="0" fontId="226" fillId="0" borderId="0" xfId="0" applyFont="1" applyAlignment="1">
      <alignment vertical="center" wrapText="1"/>
    </xf>
    <xf numFmtId="0" fontId="226" fillId="0" borderId="0" xfId="0" applyFont="1" applyAlignment="1">
      <alignment horizontal="center" vertical="center" wrapText="1"/>
    </xf>
    <xf numFmtId="173" fontId="226" fillId="0" borderId="0" xfId="3" applyNumberFormat="1" applyFont="1" applyFill="1" applyAlignment="1">
      <alignment horizontal="right"/>
    </xf>
    <xf numFmtId="171" fontId="226" fillId="0" borderId="0" xfId="0" applyNumberFormat="1" applyFont="1"/>
    <xf numFmtId="172" fontId="226" fillId="0" borderId="0" xfId="0" applyNumberFormat="1" applyFont="1" applyAlignment="1">
      <alignment vertical="center" wrapText="1"/>
    </xf>
    <xf numFmtId="182" fontId="226" fillId="0" borderId="0" xfId="3" applyNumberFormat="1" applyFont="1" applyFill="1" applyAlignment="1">
      <alignment horizontal="right"/>
    </xf>
    <xf numFmtId="172" fontId="226" fillId="0" borderId="0" xfId="0" applyNumberFormat="1" applyFont="1"/>
    <xf numFmtId="4" fontId="226" fillId="0" borderId="0" xfId="3" applyNumberFormat="1" applyFont="1" applyFill="1" applyAlignment="1">
      <alignment horizontal="right"/>
    </xf>
    <xf numFmtId="171" fontId="226" fillId="0" borderId="0" xfId="0" applyNumberFormat="1" applyFont="1" applyAlignment="1">
      <alignment vertical="center" wrapText="1"/>
    </xf>
    <xf numFmtId="171" fontId="226" fillId="0" borderId="0" xfId="0" applyNumberFormat="1" applyFont="1" applyAlignment="1">
      <alignment horizontal="center" vertical="center" wrapText="1"/>
    </xf>
    <xf numFmtId="171" fontId="252" fillId="0" borderId="0" xfId="3" applyNumberFormat="1" applyFont="1" applyFill="1" applyAlignment="1">
      <alignment horizontal="right"/>
    </xf>
    <xf numFmtId="166" fontId="226" fillId="0" borderId="0" xfId="0" applyNumberFormat="1" applyFont="1" applyAlignment="1">
      <alignment vertical="center" wrapText="1"/>
    </xf>
    <xf numFmtId="166" fontId="226" fillId="0" borderId="0" xfId="0" applyNumberFormat="1" applyFont="1"/>
    <xf numFmtId="166" fontId="189" fillId="0" borderId="0" xfId="0" applyNumberFormat="1" applyFont="1" applyAlignment="1">
      <alignment vertical="center" wrapText="1"/>
    </xf>
    <xf numFmtId="0" fontId="251" fillId="36" borderId="0" xfId="0" applyFont="1" applyFill="1" applyAlignment="1">
      <alignment horizontal="left" vertical="center"/>
    </xf>
    <xf numFmtId="0" fontId="253" fillId="36" borderId="0" xfId="0" applyFont="1" applyFill="1" applyAlignment="1">
      <alignment horizontal="center" vertical="center"/>
    </xf>
    <xf numFmtId="0" fontId="254" fillId="36" borderId="0" xfId="0" applyFont="1" applyFill="1" applyAlignment="1">
      <alignment horizontal="right" vertical="center"/>
    </xf>
    <xf numFmtId="0" fontId="226" fillId="0" borderId="0" xfId="0" applyFont="1" applyAlignment="1">
      <alignment horizontal="right" vertical="center"/>
    </xf>
    <xf numFmtId="0" fontId="226" fillId="0" borderId="0" xfId="0" applyFont="1" applyAlignment="1">
      <alignment horizontal="center"/>
    </xf>
    <xf numFmtId="3" fontId="226" fillId="0" borderId="0" xfId="0" applyNumberFormat="1" applyFont="1" applyAlignment="1">
      <alignment horizontal="right"/>
    </xf>
    <xf numFmtId="0" fontId="189" fillId="0" borderId="0" xfId="40722" applyFont="1" applyAlignment="1">
      <alignment vertical="center"/>
    </xf>
    <xf numFmtId="0" fontId="189" fillId="0" borderId="0" xfId="40722" applyFont="1" applyAlignment="1">
      <alignment horizontal="center" vertical="center"/>
    </xf>
    <xf numFmtId="0" fontId="226" fillId="0" borderId="0" xfId="40722" applyFont="1" applyAlignment="1">
      <alignment vertical="center"/>
    </xf>
    <xf numFmtId="171" fontId="226" fillId="0" borderId="0" xfId="0" applyNumberFormat="1" applyFont="1" applyAlignment="1">
      <alignment horizontal="right"/>
    </xf>
    <xf numFmtId="170" fontId="226" fillId="0" borderId="0" xfId="0" applyNumberFormat="1" applyFont="1" applyAlignment="1">
      <alignment horizontal="center" vertical="center"/>
    </xf>
    <xf numFmtId="166" fontId="226" fillId="0" borderId="0" xfId="3" applyNumberFormat="1" applyFont="1" applyFill="1" applyAlignment="1">
      <alignment horizontal="right"/>
    </xf>
    <xf numFmtId="172" fontId="226" fillId="0" borderId="0" xfId="0" applyNumberFormat="1" applyFont="1" applyAlignment="1">
      <alignment horizontal="center" vertical="center" wrapText="1"/>
    </xf>
    <xf numFmtId="166" fontId="189" fillId="0" borderId="0" xfId="0" applyNumberFormat="1" applyFont="1" applyAlignment="1">
      <alignment horizontal="right"/>
    </xf>
    <xf numFmtId="172" fontId="226" fillId="0" borderId="0" xfId="0" applyNumberFormat="1" applyFont="1" applyAlignment="1">
      <alignment horizontal="right"/>
    </xf>
    <xf numFmtId="0" fontId="250" fillId="0" borderId="0" xfId="40722" applyFont="1" applyAlignment="1">
      <alignment horizontal="left"/>
    </xf>
    <xf numFmtId="0" fontId="188" fillId="0" borderId="0" xfId="40722" applyFont="1" applyAlignment="1">
      <alignment horizontal="center"/>
    </xf>
    <xf numFmtId="200" fontId="250" fillId="0" borderId="0" xfId="0" applyNumberFormat="1" applyFont="1" applyAlignment="1">
      <alignment horizontal="right"/>
    </xf>
    <xf numFmtId="0" fontId="226" fillId="0" borderId="0" xfId="40722" applyFont="1"/>
    <xf numFmtId="3" fontId="226" fillId="0" borderId="0" xfId="1" applyNumberFormat="1" applyFont="1" applyFill="1" applyAlignment="1">
      <alignment horizontal="right" vertical="center"/>
    </xf>
    <xf numFmtId="170" fontId="226" fillId="0" borderId="0" xfId="0" applyNumberFormat="1" applyFont="1" applyAlignment="1">
      <alignment horizontal="right"/>
    </xf>
    <xf numFmtId="3" fontId="250" fillId="0" borderId="0" xfId="0" applyNumberFormat="1" applyFont="1" applyAlignment="1">
      <alignment horizontal="right"/>
    </xf>
    <xf numFmtId="0" fontId="250" fillId="0" borderId="0" xfId="0" applyFont="1" applyAlignment="1">
      <alignment wrapText="1"/>
    </xf>
    <xf numFmtId="170" fontId="250" fillId="0" borderId="0" xfId="0" applyNumberFormat="1" applyFont="1" applyAlignment="1">
      <alignment horizontal="center" vertical="center"/>
    </xf>
    <xf numFmtId="0" fontId="250" fillId="0" borderId="0" xfId="0" applyFont="1" applyAlignment="1">
      <alignment horizontal="right"/>
    </xf>
    <xf numFmtId="166" fontId="226" fillId="0" borderId="0" xfId="0" applyNumberFormat="1" applyFont="1" applyAlignment="1">
      <alignment horizontal="center"/>
    </xf>
    <xf numFmtId="0" fontId="251" fillId="60" borderId="0" xfId="0" applyFont="1" applyFill="1" applyAlignment="1">
      <alignment horizontal="left" vertical="center"/>
    </xf>
    <xf numFmtId="0" fontId="253" fillId="60" borderId="0" xfId="0" applyFont="1" applyFill="1" applyAlignment="1">
      <alignment horizontal="center" vertical="center"/>
    </xf>
    <xf numFmtId="0" fontId="251" fillId="60" borderId="0" xfId="0" applyFont="1" applyFill="1" applyAlignment="1">
      <alignment horizontal="right" vertical="center"/>
    </xf>
    <xf numFmtId="0" fontId="254" fillId="60" borderId="0" xfId="0" applyFont="1" applyFill="1" applyAlignment="1">
      <alignment horizontal="right" vertical="center"/>
    </xf>
    <xf numFmtId="0" fontId="226" fillId="0" borderId="0" xfId="0" applyFont="1" applyAlignment="1">
      <alignment vertical="center"/>
    </xf>
    <xf numFmtId="0" fontId="226" fillId="3" borderId="0" xfId="0" applyFont="1" applyFill="1"/>
    <xf numFmtId="0" fontId="188" fillId="3" borderId="0" xfId="40722" applyFont="1" applyFill="1" applyAlignment="1">
      <alignment horizontal="center"/>
    </xf>
    <xf numFmtId="201" fontId="226" fillId="3" borderId="0" xfId="0" applyNumberFormat="1" applyFont="1" applyFill="1"/>
    <xf numFmtId="170" fontId="226" fillId="0" borderId="0" xfId="40722" applyNumberFormat="1" applyFont="1"/>
    <xf numFmtId="0" fontId="226" fillId="3" borderId="0" xfId="0" applyFont="1" applyFill="1" applyAlignment="1">
      <alignment horizontal="center"/>
    </xf>
    <xf numFmtId="3" fontId="226" fillId="3" borderId="0" xfId="0" applyNumberFormat="1" applyFont="1" applyFill="1" applyAlignment="1">
      <alignment horizontal="right"/>
    </xf>
    <xf numFmtId="1" fontId="226" fillId="3" borderId="0" xfId="0" applyNumberFormat="1" applyFont="1" applyFill="1" applyAlignment="1">
      <alignment horizontal="right"/>
    </xf>
    <xf numFmtId="170" fontId="226" fillId="0" borderId="0" xfId="0" applyNumberFormat="1" applyFont="1"/>
    <xf numFmtId="182" fontId="226" fillId="3" borderId="0" xfId="0" applyNumberFormat="1" applyFont="1" applyFill="1" applyAlignment="1">
      <alignment horizontal="right"/>
    </xf>
    <xf numFmtId="170" fontId="226" fillId="4" borderId="0" xfId="0" applyNumberFormat="1" applyFont="1" applyFill="1" applyAlignment="1">
      <alignment horizontal="right"/>
    </xf>
    <xf numFmtId="205" fontId="226" fillId="4" borderId="0" xfId="0" applyNumberFormat="1" applyFont="1" applyFill="1" applyAlignment="1">
      <alignment horizontal="right"/>
    </xf>
    <xf numFmtId="0" fontId="248" fillId="0" borderId="0" xfId="0" applyFont="1"/>
    <xf numFmtId="4" fontId="248" fillId="4" borderId="0" xfId="0" applyNumberFormat="1" applyFont="1" applyFill="1" applyAlignment="1">
      <alignment horizontal="right"/>
    </xf>
    <xf numFmtId="205" fontId="248" fillId="4" borderId="0" xfId="0" applyNumberFormat="1" applyFont="1" applyFill="1" applyAlignment="1">
      <alignment horizontal="right"/>
    </xf>
    <xf numFmtId="4" fontId="226" fillId="0" borderId="0" xfId="0" applyNumberFormat="1" applyFont="1" applyAlignment="1">
      <alignment horizontal="right"/>
    </xf>
    <xf numFmtId="166" fontId="226" fillId="0" borderId="0" xfId="1" applyNumberFormat="1" applyFont="1" applyFill="1" applyAlignment="1">
      <alignment horizontal="right" vertical="center"/>
    </xf>
    <xf numFmtId="182" fontId="226" fillId="0" borderId="0" xfId="0" applyNumberFormat="1" applyFont="1" applyAlignment="1">
      <alignment horizontal="right"/>
    </xf>
    <xf numFmtId="190" fontId="226" fillId="0" borderId="0" xfId="0" applyNumberFormat="1" applyFont="1" applyAlignment="1">
      <alignment horizontal="right"/>
    </xf>
    <xf numFmtId="0" fontId="226" fillId="0" borderId="0" xfId="0" applyFont="1" applyAlignment="1">
      <alignment wrapText="1"/>
    </xf>
    <xf numFmtId="166" fontId="226" fillId="0" borderId="0" xfId="0" applyNumberFormat="1" applyFont="1" applyAlignment="1">
      <alignment horizontal="right"/>
    </xf>
    <xf numFmtId="0" fontId="255" fillId="0" borderId="0" xfId="0" applyFont="1"/>
    <xf numFmtId="0" fontId="256" fillId="4" borderId="0" xfId="40722" applyFont="1" applyFill="1"/>
    <xf numFmtId="0" fontId="226" fillId="4" borderId="0" xfId="40722" applyFont="1" applyFill="1" applyAlignment="1">
      <alignment horizontal="center"/>
    </xf>
    <xf numFmtId="9" fontId="226" fillId="4" borderId="0" xfId="1" applyFont="1" applyFill="1" applyBorder="1" applyAlignment="1">
      <alignment horizontal="right"/>
    </xf>
    <xf numFmtId="0" fontId="257" fillId="4" borderId="0" xfId="40722" applyFont="1" applyFill="1" applyAlignment="1">
      <alignment horizontal="right"/>
    </xf>
    <xf numFmtId="0" fontId="257" fillId="4" borderId="0" xfId="40722" applyFont="1" applyFill="1" applyAlignment="1">
      <alignment horizontal="center"/>
    </xf>
    <xf numFmtId="0" fontId="226" fillId="4" borderId="0" xfId="40722" applyFont="1" applyFill="1" applyAlignment="1">
      <alignment horizontal="right"/>
    </xf>
    <xf numFmtId="0" fontId="226" fillId="4" borderId="0" xfId="40722" applyFont="1" applyFill="1"/>
    <xf numFmtId="0" fontId="248" fillId="4" borderId="0" xfId="40722" applyFont="1" applyFill="1" applyAlignment="1">
      <alignment horizontal="right"/>
    </xf>
    <xf numFmtId="0" fontId="258" fillId="4" borderId="0" xfId="40722" applyFont="1" applyFill="1" applyAlignment="1">
      <alignment vertical="center"/>
    </xf>
    <xf numFmtId="0" fontId="226" fillId="0" borderId="0" xfId="40722" applyFont="1" applyAlignment="1">
      <alignment horizontal="right" vertical="center"/>
    </xf>
    <xf numFmtId="166" fontId="226" fillId="4" borderId="0" xfId="40722" applyNumberFormat="1" applyFont="1" applyFill="1" applyAlignment="1">
      <alignment horizontal="right" vertical="center"/>
    </xf>
    <xf numFmtId="0" fontId="188" fillId="0" borderId="0" xfId="40722" applyFont="1" applyAlignment="1">
      <alignment horizontal="left"/>
    </xf>
    <xf numFmtId="9" fontId="250" fillId="0" borderId="0" xfId="40803" applyFont="1" applyFill="1" applyBorder="1" applyAlignment="1">
      <alignment horizontal="center"/>
    </xf>
    <xf numFmtId="1" fontId="226" fillId="0" borderId="0" xfId="40722" applyNumberFormat="1" applyFont="1" applyAlignment="1">
      <alignment horizontal="right" vertical="center"/>
    </xf>
    <xf numFmtId="166" fontId="226" fillId="0" borderId="0" xfId="40722" applyNumberFormat="1" applyFont="1"/>
    <xf numFmtId="191" fontId="226" fillId="0" borderId="0" xfId="40722" applyNumberFormat="1" applyFont="1" applyAlignment="1">
      <alignment horizontal="right"/>
    </xf>
    <xf numFmtId="190" fontId="226" fillId="0" borderId="0" xfId="40722" applyNumberFormat="1" applyFont="1" applyAlignment="1">
      <alignment horizontal="right"/>
    </xf>
    <xf numFmtId="4" fontId="226" fillId="0" borderId="0" xfId="40722" applyNumberFormat="1" applyFont="1" applyAlignment="1">
      <alignment horizontal="right"/>
    </xf>
    <xf numFmtId="0" fontId="189" fillId="0" borderId="0" xfId="40714" applyFont="1" applyAlignment="1">
      <alignment vertical="center"/>
    </xf>
    <xf numFmtId="0" fontId="189" fillId="0" borderId="0" xfId="40722" applyFont="1" applyAlignment="1">
      <alignment horizontal="center"/>
    </xf>
    <xf numFmtId="171" fontId="226" fillId="0" borderId="0" xfId="40722" applyNumberFormat="1" applyFont="1" applyAlignment="1">
      <alignment horizontal="right"/>
    </xf>
    <xf numFmtId="0" fontId="251" fillId="36" borderId="0" xfId="40722" applyFont="1" applyFill="1" applyAlignment="1">
      <alignment horizontal="left" vertical="center"/>
    </xf>
    <xf numFmtId="0" fontId="253" fillId="36" borderId="0" xfId="40722" applyFont="1" applyFill="1" applyAlignment="1">
      <alignment horizontal="center" vertical="center"/>
    </xf>
    <xf numFmtId="0" fontId="254" fillId="36" borderId="0" xfId="40722" applyFont="1" applyFill="1" applyAlignment="1">
      <alignment horizontal="right" vertical="center"/>
    </xf>
    <xf numFmtId="0" fontId="188" fillId="0" borderId="0" xfId="40722" applyFont="1" applyAlignment="1">
      <alignment horizontal="left" vertical="center"/>
    </xf>
    <xf numFmtId="0" fontId="259" fillId="0" borderId="0" xfId="40722" applyFont="1" applyAlignment="1">
      <alignment horizontal="center" vertical="center"/>
    </xf>
    <xf numFmtId="3" fontId="254" fillId="0" borderId="0" xfId="40722" applyNumberFormat="1" applyFont="1" applyAlignment="1">
      <alignment horizontal="right" vertical="center"/>
    </xf>
    <xf numFmtId="0" fontId="188" fillId="0" borderId="0" xfId="40714" applyFont="1" applyAlignment="1">
      <alignment vertical="center"/>
    </xf>
    <xf numFmtId="200" fontId="254" fillId="0" borderId="0" xfId="40722" applyNumberFormat="1" applyFont="1" applyAlignment="1">
      <alignment horizontal="right" vertical="center"/>
    </xf>
    <xf numFmtId="200" fontId="226" fillId="0" borderId="0" xfId="40722" applyNumberFormat="1" applyFont="1" applyAlignment="1">
      <alignment vertical="center"/>
    </xf>
    <xf numFmtId="170" fontId="226" fillId="0" borderId="0" xfId="40722" applyNumberFormat="1" applyFont="1" applyAlignment="1">
      <alignment horizontal="center" vertical="center"/>
    </xf>
    <xf numFmtId="3" fontId="226" fillId="0" borderId="0" xfId="40803" applyNumberFormat="1" applyFont="1" applyFill="1" applyBorder="1" applyAlignment="1">
      <alignment horizontal="right" vertical="center"/>
    </xf>
    <xf numFmtId="3" fontId="226" fillId="0" borderId="0" xfId="40722" applyNumberFormat="1" applyFont="1" applyAlignment="1">
      <alignment horizontal="right"/>
    </xf>
    <xf numFmtId="0" fontId="226" fillId="0" borderId="0" xfId="40722" applyFont="1" applyAlignment="1">
      <alignment horizontal="center"/>
    </xf>
    <xf numFmtId="0" fontId="250" fillId="0" borderId="0" xfId="40722" applyFont="1" applyAlignment="1">
      <alignment wrapText="1"/>
    </xf>
    <xf numFmtId="0" fontId="250" fillId="0" borderId="0" xfId="40722" applyFont="1"/>
    <xf numFmtId="0" fontId="226" fillId="0" borderId="0" xfId="40722" applyFont="1" applyAlignment="1">
      <alignment horizontal="right"/>
    </xf>
    <xf numFmtId="0" fontId="260" fillId="0" borderId="0" xfId="40722" applyFont="1" applyAlignment="1">
      <alignment horizontal="left"/>
    </xf>
    <xf numFmtId="0" fontId="251" fillId="60" borderId="0" xfId="40722" applyFont="1" applyFill="1" applyAlignment="1">
      <alignment horizontal="left" vertical="center"/>
    </xf>
    <xf numFmtId="0" fontId="253" fillId="60" borderId="0" xfId="40722" applyFont="1" applyFill="1" applyAlignment="1">
      <alignment horizontal="center" vertical="center"/>
    </xf>
    <xf numFmtId="0" fontId="251" fillId="60" borderId="0" xfId="40722" applyFont="1" applyFill="1" applyAlignment="1">
      <alignment horizontal="right" vertical="center"/>
    </xf>
    <xf numFmtId="0" fontId="254" fillId="60" borderId="0" xfId="40722" applyFont="1" applyFill="1" applyAlignment="1">
      <alignment horizontal="right" vertical="center"/>
    </xf>
    <xf numFmtId="3" fontId="226" fillId="4" borderId="0" xfId="40722" applyNumberFormat="1" applyFont="1" applyFill="1" applyAlignment="1">
      <alignment horizontal="center"/>
    </xf>
    <xf numFmtId="3" fontId="226" fillId="4" borderId="0" xfId="40722" applyNumberFormat="1" applyFont="1" applyFill="1" applyAlignment="1">
      <alignment horizontal="right"/>
    </xf>
    <xf numFmtId="0" fontId="261" fillId="0" borderId="0" xfId="0" applyFont="1" applyAlignment="1">
      <alignment horizontal="left"/>
    </xf>
    <xf numFmtId="0" fontId="257" fillId="89" borderId="0" xfId="40722" applyFont="1" applyFill="1" applyAlignment="1">
      <alignment horizontal="center"/>
    </xf>
    <xf numFmtId="0" fontId="248" fillId="4" borderId="0" xfId="40722" applyFont="1" applyFill="1" applyAlignment="1">
      <alignment horizontal="left" vertical="center"/>
    </xf>
    <xf numFmtId="171" fontId="226" fillId="0" borderId="0" xfId="2" applyNumberFormat="1" applyFont="1" applyFill="1" applyAlignment="1">
      <alignment horizontal="right"/>
    </xf>
    <xf numFmtId="0" fontId="226" fillId="0" borderId="0" xfId="0" applyFont="1" applyAlignment="1">
      <alignment horizontal="center" vertical="center"/>
    </xf>
    <xf numFmtId="0" fontId="189" fillId="3" borderId="0" xfId="40722" applyFont="1" applyFill="1" applyAlignment="1">
      <alignment horizontal="center"/>
    </xf>
    <xf numFmtId="201" fontId="226" fillId="0" borderId="0" xfId="0" applyNumberFormat="1" applyFont="1"/>
    <xf numFmtId="200" fontId="250" fillId="0" borderId="0" xfId="0" applyNumberFormat="1" applyFont="1" applyAlignment="1">
      <alignment horizontal="center"/>
    </xf>
    <xf numFmtId="226" fontId="165" fillId="3" borderId="0" xfId="0" applyNumberFormat="1" applyFont="1" applyFill="1" applyAlignment="1">
      <alignment horizontal="center" vertical="center"/>
    </xf>
    <xf numFmtId="0" fontId="45" fillId="0" borderId="0" xfId="0" applyFont="1" applyAlignment="1">
      <alignment vertical="center"/>
    </xf>
    <xf numFmtId="0" fontId="6" fillId="0" borderId="0" xfId="0" applyFont="1"/>
    <xf numFmtId="0" fontId="46" fillId="0" borderId="0" xfId="0" applyFont="1"/>
    <xf numFmtId="0" fontId="40" fillId="41" borderId="0" xfId="0" applyFont="1" applyFill="1"/>
    <xf numFmtId="0" fontId="40" fillId="41" borderId="0" xfId="0" applyFont="1" applyFill="1" applyAlignment="1">
      <alignment horizontal="left" vertical="center"/>
    </xf>
    <xf numFmtId="0" fontId="40" fillId="41" borderId="0" xfId="0" applyFont="1" applyFill="1" applyAlignment="1">
      <alignment horizontal="center" vertical="center"/>
    </xf>
    <xf numFmtId="0" fontId="38" fillId="41" borderId="0" xfId="0" applyFont="1" applyFill="1" applyAlignment="1">
      <alignment wrapText="1"/>
    </xf>
    <xf numFmtId="168" fontId="42" fillId="0" borderId="0" xfId="1" applyNumberFormat="1" applyFont="1" applyBorder="1"/>
    <xf numFmtId="169" fontId="45" fillId="0" borderId="0" xfId="0" applyNumberFormat="1" applyFont="1"/>
    <xf numFmtId="0" fontId="42" fillId="0" borderId="0" xfId="0" applyFont="1" applyAlignment="1">
      <alignment horizontal="center"/>
    </xf>
    <xf numFmtId="168" fontId="42" fillId="0" borderId="99" xfId="1" applyNumberFormat="1" applyFont="1" applyBorder="1"/>
    <xf numFmtId="169" fontId="45" fillId="0" borderId="31" xfId="0" applyNumberFormat="1" applyFont="1" applyBorder="1"/>
    <xf numFmtId="0" fontId="42" fillId="0" borderId="31" xfId="0" applyFont="1" applyBorder="1" applyAlignment="1">
      <alignment horizontal="center"/>
    </xf>
    <xf numFmtId="169" fontId="45" fillId="0" borderId="30" xfId="0" applyNumberFormat="1" applyFont="1" applyBorder="1"/>
    <xf numFmtId="0" fontId="42" fillId="0" borderId="30" xfId="0" applyFont="1" applyBorder="1" applyAlignment="1">
      <alignment horizontal="center"/>
    </xf>
    <xf numFmtId="165" fontId="47" fillId="0" borderId="99" xfId="0" applyNumberFormat="1" applyFont="1" applyBorder="1" applyAlignment="1">
      <alignment vertical="center"/>
    </xf>
    <xf numFmtId="0" fontId="42" fillId="0" borderId="0" xfId="0" applyFont="1" applyAlignment="1">
      <alignment horizontal="right"/>
    </xf>
    <xf numFmtId="0" fontId="41" fillId="106" borderId="1" xfId="0" applyFont="1" applyFill="1" applyBorder="1" applyAlignment="1">
      <alignment horizontal="center" vertical="center" wrapText="1"/>
    </xf>
    <xf numFmtId="0" fontId="41" fillId="106" borderId="136" xfId="0" applyFont="1" applyFill="1" applyBorder="1" applyAlignment="1">
      <alignment horizontal="center" vertical="center" wrapText="1"/>
    </xf>
    <xf numFmtId="0" fontId="38" fillId="38" borderId="0" xfId="0" applyFont="1" applyFill="1" applyAlignment="1">
      <alignment horizontal="center" vertical="top" wrapText="1" shrinkToFit="1"/>
    </xf>
    <xf numFmtId="0" fontId="38" fillId="38" borderId="0" xfId="0" applyFont="1" applyFill="1" applyAlignment="1">
      <alignment horizontal="center" vertical="top"/>
    </xf>
    <xf numFmtId="0" fontId="38" fillId="38" borderId="0" xfId="0" applyFont="1" applyFill="1" applyAlignment="1">
      <alignment vertical="center"/>
    </xf>
    <xf numFmtId="0" fontId="171" fillId="38" borderId="0" xfId="0" applyFont="1" applyFill="1" applyAlignment="1">
      <alignment vertical="top"/>
    </xf>
    <xf numFmtId="0" fontId="44" fillId="0" borderId="0" xfId="19" applyFont="1" applyAlignment="1" applyProtection="1"/>
    <xf numFmtId="0" fontId="262" fillId="0" borderId="0" xfId="0" applyFont="1"/>
    <xf numFmtId="0" fontId="263" fillId="0" borderId="0" xfId="0" applyFont="1"/>
    <xf numFmtId="168" fontId="41" fillId="0" borderId="99" xfId="0" applyNumberFormat="1" applyFont="1" applyBorder="1" applyAlignment="1">
      <alignment wrapText="1"/>
    </xf>
    <xf numFmtId="0" fontId="27" fillId="0" borderId="99" xfId="0" applyFont="1" applyBorder="1"/>
    <xf numFmtId="44" fontId="27" fillId="0" borderId="99" xfId="0" applyNumberFormat="1" applyFont="1" applyBorder="1"/>
    <xf numFmtId="9" fontId="42" fillId="0" borderId="0" xfId="1" applyFont="1"/>
    <xf numFmtId="2" fontId="6" fillId="2" borderId="99" xfId="0" applyNumberFormat="1" applyFont="1" applyFill="1" applyBorder="1"/>
    <xf numFmtId="2" fontId="6" fillId="2" borderId="99" xfId="18" applyNumberFormat="1" applyFont="1" applyFill="1" applyBorder="1" applyAlignment="1">
      <alignment horizontal="right" wrapText="1"/>
    </xf>
    <xf numFmtId="4" fontId="42" fillId="2" borderId="99" xfId="18" applyNumberFormat="1" applyFont="1" applyFill="1" applyBorder="1" applyAlignment="1">
      <alignment horizontal="right" wrapText="1"/>
    </xf>
    <xf numFmtId="0" fontId="42" fillId="0" borderId="99" xfId="0" applyFont="1" applyBorder="1" applyAlignment="1">
      <alignment horizontal="center"/>
    </xf>
    <xf numFmtId="168" fontId="42" fillId="0" borderId="0" xfId="1" applyNumberFormat="1" applyFont="1"/>
    <xf numFmtId="0" fontId="41" fillId="106" borderId="99" xfId="0" applyFont="1" applyFill="1" applyBorder="1" applyAlignment="1">
      <alignment horizontal="center" vertical="center" wrapText="1"/>
    </xf>
    <xf numFmtId="0" fontId="40" fillId="0" borderId="0" xfId="0" applyFont="1"/>
    <xf numFmtId="0" fontId="40" fillId="61" borderId="0" xfId="0" applyFont="1" applyFill="1" applyAlignment="1">
      <alignment vertical="top"/>
    </xf>
    <xf numFmtId="0" fontId="38" fillId="61" borderId="0" xfId="0" applyFont="1" applyFill="1" applyAlignment="1">
      <alignment vertical="top"/>
    </xf>
    <xf numFmtId="0" fontId="38" fillId="61" borderId="0" xfId="0" applyFont="1" applyFill="1" applyAlignment="1">
      <alignment horizontal="center" vertical="top" wrapText="1" shrinkToFit="1"/>
    </xf>
    <xf numFmtId="0" fontId="38" fillId="61" borderId="0" xfId="0" applyFont="1" applyFill="1" applyAlignment="1">
      <alignment horizontal="center" vertical="top"/>
    </xf>
    <xf numFmtId="0" fontId="45" fillId="61" borderId="0" xfId="0" applyFont="1" applyFill="1" applyAlignment="1">
      <alignment horizontal="center" vertical="top"/>
    </xf>
    <xf numFmtId="0" fontId="38" fillId="40" borderId="0" xfId="0" applyFont="1" applyFill="1" applyAlignment="1">
      <alignment horizontal="center" vertical="top" wrapText="1" shrinkToFit="1"/>
    </xf>
    <xf numFmtId="0" fontId="38" fillId="40" borderId="0" xfId="0" applyFont="1" applyFill="1" applyAlignment="1">
      <alignment horizontal="center" vertical="top"/>
    </xf>
    <xf numFmtId="201" fontId="0" fillId="0" borderId="0" xfId="0" applyNumberFormat="1" applyAlignment="1">
      <alignment horizontal="right" vertical="center" indent="1"/>
    </xf>
    <xf numFmtId="0" fontId="100" fillId="36" borderId="52" xfId="0" applyFont="1" applyFill="1" applyBorder="1" applyAlignment="1">
      <alignment horizontal="right" vertical="center" indent="1"/>
    </xf>
    <xf numFmtId="216" fontId="5" fillId="0" borderId="44" xfId="0" applyNumberFormat="1" applyFont="1" applyBorder="1" applyAlignment="1">
      <alignment horizontal="right" vertical="center" indent="1"/>
    </xf>
    <xf numFmtId="216" fontId="5" fillId="0" borderId="54" xfId="0" applyNumberFormat="1" applyFont="1" applyBorder="1" applyAlignment="1">
      <alignment horizontal="right" vertical="center" indent="1"/>
    </xf>
    <xf numFmtId="172" fontId="5" fillId="0" borderId="44" xfId="0" applyNumberFormat="1" applyFont="1" applyBorder="1" applyAlignment="1">
      <alignment horizontal="right" vertical="center" indent="1"/>
    </xf>
    <xf numFmtId="172" fontId="5" fillId="0" borderId="54" xfId="0" applyNumberFormat="1" applyFont="1" applyBorder="1" applyAlignment="1">
      <alignment horizontal="right" vertical="center" indent="1"/>
    </xf>
    <xf numFmtId="227" fontId="5" fillId="0" borderId="89" xfId="0" applyNumberFormat="1" applyFont="1" applyBorder="1" applyAlignment="1">
      <alignment horizontal="right" vertical="center" indent="1"/>
    </xf>
    <xf numFmtId="227" fontId="5" fillId="0" borderId="64" xfId="0" applyNumberFormat="1" applyFont="1" applyBorder="1" applyAlignment="1">
      <alignment horizontal="right" vertical="center" indent="1"/>
    </xf>
    <xf numFmtId="227" fontId="3" fillId="0" borderId="89" xfId="0" applyNumberFormat="1" applyFont="1" applyBorder="1" applyAlignment="1">
      <alignment horizontal="right" vertical="center" indent="1"/>
    </xf>
    <xf numFmtId="227" fontId="3" fillId="0" borderId="64" xfId="0" applyNumberFormat="1" applyFont="1" applyBorder="1" applyAlignment="1">
      <alignment horizontal="right" vertical="center" indent="1"/>
    </xf>
    <xf numFmtId="227" fontId="5" fillId="0" borderId="63" xfId="0" applyNumberFormat="1" applyFont="1" applyBorder="1" applyAlignment="1">
      <alignment horizontal="right" vertical="center" indent="1"/>
    </xf>
    <xf numFmtId="227" fontId="156" fillId="0" borderId="56" xfId="0" applyNumberFormat="1" applyFont="1" applyBorder="1" applyAlignment="1">
      <alignment horizontal="right" vertical="center" indent="1"/>
    </xf>
    <xf numFmtId="227" fontId="156" fillId="0" borderId="57" xfId="0" applyNumberFormat="1" applyFont="1" applyBorder="1" applyAlignment="1">
      <alignment horizontal="right" vertical="center" indent="1"/>
    </xf>
    <xf numFmtId="227" fontId="5" fillId="0" borderId="44" xfId="0" applyNumberFormat="1" applyFont="1" applyBorder="1" applyAlignment="1">
      <alignment horizontal="right" vertical="center" indent="1"/>
    </xf>
    <xf numFmtId="227" fontId="5" fillId="0" borderId="54" xfId="0" applyNumberFormat="1" applyFont="1" applyBorder="1" applyAlignment="1">
      <alignment horizontal="right" vertical="center" indent="1"/>
    </xf>
    <xf numFmtId="227" fontId="156" fillId="0" borderId="87" xfId="0" applyNumberFormat="1" applyFont="1" applyBorder="1" applyAlignment="1">
      <alignment horizontal="right" vertical="center" indent="1"/>
    </xf>
    <xf numFmtId="227" fontId="156" fillId="0" borderId="88" xfId="0" applyNumberFormat="1" applyFont="1" applyBorder="1" applyAlignment="1">
      <alignment horizontal="right" vertical="center" indent="1"/>
    </xf>
    <xf numFmtId="227" fontId="156" fillId="2" borderId="56" xfId="0" applyNumberFormat="1" applyFont="1" applyFill="1" applyBorder="1" applyAlignment="1">
      <alignment horizontal="right" vertical="center" indent="1"/>
    </xf>
    <xf numFmtId="227" fontId="156" fillId="2" borderId="57" xfId="0" applyNumberFormat="1" applyFont="1" applyFill="1" applyBorder="1" applyAlignment="1">
      <alignment horizontal="right" vertical="center" indent="1"/>
    </xf>
    <xf numFmtId="227" fontId="156" fillId="2" borderId="44" xfId="0" applyNumberFormat="1" applyFont="1" applyFill="1" applyBorder="1" applyAlignment="1">
      <alignment horizontal="right" vertical="center" indent="1"/>
    </xf>
    <xf numFmtId="227" fontId="156" fillId="58" borderId="44" xfId="0" applyNumberFormat="1" applyFont="1" applyFill="1" applyBorder="1" applyAlignment="1">
      <alignment horizontal="right" vertical="center" indent="1"/>
    </xf>
    <xf numFmtId="227" fontId="156" fillId="2" borderId="54" xfId="0" applyNumberFormat="1" applyFont="1" applyFill="1" applyBorder="1" applyAlignment="1">
      <alignment horizontal="right" vertical="center" indent="1"/>
    </xf>
    <xf numFmtId="227" fontId="5" fillId="0" borderId="56" xfId="0" applyNumberFormat="1" applyFont="1" applyBorder="1" applyAlignment="1">
      <alignment horizontal="right" vertical="center" indent="1"/>
    </xf>
    <xf numFmtId="227" fontId="5" fillId="0" borderId="57" xfId="0" applyNumberFormat="1" applyFont="1" applyBorder="1" applyAlignment="1">
      <alignment horizontal="right" vertical="center" indent="1"/>
    </xf>
    <xf numFmtId="167" fontId="0" fillId="0" borderId="0" xfId="3" applyNumberFormat="1" applyFont="1" applyFill="1" applyBorder="1"/>
    <xf numFmtId="0" fontId="1" fillId="0" borderId="0" xfId="0" applyFont="1" applyAlignment="1">
      <alignment horizontal="center"/>
    </xf>
    <xf numFmtId="0" fontId="183" fillId="0" borderId="0" xfId="0" applyFont="1"/>
    <xf numFmtId="167" fontId="0" fillId="0" borderId="0" xfId="0" applyNumberFormat="1"/>
    <xf numFmtId="176" fontId="183" fillId="0" borderId="0" xfId="0" applyNumberFormat="1" applyFont="1"/>
    <xf numFmtId="0" fontId="1" fillId="0" borderId="0" xfId="0" applyFont="1" applyAlignment="1">
      <alignment horizontal="left"/>
    </xf>
    <xf numFmtId="166" fontId="0" fillId="0" borderId="0" xfId="0" applyNumberFormat="1"/>
    <xf numFmtId="166" fontId="0" fillId="0" borderId="99" xfId="0" applyNumberFormat="1" applyBorder="1"/>
    <xf numFmtId="0" fontId="264" fillId="87" borderId="99" xfId="0" applyFont="1" applyFill="1" applyBorder="1"/>
    <xf numFmtId="0" fontId="264" fillId="87" borderId="99" xfId="0" applyFont="1" applyFill="1" applyBorder="1" applyAlignment="1">
      <alignment horizontal="right"/>
    </xf>
    <xf numFmtId="0" fontId="1" fillId="0" borderId="0" xfId="0" applyFont="1" applyAlignment="1">
      <alignment horizontal="right"/>
    </xf>
    <xf numFmtId="172" fontId="8" fillId="0" borderId="0" xfId="0" applyNumberFormat="1" applyFont="1"/>
    <xf numFmtId="172" fontId="0" fillId="0" borderId="0" xfId="0" applyNumberFormat="1"/>
    <xf numFmtId="166" fontId="0" fillId="0" borderId="0" xfId="0" applyNumberFormat="1" applyAlignment="1">
      <alignment horizontal="right"/>
    </xf>
    <xf numFmtId="202" fontId="151" fillId="105" borderId="0" xfId="3" applyNumberFormat="1" applyFont="1" applyFill="1" applyAlignment="1">
      <alignment horizontal="right"/>
    </xf>
    <xf numFmtId="0" fontId="0" fillId="0" borderId="99" xfId="0" applyBorder="1" applyAlignment="1">
      <alignment horizontal="left"/>
    </xf>
    <xf numFmtId="9" fontId="0" fillId="4" borderId="99" xfId="0" applyNumberFormat="1" applyFill="1" applyBorder="1" applyAlignment="1">
      <alignment horizontal="center" vertical="center" wrapText="1"/>
    </xf>
    <xf numFmtId="0" fontId="2" fillId="0" borderId="99" xfId="4" applyFont="1" applyFill="1" applyBorder="1" applyAlignment="1">
      <alignment horizontal="center" vertical="center"/>
    </xf>
    <xf numFmtId="0" fontId="0" fillId="0" borderId="99" xfId="0" applyBorder="1" applyAlignment="1">
      <alignment vertical="center" wrapText="1"/>
    </xf>
    <xf numFmtId="10" fontId="0" fillId="0" borderId="0" xfId="1" applyNumberFormat="1" applyFont="1" applyAlignment="1">
      <alignment horizontal="right"/>
    </xf>
    <xf numFmtId="0" fontId="3" fillId="0" borderId="0" xfId="0" applyFont="1" applyAlignment="1">
      <alignment horizontal="left" vertical="center"/>
    </xf>
    <xf numFmtId="3" fontId="3" fillId="0" borderId="0" xfId="0" applyNumberFormat="1" applyFont="1" applyAlignment="1">
      <alignment horizontal="center" vertical="center"/>
    </xf>
    <xf numFmtId="207" fontId="185" fillId="0" borderId="138" xfId="0" applyNumberFormat="1" applyFont="1" applyBorder="1" applyAlignment="1">
      <alignment horizontal="center" vertical="center"/>
    </xf>
    <xf numFmtId="3" fontId="5" fillId="0" borderId="0" xfId="0" applyNumberFormat="1" applyFont="1" applyAlignment="1">
      <alignment horizontal="center" vertical="center"/>
    </xf>
    <xf numFmtId="173" fontId="5" fillId="0" borderId="0" xfId="0" applyNumberFormat="1" applyFont="1" applyAlignment="1">
      <alignment horizontal="center" vertical="center"/>
    </xf>
    <xf numFmtId="3" fontId="185" fillId="0" borderId="0" xfId="0" applyNumberFormat="1" applyFont="1" applyAlignment="1">
      <alignment horizontal="center" vertical="center"/>
    </xf>
    <xf numFmtId="10" fontId="185" fillId="0" borderId="0" xfId="0" applyNumberFormat="1" applyFont="1" applyAlignment="1">
      <alignment horizontal="center" vertical="center"/>
    </xf>
    <xf numFmtId="1" fontId="5" fillId="0" borderId="0" xfId="0" applyNumberFormat="1" applyFont="1" applyAlignment="1">
      <alignment horizontal="center" vertical="center"/>
    </xf>
    <xf numFmtId="205" fontId="185" fillId="0" borderId="0" xfId="0" applyNumberFormat="1" applyFont="1" applyAlignment="1">
      <alignment horizontal="center" vertical="center"/>
    </xf>
    <xf numFmtId="0" fontId="4" fillId="104" borderId="99" xfId="0" applyFont="1" applyFill="1" applyBorder="1"/>
    <xf numFmtId="0" fontId="265" fillId="107" borderId="139" xfId="0" applyFont="1" applyFill="1" applyBorder="1" applyAlignment="1">
      <alignment horizontal="center" vertical="center" wrapText="1"/>
    </xf>
    <xf numFmtId="0" fontId="265" fillId="107" borderId="4" xfId="0" applyFont="1" applyFill="1" applyBorder="1" applyAlignment="1">
      <alignment horizontal="center" vertical="center" wrapText="1"/>
    </xf>
    <xf numFmtId="0" fontId="161" fillId="0" borderId="5" xfId="0" applyFont="1" applyBorder="1" applyAlignment="1">
      <alignment vertical="center" wrapText="1"/>
    </xf>
    <xf numFmtId="3" fontId="161" fillId="0" borderId="7" xfId="0" applyNumberFormat="1" applyFont="1" applyBorder="1" applyAlignment="1">
      <alignment horizontal="center" vertical="center" wrapText="1"/>
    </xf>
    <xf numFmtId="0" fontId="161" fillId="0" borderId="7" xfId="0" applyFont="1" applyBorder="1" applyAlignment="1">
      <alignment horizontal="center" vertical="center" wrapText="1"/>
    </xf>
    <xf numFmtId="0" fontId="265" fillId="108" borderId="5" xfId="0" applyFont="1" applyFill="1" applyBorder="1" applyAlignment="1">
      <alignment vertical="center" wrapText="1"/>
    </xf>
    <xf numFmtId="3" fontId="265" fillId="108" borderId="7" xfId="0" applyNumberFormat="1" applyFont="1" applyFill="1" applyBorder="1" applyAlignment="1">
      <alignment horizontal="center" vertical="center" wrapText="1"/>
    </xf>
    <xf numFmtId="0" fontId="265" fillId="0" borderId="0" xfId="0" applyFont="1" applyAlignment="1">
      <alignment vertical="center" wrapText="1"/>
    </xf>
    <xf numFmtId="3" fontId="265" fillId="0" borderId="0" xfId="0" applyNumberFormat="1" applyFont="1" applyAlignment="1">
      <alignment horizontal="center" vertical="center" wrapText="1"/>
    </xf>
    <xf numFmtId="0" fontId="3" fillId="3" borderId="1" xfId="0" applyFont="1" applyFill="1" applyBorder="1" applyAlignment="1">
      <alignment vertical="center"/>
    </xf>
    <xf numFmtId="0" fontId="3" fillId="3" borderId="2" xfId="0" applyFont="1" applyFill="1" applyBorder="1" applyAlignment="1">
      <alignment vertical="center"/>
    </xf>
    <xf numFmtId="0" fontId="3" fillId="3" borderId="24" xfId="0" applyFont="1" applyFill="1" applyBorder="1" applyAlignment="1">
      <alignment vertical="center"/>
    </xf>
    <xf numFmtId="0" fontId="3" fillId="3" borderId="140" xfId="0" applyFont="1" applyFill="1" applyBorder="1" applyAlignment="1">
      <alignment vertical="center"/>
    </xf>
    <xf numFmtId="0" fontId="3" fillId="3" borderId="141" xfId="0" applyFont="1" applyFill="1" applyBorder="1" applyAlignment="1">
      <alignment vertical="center"/>
    </xf>
    <xf numFmtId="0" fontId="3" fillId="3" borderId="142" xfId="0" applyFont="1" applyFill="1" applyBorder="1" applyAlignment="1">
      <alignment vertical="center"/>
    </xf>
    <xf numFmtId="0" fontId="3" fillId="0" borderId="1" xfId="0" applyFont="1" applyBorder="1" applyAlignment="1">
      <alignment horizontal="left" vertical="center"/>
    </xf>
    <xf numFmtId="0" fontId="3" fillId="0" borderId="2" xfId="0" applyFont="1" applyBorder="1" applyAlignment="1">
      <alignment horizontal="left" vertical="center"/>
    </xf>
    <xf numFmtId="0" fontId="3" fillId="0" borderId="24" xfId="0" applyFont="1" applyBorder="1" applyAlignment="1">
      <alignment horizontal="left" vertical="center"/>
    </xf>
    <xf numFmtId="3" fontId="3" fillId="0" borderId="25" xfId="0" applyNumberFormat="1" applyFont="1" applyBorder="1" applyAlignment="1">
      <alignment horizontal="center" vertical="center"/>
    </xf>
    <xf numFmtId="207" fontId="185" fillId="0" borderId="143" xfId="0" applyNumberFormat="1" applyFont="1" applyBorder="1" applyAlignment="1">
      <alignment horizontal="center" vertical="center"/>
    </xf>
    <xf numFmtId="207" fontId="5" fillId="0" borderId="25" xfId="0" applyNumberFormat="1" applyFont="1" applyBorder="1" applyAlignment="1">
      <alignment horizontal="center" vertical="center"/>
    </xf>
    <xf numFmtId="3" fontId="5" fillId="0" borderId="25" xfId="0" applyNumberFormat="1" applyFont="1" applyBorder="1" applyAlignment="1">
      <alignment horizontal="center" vertical="center"/>
    </xf>
    <xf numFmtId="3" fontId="185" fillId="0" borderId="25" xfId="0" applyNumberFormat="1" applyFont="1" applyBorder="1" applyAlignment="1">
      <alignment horizontal="center" vertical="center"/>
    </xf>
    <xf numFmtId="10" fontId="185" fillId="0" borderId="25" xfId="0" applyNumberFormat="1" applyFont="1" applyBorder="1" applyAlignment="1">
      <alignment horizontal="center" vertical="center"/>
    </xf>
    <xf numFmtId="0" fontId="100" fillId="87" borderId="99" xfId="0" applyFont="1" applyFill="1" applyBorder="1" applyAlignment="1">
      <alignment horizontal="center" vertical="center"/>
    </xf>
    <xf numFmtId="0" fontId="0" fillId="89" borderId="100" xfId="0" applyFill="1" applyBorder="1" applyAlignment="1">
      <alignment horizontal="right"/>
    </xf>
    <xf numFmtId="0" fontId="12" fillId="87" borderId="99" xfId="0" applyFont="1" applyFill="1" applyBorder="1" applyAlignment="1">
      <alignment horizontal="left" vertical="center"/>
    </xf>
    <xf numFmtId="0" fontId="12" fillId="87" borderId="99" xfId="0" applyFont="1" applyFill="1" applyBorder="1" applyAlignment="1">
      <alignment horizontal="center" vertical="center"/>
    </xf>
    <xf numFmtId="0" fontId="22" fillId="87" borderId="99" xfId="0" applyFont="1" applyFill="1" applyBorder="1" applyAlignment="1">
      <alignment horizontal="center" vertical="center" wrapText="1"/>
    </xf>
    <xf numFmtId="0" fontId="0" fillId="0" borderId="99" xfId="0" applyBorder="1" applyAlignment="1">
      <alignment horizontal="left" vertical="center"/>
    </xf>
    <xf numFmtId="168" fontId="2" fillId="0" borderId="99" xfId="4" applyNumberFormat="1" applyFont="1" applyFill="1" applyBorder="1" applyAlignment="1">
      <alignment horizontal="center" vertical="center" wrapText="1"/>
    </xf>
    <xf numFmtId="0" fontId="2" fillId="4" borderId="99" xfId="0" applyFont="1" applyFill="1" applyBorder="1" applyAlignment="1">
      <alignment vertical="center" wrapText="1"/>
    </xf>
    <xf numFmtId="0" fontId="0" fillId="4" borderId="99" xfId="0" applyFill="1" applyBorder="1" applyAlignment="1">
      <alignment horizontal="center" vertical="center"/>
    </xf>
    <xf numFmtId="0" fontId="0" fillId="0" borderId="99" xfId="0" applyBorder="1" applyAlignment="1">
      <alignment horizontal="left" vertical="center" wrapText="1"/>
    </xf>
    <xf numFmtId="0" fontId="2" fillId="0" borderId="99" xfId="4" applyFont="1" applyFill="1" applyBorder="1" applyAlignment="1">
      <alignment horizontal="center" vertical="center" wrapText="1"/>
    </xf>
    <xf numFmtId="0" fontId="0" fillId="4" borderId="99" xfId="0" applyFill="1" applyBorder="1" applyAlignment="1">
      <alignment vertical="center" wrapText="1"/>
    </xf>
    <xf numFmtId="3" fontId="2" fillId="0" borderId="99" xfId="4" applyNumberFormat="1" applyFont="1" applyFill="1" applyBorder="1" applyAlignment="1">
      <alignment horizontal="center" vertical="center" wrapText="1"/>
    </xf>
    <xf numFmtId="0" fontId="0" fillId="4" borderId="99" xfId="0" applyFill="1" applyBorder="1" applyAlignment="1">
      <alignment horizontal="center"/>
    </xf>
    <xf numFmtId="3" fontId="8" fillId="0" borderId="99" xfId="4" applyNumberFormat="1" applyFont="1" applyFill="1" applyBorder="1" applyAlignment="1">
      <alignment horizontal="center" vertical="center"/>
    </xf>
    <xf numFmtId="0" fontId="8" fillId="0" borderId="99" xfId="0" applyFont="1" applyBorder="1" applyAlignment="1">
      <alignment horizontal="left" vertical="center"/>
    </xf>
    <xf numFmtId="0" fontId="8" fillId="0" borderId="99" xfId="0" applyFont="1" applyBorder="1" applyAlignment="1">
      <alignment horizontal="center" vertical="center"/>
    </xf>
    <xf numFmtId="0" fontId="0" fillId="0" borderId="99" xfId="0" applyBorder="1" applyAlignment="1">
      <alignment horizontal="center" vertical="center" wrapText="1"/>
    </xf>
    <xf numFmtId="3" fontId="8" fillId="0" borderId="99" xfId="0" applyNumberFormat="1" applyFont="1" applyBorder="1" applyAlignment="1">
      <alignment horizontal="center" vertical="center"/>
    </xf>
    <xf numFmtId="0" fontId="0" fillId="0" borderId="99" xfId="0" applyBorder="1" applyAlignment="1">
      <alignment horizontal="center" vertical="center"/>
    </xf>
    <xf numFmtId="205" fontId="0" fillId="0" borderId="99" xfId="0" applyNumberFormat="1" applyBorder="1" applyAlignment="1">
      <alignment horizontal="center" vertical="center"/>
    </xf>
    <xf numFmtId="0" fontId="226" fillId="0" borderId="99" xfId="0" applyFont="1" applyBorder="1" applyAlignment="1">
      <alignment horizontal="left" vertical="center"/>
    </xf>
    <xf numFmtId="171" fontId="0" fillId="0" borderId="99" xfId="5" applyNumberFormat="1" applyFont="1" applyFill="1" applyBorder="1" applyAlignment="1">
      <alignment horizontal="center" vertical="center" wrapText="1"/>
    </xf>
    <xf numFmtId="171" fontId="8" fillId="0" borderId="99" xfId="5" applyNumberFormat="1" applyFont="1" applyFill="1" applyBorder="1" applyAlignment="1">
      <alignment horizontal="center" vertical="center" wrapText="1"/>
    </xf>
    <xf numFmtId="1" fontId="8" fillId="0" borderId="99" xfId="3" applyNumberFormat="1" applyFont="1" applyFill="1" applyBorder="1" applyAlignment="1">
      <alignment horizontal="center" vertical="center" wrapText="1"/>
    </xf>
    <xf numFmtId="2" fontId="8" fillId="0" borderId="99" xfId="3" applyNumberFormat="1" applyFont="1" applyFill="1" applyBorder="1" applyAlignment="1">
      <alignment horizontal="center" vertical="center" wrapText="1"/>
    </xf>
    <xf numFmtId="2" fontId="8" fillId="0" borderId="99" xfId="5" applyNumberFormat="1" applyFont="1" applyFill="1" applyBorder="1" applyAlignment="1">
      <alignment horizontal="center" vertical="center" wrapText="1"/>
    </xf>
    <xf numFmtId="166" fontId="0" fillId="0" borderId="99" xfId="0" applyNumberFormat="1" applyBorder="1" applyAlignment="1">
      <alignment horizontal="center" vertical="center"/>
    </xf>
    <xf numFmtId="10" fontId="0" fillId="0" borderId="99" xfId="0" applyNumberFormat="1" applyBorder="1" applyAlignment="1">
      <alignment horizontal="center" vertical="center" wrapText="1"/>
    </xf>
    <xf numFmtId="0" fontId="8" fillId="0" borderId="99" xfId="0" applyFont="1" applyBorder="1" applyAlignment="1">
      <alignment horizontal="left" vertical="center" wrapText="1"/>
    </xf>
    <xf numFmtId="190" fontId="8" fillId="0" borderId="99" xfId="4" applyNumberFormat="1" applyFont="1" applyFill="1" applyBorder="1" applyAlignment="1">
      <alignment horizontal="center" vertical="center" wrapText="1"/>
    </xf>
    <xf numFmtId="173" fontId="8" fillId="0" borderId="99" xfId="4" applyNumberFormat="1" applyFont="1" applyFill="1" applyBorder="1" applyAlignment="1">
      <alignment horizontal="center" vertical="center" wrapText="1"/>
    </xf>
    <xf numFmtId="4" fontId="8" fillId="0" borderId="99" xfId="4" applyNumberFormat="1" applyFont="1" applyFill="1" applyBorder="1" applyAlignment="1">
      <alignment horizontal="center" vertical="center" wrapText="1"/>
    </xf>
    <xf numFmtId="1" fontId="250" fillId="0" borderId="99" xfId="0" applyNumberFormat="1" applyFont="1" applyBorder="1" applyAlignment="1">
      <alignment horizontal="center"/>
    </xf>
    <xf numFmtId="1" fontId="250" fillId="3" borderId="99" xfId="0" applyNumberFormat="1" applyFont="1" applyFill="1" applyBorder="1" applyAlignment="1">
      <alignment horizontal="center"/>
    </xf>
    <xf numFmtId="0" fontId="102" fillId="0" borderId="99" xfId="0" applyFont="1" applyBorder="1" applyAlignment="1">
      <alignment horizontal="center"/>
    </xf>
    <xf numFmtId="0" fontId="102" fillId="0" borderId="99" xfId="0" applyFont="1" applyBorder="1"/>
    <xf numFmtId="0" fontId="103" fillId="0" borderId="99" xfId="0" applyFont="1" applyBorder="1" applyAlignment="1">
      <alignment horizontal="center"/>
    </xf>
    <xf numFmtId="0" fontId="103" fillId="0" borderId="99" xfId="0" applyFont="1" applyBorder="1" applyAlignment="1">
      <alignment horizontal="center" vertical="center"/>
    </xf>
    <xf numFmtId="2" fontId="104" fillId="0" borderId="99" xfId="0" applyNumberFormat="1" applyFont="1" applyBorder="1" applyAlignment="1">
      <alignment horizontal="center"/>
    </xf>
    <xf numFmtId="172" fontId="104" fillId="0" borderId="99" xfId="0" applyNumberFormat="1" applyFont="1" applyBorder="1" applyAlignment="1">
      <alignment horizontal="center"/>
    </xf>
    <xf numFmtId="2" fontId="0" fillId="0" borderId="99" xfId="0" applyNumberFormat="1" applyBorder="1" applyAlignment="1">
      <alignment horizontal="center"/>
    </xf>
    <xf numFmtId="2" fontId="0" fillId="0" borderId="99" xfId="0" applyNumberFormat="1" applyBorder="1" applyAlignment="1">
      <alignment horizontal="center" vertical="center"/>
    </xf>
    <xf numFmtId="2" fontId="166" fillId="86" borderId="99" xfId="0" applyNumberFormat="1" applyFont="1" applyFill="1" applyBorder="1" applyAlignment="1">
      <alignment horizontal="center"/>
    </xf>
    <xf numFmtId="0" fontId="102" fillId="4" borderId="99" xfId="0" applyFont="1" applyFill="1" applyBorder="1"/>
    <xf numFmtId="176" fontId="0" fillId="0" borderId="99" xfId="0" applyNumberFormat="1" applyBorder="1" applyAlignment="1">
      <alignment horizontal="center"/>
    </xf>
    <xf numFmtId="176" fontId="0" fillId="4" borderId="99" xfId="0" applyNumberFormat="1" applyFill="1" applyBorder="1" applyAlignment="1">
      <alignment horizontal="center"/>
    </xf>
    <xf numFmtId="5" fontId="97" fillId="97" borderId="99" xfId="3" applyNumberFormat="1" applyFont="1" applyFill="1" applyBorder="1" applyAlignment="1">
      <alignment horizontal="center" vertical="top"/>
    </xf>
    <xf numFmtId="5" fontId="213" fillId="97" borderId="99" xfId="42581" applyNumberFormat="1" applyFont="1" applyFill="1" applyBorder="1" applyAlignment="1">
      <alignment horizontal="center" vertical="top"/>
    </xf>
    <xf numFmtId="165" fontId="15" fillId="97" borderId="99" xfId="1" applyNumberFormat="1" applyFont="1" applyFill="1" applyBorder="1" applyAlignment="1">
      <alignment horizontal="right" vertical="top"/>
    </xf>
    <xf numFmtId="5" fontId="97" fillId="2" borderId="99" xfId="3" applyNumberFormat="1" applyFont="1" applyFill="1" applyBorder="1" applyAlignment="1">
      <alignment horizontal="center" vertical="top"/>
    </xf>
    <xf numFmtId="0" fontId="194" fillId="0" borderId="99" xfId="19" applyFont="1" applyBorder="1" applyAlignment="1" applyProtection="1">
      <alignment vertical="top"/>
    </xf>
    <xf numFmtId="0" fontId="18" fillId="0" borderId="99" xfId="20" applyFont="1" applyBorder="1" applyAlignment="1">
      <alignment horizontal="center" vertical="top"/>
    </xf>
    <xf numFmtId="0" fontId="16" fillId="0" borderId="99" xfId="20" applyFont="1" applyBorder="1" applyAlignment="1">
      <alignment horizontal="center" vertical="top"/>
    </xf>
    <xf numFmtId="0" fontId="7" fillId="0" borderId="99" xfId="19" applyFont="1" applyBorder="1" applyAlignment="1" applyProtection="1">
      <alignment vertical="top"/>
    </xf>
    <xf numFmtId="177" fontId="15" fillId="2" borderId="99" xfId="20" applyNumberFormat="1" applyFont="1" applyFill="1" applyBorder="1" applyAlignment="1">
      <alignment horizontal="center" vertical="top"/>
    </xf>
    <xf numFmtId="0" fontId="15" fillId="0" borderId="99" xfId="20" applyFont="1" applyBorder="1" applyAlignment="1">
      <alignment vertical="top"/>
    </xf>
    <xf numFmtId="164" fontId="15" fillId="2" borderId="99" xfId="21" applyNumberFormat="1" applyFont="1" applyFill="1" applyBorder="1" applyAlignment="1">
      <alignment vertical="top"/>
    </xf>
    <xf numFmtId="164" fontId="15" fillId="0" borderId="99" xfId="21" applyNumberFormat="1" applyFont="1" applyFill="1" applyBorder="1" applyAlignment="1">
      <alignment vertical="top"/>
    </xf>
    <xf numFmtId="168" fontId="15" fillId="0" borderId="99" xfId="22" applyNumberFormat="1" applyFont="1" applyFill="1" applyBorder="1" applyAlignment="1">
      <alignment vertical="top"/>
    </xf>
    <xf numFmtId="0" fontId="7" fillId="0" borderId="99" xfId="20" applyFont="1" applyBorder="1" applyAlignment="1">
      <alignment vertical="top"/>
    </xf>
    <xf numFmtId="167" fontId="213" fillId="0" borderId="99" xfId="42569" applyNumberFormat="1" applyFont="1" applyBorder="1" applyAlignment="1">
      <alignment vertical="top"/>
    </xf>
    <xf numFmtId="167" fontId="210" fillId="0" borderId="99" xfId="42964" applyNumberFormat="1" applyFont="1" applyBorder="1" applyAlignment="1">
      <alignment vertical="top"/>
    </xf>
    <xf numFmtId="167" fontId="212" fillId="0" borderId="99" xfId="42569" applyNumberFormat="1" applyFont="1" applyBorder="1" applyAlignment="1">
      <alignment vertical="top"/>
    </xf>
    <xf numFmtId="0" fontId="18" fillId="0" borderId="99" xfId="0" applyFont="1" applyBorder="1" applyAlignment="1">
      <alignment vertical="top"/>
    </xf>
    <xf numFmtId="0" fontId="18" fillId="0" borderId="99" xfId="0" applyFont="1" applyBorder="1" applyAlignment="1">
      <alignment horizontal="right" vertical="top" wrapText="1"/>
    </xf>
    <xf numFmtId="0" fontId="15" fillId="0" borderId="99" xfId="0" applyFont="1" applyBorder="1" applyAlignment="1">
      <alignment vertical="top"/>
    </xf>
    <xf numFmtId="177" fontId="15" fillId="2" borderId="99" xfId="0" applyNumberFormat="1" applyFont="1" applyFill="1" applyBorder="1" applyAlignment="1">
      <alignment vertical="top"/>
    </xf>
    <xf numFmtId="0" fontId="18" fillId="0" borderId="99" xfId="0" applyFont="1" applyBorder="1" applyAlignment="1">
      <alignment horizontal="center" vertical="top"/>
    </xf>
    <xf numFmtId="0" fontId="15" fillId="2" borderId="99" xfId="0" applyFont="1" applyFill="1" applyBorder="1" applyAlignment="1">
      <alignment horizontal="center" vertical="top"/>
    </xf>
    <xf numFmtId="2" fontId="15" fillId="2" borderId="99" xfId="0" applyNumberFormat="1" applyFont="1" applyFill="1" applyBorder="1" applyAlignment="1">
      <alignment horizontal="center" vertical="top"/>
    </xf>
    <xf numFmtId="0" fontId="188" fillId="0" borderId="100" xfId="0" applyFont="1" applyBorder="1" applyAlignment="1">
      <alignment horizontal="center" vertical="top"/>
    </xf>
    <xf numFmtId="10" fontId="188" fillId="0" borderId="100" xfId="0" applyNumberFormat="1" applyFont="1" applyBorder="1" applyAlignment="1">
      <alignment horizontal="center" vertical="top"/>
    </xf>
    <xf numFmtId="166" fontId="209" fillId="0" borderId="100" xfId="0" applyNumberFormat="1" applyFont="1" applyBorder="1"/>
    <xf numFmtId="0" fontId="13" fillId="0" borderId="100" xfId="0" applyFont="1" applyBorder="1"/>
    <xf numFmtId="0" fontId="41" fillId="0" borderId="99" xfId="0" applyFont="1" applyBorder="1" applyAlignment="1">
      <alignment horizontal="center" vertical="top" wrapText="1"/>
    </xf>
    <xf numFmtId="168" fontId="6" fillId="0" borderId="99" xfId="1" applyNumberFormat="1" applyFont="1" applyBorder="1" applyAlignment="1">
      <alignment horizontal="right" vertical="top"/>
    </xf>
    <xf numFmtId="168" fontId="41" fillId="0" borderId="99" xfId="1" applyNumberFormat="1" applyFont="1" applyBorder="1" applyAlignment="1">
      <alignment horizontal="right" vertical="top"/>
    </xf>
    <xf numFmtId="0" fontId="41" fillId="0" borderId="99" xfId="0" applyFont="1" applyBorder="1" applyAlignment="1">
      <alignment horizontal="center" wrapText="1"/>
    </xf>
    <xf numFmtId="0" fontId="42" fillId="0" borderId="99" xfId="0" applyFont="1" applyBorder="1" applyAlignment="1">
      <alignment horizontal="left" vertical="top" shrinkToFit="1"/>
    </xf>
    <xf numFmtId="2" fontId="42" fillId="2" borderId="99" xfId="0" applyNumberFormat="1" applyFont="1" applyFill="1" applyBorder="1" applyAlignment="1">
      <alignment horizontal="center" vertical="center" wrapText="1"/>
    </xf>
    <xf numFmtId="165" fontId="47" fillId="0" borderId="99" xfId="0" applyNumberFormat="1" applyFont="1" applyBorder="1" applyAlignment="1">
      <alignment horizontal="right" vertical="center"/>
    </xf>
    <xf numFmtId="0" fontId="38" fillId="40" borderId="100" xfId="0" applyFont="1" applyFill="1" applyBorder="1" applyAlignment="1">
      <alignment vertical="top" wrapText="1"/>
    </xf>
    <xf numFmtId="0" fontId="38" fillId="40" borderId="100" xfId="0" applyFont="1" applyFill="1" applyBorder="1" applyAlignment="1">
      <alignment horizontal="left" vertical="top"/>
    </xf>
    <xf numFmtId="42" fontId="0" fillId="0" borderId="0" xfId="0" applyNumberFormat="1"/>
    <xf numFmtId="44" fontId="0" fillId="0" borderId="0" xfId="0" applyNumberFormat="1"/>
    <xf numFmtId="0" fontId="3" fillId="94" borderId="81" xfId="0" applyFont="1" applyFill="1" applyBorder="1" applyAlignment="1">
      <alignment vertical="center" wrapText="1"/>
    </xf>
    <xf numFmtId="9" fontId="185" fillId="3" borderId="81" xfId="1" applyFont="1" applyFill="1" applyBorder="1" applyAlignment="1">
      <alignment horizontal="center" vertical="center"/>
    </xf>
    <xf numFmtId="9" fontId="185" fillId="3" borderId="83" xfId="1" applyFont="1" applyFill="1" applyBorder="1" applyAlignment="1">
      <alignment horizontal="center" vertical="center"/>
    </xf>
    <xf numFmtId="9" fontId="185" fillId="3" borderId="82" xfId="1" applyFont="1" applyFill="1" applyBorder="1" applyAlignment="1">
      <alignment horizontal="center" vertical="center"/>
    </xf>
    <xf numFmtId="207" fontId="5" fillId="0" borderId="138" xfId="0" applyNumberFormat="1" applyFont="1" applyBorder="1" applyAlignment="1">
      <alignment horizontal="center" vertical="center"/>
    </xf>
    <xf numFmtId="228" fontId="165" fillId="3" borderId="0" xfId="0" applyNumberFormat="1" applyFont="1" applyFill="1" applyAlignment="1">
      <alignment horizontal="center" vertical="center"/>
    </xf>
    <xf numFmtId="173" fontId="8" fillId="0" borderId="99" xfId="0" applyNumberFormat="1" applyFont="1" applyBorder="1" applyAlignment="1">
      <alignment horizontal="center" vertical="center"/>
    </xf>
    <xf numFmtId="0" fontId="94" fillId="0" borderId="0" xfId="43853" applyAlignment="1" applyProtection="1">
      <alignment vertical="top" wrapText="1"/>
    </xf>
    <xf numFmtId="167" fontId="225" fillId="0" borderId="99" xfId="3" applyNumberFormat="1" applyFont="1" applyBorder="1" applyAlignment="1">
      <alignment horizontal="center" vertical="center"/>
    </xf>
    <xf numFmtId="9" fontId="0" fillId="0" borderId="99" xfId="1" applyFont="1" applyFill="1" applyBorder="1" applyAlignment="1">
      <alignment horizontal="center" vertical="center" wrapText="1"/>
    </xf>
    <xf numFmtId="168" fontId="0" fillId="0" borderId="0" xfId="1" applyNumberFormat="1" applyFont="1"/>
    <xf numFmtId="0" fontId="169" fillId="59" borderId="0" xfId="0" applyFont="1" applyFill="1" applyAlignment="1">
      <alignment horizontal="center" vertical="center" wrapText="1"/>
    </xf>
    <xf numFmtId="0" fontId="169" fillId="59" borderId="0" xfId="0" applyFont="1" applyFill="1" applyAlignment="1">
      <alignment horizontal="center" vertical="center"/>
    </xf>
    <xf numFmtId="0" fontId="19" fillId="59" borderId="0" xfId="0" applyFont="1" applyFill="1" applyAlignment="1">
      <alignment horizontal="left" vertical="top" wrapText="1"/>
    </xf>
    <xf numFmtId="0" fontId="91" fillId="59" borderId="0" xfId="0" applyFont="1" applyFill="1" applyAlignment="1">
      <alignment horizontal="center" vertical="center"/>
    </xf>
    <xf numFmtId="170" fontId="91" fillId="59" borderId="0" xfId="0" applyNumberFormat="1" applyFont="1" applyFill="1" applyAlignment="1">
      <alignment horizontal="center" vertical="center"/>
    </xf>
    <xf numFmtId="0" fontId="92" fillId="59" borderId="0" xfId="0" applyFont="1" applyFill="1" applyAlignment="1">
      <alignment horizontal="left"/>
    </xf>
    <xf numFmtId="168" fontId="5" fillId="4" borderId="137" xfId="0" applyNumberFormat="1" applyFont="1" applyFill="1" applyBorder="1" applyAlignment="1">
      <alignment horizontal="center" vertical="center"/>
    </xf>
    <xf numFmtId="168" fontId="5" fillId="4" borderId="82" xfId="0" applyNumberFormat="1" applyFont="1" applyFill="1" applyBorder="1" applyAlignment="1">
      <alignment horizontal="center" vertical="center"/>
    </xf>
    <xf numFmtId="0" fontId="100" fillId="60" borderId="65" xfId="0" applyFont="1" applyFill="1" applyBorder="1" applyAlignment="1">
      <alignment horizontal="center" vertical="center"/>
    </xf>
    <xf numFmtId="0" fontId="100" fillId="60" borderId="0" xfId="0" applyFont="1" applyFill="1" applyAlignment="1">
      <alignment horizontal="center" vertical="center"/>
    </xf>
    <xf numFmtId="0" fontId="100" fillId="60" borderId="65" xfId="0" applyFont="1" applyFill="1" applyBorder="1" applyAlignment="1">
      <alignment horizontal="center" vertical="center" wrapText="1"/>
    </xf>
    <xf numFmtId="0" fontId="100" fillId="60" borderId="60" xfId="0" applyFont="1" applyFill="1" applyBorder="1" applyAlignment="1">
      <alignment horizontal="center" vertical="center" wrapText="1"/>
    </xf>
    <xf numFmtId="0" fontId="100" fillId="87" borderId="120" xfId="0" applyFont="1" applyFill="1" applyBorder="1" applyAlignment="1">
      <alignment horizontal="center" vertical="center"/>
    </xf>
    <xf numFmtId="0" fontId="100" fillId="87" borderId="114" xfId="0" applyFont="1" applyFill="1" applyBorder="1" applyAlignment="1">
      <alignment horizontal="center" vertical="center"/>
    </xf>
    <xf numFmtId="0" fontId="100" fillId="87" borderId="23" xfId="0" applyFont="1" applyFill="1" applyBorder="1" applyAlignment="1">
      <alignment horizontal="left" vertical="center"/>
    </xf>
    <xf numFmtId="0" fontId="100" fillId="36" borderId="99" xfId="0" applyFont="1" applyFill="1" applyBorder="1" applyAlignment="1">
      <alignment horizontal="center" vertical="center" wrapText="1"/>
    </xf>
    <xf numFmtId="0" fontId="100" fillId="36" borderId="99" xfId="0" applyFont="1" applyFill="1" applyBorder="1" applyAlignment="1">
      <alignment horizontal="center" vertical="center"/>
    </xf>
    <xf numFmtId="0" fontId="100" fillId="87" borderId="1" xfId="0" applyFont="1" applyFill="1" applyBorder="1" applyAlignment="1">
      <alignment horizontal="center" vertical="center" wrapText="1"/>
    </xf>
    <xf numFmtId="0" fontId="100" fillId="87" borderId="24" xfId="0" applyFont="1" applyFill="1" applyBorder="1" applyAlignment="1">
      <alignment horizontal="center" vertical="center" wrapText="1"/>
    </xf>
    <xf numFmtId="0" fontId="100" fillId="87" borderId="99" xfId="0" applyFont="1" applyFill="1" applyBorder="1" applyAlignment="1">
      <alignment horizontal="left" vertical="center"/>
    </xf>
    <xf numFmtId="0" fontId="100" fillId="36" borderId="21" xfId="0" applyFont="1" applyFill="1" applyBorder="1" applyAlignment="1">
      <alignment horizontal="center" vertical="center"/>
    </xf>
    <xf numFmtId="0" fontId="100" fillId="36" borderId="23" xfId="0" applyFont="1" applyFill="1" applyBorder="1" applyAlignment="1">
      <alignment horizontal="center" vertical="center"/>
    </xf>
    <xf numFmtId="0" fontId="100" fillId="87" borderId="80" xfId="0" applyFont="1" applyFill="1" applyBorder="1" applyAlignment="1">
      <alignment horizontal="center" vertical="center" wrapText="1"/>
    </xf>
    <xf numFmtId="0" fontId="100" fillId="87" borderId="81" xfId="0" applyFont="1" applyFill="1" applyBorder="1" applyAlignment="1">
      <alignment horizontal="center" vertical="center" wrapText="1"/>
    </xf>
    <xf numFmtId="0" fontId="100" fillId="87" borderId="77" xfId="0" applyFont="1" applyFill="1" applyBorder="1" applyAlignment="1">
      <alignment horizontal="center" vertical="center" wrapText="1"/>
    </xf>
    <xf numFmtId="0" fontId="100" fillId="87" borderId="82" xfId="0" applyFont="1" applyFill="1" applyBorder="1" applyAlignment="1">
      <alignment horizontal="center" vertical="center" wrapText="1"/>
    </xf>
    <xf numFmtId="0" fontId="231" fillId="0" borderId="25" xfId="0" applyFont="1" applyBorder="1" applyAlignment="1">
      <alignment horizontal="center"/>
    </xf>
    <xf numFmtId="0" fontId="0" fillId="0" borderId="25" xfId="0" applyBorder="1" applyAlignment="1">
      <alignment horizontal="center"/>
    </xf>
    <xf numFmtId="0" fontId="0" fillId="4" borderId="99" xfId="0" applyFill="1" applyBorder="1" applyAlignment="1">
      <alignment horizontal="left" vertical="top" wrapText="1"/>
    </xf>
    <xf numFmtId="0" fontId="0" fillId="4" borderId="99" xfId="0" applyFill="1" applyBorder="1" applyAlignment="1">
      <alignment horizontal="left" vertical="center" wrapText="1"/>
    </xf>
    <xf numFmtId="0" fontId="0" fillId="4" borderId="99" xfId="0" applyFill="1" applyBorder="1" applyAlignment="1">
      <alignment horizontal="center" vertical="top" wrapText="1"/>
    </xf>
    <xf numFmtId="0" fontId="0" fillId="4" borderId="1" xfId="0" applyFill="1" applyBorder="1" applyAlignment="1">
      <alignment horizontal="center" vertical="top" wrapText="1"/>
    </xf>
    <xf numFmtId="0" fontId="0" fillId="4" borderId="2" xfId="0" applyFill="1" applyBorder="1" applyAlignment="1">
      <alignment horizontal="center" vertical="top" wrapText="1"/>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1" xfId="0" applyFill="1" applyBorder="1" applyAlignment="1">
      <alignment horizontal="left" vertical="center" wrapText="1"/>
    </xf>
    <xf numFmtId="0" fontId="0" fillId="4" borderId="2" xfId="0" applyFill="1" applyBorder="1" applyAlignment="1">
      <alignment horizontal="left"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24" xfId="0" applyBorder="1" applyAlignment="1">
      <alignment horizontal="center" vertical="center" wrapText="1"/>
    </xf>
    <xf numFmtId="0" fontId="8" fillId="0" borderId="1" xfId="0" applyFont="1" applyBorder="1" applyAlignment="1">
      <alignment horizontal="left" vertical="center" wrapText="1"/>
    </xf>
    <xf numFmtId="0" fontId="8" fillId="0" borderId="2" xfId="0" applyFont="1" applyBorder="1" applyAlignment="1">
      <alignment horizontal="left" vertical="center" wrapText="1"/>
    </xf>
    <xf numFmtId="0" fontId="102" fillId="0" borderId="99" xfId="0" applyFont="1" applyBorder="1" applyAlignment="1">
      <alignment horizontal="left"/>
    </xf>
    <xf numFmtId="0" fontId="102" fillId="0" borderId="99" xfId="0" applyFont="1" applyBorder="1" applyAlignment="1">
      <alignment horizontal="center"/>
    </xf>
    <xf numFmtId="0" fontId="103" fillId="0" borderId="1" xfId="0" applyFont="1" applyBorder="1" applyAlignment="1">
      <alignment horizontal="center"/>
    </xf>
    <xf numFmtId="0" fontId="103" fillId="0" borderId="24" xfId="0" applyFont="1" applyBorder="1" applyAlignment="1">
      <alignment horizontal="center"/>
    </xf>
    <xf numFmtId="0" fontId="234" fillId="0" borderId="0" xfId="43853" applyFont="1" applyAlignment="1">
      <alignment horizontal="left" vertical="top" wrapText="1"/>
    </xf>
    <xf numFmtId="0" fontId="16" fillId="0" borderId="1" xfId="20" applyFont="1" applyBorder="1" applyAlignment="1">
      <alignment horizontal="center" vertical="top" wrapText="1"/>
    </xf>
    <xf numFmtId="0" fontId="16" fillId="0" borderId="24" xfId="20" applyFont="1" applyBorder="1" applyAlignment="1">
      <alignment horizontal="center" vertical="top" wrapText="1"/>
    </xf>
    <xf numFmtId="0" fontId="195" fillId="0" borderId="1" xfId="20" applyFont="1" applyBorder="1" applyAlignment="1">
      <alignment horizontal="center" vertical="top"/>
    </xf>
    <xf numFmtId="0" fontId="195" fillId="0" borderId="24" xfId="20" applyFont="1" applyBorder="1" applyAlignment="1">
      <alignment horizontal="center" vertical="top"/>
    </xf>
    <xf numFmtId="0" fontId="204" fillId="0" borderId="0" xfId="40753" applyFont="1" applyAlignment="1">
      <alignment horizontal="left" vertical="center" wrapText="1" shrinkToFit="1"/>
    </xf>
    <xf numFmtId="0" fontId="16" fillId="0" borderId="1" xfId="20" applyFont="1" applyBorder="1" applyAlignment="1">
      <alignment horizontal="center" vertical="top"/>
    </xf>
    <xf numFmtId="0" fontId="16" fillId="0" borderId="24" xfId="20" applyFont="1" applyBorder="1" applyAlignment="1">
      <alignment horizontal="center" vertical="top"/>
    </xf>
    <xf numFmtId="0" fontId="95" fillId="0" borderId="46" xfId="0" applyFont="1" applyBorder="1" applyAlignment="1">
      <alignment horizontal="center" wrapText="1"/>
    </xf>
    <xf numFmtId="0" fontId="95" fillId="0" borderId="47" xfId="0" applyFont="1" applyBorder="1" applyAlignment="1">
      <alignment horizontal="center" wrapText="1"/>
    </xf>
    <xf numFmtId="0" fontId="95" fillId="0" borderId="48" xfId="0" applyFont="1" applyBorder="1" applyAlignment="1">
      <alignment horizontal="center" wrapText="1"/>
    </xf>
    <xf numFmtId="0" fontId="95" fillId="0" borderId="46" xfId="0" applyFont="1" applyBorder="1" applyAlignment="1">
      <alignment horizontal="center" vertical="top" wrapText="1"/>
    </xf>
    <xf numFmtId="0" fontId="95" fillId="0" borderId="47" xfId="0" applyFont="1" applyBorder="1" applyAlignment="1">
      <alignment horizontal="center" vertical="top" wrapText="1"/>
    </xf>
    <xf numFmtId="0" fontId="95" fillId="0" borderId="48" xfId="0" applyFont="1" applyBorder="1" applyAlignment="1">
      <alignment horizontal="center" vertical="top" wrapText="1"/>
    </xf>
    <xf numFmtId="0" fontId="41" fillId="0" borderId="99" xfId="0" applyFont="1" applyBorder="1" applyAlignment="1">
      <alignment horizontal="center" wrapText="1"/>
    </xf>
    <xf numFmtId="0" fontId="27" fillId="0" borderId="99" xfId="0" applyFont="1" applyBorder="1" applyAlignment="1">
      <alignment horizontal="center" wrapText="1"/>
    </xf>
    <xf numFmtId="0" fontId="41" fillId="0" borderId="99" xfId="0" applyFont="1" applyBorder="1" applyAlignment="1">
      <alignment horizontal="center" vertical="top" wrapText="1"/>
    </xf>
    <xf numFmtId="3" fontId="42" fillId="2" borderId="58" xfId="0" applyNumberFormat="1" applyFont="1" applyFill="1" applyBorder="1" applyAlignment="1">
      <alignment horizontal="right" vertical="center" wrapText="1"/>
    </xf>
    <xf numFmtId="3" fontId="42" fillId="2" borderId="49" xfId="0" applyNumberFormat="1" applyFont="1" applyFill="1" applyBorder="1" applyAlignment="1">
      <alignment horizontal="right" vertical="center" wrapText="1"/>
    </xf>
    <xf numFmtId="0" fontId="177" fillId="0" borderId="0" xfId="19" applyFont="1" applyFill="1" applyAlignment="1" applyProtection="1">
      <alignment horizontal="left" vertical="center" wrapText="1" shrinkToFit="1"/>
    </xf>
    <xf numFmtId="0" fontId="174" fillId="3" borderId="21" xfId="0" applyFont="1" applyFill="1" applyBorder="1" applyAlignment="1">
      <alignment vertical="center" wrapText="1"/>
    </xf>
    <xf numFmtId="0" fontId="174" fillId="3" borderId="100" xfId="0" applyFont="1" applyFill="1" applyBorder="1" applyAlignment="1">
      <alignment vertical="center" wrapText="1"/>
    </xf>
    <xf numFmtId="0" fontId="174" fillId="3" borderId="23" xfId="0" applyFont="1" applyFill="1" applyBorder="1" applyAlignment="1">
      <alignment vertical="center" wrapText="1"/>
    </xf>
    <xf numFmtId="0" fontId="176" fillId="0" borderId="0" xfId="42964" applyFont="1" applyAlignment="1">
      <alignment horizontal="center" vertical="center" wrapText="1" shrinkToFit="1"/>
    </xf>
    <xf numFmtId="49" fontId="16" fillId="0" borderId="0" xfId="0" applyNumberFormat="1" applyFont="1" applyAlignment="1">
      <alignment horizontal="left" wrapText="1"/>
    </xf>
    <xf numFmtId="49" fontId="7" fillId="0" borderId="0" xfId="0" applyNumberFormat="1" applyFont="1" applyAlignment="1">
      <alignment horizontal="left" wrapText="1"/>
    </xf>
    <xf numFmtId="3" fontId="7" fillId="0" borderId="0" xfId="0" applyNumberFormat="1" applyFont="1" applyAlignment="1">
      <alignment horizontal="left" wrapText="1"/>
    </xf>
    <xf numFmtId="3" fontId="16" fillId="0" borderId="0" xfId="0" applyNumberFormat="1" applyFont="1" applyAlignment="1">
      <alignment horizontal="left" wrapText="1"/>
    </xf>
    <xf numFmtId="0" fontId="7" fillId="0" borderId="0" xfId="108" applyFont="1" applyAlignment="1">
      <alignment horizontal="left" wrapText="1"/>
    </xf>
    <xf numFmtId="2" fontId="7" fillId="0" borderId="0" xfId="0" applyNumberFormat="1" applyFont="1" applyAlignment="1">
      <alignment horizontal="left" wrapText="1"/>
    </xf>
    <xf numFmtId="0" fontId="7" fillId="0" borderId="0" xfId="0" applyFont="1" applyAlignment="1">
      <alignment horizontal="left" wrapText="1"/>
    </xf>
    <xf numFmtId="0" fontId="152" fillId="0" borderId="43" xfId="121" applyFont="1" applyBorder="1" applyAlignment="1">
      <alignment horizontal="left" wrapText="1"/>
    </xf>
    <xf numFmtId="0" fontId="16" fillId="0" borderId="42" xfId="80" applyFont="1" applyFill="1" applyBorder="1" applyAlignment="1">
      <alignment horizontal="left" wrapText="1"/>
    </xf>
    <xf numFmtId="0" fontId="7" fillId="0" borderId="0" xfId="80" applyFont="1" applyFill="1" applyAlignment="1">
      <alignment horizontal="left" wrapText="1"/>
    </xf>
    <xf numFmtId="0" fontId="16" fillId="0" borderId="0" xfId="80" applyFont="1" applyFill="1" applyAlignment="1">
      <alignment horizontal="left" wrapText="1"/>
    </xf>
    <xf numFmtId="49" fontId="7" fillId="0" borderId="0" xfId="42939" applyNumberFormat="1" applyFont="1" applyAlignment="1">
      <alignment horizontal="left" wrapText="1"/>
    </xf>
    <xf numFmtId="0" fontId="157" fillId="0" borderId="0" xfId="0" applyFont="1" applyAlignment="1">
      <alignment horizontal="left" wrapText="1"/>
    </xf>
    <xf numFmtId="0" fontId="157" fillId="0" borderId="0" xfId="80" applyFont="1" applyFill="1" applyAlignment="1">
      <alignment horizontal="left" wrapText="1"/>
    </xf>
    <xf numFmtId="0" fontId="16" fillId="0" borderId="0" xfId="0" applyFont="1" applyAlignment="1">
      <alignment horizontal="left" wrapText="1"/>
    </xf>
    <xf numFmtId="0" fontId="41" fillId="106" borderId="1" xfId="0" applyFont="1" applyFill="1" applyBorder="1" applyAlignment="1">
      <alignment horizontal="center" vertical="center"/>
    </xf>
    <xf numFmtId="0" fontId="41" fillId="106" borderId="24" xfId="0" applyFont="1" applyFill="1" applyBorder="1" applyAlignment="1">
      <alignment horizontal="center" vertical="center"/>
    </xf>
    <xf numFmtId="0" fontId="41" fillId="106" borderId="99" xfId="0" applyFont="1" applyFill="1" applyBorder="1" applyAlignment="1">
      <alignment horizontal="center" vertical="center" wrapText="1"/>
    </xf>
  </cellXfs>
  <cellStyles count="43856">
    <cellStyle name="20% - Accent1 10" xfId="40804" xr:uid="{00000000-0005-0000-0000-000000000000}"/>
    <cellStyle name="20% - Accent1 11" xfId="40805" xr:uid="{00000000-0005-0000-0000-000001000000}"/>
    <cellStyle name="20% - Accent1 12" xfId="40806" xr:uid="{00000000-0005-0000-0000-000002000000}"/>
    <cellStyle name="20% - Accent1 13" xfId="40807" xr:uid="{00000000-0005-0000-0000-000003000000}"/>
    <cellStyle name="20% - Accent1 14" xfId="40808" xr:uid="{00000000-0005-0000-0000-000004000000}"/>
    <cellStyle name="20% - Accent1 15" xfId="40809" xr:uid="{00000000-0005-0000-0000-000005000000}"/>
    <cellStyle name="20% - Accent1 16" xfId="40810" xr:uid="{00000000-0005-0000-0000-000006000000}"/>
    <cellStyle name="20% - Accent1 17" xfId="40811" xr:uid="{00000000-0005-0000-0000-000007000000}"/>
    <cellStyle name="20% - Accent1 17 2" xfId="40812" xr:uid="{00000000-0005-0000-0000-000008000000}"/>
    <cellStyle name="20% - Accent1 17 2 2" xfId="40813" xr:uid="{00000000-0005-0000-0000-000009000000}"/>
    <cellStyle name="20% - Accent1 17 2 3" xfId="40814" xr:uid="{00000000-0005-0000-0000-00000A000000}"/>
    <cellStyle name="20% - Accent1 17 3" xfId="40815" xr:uid="{00000000-0005-0000-0000-00000B000000}"/>
    <cellStyle name="20% - Accent1 17 3 2" xfId="40816" xr:uid="{00000000-0005-0000-0000-00000C000000}"/>
    <cellStyle name="20% - Accent1 17 3 3" xfId="40817" xr:uid="{00000000-0005-0000-0000-00000D000000}"/>
    <cellStyle name="20% - Accent1 17 4" xfId="40818" xr:uid="{00000000-0005-0000-0000-00000E000000}"/>
    <cellStyle name="20% - Accent1 17 5" xfId="40819" xr:uid="{00000000-0005-0000-0000-00000F000000}"/>
    <cellStyle name="20% - Accent1 18" xfId="40820" xr:uid="{00000000-0005-0000-0000-000010000000}"/>
    <cellStyle name="20% - Accent1 18 2" xfId="40821" xr:uid="{00000000-0005-0000-0000-000011000000}"/>
    <cellStyle name="20% - Accent1 18 2 2" xfId="40822" xr:uid="{00000000-0005-0000-0000-000012000000}"/>
    <cellStyle name="20% - Accent1 18 2 3" xfId="40823" xr:uid="{00000000-0005-0000-0000-000013000000}"/>
    <cellStyle name="20% - Accent1 18 3" xfId="40824" xr:uid="{00000000-0005-0000-0000-000014000000}"/>
    <cellStyle name="20% - Accent1 18 3 2" xfId="40825" xr:uid="{00000000-0005-0000-0000-000015000000}"/>
    <cellStyle name="20% - Accent1 18 3 3" xfId="40826" xr:uid="{00000000-0005-0000-0000-000016000000}"/>
    <cellStyle name="20% - Accent1 18 4" xfId="40827" xr:uid="{00000000-0005-0000-0000-000017000000}"/>
    <cellStyle name="20% - Accent1 18 5" xfId="40828" xr:uid="{00000000-0005-0000-0000-000018000000}"/>
    <cellStyle name="20% - Accent1 19" xfId="40829" xr:uid="{00000000-0005-0000-0000-000019000000}"/>
    <cellStyle name="20% - Accent1 19 2" xfId="40830" xr:uid="{00000000-0005-0000-0000-00001A000000}"/>
    <cellStyle name="20% - Accent1 19 2 2" xfId="40831" xr:uid="{00000000-0005-0000-0000-00001B000000}"/>
    <cellStyle name="20% - Accent1 19 2 3" xfId="40832" xr:uid="{00000000-0005-0000-0000-00001C000000}"/>
    <cellStyle name="20% - Accent1 19 3" xfId="40833" xr:uid="{00000000-0005-0000-0000-00001D000000}"/>
    <cellStyle name="20% - Accent1 19 3 2" xfId="40834" xr:uid="{00000000-0005-0000-0000-00001E000000}"/>
    <cellStyle name="20% - Accent1 19 3 3" xfId="40835" xr:uid="{00000000-0005-0000-0000-00001F000000}"/>
    <cellStyle name="20% - Accent1 19 4" xfId="40836" xr:uid="{00000000-0005-0000-0000-000020000000}"/>
    <cellStyle name="20% - Accent1 19 5" xfId="40837" xr:uid="{00000000-0005-0000-0000-000021000000}"/>
    <cellStyle name="20% - Accent1 2" xfId="24" xr:uid="{00000000-0005-0000-0000-000022000000}"/>
    <cellStyle name="20% - Accent1 2 2" xfId="40838" xr:uid="{00000000-0005-0000-0000-000023000000}"/>
    <cellStyle name="20% - Accent1 2 3" xfId="40839" xr:uid="{00000000-0005-0000-0000-000024000000}"/>
    <cellStyle name="20% - Accent1 2 3 2" xfId="40840" xr:uid="{00000000-0005-0000-0000-000025000000}"/>
    <cellStyle name="20% - Accent1 2 3 2 2" xfId="40841" xr:uid="{00000000-0005-0000-0000-000026000000}"/>
    <cellStyle name="20% - Accent1 2 3 2 3" xfId="40842" xr:uid="{00000000-0005-0000-0000-000027000000}"/>
    <cellStyle name="20% - Accent1 2 3 3" xfId="40843" xr:uid="{00000000-0005-0000-0000-000028000000}"/>
    <cellStyle name="20% - Accent1 2 3 3 2" xfId="40844" xr:uid="{00000000-0005-0000-0000-000029000000}"/>
    <cellStyle name="20% - Accent1 2 3 3 3" xfId="40845" xr:uid="{00000000-0005-0000-0000-00002A000000}"/>
    <cellStyle name="20% - Accent1 2 3 4" xfId="40846" xr:uid="{00000000-0005-0000-0000-00002B000000}"/>
    <cellStyle name="20% - Accent1 2 3 5" xfId="40847" xr:uid="{00000000-0005-0000-0000-00002C000000}"/>
    <cellStyle name="20% - Accent1 20" xfId="40848" xr:uid="{00000000-0005-0000-0000-00002D000000}"/>
    <cellStyle name="20% - Accent1 20 2" xfId="40849" xr:uid="{00000000-0005-0000-0000-00002E000000}"/>
    <cellStyle name="20% - Accent1 20 2 2" xfId="40850" xr:uid="{00000000-0005-0000-0000-00002F000000}"/>
    <cellStyle name="20% - Accent1 20 2 3" xfId="40851" xr:uid="{00000000-0005-0000-0000-000030000000}"/>
    <cellStyle name="20% - Accent1 20 3" xfId="40852" xr:uid="{00000000-0005-0000-0000-000031000000}"/>
    <cellStyle name="20% - Accent1 20 3 2" xfId="40853" xr:uid="{00000000-0005-0000-0000-000032000000}"/>
    <cellStyle name="20% - Accent1 20 3 3" xfId="40854" xr:uid="{00000000-0005-0000-0000-000033000000}"/>
    <cellStyle name="20% - Accent1 20 4" xfId="40855" xr:uid="{00000000-0005-0000-0000-000034000000}"/>
    <cellStyle name="20% - Accent1 20 5" xfId="40856" xr:uid="{00000000-0005-0000-0000-000035000000}"/>
    <cellStyle name="20% - Accent1 21" xfId="40857" xr:uid="{00000000-0005-0000-0000-000036000000}"/>
    <cellStyle name="20% - Accent1 21 2" xfId="40858" xr:uid="{00000000-0005-0000-0000-000037000000}"/>
    <cellStyle name="20% - Accent1 21 2 2" xfId="40859" xr:uid="{00000000-0005-0000-0000-000038000000}"/>
    <cellStyle name="20% - Accent1 21 2 3" xfId="40860" xr:uid="{00000000-0005-0000-0000-000039000000}"/>
    <cellStyle name="20% - Accent1 21 3" xfId="40861" xr:uid="{00000000-0005-0000-0000-00003A000000}"/>
    <cellStyle name="20% - Accent1 21 3 2" xfId="40862" xr:uid="{00000000-0005-0000-0000-00003B000000}"/>
    <cellStyle name="20% - Accent1 21 3 3" xfId="40863" xr:uid="{00000000-0005-0000-0000-00003C000000}"/>
    <cellStyle name="20% - Accent1 21 4" xfId="40864" xr:uid="{00000000-0005-0000-0000-00003D000000}"/>
    <cellStyle name="20% - Accent1 21 5" xfId="40865" xr:uid="{00000000-0005-0000-0000-00003E000000}"/>
    <cellStyle name="20% - Accent1 22" xfId="40866" xr:uid="{00000000-0005-0000-0000-00003F000000}"/>
    <cellStyle name="20% - Accent1 23" xfId="40867" xr:uid="{00000000-0005-0000-0000-000040000000}"/>
    <cellStyle name="20% - Accent1 23 2" xfId="40868" xr:uid="{00000000-0005-0000-0000-000041000000}"/>
    <cellStyle name="20% - Accent1 23 2 2" xfId="40869" xr:uid="{00000000-0005-0000-0000-000042000000}"/>
    <cellStyle name="20% - Accent1 23 2 3" xfId="40870" xr:uid="{00000000-0005-0000-0000-000043000000}"/>
    <cellStyle name="20% - Accent1 23 3" xfId="40871" xr:uid="{00000000-0005-0000-0000-000044000000}"/>
    <cellStyle name="20% - Accent1 23 3 2" xfId="40872" xr:uid="{00000000-0005-0000-0000-000045000000}"/>
    <cellStyle name="20% - Accent1 23 3 3" xfId="40873" xr:uid="{00000000-0005-0000-0000-000046000000}"/>
    <cellStyle name="20% - Accent1 23 4" xfId="40874" xr:uid="{00000000-0005-0000-0000-000047000000}"/>
    <cellStyle name="20% - Accent1 23 5" xfId="40875" xr:uid="{00000000-0005-0000-0000-000048000000}"/>
    <cellStyle name="20% - Accent1 24" xfId="40876" xr:uid="{00000000-0005-0000-0000-000049000000}"/>
    <cellStyle name="20% - Accent1 3" xfId="40877" xr:uid="{00000000-0005-0000-0000-00004A000000}"/>
    <cellStyle name="20% - Accent1 4" xfId="40878" xr:uid="{00000000-0005-0000-0000-00004B000000}"/>
    <cellStyle name="20% - Accent1 5" xfId="40879" xr:uid="{00000000-0005-0000-0000-00004C000000}"/>
    <cellStyle name="20% - Accent1 6" xfId="40880" xr:uid="{00000000-0005-0000-0000-00004D000000}"/>
    <cellStyle name="20% - Accent1 7" xfId="40881" xr:uid="{00000000-0005-0000-0000-00004E000000}"/>
    <cellStyle name="20% - Accent1 8" xfId="40882" xr:uid="{00000000-0005-0000-0000-00004F000000}"/>
    <cellStyle name="20% - Accent1 9" xfId="40883" xr:uid="{00000000-0005-0000-0000-000050000000}"/>
    <cellStyle name="20% - Accent2 10" xfId="40884" xr:uid="{00000000-0005-0000-0000-000051000000}"/>
    <cellStyle name="20% - Accent2 11" xfId="40885" xr:uid="{00000000-0005-0000-0000-000052000000}"/>
    <cellStyle name="20% - Accent2 12" xfId="40886" xr:uid="{00000000-0005-0000-0000-000053000000}"/>
    <cellStyle name="20% - Accent2 13" xfId="40887" xr:uid="{00000000-0005-0000-0000-000054000000}"/>
    <cellStyle name="20% - Accent2 14" xfId="40888" xr:uid="{00000000-0005-0000-0000-000055000000}"/>
    <cellStyle name="20% - Accent2 15" xfId="40889" xr:uid="{00000000-0005-0000-0000-000056000000}"/>
    <cellStyle name="20% - Accent2 16" xfId="40890" xr:uid="{00000000-0005-0000-0000-000057000000}"/>
    <cellStyle name="20% - Accent2 17" xfId="40891" xr:uid="{00000000-0005-0000-0000-000058000000}"/>
    <cellStyle name="20% - Accent2 17 2" xfId="40892" xr:uid="{00000000-0005-0000-0000-000059000000}"/>
    <cellStyle name="20% - Accent2 17 2 2" xfId="40893" xr:uid="{00000000-0005-0000-0000-00005A000000}"/>
    <cellStyle name="20% - Accent2 17 2 3" xfId="40894" xr:uid="{00000000-0005-0000-0000-00005B000000}"/>
    <cellStyle name="20% - Accent2 17 3" xfId="40895" xr:uid="{00000000-0005-0000-0000-00005C000000}"/>
    <cellStyle name="20% - Accent2 17 3 2" xfId="40896" xr:uid="{00000000-0005-0000-0000-00005D000000}"/>
    <cellStyle name="20% - Accent2 17 3 3" xfId="40897" xr:uid="{00000000-0005-0000-0000-00005E000000}"/>
    <cellStyle name="20% - Accent2 17 4" xfId="40898" xr:uid="{00000000-0005-0000-0000-00005F000000}"/>
    <cellStyle name="20% - Accent2 17 5" xfId="40899" xr:uid="{00000000-0005-0000-0000-000060000000}"/>
    <cellStyle name="20% - Accent2 18" xfId="40900" xr:uid="{00000000-0005-0000-0000-000061000000}"/>
    <cellStyle name="20% - Accent2 18 2" xfId="40901" xr:uid="{00000000-0005-0000-0000-000062000000}"/>
    <cellStyle name="20% - Accent2 18 2 2" xfId="40902" xr:uid="{00000000-0005-0000-0000-000063000000}"/>
    <cellStyle name="20% - Accent2 18 2 3" xfId="40903" xr:uid="{00000000-0005-0000-0000-000064000000}"/>
    <cellStyle name="20% - Accent2 18 3" xfId="40904" xr:uid="{00000000-0005-0000-0000-000065000000}"/>
    <cellStyle name="20% - Accent2 18 3 2" xfId="40905" xr:uid="{00000000-0005-0000-0000-000066000000}"/>
    <cellStyle name="20% - Accent2 18 3 3" xfId="40906" xr:uid="{00000000-0005-0000-0000-000067000000}"/>
    <cellStyle name="20% - Accent2 18 4" xfId="40907" xr:uid="{00000000-0005-0000-0000-000068000000}"/>
    <cellStyle name="20% - Accent2 18 5" xfId="40908" xr:uid="{00000000-0005-0000-0000-000069000000}"/>
    <cellStyle name="20% - Accent2 19" xfId="40909" xr:uid="{00000000-0005-0000-0000-00006A000000}"/>
    <cellStyle name="20% - Accent2 19 2" xfId="40910" xr:uid="{00000000-0005-0000-0000-00006B000000}"/>
    <cellStyle name="20% - Accent2 19 2 2" xfId="40911" xr:uid="{00000000-0005-0000-0000-00006C000000}"/>
    <cellStyle name="20% - Accent2 19 2 3" xfId="40912" xr:uid="{00000000-0005-0000-0000-00006D000000}"/>
    <cellStyle name="20% - Accent2 19 3" xfId="40913" xr:uid="{00000000-0005-0000-0000-00006E000000}"/>
    <cellStyle name="20% - Accent2 19 3 2" xfId="40914" xr:uid="{00000000-0005-0000-0000-00006F000000}"/>
    <cellStyle name="20% - Accent2 19 3 3" xfId="40915" xr:uid="{00000000-0005-0000-0000-000070000000}"/>
    <cellStyle name="20% - Accent2 19 4" xfId="40916" xr:uid="{00000000-0005-0000-0000-000071000000}"/>
    <cellStyle name="20% - Accent2 19 5" xfId="40917" xr:uid="{00000000-0005-0000-0000-000072000000}"/>
    <cellStyle name="20% - Accent2 2" xfId="25" xr:uid="{00000000-0005-0000-0000-000073000000}"/>
    <cellStyle name="20% - Accent2 2 2" xfId="40918" xr:uid="{00000000-0005-0000-0000-000074000000}"/>
    <cellStyle name="20% - Accent2 2 3" xfId="40919" xr:uid="{00000000-0005-0000-0000-000075000000}"/>
    <cellStyle name="20% - Accent2 2 3 2" xfId="40920" xr:uid="{00000000-0005-0000-0000-000076000000}"/>
    <cellStyle name="20% - Accent2 2 3 2 2" xfId="40921" xr:uid="{00000000-0005-0000-0000-000077000000}"/>
    <cellStyle name="20% - Accent2 2 3 2 3" xfId="40922" xr:uid="{00000000-0005-0000-0000-000078000000}"/>
    <cellStyle name="20% - Accent2 2 3 3" xfId="40923" xr:uid="{00000000-0005-0000-0000-000079000000}"/>
    <cellStyle name="20% - Accent2 2 3 3 2" xfId="40924" xr:uid="{00000000-0005-0000-0000-00007A000000}"/>
    <cellStyle name="20% - Accent2 2 3 3 3" xfId="40925" xr:uid="{00000000-0005-0000-0000-00007B000000}"/>
    <cellStyle name="20% - Accent2 2 3 4" xfId="40926" xr:uid="{00000000-0005-0000-0000-00007C000000}"/>
    <cellStyle name="20% - Accent2 2 3 5" xfId="40927" xr:uid="{00000000-0005-0000-0000-00007D000000}"/>
    <cellStyle name="20% - Accent2 20" xfId="40928" xr:uid="{00000000-0005-0000-0000-00007E000000}"/>
    <cellStyle name="20% - Accent2 20 2" xfId="40929" xr:uid="{00000000-0005-0000-0000-00007F000000}"/>
    <cellStyle name="20% - Accent2 20 2 2" xfId="40930" xr:uid="{00000000-0005-0000-0000-000080000000}"/>
    <cellStyle name="20% - Accent2 20 2 3" xfId="40931" xr:uid="{00000000-0005-0000-0000-000081000000}"/>
    <cellStyle name="20% - Accent2 20 3" xfId="40932" xr:uid="{00000000-0005-0000-0000-000082000000}"/>
    <cellStyle name="20% - Accent2 20 3 2" xfId="40933" xr:uid="{00000000-0005-0000-0000-000083000000}"/>
    <cellStyle name="20% - Accent2 20 3 3" xfId="40934" xr:uid="{00000000-0005-0000-0000-000084000000}"/>
    <cellStyle name="20% - Accent2 20 4" xfId="40935" xr:uid="{00000000-0005-0000-0000-000085000000}"/>
    <cellStyle name="20% - Accent2 20 5" xfId="40936" xr:uid="{00000000-0005-0000-0000-000086000000}"/>
    <cellStyle name="20% - Accent2 21" xfId="40937" xr:uid="{00000000-0005-0000-0000-000087000000}"/>
    <cellStyle name="20% - Accent2 21 2" xfId="40938" xr:uid="{00000000-0005-0000-0000-000088000000}"/>
    <cellStyle name="20% - Accent2 21 2 2" xfId="40939" xr:uid="{00000000-0005-0000-0000-000089000000}"/>
    <cellStyle name="20% - Accent2 21 2 3" xfId="40940" xr:uid="{00000000-0005-0000-0000-00008A000000}"/>
    <cellStyle name="20% - Accent2 21 3" xfId="40941" xr:uid="{00000000-0005-0000-0000-00008B000000}"/>
    <cellStyle name="20% - Accent2 21 3 2" xfId="40942" xr:uid="{00000000-0005-0000-0000-00008C000000}"/>
    <cellStyle name="20% - Accent2 21 3 3" xfId="40943" xr:uid="{00000000-0005-0000-0000-00008D000000}"/>
    <cellStyle name="20% - Accent2 21 4" xfId="40944" xr:uid="{00000000-0005-0000-0000-00008E000000}"/>
    <cellStyle name="20% - Accent2 21 5" xfId="40945" xr:uid="{00000000-0005-0000-0000-00008F000000}"/>
    <cellStyle name="20% - Accent2 22" xfId="40946" xr:uid="{00000000-0005-0000-0000-000090000000}"/>
    <cellStyle name="20% - Accent2 23" xfId="40947" xr:uid="{00000000-0005-0000-0000-000091000000}"/>
    <cellStyle name="20% - Accent2 23 2" xfId="40948" xr:uid="{00000000-0005-0000-0000-000092000000}"/>
    <cellStyle name="20% - Accent2 23 2 2" xfId="40949" xr:uid="{00000000-0005-0000-0000-000093000000}"/>
    <cellStyle name="20% - Accent2 23 2 3" xfId="40950" xr:uid="{00000000-0005-0000-0000-000094000000}"/>
    <cellStyle name="20% - Accent2 23 3" xfId="40951" xr:uid="{00000000-0005-0000-0000-000095000000}"/>
    <cellStyle name="20% - Accent2 23 3 2" xfId="40952" xr:uid="{00000000-0005-0000-0000-000096000000}"/>
    <cellStyle name="20% - Accent2 23 3 3" xfId="40953" xr:uid="{00000000-0005-0000-0000-000097000000}"/>
    <cellStyle name="20% - Accent2 23 4" xfId="40954" xr:uid="{00000000-0005-0000-0000-000098000000}"/>
    <cellStyle name="20% - Accent2 23 5" xfId="40955" xr:uid="{00000000-0005-0000-0000-000099000000}"/>
    <cellStyle name="20% - Accent2 24" xfId="40956" xr:uid="{00000000-0005-0000-0000-00009A000000}"/>
    <cellStyle name="20% - Accent2 25" xfId="40957" xr:uid="{00000000-0005-0000-0000-00009B000000}"/>
    <cellStyle name="20% - Accent2 26" xfId="40958" xr:uid="{00000000-0005-0000-0000-00009C000000}"/>
    <cellStyle name="20% - Accent2 3" xfId="40959" xr:uid="{00000000-0005-0000-0000-00009D000000}"/>
    <cellStyle name="20% - Accent2 4" xfId="40960" xr:uid="{00000000-0005-0000-0000-00009E000000}"/>
    <cellStyle name="20% - Accent2 5" xfId="40961" xr:uid="{00000000-0005-0000-0000-00009F000000}"/>
    <cellStyle name="20% - Accent2 6" xfId="40962" xr:uid="{00000000-0005-0000-0000-0000A0000000}"/>
    <cellStyle name="20% - Accent2 7" xfId="40963" xr:uid="{00000000-0005-0000-0000-0000A1000000}"/>
    <cellStyle name="20% - Accent2 8" xfId="40964" xr:uid="{00000000-0005-0000-0000-0000A2000000}"/>
    <cellStyle name="20% - Accent2 9" xfId="40965" xr:uid="{00000000-0005-0000-0000-0000A3000000}"/>
    <cellStyle name="20% - Accent3 10" xfId="40966" xr:uid="{00000000-0005-0000-0000-0000A4000000}"/>
    <cellStyle name="20% - Accent3 11" xfId="40967" xr:uid="{00000000-0005-0000-0000-0000A5000000}"/>
    <cellStyle name="20% - Accent3 12" xfId="40968" xr:uid="{00000000-0005-0000-0000-0000A6000000}"/>
    <cellStyle name="20% - Accent3 13" xfId="40969" xr:uid="{00000000-0005-0000-0000-0000A7000000}"/>
    <cellStyle name="20% - Accent3 14" xfId="40970" xr:uid="{00000000-0005-0000-0000-0000A8000000}"/>
    <cellStyle name="20% - Accent3 15" xfId="40971" xr:uid="{00000000-0005-0000-0000-0000A9000000}"/>
    <cellStyle name="20% - Accent3 16" xfId="40972" xr:uid="{00000000-0005-0000-0000-0000AA000000}"/>
    <cellStyle name="20% - Accent3 17" xfId="40973" xr:uid="{00000000-0005-0000-0000-0000AB000000}"/>
    <cellStyle name="20% - Accent3 17 2" xfId="40974" xr:uid="{00000000-0005-0000-0000-0000AC000000}"/>
    <cellStyle name="20% - Accent3 17 2 2" xfId="40975" xr:uid="{00000000-0005-0000-0000-0000AD000000}"/>
    <cellStyle name="20% - Accent3 17 2 3" xfId="40976" xr:uid="{00000000-0005-0000-0000-0000AE000000}"/>
    <cellStyle name="20% - Accent3 17 3" xfId="40977" xr:uid="{00000000-0005-0000-0000-0000AF000000}"/>
    <cellStyle name="20% - Accent3 17 3 2" xfId="40978" xr:uid="{00000000-0005-0000-0000-0000B0000000}"/>
    <cellStyle name="20% - Accent3 17 3 3" xfId="40979" xr:uid="{00000000-0005-0000-0000-0000B1000000}"/>
    <cellStyle name="20% - Accent3 17 4" xfId="40980" xr:uid="{00000000-0005-0000-0000-0000B2000000}"/>
    <cellStyle name="20% - Accent3 17 5" xfId="40981" xr:uid="{00000000-0005-0000-0000-0000B3000000}"/>
    <cellStyle name="20% - Accent3 18" xfId="40982" xr:uid="{00000000-0005-0000-0000-0000B4000000}"/>
    <cellStyle name="20% - Accent3 18 2" xfId="40983" xr:uid="{00000000-0005-0000-0000-0000B5000000}"/>
    <cellStyle name="20% - Accent3 18 2 2" xfId="40984" xr:uid="{00000000-0005-0000-0000-0000B6000000}"/>
    <cellStyle name="20% - Accent3 18 2 3" xfId="40985" xr:uid="{00000000-0005-0000-0000-0000B7000000}"/>
    <cellStyle name="20% - Accent3 18 3" xfId="40986" xr:uid="{00000000-0005-0000-0000-0000B8000000}"/>
    <cellStyle name="20% - Accent3 18 3 2" xfId="40987" xr:uid="{00000000-0005-0000-0000-0000B9000000}"/>
    <cellStyle name="20% - Accent3 18 3 3" xfId="40988" xr:uid="{00000000-0005-0000-0000-0000BA000000}"/>
    <cellStyle name="20% - Accent3 18 4" xfId="40989" xr:uid="{00000000-0005-0000-0000-0000BB000000}"/>
    <cellStyle name="20% - Accent3 18 5" xfId="40990" xr:uid="{00000000-0005-0000-0000-0000BC000000}"/>
    <cellStyle name="20% - Accent3 19" xfId="40991" xr:uid="{00000000-0005-0000-0000-0000BD000000}"/>
    <cellStyle name="20% - Accent3 19 2" xfId="40992" xr:uid="{00000000-0005-0000-0000-0000BE000000}"/>
    <cellStyle name="20% - Accent3 19 2 2" xfId="40993" xr:uid="{00000000-0005-0000-0000-0000BF000000}"/>
    <cellStyle name="20% - Accent3 19 2 3" xfId="40994" xr:uid="{00000000-0005-0000-0000-0000C0000000}"/>
    <cellStyle name="20% - Accent3 19 3" xfId="40995" xr:uid="{00000000-0005-0000-0000-0000C1000000}"/>
    <cellStyle name="20% - Accent3 19 3 2" xfId="40996" xr:uid="{00000000-0005-0000-0000-0000C2000000}"/>
    <cellStyle name="20% - Accent3 19 3 3" xfId="40997" xr:uid="{00000000-0005-0000-0000-0000C3000000}"/>
    <cellStyle name="20% - Accent3 19 4" xfId="40998" xr:uid="{00000000-0005-0000-0000-0000C4000000}"/>
    <cellStyle name="20% - Accent3 19 5" xfId="40999" xr:uid="{00000000-0005-0000-0000-0000C5000000}"/>
    <cellStyle name="20% - Accent3 2" xfId="26" xr:uid="{00000000-0005-0000-0000-0000C6000000}"/>
    <cellStyle name="20% - Accent3 2 2" xfId="41000" xr:uid="{00000000-0005-0000-0000-0000C7000000}"/>
    <cellStyle name="20% - Accent3 2 3" xfId="41001" xr:uid="{00000000-0005-0000-0000-0000C8000000}"/>
    <cellStyle name="20% - Accent3 2 3 2" xfId="41002" xr:uid="{00000000-0005-0000-0000-0000C9000000}"/>
    <cellStyle name="20% - Accent3 2 3 2 2" xfId="41003" xr:uid="{00000000-0005-0000-0000-0000CA000000}"/>
    <cellStyle name="20% - Accent3 2 3 2 3" xfId="41004" xr:uid="{00000000-0005-0000-0000-0000CB000000}"/>
    <cellStyle name="20% - Accent3 2 3 3" xfId="41005" xr:uid="{00000000-0005-0000-0000-0000CC000000}"/>
    <cellStyle name="20% - Accent3 2 3 3 2" xfId="41006" xr:uid="{00000000-0005-0000-0000-0000CD000000}"/>
    <cellStyle name="20% - Accent3 2 3 3 3" xfId="41007" xr:uid="{00000000-0005-0000-0000-0000CE000000}"/>
    <cellStyle name="20% - Accent3 2 3 4" xfId="41008" xr:uid="{00000000-0005-0000-0000-0000CF000000}"/>
    <cellStyle name="20% - Accent3 2 3 5" xfId="41009" xr:uid="{00000000-0005-0000-0000-0000D0000000}"/>
    <cellStyle name="20% - Accent3 20" xfId="41010" xr:uid="{00000000-0005-0000-0000-0000D1000000}"/>
    <cellStyle name="20% - Accent3 20 2" xfId="41011" xr:uid="{00000000-0005-0000-0000-0000D2000000}"/>
    <cellStyle name="20% - Accent3 20 2 2" xfId="41012" xr:uid="{00000000-0005-0000-0000-0000D3000000}"/>
    <cellStyle name="20% - Accent3 20 2 3" xfId="41013" xr:uid="{00000000-0005-0000-0000-0000D4000000}"/>
    <cellStyle name="20% - Accent3 20 3" xfId="41014" xr:uid="{00000000-0005-0000-0000-0000D5000000}"/>
    <cellStyle name="20% - Accent3 20 3 2" xfId="41015" xr:uid="{00000000-0005-0000-0000-0000D6000000}"/>
    <cellStyle name="20% - Accent3 20 3 3" xfId="41016" xr:uid="{00000000-0005-0000-0000-0000D7000000}"/>
    <cellStyle name="20% - Accent3 20 4" xfId="41017" xr:uid="{00000000-0005-0000-0000-0000D8000000}"/>
    <cellStyle name="20% - Accent3 20 5" xfId="41018" xr:uid="{00000000-0005-0000-0000-0000D9000000}"/>
    <cellStyle name="20% - Accent3 21" xfId="41019" xr:uid="{00000000-0005-0000-0000-0000DA000000}"/>
    <cellStyle name="20% - Accent3 21 2" xfId="41020" xr:uid="{00000000-0005-0000-0000-0000DB000000}"/>
    <cellStyle name="20% - Accent3 21 2 2" xfId="41021" xr:uid="{00000000-0005-0000-0000-0000DC000000}"/>
    <cellStyle name="20% - Accent3 21 2 3" xfId="41022" xr:uid="{00000000-0005-0000-0000-0000DD000000}"/>
    <cellStyle name="20% - Accent3 21 3" xfId="41023" xr:uid="{00000000-0005-0000-0000-0000DE000000}"/>
    <cellStyle name="20% - Accent3 21 3 2" xfId="41024" xr:uid="{00000000-0005-0000-0000-0000DF000000}"/>
    <cellStyle name="20% - Accent3 21 3 3" xfId="41025" xr:uid="{00000000-0005-0000-0000-0000E0000000}"/>
    <cellStyle name="20% - Accent3 21 4" xfId="41026" xr:uid="{00000000-0005-0000-0000-0000E1000000}"/>
    <cellStyle name="20% - Accent3 21 5" xfId="41027" xr:uid="{00000000-0005-0000-0000-0000E2000000}"/>
    <cellStyle name="20% - Accent3 22" xfId="41028" xr:uid="{00000000-0005-0000-0000-0000E3000000}"/>
    <cellStyle name="20% - Accent3 23" xfId="41029" xr:uid="{00000000-0005-0000-0000-0000E4000000}"/>
    <cellStyle name="20% - Accent3 23 2" xfId="41030" xr:uid="{00000000-0005-0000-0000-0000E5000000}"/>
    <cellStyle name="20% - Accent3 23 2 2" xfId="41031" xr:uid="{00000000-0005-0000-0000-0000E6000000}"/>
    <cellStyle name="20% - Accent3 23 2 3" xfId="41032" xr:uid="{00000000-0005-0000-0000-0000E7000000}"/>
    <cellStyle name="20% - Accent3 23 3" xfId="41033" xr:uid="{00000000-0005-0000-0000-0000E8000000}"/>
    <cellStyle name="20% - Accent3 23 3 2" xfId="41034" xr:uid="{00000000-0005-0000-0000-0000E9000000}"/>
    <cellStyle name="20% - Accent3 23 3 3" xfId="41035" xr:uid="{00000000-0005-0000-0000-0000EA000000}"/>
    <cellStyle name="20% - Accent3 23 4" xfId="41036" xr:uid="{00000000-0005-0000-0000-0000EB000000}"/>
    <cellStyle name="20% - Accent3 23 5" xfId="41037" xr:uid="{00000000-0005-0000-0000-0000EC000000}"/>
    <cellStyle name="20% - Accent3 24" xfId="41038" xr:uid="{00000000-0005-0000-0000-0000ED000000}"/>
    <cellStyle name="20% - Accent3 3" xfId="41039" xr:uid="{00000000-0005-0000-0000-0000EE000000}"/>
    <cellStyle name="20% - Accent3 4" xfId="41040" xr:uid="{00000000-0005-0000-0000-0000EF000000}"/>
    <cellStyle name="20% - Accent3 5" xfId="41041" xr:uid="{00000000-0005-0000-0000-0000F0000000}"/>
    <cellStyle name="20% - Accent3 6" xfId="41042" xr:uid="{00000000-0005-0000-0000-0000F1000000}"/>
    <cellStyle name="20% - Accent3 7" xfId="41043" xr:uid="{00000000-0005-0000-0000-0000F2000000}"/>
    <cellStyle name="20% - Accent3 8" xfId="41044" xr:uid="{00000000-0005-0000-0000-0000F3000000}"/>
    <cellStyle name="20% - Accent3 9" xfId="41045" xr:uid="{00000000-0005-0000-0000-0000F4000000}"/>
    <cellStyle name="20% - Accent4 10" xfId="41046" xr:uid="{00000000-0005-0000-0000-0000F5000000}"/>
    <cellStyle name="20% - Accent4 11" xfId="41047" xr:uid="{00000000-0005-0000-0000-0000F6000000}"/>
    <cellStyle name="20% - Accent4 12" xfId="41048" xr:uid="{00000000-0005-0000-0000-0000F7000000}"/>
    <cellStyle name="20% - Accent4 13" xfId="41049" xr:uid="{00000000-0005-0000-0000-0000F8000000}"/>
    <cellStyle name="20% - Accent4 14" xfId="41050" xr:uid="{00000000-0005-0000-0000-0000F9000000}"/>
    <cellStyle name="20% - Accent4 15" xfId="41051" xr:uid="{00000000-0005-0000-0000-0000FA000000}"/>
    <cellStyle name="20% - Accent4 16" xfId="41052" xr:uid="{00000000-0005-0000-0000-0000FB000000}"/>
    <cellStyle name="20% - Accent4 17" xfId="41053" xr:uid="{00000000-0005-0000-0000-0000FC000000}"/>
    <cellStyle name="20% - Accent4 17 2" xfId="41054" xr:uid="{00000000-0005-0000-0000-0000FD000000}"/>
    <cellStyle name="20% - Accent4 17 2 2" xfId="41055" xr:uid="{00000000-0005-0000-0000-0000FE000000}"/>
    <cellStyle name="20% - Accent4 17 2 3" xfId="41056" xr:uid="{00000000-0005-0000-0000-0000FF000000}"/>
    <cellStyle name="20% - Accent4 17 3" xfId="41057" xr:uid="{00000000-0005-0000-0000-000000010000}"/>
    <cellStyle name="20% - Accent4 17 3 2" xfId="41058" xr:uid="{00000000-0005-0000-0000-000001010000}"/>
    <cellStyle name="20% - Accent4 17 3 3" xfId="41059" xr:uid="{00000000-0005-0000-0000-000002010000}"/>
    <cellStyle name="20% - Accent4 17 4" xfId="41060" xr:uid="{00000000-0005-0000-0000-000003010000}"/>
    <cellStyle name="20% - Accent4 17 5" xfId="41061" xr:uid="{00000000-0005-0000-0000-000004010000}"/>
    <cellStyle name="20% - Accent4 18" xfId="41062" xr:uid="{00000000-0005-0000-0000-000005010000}"/>
    <cellStyle name="20% - Accent4 18 2" xfId="41063" xr:uid="{00000000-0005-0000-0000-000006010000}"/>
    <cellStyle name="20% - Accent4 18 2 2" xfId="41064" xr:uid="{00000000-0005-0000-0000-000007010000}"/>
    <cellStyle name="20% - Accent4 18 2 3" xfId="41065" xr:uid="{00000000-0005-0000-0000-000008010000}"/>
    <cellStyle name="20% - Accent4 18 3" xfId="41066" xr:uid="{00000000-0005-0000-0000-000009010000}"/>
    <cellStyle name="20% - Accent4 18 3 2" xfId="41067" xr:uid="{00000000-0005-0000-0000-00000A010000}"/>
    <cellStyle name="20% - Accent4 18 3 3" xfId="41068" xr:uid="{00000000-0005-0000-0000-00000B010000}"/>
    <cellStyle name="20% - Accent4 18 4" xfId="41069" xr:uid="{00000000-0005-0000-0000-00000C010000}"/>
    <cellStyle name="20% - Accent4 18 5" xfId="41070" xr:uid="{00000000-0005-0000-0000-00000D010000}"/>
    <cellStyle name="20% - Accent4 19" xfId="41071" xr:uid="{00000000-0005-0000-0000-00000E010000}"/>
    <cellStyle name="20% - Accent4 19 2" xfId="41072" xr:uid="{00000000-0005-0000-0000-00000F010000}"/>
    <cellStyle name="20% - Accent4 19 2 2" xfId="41073" xr:uid="{00000000-0005-0000-0000-000010010000}"/>
    <cellStyle name="20% - Accent4 19 2 3" xfId="41074" xr:uid="{00000000-0005-0000-0000-000011010000}"/>
    <cellStyle name="20% - Accent4 19 3" xfId="41075" xr:uid="{00000000-0005-0000-0000-000012010000}"/>
    <cellStyle name="20% - Accent4 19 3 2" xfId="41076" xr:uid="{00000000-0005-0000-0000-000013010000}"/>
    <cellStyle name="20% - Accent4 19 3 3" xfId="41077" xr:uid="{00000000-0005-0000-0000-000014010000}"/>
    <cellStyle name="20% - Accent4 19 4" xfId="41078" xr:uid="{00000000-0005-0000-0000-000015010000}"/>
    <cellStyle name="20% - Accent4 19 5" xfId="41079" xr:uid="{00000000-0005-0000-0000-000016010000}"/>
    <cellStyle name="20% - Accent4 2" xfId="27" xr:uid="{00000000-0005-0000-0000-000017010000}"/>
    <cellStyle name="20% - Accent4 2 2" xfId="41080" xr:uid="{00000000-0005-0000-0000-000018010000}"/>
    <cellStyle name="20% - Accent4 2 3" xfId="41081" xr:uid="{00000000-0005-0000-0000-000019010000}"/>
    <cellStyle name="20% - Accent4 2 3 2" xfId="41082" xr:uid="{00000000-0005-0000-0000-00001A010000}"/>
    <cellStyle name="20% - Accent4 2 3 2 2" xfId="41083" xr:uid="{00000000-0005-0000-0000-00001B010000}"/>
    <cellStyle name="20% - Accent4 2 3 2 3" xfId="41084" xr:uid="{00000000-0005-0000-0000-00001C010000}"/>
    <cellStyle name="20% - Accent4 2 3 3" xfId="41085" xr:uid="{00000000-0005-0000-0000-00001D010000}"/>
    <cellStyle name="20% - Accent4 2 3 3 2" xfId="41086" xr:uid="{00000000-0005-0000-0000-00001E010000}"/>
    <cellStyle name="20% - Accent4 2 3 3 3" xfId="41087" xr:uid="{00000000-0005-0000-0000-00001F010000}"/>
    <cellStyle name="20% - Accent4 2 3 4" xfId="41088" xr:uid="{00000000-0005-0000-0000-000020010000}"/>
    <cellStyle name="20% - Accent4 2 3 5" xfId="41089" xr:uid="{00000000-0005-0000-0000-000021010000}"/>
    <cellStyle name="20% - Accent4 20" xfId="41090" xr:uid="{00000000-0005-0000-0000-000022010000}"/>
    <cellStyle name="20% - Accent4 20 2" xfId="41091" xr:uid="{00000000-0005-0000-0000-000023010000}"/>
    <cellStyle name="20% - Accent4 20 2 2" xfId="41092" xr:uid="{00000000-0005-0000-0000-000024010000}"/>
    <cellStyle name="20% - Accent4 20 2 3" xfId="41093" xr:uid="{00000000-0005-0000-0000-000025010000}"/>
    <cellStyle name="20% - Accent4 20 3" xfId="41094" xr:uid="{00000000-0005-0000-0000-000026010000}"/>
    <cellStyle name="20% - Accent4 20 3 2" xfId="41095" xr:uid="{00000000-0005-0000-0000-000027010000}"/>
    <cellStyle name="20% - Accent4 20 3 3" xfId="41096" xr:uid="{00000000-0005-0000-0000-000028010000}"/>
    <cellStyle name="20% - Accent4 20 4" xfId="41097" xr:uid="{00000000-0005-0000-0000-000029010000}"/>
    <cellStyle name="20% - Accent4 20 5" xfId="41098" xr:uid="{00000000-0005-0000-0000-00002A010000}"/>
    <cellStyle name="20% - Accent4 21" xfId="41099" xr:uid="{00000000-0005-0000-0000-00002B010000}"/>
    <cellStyle name="20% - Accent4 21 2" xfId="41100" xr:uid="{00000000-0005-0000-0000-00002C010000}"/>
    <cellStyle name="20% - Accent4 21 2 2" xfId="41101" xr:uid="{00000000-0005-0000-0000-00002D010000}"/>
    <cellStyle name="20% - Accent4 21 2 3" xfId="41102" xr:uid="{00000000-0005-0000-0000-00002E010000}"/>
    <cellStyle name="20% - Accent4 21 3" xfId="41103" xr:uid="{00000000-0005-0000-0000-00002F010000}"/>
    <cellStyle name="20% - Accent4 21 3 2" xfId="41104" xr:uid="{00000000-0005-0000-0000-000030010000}"/>
    <cellStyle name="20% - Accent4 21 3 3" xfId="41105" xr:uid="{00000000-0005-0000-0000-000031010000}"/>
    <cellStyle name="20% - Accent4 21 4" xfId="41106" xr:uid="{00000000-0005-0000-0000-000032010000}"/>
    <cellStyle name="20% - Accent4 21 5" xfId="41107" xr:uid="{00000000-0005-0000-0000-000033010000}"/>
    <cellStyle name="20% - Accent4 22" xfId="41108" xr:uid="{00000000-0005-0000-0000-000034010000}"/>
    <cellStyle name="20% - Accent4 23" xfId="41109" xr:uid="{00000000-0005-0000-0000-000035010000}"/>
    <cellStyle name="20% - Accent4 23 2" xfId="41110" xr:uid="{00000000-0005-0000-0000-000036010000}"/>
    <cellStyle name="20% - Accent4 23 2 2" xfId="41111" xr:uid="{00000000-0005-0000-0000-000037010000}"/>
    <cellStyle name="20% - Accent4 23 2 3" xfId="41112" xr:uid="{00000000-0005-0000-0000-000038010000}"/>
    <cellStyle name="20% - Accent4 23 3" xfId="41113" xr:uid="{00000000-0005-0000-0000-000039010000}"/>
    <cellStyle name="20% - Accent4 23 3 2" xfId="41114" xr:uid="{00000000-0005-0000-0000-00003A010000}"/>
    <cellStyle name="20% - Accent4 23 3 3" xfId="41115" xr:uid="{00000000-0005-0000-0000-00003B010000}"/>
    <cellStyle name="20% - Accent4 23 4" xfId="41116" xr:uid="{00000000-0005-0000-0000-00003C010000}"/>
    <cellStyle name="20% - Accent4 23 5" xfId="41117" xr:uid="{00000000-0005-0000-0000-00003D010000}"/>
    <cellStyle name="20% - Accent4 24" xfId="41118" xr:uid="{00000000-0005-0000-0000-00003E010000}"/>
    <cellStyle name="20% - Accent4 3" xfId="41119" xr:uid="{00000000-0005-0000-0000-00003F010000}"/>
    <cellStyle name="20% - Accent4 4" xfId="41120" xr:uid="{00000000-0005-0000-0000-000040010000}"/>
    <cellStyle name="20% - Accent4 5" xfId="41121" xr:uid="{00000000-0005-0000-0000-000041010000}"/>
    <cellStyle name="20% - Accent4 6" xfId="41122" xr:uid="{00000000-0005-0000-0000-000042010000}"/>
    <cellStyle name="20% - Accent4 7" xfId="41123" xr:uid="{00000000-0005-0000-0000-000043010000}"/>
    <cellStyle name="20% - Accent4 8" xfId="41124" xr:uid="{00000000-0005-0000-0000-000044010000}"/>
    <cellStyle name="20% - Accent4 9" xfId="41125" xr:uid="{00000000-0005-0000-0000-000045010000}"/>
    <cellStyle name="20% - Accent5 10" xfId="41126" xr:uid="{00000000-0005-0000-0000-000046010000}"/>
    <cellStyle name="20% - Accent5 11" xfId="41127" xr:uid="{00000000-0005-0000-0000-000047010000}"/>
    <cellStyle name="20% - Accent5 12" xfId="41128" xr:uid="{00000000-0005-0000-0000-000048010000}"/>
    <cellStyle name="20% - Accent5 13" xfId="41129" xr:uid="{00000000-0005-0000-0000-000049010000}"/>
    <cellStyle name="20% - Accent5 14" xfId="41130" xr:uid="{00000000-0005-0000-0000-00004A010000}"/>
    <cellStyle name="20% - Accent5 15" xfId="41131" xr:uid="{00000000-0005-0000-0000-00004B010000}"/>
    <cellStyle name="20% - Accent5 16" xfId="41132" xr:uid="{00000000-0005-0000-0000-00004C010000}"/>
    <cellStyle name="20% - Accent5 17" xfId="41133" xr:uid="{00000000-0005-0000-0000-00004D010000}"/>
    <cellStyle name="20% - Accent5 17 2" xfId="41134" xr:uid="{00000000-0005-0000-0000-00004E010000}"/>
    <cellStyle name="20% - Accent5 17 2 2" xfId="41135" xr:uid="{00000000-0005-0000-0000-00004F010000}"/>
    <cellStyle name="20% - Accent5 17 2 3" xfId="41136" xr:uid="{00000000-0005-0000-0000-000050010000}"/>
    <cellStyle name="20% - Accent5 17 3" xfId="41137" xr:uid="{00000000-0005-0000-0000-000051010000}"/>
    <cellStyle name="20% - Accent5 17 3 2" xfId="41138" xr:uid="{00000000-0005-0000-0000-000052010000}"/>
    <cellStyle name="20% - Accent5 17 3 3" xfId="41139" xr:uid="{00000000-0005-0000-0000-000053010000}"/>
    <cellStyle name="20% - Accent5 17 4" xfId="41140" xr:uid="{00000000-0005-0000-0000-000054010000}"/>
    <cellStyle name="20% - Accent5 17 5" xfId="41141" xr:uid="{00000000-0005-0000-0000-000055010000}"/>
    <cellStyle name="20% - Accent5 18" xfId="41142" xr:uid="{00000000-0005-0000-0000-000056010000}"/>
    <cellStyle name="20% - Accent5 18 2" xfId="41143" xr:uid="{00000000-0005-0000-0000-000057010000}"/>
    <cellStyle name="20% - Accent5 18 2 2" xfId="41144" xr:uid="{00000000-0005-0000-0000-000058010000}"/>
    <cellStyle name="20% - Accent5 18 2 3" xfId="41145" xr:uid="{00000000-0005-0000-0000-000059010000}"/>
    <cellStyle name="20% - Accent5 18 3" xfId="41146" xr:uid="{00000000-0005-0000-0000-00005A010000}"/>
    <cellStyle name="20% - Accent5 18 3 2" xfId="41147" xr:uid="{00000000-0005-0000-0000-00005B010000}"/>
    <cellStyle name="20% - Accent5 18 3 3" xfId="41148" xr:uid="{00000000-0005-0000-0000-00005C010000}"/>
    <cellStyle name="20% - Accent5 18 4" xfId="41149" xr:uid="{00000000-0005-0000-0000-00005D010000}"/>
    <cellStyle name="20% - Accent5 18 5" xfId="41150" xr:uid="{00000000-0005-0000-0000-00005E010000}"/>
    <cellStyle name="20% - Accent5 19" xfId="41151" xr:uid="{00000000-0005-0000-0000-00005F010000}"/>
    <cellStyle name="20% - Accent5 19 2" xfId="41152" xr:uid="{00000000-0005-0000-0000-000060010000}"/>
    <cellStyle name="20% - Accent5 19 2 2" xfId="41153" xr:uid="{00000000-0005-0000-0000-000061010000}"/>
    <cellStyle name="20% - Accent5 19 2 3" xfId="41154" xr:uid="{00000000-0005-0000-0000-000062010000}"/>
    <cellStyle name="20% - Accent5 19 3" xfId="41155" xr:uid="{00000000-0005-0000-0000-000063010000}"/>
    <cellStyle name="20% - Accent5 19 3 2" xfId="41156" xr:uid="{00000000-0005-0000-0000-000064010000}"/>
    <cellStyle name="20% - Accent5 19 3 3" xfId="41157" xr:uid="{00000000-0005-0000-0000-000065010000}"/>
    <cellStyle name="20% - Accent5 19 4" xfId="41158" xr:uid="{00000000-0005-0000-0000-000066010000}"/>
    <cellStyle name="20% - Accent5 19 5" xfId="41159" xr:uid="{00000000-0005-0000-0000-000067010000}"/>
    <cellStyle name="20% - Accent5 2" xfId="28" xr:uid="{00000000-0005-0000-0000-000068010000}"/>
    <cellStyle name="20% - Accent5 2 2" xfId="41160" xr:uid="{00000000-0005-0000-0000-000069010000}"/>
    <cellStyle name="20% - Accent5 2 3" xfId="41161" xr:uid="{00000000-0005-0000-0000-00006A010000}"/>
    <cellStyle name="20% - Accent5 2 3 2" xfId="41162" xr:uid="{00000000-0005-0000-0000-00006B010000}"/>
    <cellStyle name="20% - Accent5 2 3 2 2" xfId="41163" xr:uid="{00000000-0005-0000-0000-00006C010000}"/>
    <cellStyle name="20% - Accent5 2 3 2 3" xfId="41164" xr:uid="{00000000-0005-0000-0000-00006D010000}"/>
    <cellStyle name="20% - Accent5 2 3 3" xfId="41165" xr:uid="{00000000-0005-0000-0000-00006E010000}"/>
    <cellStyle name="20% - Accent5 2 3 3 2" xfId="41166" xr:uid="{00000000-0005-0000-0000-00006F010000}"/>
    <cellStyle name="20% - Accent5 2 3 3 3" xfId="41167" xr:uid="{00000000-0005-0000-0000-000070010000}"/>
    <cellStyle name="20% - Accent5 2 3 4" xfId="41168" xr:uid="{00000000-0005-0000-0000-000071010000}"/>
    <cellStyle name="20% - Accent5 2 3 5" xfId="41169" xr:uid="{00000000-0005-0000-0000-000072010000}"/>
    <cellStyle name="20% - Accent5 20" xfId="41170" xr:uid="{00000000-0005-0000-0000-000073010000}"/>
    <cellStyle name="20% - Accent5 20 2" xfId="41171" xr:uid="{00000000-0005-0000-0000-000074010000}"/>
    <cellStyle name="20% - Accent5 20 2 2" xfId="41172" xr:uid="{00000000-0005-0000-0000-000075010000}"/>
    <cellStyle name="20% - Accent5 20 2 3" xfId="41173" xr:uid="{00000000-0005-0000-0000-000076010000}"/>
    <cellStyle name="20% - Accent5 20 3" xfId="41174" xr:uid="{00000000-0005-0000-0000-000077010000}"/>
    <cellStyle name="20% - Accent5 20 3 2" xfId="41175" xr:uid="{00000000-0005-0000-0000-000078010000}"/>
    <cellStyle name="20% - Accent5 20 3 3" xfId="41176" xr:uid="{00000000-0005-0000-0000-000079010000}"/>
    <cellStyle name="20% - Accent5 20 4" xfId="41177" xr:uid="{00000000-0005-0000-0000-00007A010000}"/>
    <cellStyle name="20% - Accent5 20 5" xfId="41178" xr:uid="{00000000-0005-0000-0000-00007B010000}"/>
    <cellStyle name="20% - Accent5 21" xfId="41179" xr:uid="{00000000-0005-0000-0000-00007C010000}"/>
    <cellStyle name="20% - Accent5 21 2" xfId="41180" xr:uid="{00000000-0005-0000-0000-00007D010000}"/>
    <cellStyle name="20% - Accent5 21 2 2" xfId="41181" xr:uid="{00000000-0005-0000-0000-00007E010000}"/>
    <cellStyle name="20% - Accent5 21 2 3" xfId="41182" xr:uid="{00000000-0005-0000-0000-00007F010000}"/>
    <cellStyle name="20% - Accent5 21 3" xfId="41183" xr:uid="{00000000-0005-0000-0000-000080010000}"/>
    <cellStyle name="20% - Accent5 21 3 2" xfId="41184" xr:uid="{00000000-0005-0000-0000-000081010000}"/>
    <cellStyle name="20% - Accent5 21 3 3" xfId="41185" xr:uid="{00000000-0005-0000-0000-000082010000}"/>
    <cellStyle name="20% - Accent5 21 4" xfId="41186" xr:uid="{00000000-0005-0000-0000-000083010000}"/>
    <cellStyle name="20% - Accent5 21 5" xfId="41187" xr:uid="{00000000-0005-0000-0000-000084010000}"/>
    <cellStyle name="20% - Accent5 22" xfId="41188" xr:uid="{00000000-0005-0000-0000-000085010000}"/>
    <cellStyle name="20% - Accent5 23" xfId="41189" xr:uid="{00000000-0005-0000-0000-000086010000}"/>
    <cellStyle name="20% - Accent5 23 2" xfId="41190" xr:uid="{00000000-0005-0000-0000-000087010000}"/>
    <cellStyle name="20% - Accent5 23 2 2" xfId="41191" xr:uid="{00000000-0005-0000-0000-000088010000}"/>
    <cellStyle name="20% - Accent5 23 2 3" xfId="41192" xr:uid="{00000000-0005-0000-0000-000089010000}"/>
    <cellStyle name="20% - Accent5 23 3" xfId="41193" xr:uid="{00000000-0005-0000-0000-00008A010000}"/>
    <cellStyle name="20% - Accent5 23 3 2" xfId="41194" xr:uid="{00000000-0005-0000-0000-00008B010000}"/>
    <cellStyle name="20% - Accent5 23 3 3" xfId="41195" xr:uid="{00000000-0005-0000-0000-00008C010000}"/>
    <cellStyle name="20% - Accent5 23 4" xfId="41196" xr:uid="{00000000-0005-0000-0000-00008D010000}"/>
    <cellStyle name="20% - Accent5 23 5" xfId="41197" xr:uid="{00000000-0005-0000-0000-00008E010000}"/>
    <cellStyle name="20% - Accent5 24" xfId="41198" xr:uid="{00000000-0005-0000-0000-00008F010000}"/>
    <cellStyle name="20% - Accent5 3" xfId="41199" xr:uid="{00000000-0005-0000-0000-000090010000}"/>
    <cellStyle name="20% - Accent5 4" xfId="41200" xr:uid="{00000000-0005-0000-0000-000091010000}"/>
    <cellStyle name="20% - Accent5 5" xfId="41201" xr:uid="{00000000-0005-0000-0000-000092010000}"/>
    <cellStyle name="20% - Accent5 6" xfId="41202" xr:uid="{00000000-0005-0000-0000-000093010000}"/>
    <cellStyle name="20% - Accent5 7" xfId="41203" xr:uid="{00000000-0005-0000-0000-000094010000}"/>
    <cellStyle name="20% - Accent5 8" xfId="41204" xr:uid="{00000000-0005-0000-0000-000095010000}"/>
    <cellStyle name="20% - Accent5 9" xfId="41205" xr:uid="{00000000-0005-0000-0000-000096010000}"/>
    <cellStyle name="20% - Accent6 10" xfId="41206" xr:uid="{00000000-0005-0000-0000-000097010000}"/>
    <cellStyle name="20% - Accent6 11" xfId="41207" xr:uid="{00000000-0005-0000-0000-000098010000}"/>
    <cellStyle name="20% - Accent6 12" xfId="41208" xr:uid="{00000000-0005-0000-0000-000099010000}"/>
    <cellStyle name="20% - Accent6 13" xfId="41209" xr:uid="{00000000-0005-0000-0000-00009A010000}"/>
    <cellStyle name="20% - Accent6 14" xfId="41210" xr:uid="{00000000-0005-0000-0000-00009B010000}"/>
    <cellStyle name="20% - Accent6 15" xfId="41211" xr:uid="{00000000-0005-0000-0000-00009C010000}"/>
    <cellStyle name="20% - Accent6 16" xfId="41212" xr:uid="{00000000-0005-0000-0000-00009D010000}"/>
    <cellStyle name="20% - Accent6 17" xfId="41213" xr:uid="{00000000-0005-0000-0000-00009E010000}"/>
    <cellStyle name="20% - Accent6 17 2" xfId="41214" xr:uid="{00000000-0005-0000-0000-00009F010000}"/>
    <cellStyle name="20% - Accent6 17 2 2" xfId="41215" xr:uid="{00000000-0005-0000-0000-0000A0010000}"/>
    <cellStyle name="20% - Accent6 17 2 3" xfId="41216" xr:uid="{00000000-0005-0000-0000-0000A1010000}"/>
    <cellStyle name="20% - Accent6 17 3" xfId="41217" xr:uid="{00000000-0005-0000-0000-0000A2010000}"/>
    <cellStyle name="20% - Accent6 17 3 2" xfId="41218" xr:uid="{00000000-0005-0000-0000-0000A3010000}"/>
    <cellStyle name="20% - Accent6 17 3 3" xfId="41219" xr:uid="{00000000-0005-0000-0000-0000A4010000}"/>
    <cellStyle name="20% - Accent6 17 4" xfId="41220" xr:uid="{00000000-0005-0000-0000-0000A5010000}"/>
    <cellStyle name="20% - Accent6 17 5" xfId="41221" xr:uid="{00000000-0005-0000-0000-0000A6010000}"/>
    <cellStyle name="20% - Accent6 18" xfId="41222" xr:uid="{00000000-0005-0000-0000-0000A7010000}"/>
    <cellStyle name="20% - Accent6 18 2" xfId="41223" xr:uid="{00000000-0005-0000-0000-0000A8010000}"/>
    <cellStyle name="20% - Accent6 18 2 2" xfId="41224" xr:uid="{00000000-0005-0000-0000-0000A9010000}"/>
    <cellStyle name="20% - Accent6 18 2 3" xfId="41225" xr:uid="{00000000-0005-0000-0000-0000AA010000}"/>
    <cellStyle name="20% - Accent6 18 3" xfId="41226" xr:uid="{00000000-0005-0000-0000-0000AB010000}"/>
    <cellStyle name="20% - Accent6 18 3 2" xfId="41227" xr:uid="{00000000-0005-0000-0000-0000AC010000}"/>
    <cellStyle name="20% - Accent6 18 3 3" xfId="41228" xr:uid="{00000000-0005-0000-0000-0000AD010000}"/>
    <cellStyle name="20% - Accent6 18 4" xfId="41229" xr:uid="{00000000-0005-0000-0000-0000AE010000}"/>
    <cellStyle name="20% - Accent6 18 5" xfId="41230" xr:uid="{00000000-0005-0000-0000-0000AF010000}"/>
    <cellStyle name="20% - Accent6 19" xfId="41231" xr:uid="{00000000-0005-0000-0000-0000B0010000}"/>
    <cellStyle name="20% - Accent6 19 2" xfId="41232" xr:uid="{00000000-0005-0000-0000-0000B1010000}"/>
    <cellStyle name="20% - Accent6 19 2 2" xfId="41233" xr:uid="{00000000-0005-0000-0000-0000B2010000}"/>
    <cellStyle name="20% - Accent6 19 2 3" xfId="41234" xr:uid="{00000000-0005-0000-0000-0000B3010000}"/>
    <cellStyle name="20% - Accent6 19 3" xfId="41235" xr:uid="{00000000-0005-0000-0000-0000B4010000}"/>
    <cellStyle name="20% - Accent6 19 3 2" xfId="41236" xr:uid="{00000000-0005-0000-0000-0000B5010000}"/>
    <cellStyle name="20% - Accent6 19 3 3" xfId="41237" xr:uid="{00000000-0005-0000-0000-0000B6010000}"/>
    <cellStyle name="20% - Accent6 19 4" xfId="41238" xr:uid="{00000000-0005-0000-0000-0000B7010000}"/>
    <cellStyle name="20% - Accent6 19 5" xfId="41239" xr:uid="{00000000-0005-0000-0000-0000B8010000}"/>
    <cellStyle name="20% - Accent6 2" xfId="29" xr:uid="{00000000-0005-0000-0000-0000B9010000}"/>
    <cellStyle name="20% - Accent6 2 2" xfId="41240" xr:uid="{00000000-0005-0000-0000-0000BA010000}"/>
    <cellStyle name="20% - Accent6 2 3" xfId="41241" xr:uid="{00000000-0005-0000-0000-0000BB010000}"/>
    <cellStyle name="20% - Accent6 2 3 2" xfId="41242" xr:uid="{00000000-0005-0000-0000-0000BC010000}"/>
    <cellStyle name="20% - Accent6 2 3 2 2" xfId="41243" xr:uid="{00000000-0005-0000-0000-0000BD010000}"/>
    <cellStyle name="20% - Accent6 2 3 2 3" xfId="41244" xr:uid="{00000000-0005-0000-0000-0000BE010000}"/>
    <cellStyle name="20% - Accent6 2 3 3" xfId="41245" xr:uid="{00000000-0005-0000-0000-0000BF010000}"/>
    <cellStyle name="20% - Accent6 2 3 3 2" xfId="41246" xr:uid="{00000000-0005-0000-0000-0000C0010000}"/>
    <cellStyle name="20% - Accent6 2 3 3 3" xfId="41247" xr:uid="{00000000-0005-0000-0000-0000C1010000}"/>
    <cellStyle name="20% - Accent6 2 3 4" xfId="41248" xr:uid="{00000000-0005-0000-0000-0000C2010000}"/>
    <cellStyle name="20% - Accent6 2 3 5" xfId="41249" xr:uid="{00000000-0005-0000-0000-0000C3010000}"/>
    <cellStyle name="20% - Accent6 20" xfId="41250" xr:uid="{00000000-0005-0000-0000-0000C4010000}"/>
    <cellStyle name="20% - Accent6 20 2" xfId="41251" xr:uid="{00000000-0005-0000-0000-0000C5010000}"/>
    <cellStyle name="20% - Accent6 20 2 2" xfId="41252" xr:uid="{00000000-0005-0000-0000-0000C6010000}"/>
    <cellStyle name="20% - Accent6 20 2 3" xfId="41253" xr:uid="{00000000-0005-0000-0000-0000C7010000}"/>
    <cellStyle name="20% - Accent6 20 3" xfId="41254" xr:uid="{00000000-0005-0000-0000-0000C8010000}"/>
    <cellStyle name="20% - Accent6 20 3 2" xfId="41255" xr:uid="{00000000-0005-0000-0000-0000C9010000}"/>
    <cellStyle name="20% - Accent6 20 3 3" xfId="41256" xr:uid="{00000000-0005-0000-0000-0000CA010000}"/>
    <cellStyle name="20% - Accent6 20 4" xfId="41257" xr:uid="{00000000-0005-0000-0000-0000CB010000}"/>
    <cellStyle name="20% - Accent6 20 5" xfId="41258" xr:uid="{00000000-0005-0000-0000-0000CC010000}"/>
    <cellStyle name="20% - Accent6 21" xfId="41259" xr:uid="{00000000-0005-0000-0000-0000CD010000}"/>
    <cellStyle name="20% - Accent6 21 2" xfId="41260" xr:uid="{00000000-0005-0000-0000-0000CE010000}"/>
    <cellStyle name="20% - Accent6 21 2 2" xfId="41261" xr:uid="{00000000-0005-0000-0000-0000CF010000}"/>
    <cellStyle name="20% - Accent6 21 2 3" xfId="41262" xr:uid="{00000000-0005-0000-0000-0000D0010000}"/>
    <cellStyle name="20% - Accent6 21 3" xfId="41263" xr:uid="{00000000-0005-0000-0000-0000D1010000}"/>
    <cellStyle name="20% - Accent6 21 3 2" xfId="41264" xr:uid="{00000000-0005-0000-0000-0000D2010000}"/>
    <cellStyle name="20% - Accent6 21 3 3" xfId="41265" xr:uid="{00000000-0005-0000-0000-0000D3010000}"/>
    <cellStyle name="20% - Accent6 21 4" xfId="41266" xr:uid="{00000000-0005-0000-0000-0000D4010000}"/>
    <cellStyle name="20% - Accent6 21 5" xfId="41267" xr:uid="{00000000-0005-0000-0000-0000D5010000}"/>
    <cellStyle name="20% - Accent6 22" xfId="41268" xr:uid="{00000000-0005-0000-0000-0000D6010000}"/>
    <cellStyle name="20% - Accent6 23" xfId="41269" xr:uid="{00000000-0005-0000-0000-0000D7010000}"/>
    <cellStyle name="20% - Accent6 23 2" xfId="41270" xr:uid="{00000000-0005-0000-0000-0000D8010000}"/>
    <cellStyle name="20% - Accent6 23 2 2" xfId="41271" xr:uid="{00000000-0005-0000-0000-0000D9010000}"/>
    <cellStyle name="20% - Accent6 23 2 3" xfId="41272" xr:uid="{00000000-0005-0000-0000-0000DA010000}"/>
    <cellStyle name="20% - Accent6 23 3" xfId="41273" xr:uid="{00000000-0005-0000-0000-0000DB010000}"/>
    <cellStyle name="20% - Accent6 23 3 2" xfId="41274" xr:uid="{00000000-0005-0000-0000-0000DC010000}"/>
    <cellStyle name="20% - Accent6 23 3 3" xfId="41275" xr:uid="{00000000-0005-0000-0000-0000DD010000}"/>
    <cellStyle name="20% - Accent6 23 4" xfId="41276" xr:uid="{00000000-0005-0000-0000-0000DE010000}"/>
    <cellStyle name="20% - Accent6 23 5" xfId="41277" xr:uid="{00000000-0005-0000-0000-0000DF010000}"/>
    <cellStyle name="20% - Accent6 24" xfId="41278" xr:uid="{00000000-0005-0000-0000-0000E0010000}"/>
    <cellStyle name="20% - Accent6 3" xfId="41279" xr:uid="{00000000-0005-0000-0000-0000E1010000}"/>
    <cellStyle name="20% - Accent6 4" xfId="41280" xr:uid="{00000000-0005-0000-0000-0000E2010000}"/>
    <cellStyle name="20% - Accent6 5" xfId="41281" xr:uid="{00000000-0005-0000-0000-0000E3010000}"/>
    <cellStyle name="20% - Accent6 6" xfId="41282" xr:uid="{00000000-0005-0000-0000-0000E4010000}"/>
    <cellStyle name="20% - Accent6 7" xfId="41283" xr:uid="{00000000-0005-0000-0000-0000E5010000}"/>
    <cellStyle name="20% - Accent6 8" xfId="41284" xr:uid="{00000000-0005-0000-0000-0000E6010000}"/>
    <cellStyle name="20% - Accent6 9" xfId="41285" xr:uid="{00000000-0005-0000-0000-0000E7010000}"/>
    <cellStyle name="40% - Accent1 10" xfId="41286" xr:uid="{00000000-0005-0000-0000-0000E8010000}"/>
    <cellStyle name="40% - Accent1 11" xfId="41287" xr:uid="{00000000-0005-0000-0000-0000E9010000}"/>
    <cellStyle name="40% - Accent1 12" xfId="41288" xr:uid="{00000000-0005-0000-0000-0000EA010000}"/>
    <cellStyle name="40% - Accent1 13" xfId="41289" xr:uid="{00000000-0005-0000-0000-0000EB010000}"/>
    <cellStyle name="40% - Accent1 14" xfId="41290" xr:uid="{00000000-0005-0000-0000-0000EC010000}"/>
    <cellStyle name="40% - Accent1 15" xfId="41291" xr:uid="{00000000-0005-0000-0000-0000ED010000}"/>
    <cellStyle name="40% - Accent1 16" xfId="41292" xr:uid="{00000000-0005-0000-0000-0000EE010000}"/>
    <cellStyle name="40% - Accent1 17" xfId="41293" xr:uid="{00000000-0005-0000-0000-0000EF010000}"/>
    <cellStyle name="40% - Accent1 17 2" xfId="41294" xr:uid="{00000000-0005-0000-0000-0000F0010000}"/>
    <cellStyle name="40% - Accent1 17 2 2" xfId="41295" xr:uid="{00000000-0005-0000-0000-0000F1010000}"/>
    <cellStyle name="40% - Accent1 17 2 3" xfId="41296" xr:uid="{00000000-0005-0000-0000-0000F2010000}"/>
    <cellStyle name="40% - Accent1 17 3" xfId="41297" xr:uid="{00000000-0005-0000-0000-0000F3010000}"/>
    <cellStyle name="40% - Accent1 17 3 2" xfId="41298" xr:uid="{00000000-0005-0000-0000-0000F4010000}"/>
    <cellStyle name="40% - Accent1 17 3 3" xfId="41299" xr:uid="{00000000-0005-0000-0000-0000F5010000}"/>
    <cellStyle name="40% - Accent1 17 4" xfId="41300" xr:uid="{00000000-0005-0000-0000-0000F6010000}"/>
    <cellStyle name="40% - Accent1 17 5" xfId="41301" xr:uid="{00000000-0005-0000-0000-0000F7010000}"/>
    <cellStyle name="40% - Accent1 18" xfId="41302" xr:uid="{00000000-0005-0000-0000-0000F8010000}"/>
    <cellStyle name="40% - Accent1 18 2" xfId="41303" xr:uid="{00000000-0005-0000-0000-0000F9010000}"/>
    <cellStyle name="40% - Accent1 18 2 2" xfId="41304" xr:uid="{00000000-0005-0000-0000-0000FA010000}"/>
    <cellStyle name="40% - Accent1 18 2 3" xfId="41305" xr:uid="{00000000-0005-0000-0000-0000FB010000}"/>
    <cellStyle name="40% - Accent1 18 3" xfId="41306" xr:uid="{00000000-0005-0000-0000-0000FC010000}"/>
    <cellStyle name="40% - Accent1 18 3 2" xfId="41307" xr:uid="{00000000-0005-0000-0000-0000FD010000}"/>
    <cellStyle name="40% - Accent1 18 3 3" xfId="41308" xr:uid="{00000000-0005-0000-0000-0000FE010000}"/>
    <cellStyle name="40% - Accent1 18 4" xfId="41309" xr:uid="{00000000-0005-0000-0000-0000FF010000}"/>
    <cellStyle name="40% - Accent1 18 5" xfId="41310" xr:uid="{00000000-0005-0000-0000-000000020000}"/>
    <cellStyle name="40% - Accent1 19" xfId="41311" xr:uid="{00000000-0005-0000-0000-000001020000}"/>
    <cellStyle name="40% - Accent1 19 2" xfId="41312" xr:uid="{00000000-0005-0000-0000-000002020000}"/>
    <cellStyle name="40% - Accent1 19 2 2" xfId="41313" xr:uid="{00000000-0005-0000-0000-000003020000}"/>
    <cellStyle name="40% - Accent1 19 2 3" xfId="41314" xr:uid="{00000000-0005-0000-0000-000004020000}"/>
    <cellStyle name="40% - Accent1 19 3" xfId="41315" xr:uid="{00000000-0005-0000-0000-000005020000}"/>
    <cellStyle name="40% - Accent1 19 3 2" xfId="41316" xr:uid="{00000000-0005-0000-0000-000006020000}"/>
    <cellStyle name="40% - Accent1 19 3 3" xfId="41317" xr:uid="{00000000-0005-0000-0000-000007020000}"/>
    <cellStyle name="40% - Accent1 19 4" xfId="41318" xr:uid="{00000000-0005-0000-0000-000008020000}"/>
    <cellStyle name="40% - Accent1 19 5" xfId="41319" xr:uid="{00000000-0005-0000-0000-000009020000}"/>
    <cellStyle name="40% - Accent1 2" xfId="30" xr:uid="{00000000-0005-0000-0000-00000A020000}"/>
    <cellStyle name="40% - Accent1 2 2" xfId="41320" xr:uid="{00000000-0005-0000-0000-00000B020000}"/>
    <cellStyle name="40% - Accent1 2 3" xfId="41321" xr:uid="{00000000-0005-0000-0000-00000C020000}"/>
    <cellStyle name="40% - Accent1 2 3 2" xfId="41322" xr:uid="{00000000-0005-0000-0000-00000D020000}"/>
    <cellStyle name="40% - Accent1 2 3 2 2" xfId="41323" xr:uid="{00000000-0005-0000-0000-00000E020000}"/>
    <cellStyle name="40% - Accent1 2 3 2 3" xfId="41324" xr:uid="{00000000-0005-0000-0000-00000F020000}"/>
    <cellStyle name="40% - Accent1 2 3 3" xfId="41325" xr:uid="{00000000-0005-0000-0000-000010020000}"/>
    <cellStyle name="40% - Accent1 2 3 3 2" xfId="41326" xr:uid="{00000000-0005-0000-0000-000011020000}"/>
    <cellStyle name="40% - Accent1 2 3 3 3" xfId="41327" xr:uid="{00000000-0005-0000-0000-000012020000}"/>
    <cellStyle name="40% - Accent1 2 3 4" xfId="41328" xr:uid="{00000000-0005-0000-0000-000013020000}"/>
    <cellStyle name="40% - Accent1 2 3 5" xfId="41329" xr:uid="{00000000-0005-0000-0000-000014020000}"/>
    <cellStyle name="40% - Accent1 20" xfId="41330" xr:uid="{00000000-0005-0000-0000-000015020000}"/>
    <cellStyle name="40% - Accent1 20 2" xfId="41331" xr:uid="{00000000-0005-0000-0000-000016020000}"/>
    <cellStyle name="40% - Accent1 20 2 2" xfId="41332" xr:uid="{00000000-0005-0000-0000-000017020000}"/>
    <cellStyle name="40% - Accent1 20 2 3" xfId="41333" xr:uid="{00000000-0005-0000-0000-000018020000}"/>
    <cellStyle name="40% - Accent1 20 3" xfId="41334" xr:uid="{00000000-0005-0000-0000-000019020000}"/>
    <cellStyle name="40% - Accent1 20 3 2" xfId="41335" xr:uid="{00000000-0005-0000-0000-00001A020000}"/>
    <cellStyle name="40% - Accent1 20 3 3" xfId="41336" xr:uid="{00000000-0005-0000-0000-00001B020000}"/>
    <cellStyle name="40% - Accent1 20 4" xfId="41337" xr:uid="{00000000-0005-0000-0000-00001C020000}"/>
    <cellStyle name="40% - Accent1 20 5" xfId="41338" xr:uid="{00000000-0005-0000-0000-00001D020000}"/>
    <cellStyle name="40% - Accent1 21" xfId="41339" xr:uid="{00000000-0005-0000-0000-00001E020000}"/>
    <cellStyle name="40% - Accent1 21 2" xfId="41340" xr:uid="{00000000-0005-0000-0000-00001F020000}"/>
    <cellStyle name="40% - Accent1 21 2 2" xfId="41341" xr:uid="{00000000-0005-0000-0000-000020020000}"/>
    <cellStyle name="40% - Accent1 21 2 3" xfId="41342" xr:uid="{00000000-0005-0000-0000-000021020000}"/>
    <cellStyle name="40% - Accent1 21 3" xfId="41343" xr:uid="{00000000-0005-0000-0000-000022020000}"/>
    <cellStyle name="40% - Accent1 21 3 2" xfId="41344" xr:uid="{00000000-0005-0000-0000-000023020000}"/>
    <cellStyle name="40% - Accent1 21 3 3" xfId="41345" xr:uid="{00000000-0005-0000-0000-000024020000}"/>
    <cellStyle name="40% - Accent1 21 4" xfId="41346" xr:uid="{00000000-0005-0000-0000-000025020000}"/>
    <cellStyle name="40% - Accent1 21 5" xfId="41347" xr:uid="{00000000-0005-0000-0000-000026020000}"/>
    <cellStyle name="40% - Accent1 22" xfId="41348" xr:uid="{00000000-0005-0000-0000-000027020000}"/>
    <cellStyle name="40% - Accent1 23" xfId="41349" xr:uid="{00000000-0005-0000-0000-000028020000}"/>
    <cellStyle name="40% - Accent1 23 2" xfId="41350" xr:uid="{00000000-0005-0000-0000-000029020000}"/>
    <cellStyle name="40% - Accent1 23 2 2" xfId="41351" xr:uid="{00000000-0005-0000-0000-00002A020000}"/>
    <cellStyle name="40% - Accent1 23 2 3" xfId="41352" xr:uid="{00000000-0005-0000-0000-00002B020000}"/>
    <cellStyle name="40% - Accent1 23 3" xfId="41353" xr:uid="{00000000-0005-0000-0000-00002C020000}"/>
    <cellStyle name="40% - Accent1 23 3 2" xfId="41354" xr:uid="{00000000-0005-0000-0000-00002D020000}"/>
    <cellStyle name="40% - Accent1 23 3 3" xfId="41355" xr:uid="{00000000-0005-0000-0000-00002E020000}"/>
    <cellStyle name="40% - Accent1 23 4" xfId="41356" xr:uid="{00000000-0005-0000-0000-00002F020000}"/>
    <cellStyle name="40% - Accent1 23 5" xfId="41357" xr:uid="{00000000-0005-0000-0000-000030020000}"/>
    <cellStyle name="40% - Accent1 24" xfId="41358" xr:uid="{00000000-0005-0000-0000-000031020000}"/>
    <cellStyle name="40% - Accent1 25" xfId="41359" xr:uid="{00000000-0005-0000-0000-000032020000}"/>
    <cellStyle name="40% - Accent1 26" xfId="41360" xr:uid="{00000000-0005-0000-0000-000033020000}"/>
    <cellStyle name="40% - Accent1 3" xfId="41361" xr:uid="{00000000-0005-0000-0000-000034020000}"/>
    <cellStyle name="40% - Accent1 4" xfId="41362" xr:uid="{00000000-0005-0000-0000-000035020000}"/>
    <cellStyle name="40% - Accent1 5" xfId="41363" xr:uid="{00000000-0005-0000-0000-000036020000}"/>
    <cellStyle name="40% - Accent1 6" xfId="41364" xr:uid="{00000000-0005-0000-0000-000037020000}"/>
    <cellStyle name="40% - Accent1 7" xfId="41365" xr:uid="{00000000-0005-0000-0000-000038020000}"/>
    <cellStyle name="40% - Accent1 8" xfId="41366" xr:uid="{00000000-0005-0000-0000-000039020000}"/>
    <cellStyle name="40% - Accent1 9" xfId="41367" xr:uid="{00000000-0005-0000-0000-00003A020000}"/>
    <cellStyle name="40% - Accent2 10" xfId="41368" xr:uid="{00000000-0005-0000-0000-00003B020000}"/>
    <cellStyle name="40% - Accent2 11" xfId="41369" xr:uid="{00000000-0005-0000-0000-00003C020000}"/>
    <cellStyle name="40% - Accent2 12" xfId="41370" xr:uid="{00000000-0005-0000-0000-00003D020000}"/>
    <cellStyle name="40% - Accent2 13" xfId="41371" xr:uid="{00000000-0005-0000-0000-00003E020000}"/>
    <cellStyle name="40% - Accent2 14" xfId="41372" xr:uid="{00000000-0005-0000-0000-00003F020000}"/>
    <cellStyle name="40% - Accent2 15" xfId="41373" xr:uid="{00000000-0005-0000-0000-000040020000}"/>
    <cellStyle name="40% - Accent2 16" xfId="41374" xr:uid="{00000000-0005-0000-0000-000041020000}"/>
    <cellStyle name="40% - Accent2 17" xfId="41375" xr:uid="{00000000-0005-0000-0000-000042020000}"/>
    <cellStyle name="40% - Accent2 17 2" xfId="41376" xr:uid="{00000000-0005-0000-0000-000043020000}"/>
    <cellStyle name="40% - Accent2 17 2 2" xfId="41377" xr:uid="{00000000-0005-0000-0000-000044020000}"/>
    <cellStyle name="40% - Accent2 17 2 3" xfId="41378" xr:uid="{00000000-0005-0000-0000-000045020000}"/>
    <cellStyle name="40% - Accent2 17 3" xfId="41379" xr:uid="{00000000-0005-0000-0000-000046020000}"/>
    <cellStyle name="40% - Accent2 17 3 2" xfId="41380" xr:uid="{00000000-0005-0000-0000-000047020000}"/>
    <cellStyle name="40% - Accent2 17 3 3" xfId="41381" xr:uid="{00000000-0005-0000-0000-000048020000}"/>
    <cellStyle name="40% - Accent2 17 4" xfId="41382" xr:uid="{00000000-0005-0000-0000-000049020000}"/>
    <cellStyle name="40% - Accent2 17 5" xfId="41383" xr:uid="{00000000-0005-0000-0000-00004A020000}"/>
    <cellStyle name="40% - Accent2 18" xfId="41384" xr:uid="{00000000-0005-0000-0000-00004B020000}"/>
    <cellStyle name="40% - Accent2 18 2" xfId="41385" xr:uid="{00000000-0005-0000-0000-00004C020000}"/>
    <cellStyle name="40% - Accent2 18 2 2" xfId="41386" xr:uid="{00000000-0005-0000-0000-00004D020000}"/>
    <cellStyle name="40% - Accent2 18 2 3" xfId="41387" xr:uid="{00000000-0005-0000-0000-00004E020000}"/>
    <cellStyle name="40% - Accent2 18 3" xfId="41388" xr:uid="{00000000-0005-0000-0000-00004F020000}"/>
    <cellStyle name="40% - Accent2 18 3 2" xfId="41389" xr:uid="{00000000-0005-0000-0000-000050020000}"/>
    <cellStyle name="40% - Accent2 18 3 3" xfId="41390" xr:uid="{00000000-0005-0000-0000-000051020000}"/>
    <cellStyle name="40% - Accent2 18 4" xfId="41391" xr:uid="{00000000-0005-0000-0000-000052020000}"/>
    <cellStyle name="40% - Accent2 18 5" xfId="41392" xr:uid="{00000000-0005-0000-0000-000053020000}"/>
    <cellStyle name="40% - Accent2 19" xfId="41393" xr:uid="{00000000-0005-0000-0000-000054020000}"/>
    <cellStyle name="40% - Accent2 19 2" xfId="41394" xr:uid="{00000000-0005-0000-0000-000055020000}"/>
    <cellStyle name="40% - Accent2 19 2 2" xfId="41395" xr:uid="{00000000-0005-0000-0000-000056020000}"/>
    <cellStyle name="40% - Accent2 19 2 3" xfId="41396" xr:uid="{00000000-0005-0000-0000-000057020000}"/>
    <cellStyle name="40% - Accent2 19 3" xfId="41397" xr:uid="{00000000-0005-0000-0000-000058020000}"/>
    <cellStyle name="40% - Accent2 19 3 2" xfId="41398" xr:uid="{00000000-0005-0000-0000-000059020000}"/>
    <cellStyle name="40% - Accent2 19 3 3" xfId="41399" xr:uid="{00000000-0005-0000-0000-00005A020000}"/>
    <cellStyle name="40% - Accent2 19 4" xfId="41400" xr:uid="{00000000-0005-0000-0000-00005B020000}"/>
    <cellStyle name="40% - Accent2 19 5" xfId="41401" xr:uid="{00000000-0005-0000-0000-00005C020000}"/>
    <cellStyle name="40% - Accent2 2" xfId="31" xr:uid="{00000000-0005-0000-0000-00005D020000}"/>
    <cellStyle name="40% - Accent2 2 2" xfId="41402" xr:uid="{00000000-0005-0000-0000-00005E020000}"/>
    <cellStyle name="40% - Accent2 2 3" xfId="41403" xr:uid="{00000000-0005-0000-0000-00005F020000}"/>
    <cellStyle name="40% - Accent2 2 3 2" xfId="41404" xr:uid="{00000000-0005-0000-0000-000060020000}"/>
    <cellStyle name="40% - Accent2 2 3 2 2" xfId="41405" xr:uid="{00000000-0005-0000-0000-000061020000}"/>
    <cellStyle name="40% - Accent2 2 3 2 3" xfId="41406" xr:uid="{00000000-0005-0000-0000-000062020000}"/>
    <cellStyle name="40% - Accent2 2 3 3" xfId="41407" xr:uid="{00000000-0005-0000-0000-000063020000}"/>
    <cellStyle name="40% - Accent2 2 3 3 2" xfId="41408" xr:uid="{00000000-0005-0000-0000-000064020000}"/>
    <cellStyle name="40% - Accent2 2 3 3 3" xfId="41409" xr:uid="{00000000-0005-0000-0000-000065020000}"/>
    <cellStyle name="40% - Accent2 2 3 4" xfId="41410" xr:uid="{00000000-0005-0000-0000-000066020000}"/>
    <cellStyle name="40% - Accent2 2 3 5" xfId="41411" xr:uid="{00000000-0005-0000-0000-000067020000}"/>
    <cellStyle name="40% - Accent2 20" xfId="41412" xr:uid="{00000000-0005-0000-0000-000068020000}"/>
    <cellStyle name="40% - Accent2 20 2" xfId="41413" xr:uid="{00000000-0005-0000-0000-000069020000}"/>
    <cellStyle name="40% - Accent2 20 2 2" xfId="41414" xr:uid="{00000000-0005-0000-0000-00006A020000}"/>
    <cellStyle name="40% - Accent2 20 2 3" xfId="41415" xr:uid="{00000000-0005-0000-0000-00006B020000}"/>
    <cellStyle name="40% - Accent2 20 3" xfId="41416" xr:uid="{00000000-0005-0000-0000-00006C020000}"/>
    <cellStyle name="40% - Accent2 20 3 2" xfId="41417" xr:uid="{00000000-0005-0000-0000-00006D020000}"/>
    <cellStyle name="40% - Accent2 20 3 3" xfId="41418" xr:uid="{00000000-0005-0000-0000-00006E020000}"/>
    <cellStyle name="40% - Accent2 20 4" xfId="41419" xr:uid="{00000000-0005-0000-0000-00006F020000}"/>
    <cellStyle name="40% - Accent2 20 5" xfId="41420" xr:uid="{00000000-0005-0000-0000-000070020000}"/>
    <cellStyle name="40% - Accent2 21" xfId="41421" xr:uid="{00000000-0005-0000-0000-000071020000}"/>
    <cellStyle name="40% - Accent2 21 2" xfId="41422" xr:uid="{00000000-0005-0000-0000-000072020000}"/>
    <cellStyle name="40% - Accent2 21 2 2" xfId="41423" xr:uid="{00000000-0005-0000-0000-000073020000}"/>
    <cellStyle name="40% - Accent2 21 2 3" xfId="41424" xr:uid="{00000000-0005-0000-0000-000074020000}"/>
    <cellStyle name="40% - Accent2 21 3" xfId="41425" xr:uid="{00000000-0005-0000-0000-000075020000}"/>
    <cellStyle name="40% - Accent2 21 3 2" xfId="41426" xr:uid="{00000000-0005-0000-0000-000076020000}"/>
    <cellStyle name="40% - Accent2 21 3 3" xfId="41427" xr:uid="{00000000-0005-0000-0000-000077020000}"/>
    <cellStyle name="40% - Accent2 21 4" xfId="41428" xr:uid="{00000000-0005-0000-0000-000078020000}"/>
    <cellStyle name="40% - Accent2 21 5" xfId="41429" xr:uid="{00000000-0005-0000-0000-000079020000}"/>
    <cellStyle name="40% - Accent2 22" xfId="41430" xr:uid="{00000000-0005-0000-0000-00007A020000}"/>
    <cellStyle name="40% - Accent2 23" xfId="41431" xr:uid="{00000000-0005-0000-0000-00007B020000}"/>
    <cellStyle name="40% - Accent2 23 2" xfId="41432" xr:uid="{00000000-0005-0000-0000-00007C020000}"/>
    <cellStyle name="40% - Accent2 23 2 2" xfId="41433" xr:uid="{00000000-0005-0000-0000-00007D020000}"/>
    <cellStyle name="40% - Accent2 23 2 3" xfId="41434" xr:uid="{00000000-0005-0000-0000-00007E020000}"/>
    <cellStyle name="40% - Accent2 23 3" xfId="41435" xr:uid="{00000000-0005-0000-0000-00007F020000}"/>
    <cellStyle name="40% - Accent2 23 3 2" xfId="41436" xr:uid="{00000000-0005-0000-0000-000080020000}"/>
    <cellStyle name="40% - Accent2 23 3 3" xfId="41437" xr:uid="{00000000-0005-0000-0000-000081020000}"/>
    <cellStyle name="40% - Accent2 23 4" xfId="41438" xr:uid="{00000000-0005-0000-0000-000082020000}"/>
    <cellStyle name="40% - Accent2 23 5" xfId="41439" xr:uid="{00000000-0005-0000-0000-000083020000}"/>
    <cellStyle name="40% - Accent2 24" xfId="41440" xr:uid="{00000000-0005-0000-0000-000084020000}"/>
    <cellStyle name="40% - Accent2 3" xfId="41441" xr:uid="{00000000-0005-0000-0000-000085020000}"/>
    <cellStyle name="40% - Accent2 4" xfId="41442" xr:uid="{00000000-0005-0000-0000-000086020000}"/>
    <cellStyle name="40% - Accent2 5" xfId="41443" xr:uid="{00000000-0005-0000-0000-000087020000}"/>
    <cellStyle name="40% - Accent2 6" xfId="41444" xr:uid="{00000000-0005-0000-0000-000088020000}"/>
    <cellStyle name="40% - Accent2 7" xfId="41445" xr:uid="{00000000-0005-0000-0000-000089020000}"/>
    <cellStyle name="40% - Accent2 8" xfId="41446" xr:uid="{00000000-0005-0000-0000-00008A020000}"/>
    <cellStyle name="40% - Accent2 9" xfId="41447" xr:uid="{00000000-0005-0000-0000-00008B020000}"/>
    <cellStyle name="40% - Accent3 10" xfId="41448" xr:uid="{00000000-0005-0000-0000-00008C020000}"/>
    <cellStyle name="40% - Accent3 11" xfId="41449" xr:uid="{00000000-0005-0000-0000-00008D020000}"/>
    <cellStyle name="40% - Accent3 12" xfId="41450" xr:uid="{00000000-0005-0000-0000-00008E020000}"/>
    <cellStyle name="40% - Accent3 13" xfId="41451" xr:uid="{00000000-0005-0000-0000-00008F020000}"/>
    <cellStyle name="40% - Accent3 14" xfId="41452" xr:uid="{00000000-0005-0000-0000-000090020000}"/>
    <cellStyle name="40% - Accent3 15" xfId="41453" xr:uid="{00000000-0005-0000-0000-000091020000}"/>
    <cellStyle name="40% - Accent3 16" xfId="41454" xr:uid="{00000000-0005-0000-0000-000092020000}"/>
    <cellStyle name="40% - Accent3 17" xfId="41455" xr:uid="{00000000-0005-0000-0000-000093020000}"/>
    <cellStyle name="40% - Accent3 17 2" xfId="41456" xr:uid="{00000000-0005-0000-0000-000094020000}"/>
    <cellStyle name="40% - Accent3 17 2 2" xfId="41457" xr:uid="{00000000-0005-0000-0000-000095020000}"/>
    <cellStyle name="40% - Accent3 17 2 3" xfId="41458" xr:uid="{00000000-0005-0000-0000-000096020000}"/>
    <cellStyle name="40% - Accent3 17 3" xfId="41459" xr:uid="{00000000-0005-0000-0000-000097020000}"/>
    <cellStyle name="40% - Accent3 17 3 2" xfId="41460" xr:uid="{00000000-0005-0000-0000-000098020000}"/>
    <cellStyle name="40% - Accent3 17 3 3" xfId="41461" xr:uid="{00000000-0005-0000-0000-000099020000}"/>
    <cellStyle name="40% - Accent3 17 4" xfId="41462" xr:uid="{00000000-0005-0000-0000-00009A020000}"/>
    <cellStyle name="40% - Accent3 17 5" xfId="41463" xr:uid="{00000000-0005-0000-0000-00009B020000}"/>
    <cellStyle name="40% - Accent3 18" xfId="41464" xr:uid="{00000000-0005-0000-0000-00009C020000}"/>
    <cellStyle name="40% - Accent3 18 2" xfId="41465" xr:uid="{00000000-0005-0000-0000-00009D020000}"/>
    <cellStyle name="40% - Accent3 18 2 2" xfId="41466" xr:uid="{00000000-0005-0000-0000-00009E020000}"/>
    <cellStyle name="40% - Accent3 18 2 3" xfId="41467" xr:uid="{00000000-0005-0000-0000-00009F020000}"/>
    <cellStyle name="40% - Accent3 18 3" xfId="41468" xr:uid="{00000000-0005-0000-0000-0000A0020000}"/>
    <cellStyle name="40% - Accent3 18 3 2" xfId="41469" xr:uid="{00000000-0005-0000-0000-0000A1020000}"/>
    <cellStyle name="40% - Accent3 18 3 3" xfId="41470" xr:uid="{00000000-0005-0000-0000-0000A2020000}"/>
    <cellStyle name="40% - Accent3 18 4" xfId="41471" xr:uid="{00000000-0005-0000-0000-0000A3020000}"/>
    <cellStyle name="40% - Accent3 18 5" xfId="41472" xr:uid="{00000000-0005-0000-0000-0000A4020000}"/>
    <cellStyle name="40% - Accent3 19" xfId="41473" xr:uid="{00000000-0005-0000-0000-0000A5020000}"/>
    <cellStyle name="40% - Accent3 19 2" xfId="41474" xr:uid="{00000000-0005-0000-0000-0000A6020000}"/>
    <cellStyle name="40% - Accent3 19 2 2" xfId="41475" xr:uid="{00000000-0005-0000-0000-0000A7020000}"/>
    <cellStyle name="40% - Accent3 19 2 3" xfId="41476" xr:uid="{00000000-0005-0000-0000-0000A8020000}"/>
    <cellStyle name="40% - Accent3 19 3" xfId="41477" xr:uid="{00000000-0005-0000-0000-0000A9020000}"/>
    <cellStyle name="40% - Accent3 19 3 2" xfId="41478" xr:uid="{00000000-0005-0000-0000-0000AA020000}"/>
    <cellStyle name="40% - Accent3 19 3 3" xfId="41479" xr:uid="{00000000-0005-0000-0000-0000AB020000}"/>
    <cellStyle name="40% - Accent3 19 4" xfId="41480" xr:uid="{00000000-0005-0000-0000-0000AC020000}"/>
    <cellStyle name="40% - Accent3 19 5" xfId="41481" xr:uid="{00000000-0005-0000-0000-0000AD020000}"/>
    <cellStyle name="40% - Accent3 2" xfId="32" xr:uid="{00000000-0005-0000-0000-0000AE020000}"/>
    <cellStyle name="40% - Accent3 2 2" xfId="41482" xr:uid="{00000000-0005-0000-0000-0000AF020000}"/>
    <cellStyle name="40% - Accent3 2 3" xfId="41483" xr:uid="{00000000-0005-0000-0000-0000B0020000}"/>
    <cellStyle name="40% - Accent3 2 3 2" xfId="41484" xr:uid="{00000000-0005-0000-0000-0000B1020000}"/>
    <cellStyle name="40% - Accent3 2 3 2 2" xfId="41485" xr:uid="{00000000-0005-0000-0000-0000B2020000}"/>
    <cellStyle name="40% - Accent3 2 3 2 3" xfId="41486" xr:uid="{00000000-0005-0000-0000-0000B3020000}"/>
    <cellStyle name="40% - Accent3 2 3 3" xfId="41487" xr:uid="{00000000-0005-0000-0000-0000B4020000}"/>
    <cellStyle name="40% - Accent3 2 3 3 2" xfId="41488" xr:uid="{00000000-0005-0000-0000-0000B5020000}"/>
    <cellStyle name="40% - Accent3 2 3 3 3" xfId="41489" xr:uid="{00000000-0005-0000-0000-0000B6020000}"/>
    <cellStyle name="40% - Accent3 2 3 4" xfId="41490" xr:uid="{00000000-0005-0000-0000-0000B7020000}"/>
    <cellStyle name="40% - Accent3 2 3 5" xfId="41491" xr:uid="{00000000-0005-0000-0000-0000B8020000}"/>
    <cellStyle name="40% - Accent3 20" xfId="41492" xr:uid="{00000000-0005-0000-0000-0000B9020000}"/>
    <cellStyle name="40% - Accent3 20 2" xfId="41493" xr:uid="{00000000-0005-0000-0000-0000BA020000}"/>
    <cellStyle name="40% - Accent3 20 2 2" xfId="41494" xr:uid="{00000000-0005-0000-0000-0000BB020000}"/>
    <cellStyle name="40% - Accent3 20 2 3" xfId="41495" xr:uid="{00000000-0005-0000-0000-0000BC020000}"/>
    <cellStyle name="40% - Accent3 20 3" xfId="41496" xr:uid="{00000000-0005-0000-0000-0000BD020000}"/>
    <cellStyle name="40% - Accent3 20 3 2" xfId="41497" xr:uid="{00000000-0005-0000-0000-0000BE020000}"/>
    <cellStyle name="40% - Accent3 20 3 3" xfId="41498" xr:uid="{00000000-0005-0000-0000-0000BF020000}"/>
    <cellStyle name="40% - Accent3 20 4" xfId="41499" xr:uid="{00000000-0005-0000-0000-0000C0020000}"/>
    <cellStyle name="40% - Accent3 20 5" xfId="41500" xr:uid="{00000000-0005-0000-0000-0000C1020000}"/>
    <cellStyle name="40% - Accent3 21" xfId="41501" xr:uid="{00000000-0005-0000-0000-0000C2020000}"/>
    <cellStyle name="40% - Accent3 21 2" xfId="41502" xr:uid="{00000000-0005-0000-0000-0000C3020000}"/>
    <cellStyle name="40% - Accent3 21 2 2" xfId="41503" xr:uid="{00000000-0005-0000-0000-0000C4020000}"/>
    <cellStyle name="40% - Accent3 21 2 3" xfId="41504" xr:uid="{00000000-0005-0000-0000-0000C5020000}"/>
    <cellStyle name="40% - Accent3 21 3" xfId="41505" xr:uid="{00000000-0005-0000-0000-0000C6020000}"/>
    <cellStyle name="40% - Accent3 21 3 2" xfId="41506" xr:uid="{00000000-0005-0000-0000-0000C7020000}"/>
    <cellStyle name="40% - Accent3 21 3 3" xfId="41507" xr:uid="{00000000-0005-0000-0000-0000C8020000}"/>
    <cellStyle name="40% - Accent3 21 4" xfId="41508" xr:uid="{00000000-0005-0000-0000-0000C9020000}"/>
    <cellStyle name="40% - Accent3 21 5" xfId="41509" xr:uid="{00000000-0005-0000-0000-0000CA020000}"/>
    <cellStyle name="40% - Accent3 22" xfId="41510" xr:uid="{00000000-0005-0000-0000-0000CB020000}"/>
    <cellStyle name="40% - Accent3 23" xfId="41511" xr:uid="{00000000-0005-0000-0000-0000CC020000}"/>
    <cellStyle name="40% - Accent3 23 2" xfId="41512" xr:uid="{00000000-0005-0000-0000-0000CD020000}"/>
    <cellStyle name="40% - Accent3 23 2 2" xfId="41513" xr:uid="{00000000-0005-0000-0000-0000CE020000}"/>
    <cellStyle name="40% - Accent3 23 2 3" xfId="41514" xr:uid="{00000000-0005-0000-0000-0000CF020000}"/>
    <cellStyle name="40% - Accent3 23 3" xfId="41515" xr:uid="{00000000-0005-0000-0000-0000D0020000}"/>
    <cellStyle name="40% - Accent3 23 3 2" xfId="41516" xr:uid="{00000000-0005-0000-0000-0000D1020000}"/>
    <cellStyle name="40% - Accent3 23 3 3" xfId="41517" xr:uid="{00000000-0005-0000-0000-0000D2020000}"/>
    <cellStyle name="40% - Accent3 23 4" xfId="41518" xr:uid="{00000000-0005-0000-0000-0000D3020000}"/>
    <cellStyle name="40% - Accent3 23 5" xfId="41519" xr:uid="{00000000-0005-0000-0000-0000D4020000}"/>
    <cellStyle name="40% - Accent3 24" xfId="41520" xr:uid="{00000000-0005-0000-0000-0000D5020000}"/>
    <cellStyle name="40% - Accent3 25" xfId="41521" xr:uid="{00000000-0005-0000-0000-0000D6020000}"/>
    <cellStyle name="40% - Accent3 26" xfId="41522" xr:uid="{00000000-0005-0000-0000-0000D7020000}"/>
    <cellStyle name="40% - Accent3 3" xfId="41523" xr:uid="{00000000-0005-0000-0000-0000D8020000}"/>
    <cellStyle name="40% - Accent3 4" xfId="41524" xr:uid="{00000000-0005-0000-0000-0000D9020000}"/>
    <cellStyle name="40% - Accent3 5" xfId="41525" xr:uid="{00000000-0005-0000-0000-0000DA020000}"/>
    <cellStyle name="40% - Accent3 6" xfId="41526" xr:uid="{00000000-0005-0000-0000-0000DB020000}"/>
    <cellStyle name="40% - Accent3 7" xfId="41527" xr:uid="{00000000-0005-0000-0000-0000DC020000}"/>
    <cellStyle name="40% - Accent3 8" xfId="41528" xr:uid="{00000000-0005-0000-0000-0000DD020000}"/>
    <cellStyle name="40% - Accent3 9" xfId="41529" xr:uid="{00000000-0005-0000-0000-0000DE020000}"/>
    <cellStyle name="40% - Accent4 10" xfId="41530" xr:uid="{00000000-0005-0000-0000-0000DF020000}"/>
    <cellStyle name="40% - Accent4 11" xfId="41531" xr:uid="{00000000-0005-0000-0000-0000E0020000}"/>
    <cellStyle name="40% - Accent4 12" xfId="41532" xr:uid="{00000000-0005-0000-0000-0000E1020000}"/>
    <cellStyle name="40% - Accent4 13" xfId="41533" xr:uid="{00000000-0005-0000-0000-0000E2020000}"/>
    <cellStyle name="40% - Accent4 14" xfId="41534" xr:uid="{00000000-0005-0000-0000-0000E3020000}"/>
    <cellStyle name="40% - Accent4 15" xfId="41535" xr:uid="{00000000-0005-0000-0000-0000E4020000}"/>
    <cellStyle name="40% - Accent4 16" xfId="41536" xr:uid="{00000000-0005-0000-0000-0000E5020000}"/>
    <cellStyle name="40% - Accent4 17" xfId="41537" xr:uid="{00000000-0005-0000-0000-0000E6020000}"/>
    <cellStyle name="40% - Accent4 17 2" xfId="41538" xr:uid="{00000000-0005-0000-0000-0000E7020000}"/>
    <cellStyle name="40% - Accent4 17 2 2" xfId="41539" xr:uid="{00000000-0005-0000-0000-0000E8020000}"/>
    <cellStyle name="40% - Accent4 17 2 3" xfId="41540" xr:uid="{00000000-0005-0000-0000-0000E9020000}"/>
    <cellStyle name="40% - Accent4 17 3" xfId="41541" xr:uid="{00000000-0005-0000-0000-0000EA020000}"/>
    <cellStyle name="40% - Accent4 17 3 2" xfId="41542" xr:uid="{00000000-0005-0000-0000-0000EB020000}"/>
    <cellStyle name="40% - Accent4 17 3 3" xfId="41543" xr:uid="{00000000-0005-0000-0000-0000EC020000}"/>
    <cellStyle name="40% - Accent4 17 4" xfId="41544" xr:uid="{00000000-0005-0000-0000-0000ED020000}"/>
    <cellStyle name="40% - Accent4 17 5" xfId="41545" xr:uid="{00000000-0005-0000-0000-0000EE020000}"/>
    <cellStyle name="40% - Accent4 18" xfId="41546" xr:uid="{00000000-0005-0000-0000-0000EF020000}"/>
    <cellStyle name="40% - Accent4 18 2" xfId="41547" xr:uid="{00000000-0005-0000-0000-0000F0020000}"/>
    <cellStyle name="40% - Accent4 18 2 2" xfId="41548" xr:uid="{00000000-0005-0000-0000-0000F1020000}"/>
    <cellStyle name="40% - Accent4 18 2 3" xfId="41549" xr:uid="{00000000-0005-0000-0000-0000F2020000}"/>
    <cellStyle name="40% - Accent4 18 3" xfId="41550" xr:uid="{00000000-0005-0000-0000-0000F3020000}"/>
    <cellStyle name="40% - Accent4 18 3 2" xfId="41551" xr:uid="{00000000-0005-0000-0000-0000F4020000}"/>
    <cellStyle name="40% - Accent4 18 3 3" xfId="41552" xr:uid="{00000000-0005-0000-0000-0000F5020000}"/>
    <cellStyle name="40% - Accent4 18 4" xfId="41553" xr:uid="{00000000-0005-0000-0000-0000F6020000}"/>
    <cellStyle name="40% - Accent4 18 5" xfId="41554" xr:uid="{00000000-0005-0000-0000-0000F7020000}"/>
    <cellStyle name="40% - Accent4 19" xfId="41555" xr:uid="{00000000-0005-0000-0000-0000F8020000}"/>
    <cellStyle name="40% - Accent4 19 2" xfId="41556" xr:uid="{00000000-0005-0000-0000-0000F9020000}"/>
    <cellStyle name="40% - Accent4 19 2 2" xfId="41557" xr:uid="{00000000-0005-0000-0000-0000FA020000}"/>
    <cellStyle name="40% - Accent4 19 2 3" xfId="41558" xr:uid="{00000000-0005-0000-0000-0000FB020000}"/>
    <cellStyle name="40% - Accent4 19 3" xfId="41559" xr:uid="{00000000-0005-0000-0000-0000FC020000}"/>
    <cellStyle name="40% - Accent4 19 3 2" xfId="41560" xr:uid="{00000000-0005-0000-0000-0000FD020000}"/>
    <cellStyle name="40% - Accent4 19 3 3" xfId="41561" xr:uid="{00000000-0005-0000-0000-0000FE020000}"/>
    <cellStyle name="40% - Accent4 19 4" xfId="41562" xr:uid="{00000000-0005-0000-0000-0000FF020000}"/>
    <cellStyle name="40% - Accent4 19 5" xfId="41563" xr:uid="{00000000-0005-0000-0000-000000030000}"/>
    <cellStyle name="40% - Accent4 2" xfId="33" xr:uid="{00000000-0005-0000-0000-000001030000}"/>
    <cellStyle name="40% - Accent4 2 2" xfId="41564" xr:uid="{00000000-0005-0000-0000-000002030000}"/>
    <cellStyle name="40% - Accent4 2 3" xfId="41565" xr:uid="{00000000-0005-0000-0000-000003030000}"/>
    <cellStyle name="40% - Accent4 2 3 2" xfId="41566" xr:uid="{00000000-0005-0000-0000-000004030000}"/>
    <cellStyle name="40% - Accent4 2 3 2 2" xfId="41567" xr:uid="{00000000-0005-0000-0000-000005030000}"/>
    <cellStyle name="40% - Accent4 2 3 2 3" xfId="41568" xr:uid="{00000000-0005-0000-0000-000006030000}"/>
    <cellStyle name="40% - Accent4 2 3 3" xfId="41569" xr:uid="{00000000-0005-0000-0000-000007030000}"/>
    <cellStyle name="40% - Accent4 2 3 3 2" xfId="41570" xr:uid="{00000000-0005-0000-0000-000008030000}"/>
    <cellStyle name="40% - Accent4 2 3 3 3" xfId="41571" xr:uid="{00000000-0005-0000-0000-000009030000}"/>
    <cellStyle name="40% - Accent4 2 3 4" xfId="41572" xr:uid="{00000000-0005-0000-0000-00000A030000}"/>
    <cellStyle name="40% - Accent4 2 3 5" xfId="41573" xr:uid="{00000000-0005-0000-0000-00000B030000}"/>
    <cellStyle name="40% - Accent4 20" xfId="41574" xr:uid="{00000000-0005-0000-0000-00000C030000}"/>
    <cellStyle name="40% - Accent4 20 2" xfId="41575" xr:uid="{00000000-0005-0000-0000-00000D030000}"/>
    <cellStyle name="40% - Accent4 20 2 2" xfId="41576" xr:uid="{00000000-0005-0000-0000-00000E030000}"/>
    <cellStyle name="40% - Accent4 20 2 3" xfId="41577" xr:uid="{00000000-0005-0000-0000-00000F030000}"/>
    <cellStyle name="40% - Accent4 20 3" xfId="41578" xr:uid="{00000000-0005-0000-0000-000010030000}"/>
    <cellStyle name="40% - Accent4 20 3 2" xfId="41579" xr:uid="{00000000-0005-0000-0000-000011030000}"/>
    <cellStyle name="40% - Accent4 20 3 3" xfId="41580" xr:uid="{00000000-0005-0000-0000-000012030000}"/>
    <cellStyle name="40% - Accent4 20 4" xfId="41581" xr:uid="{00000000-0005-0000-0000-000013030000}"/>
    <cellStyle name="40% - Accent4 20 5" xfId="41582" xr:uid="{00000000-0005-0000-0000-000014030000}"/>
    <cellStyle name="40% - Accent4 21" xfId="41583" xr:uid="{00000000-0005-0000-0000-000015030000}"/>
    <cellStyle name="40% - Accent4 21 2" xfId="41584" xr:uid="{00000000-0005-0000-0000-000016030000}"/>
    <cellStyle name="40% - Accent4 21 2 2" xfId="41585" xr:uid="{00000000-0005-0000-0000-000017030000}"/>
    <cellStyle name="40% - Accent4 21 2 3" xfId="41586" xr:uid="{00000000-0005-0000-0000-000018030000}"/>
    <cellStyle name="40% - Accent4 21 3" xfId="41587" xr:uid="{00000000-0005-0000-0000-000019030000}"/>
    <cellStyle name="40% - Accent4 21 3 2" xfId="41588" xr:uid="{00000000-0005-0000-0000-00001A030000}"/>
    <cellStyle name="40% - Accent4 21 3 3" xfId="41589" xr:uid="{00000000-0005-0000-0000-00001B030000}"/>
    <cellStyle name="40% - Accent4 21 4" xfId="41590" xr:uid="{00000000-0005-0000-0000-00001C030000}"/>
    <cellStyle name="40% - Accent4 21 5" xfId="41591" xr:uid="{00000000-0005-0000-0000-00001D030000}"/>
    <cellStyle name="40% - Accent4 22" xfId="41592" xr:uid="{00000000-0005-0000-0000-00001E030000}"/>
    <cellStyle name="40% - Accent4 23" xfId="41593" xr:uid="{00000000-0005-0000-0000-00001F030000}"/>
    <cellStyle name="40% - Accent4 23 2" xfId="41594" xr:uid="{00000000-0005-0000-0000-000020030000}"/>
    <cellStyle name="40% - Accent4 23 2 2" xfId="41595" xr:uid="{00000000-0005-0000-0000-000021030000}"/>
    <cellStyle name="40% - Accent4 23 2 3" xfId="41596" xr:uid="{00000000-0005-0000-0000-000022030000}"/>
    <cellStyle name="40% - Accent4 23 3" xfId="41597" xr:uid="{00000000-0005-0000-0000-000023030000}"/>
    <cellStyle name="40% - Accent4 23 3 2" xfId="41598" xr:uid="{00000000-0005-0000-0000-000024030000}"/>
    <cellStyle name="40% - Accent4 23 3 3" xfId="41599" xr:uid="{00000000-0005-0000-0000-000025030000}"/>
    <cellStyle name="40% - Accent4 23 4" xfId="41600" xr:uid="{00000000-0005-0000-0000-000026030000}"/>
    <cellStyle name="40% - Accent4 23 5" xfId="41601" xr:uid="{00000000-0005-0000-0000-000027030000}"/>
    <cellStyle name="40% - Accent4 24" xfId="41602" xr:uid="{00000000-0005-0000-0000-000028030000}"/>
    <cellStyle name="40% - Accent4 25" xfId="41603" xr:uid="{00000000-0005-0000-0000-000029030000}"/>
    <cellStyle name="40% - Accent4 26" xfId="41604" xr:uid="{00000000-0005-0000-0000-00002A030000}"/>
    <cellStyle name="40% - Accent4 3" xfId="41605" xr:uid="{00000000-0005-0000-0000-00002B030000}"/>
    <cellStyle name="40% - Accent4 4" xfId="41606" xr:uid="{00000000-0005-0000-0000-00002C030000}"/>
    <cellStyle name="40% - Accent4 5" xfId="41607" xr:uid="{00000000-0005-0000-0000-00002D030000}"/>
    <cellStyle name="40% - Accent4 6" xfId="41608" xr:uid="{00000000-0005-0000-0000-00002E030000}"/>
    <cellStyle name="40% - Accent4 7" xfId="41609" xr:uid="{00000000-0005-0000-0000-00002F030000}"/>
    <cellStyle name="40% - Accent4 8" xfId="41610" xr:uid="{00000000-0005-0000-0000-000030030000}"/>
    <cellStyle name="40% - Accent4 9" xfId="41611" xr:uid="{00000000-0005-0000-0000-000031030000}"/>
    <cellStyle name="40% - Accent5 10" xfId="41612" xr:uid="{00000000-0005-0000-0000-000032030000}"/>
    <cellStyle name="40% - Accent5 11" xfId="41613" xr:uid="{00000000-0005-0000-0000-000033030000}"/>
    <cellStyle name="40% - Accent5 12" xfId="41614" xr:uid="{00000000-0005-0000-0000-000034030000}"/>
    <cellStyle name="40% - Accent5 13" xfId="41615" xr:uid="{00000000-0005-0000-0000-000035030000}"/>
    <cellStyle name="40% - Accent5 14" xfId="41616" xr:uid="{00000000-0005-0000-0000-000036030000}"/>
    <cellStyle name="40% - Accent5 15" xfId="41617" xr:uid="{00000000-0005-0000-0000-000037030000}"/>
    <cellStyle name="40% - Accent5 16" xfId="41618" xr:uid="{00000000-0005-0000-0000-000038030000}"/>
    <cellStyle name="40% - Accent5 17" xfId="41619" xr:uid="{00000000-0005-0000-0000-000039030000}"/>
    <cellStyle name="40% - Accent5 17 2" xfId="41620" xr:uid="{00000000-0005-0000-0000-00003A030000}"/>
    <cellStyle name="40% - Accent5 17 2 2" xfId="41621" xr:uid="{00000000-0005-0000-0000-00003B030000}"/>
    <cellStyle name="40% - Accent5 17 2 3" xfId="41622" xr:uid="{00000000-0005-0000-0000-00003C030000}"/>
    <cellStyle name="40% - Accent5 17 3" xfId="41623" xr:uid="{00000000-0005-0000-0000-00003D030000}"/>
    <cellStyle name="40% - Accent5 17 3 2" xfId="41624" xr:uid="{00000000-0005-0000-0000-00003E030000}"/>
    <cellStyle name="40% - Accent5 17 3 3" xfId="41625" xr:uid="{00000000-0005-0000-0000-00003F030000}"/>
    <cellStyle name="40% - Accent5 17 4" xfId="41626" xr:uid="{00000000-0005-0000-0000-000040030000}"/>
    <cellStyle name="40% - Accent5 17 5" xfId="41627" xr:uid="{00000000-0005-0000-0000-000041030000}"/>
    <cellStyle name="40% - Accent5 18" xfId="41628" xr:uid="{00000000-0005-0000-0000-000042030000}"/>
    <cellStyle name="40% - Accent5 18 2" xfId="41629" xr:uid="{00000000-0005-0000-0000-000043030000}"/>
    <cellStyle name="40% - Accent5 18 2 2" xfId="41630" xr:uid="{00000000-0005-0000-0000-000044030000}"/>
    <cellStyle name="40% - Accent5 18 2 3" xfId="41631" xr:uid="{00000000-0005-0000-0000-000045030000}"/>
    <cellStyle name="40% - Accent5 18 3" xfId="41632" xr:uid="{00000000-0005-0000-0000-000046030000}"/>
    <cellStyle name="40% - Accent5 18 3 2" xfId="41633" xr:uid="{00000000-0005-0000-0000-000047030000}"/>
    <cellStyle name="40% - Accent5 18 3 3" xfId="41634" xr:uid="{00000000-0005-0000-0000-000048030000}"/>
    <cellStyle name="40% - Accent5 18 4" xfId="41635" xr:uid="{00000000-0005-0000-0000-000049030000}"/>
    <cellStyle name="40% - Accent5 18 5" xfId="41636" xr:uid="{00000000-0005-0000-0000-00004A030000}"/>
    <cellStyle name="40% - Accent5 19" xfId="41637" xr:uid="{00000000-0005-0000-0000-00004B030000}"/>
    <cellStyle name="40% - Accent5 19 2" xfId="41638" xr:uid="{00000000-0005-0000-0000-00004C030000}"/>
    <cellStyle name="40% - Accent5 19 2 2" xfId="41639" xr:uid="{00000000-0005-0000-0000-00004D030000}"/>
    <cellStyle name="40% - Accent5 19 2 3" xfId="41640" xr:uid="{00000000-0005-0000-0000-00004E030000}"/>
    <cellStyle name="40% - Accent5 19 3" xfId="41641" xr:uid="{00000000-0005-0000-0000-00004F030000}"/>
    <cellStyle name="40% - Accent5 19 3 2" xfId="41642" xr:uid="{00000000-0005-0000-0000-000050030000}"/>
    <cellStyle name="40% - Accent5 19 3 3" xfId="41643" xr:uid="{00000000-0005-0000-0000-000051030000}"/>
    <cellStyle name="40% - Accent5 19 4" xfId="41644" xr:uid="{00000000-0005-0000-0000-000052030000}"/>
    <cellStyle name="40% - Accent5 19 5" xfId="41645" xr:uid="{00000000-0005-0000-0000-000053030000}"/>
    <cellStyle name="40% - Accent5 2" xfId="34" xr:uid="{00000000-0005-0000-0000-000054030000}"/>
    <cellStyle name="40% - Accent5 2 2" xfId="41646" xr:uid="{00000000-0005-0000-0000-000055030000}"/>
    <cellStyle name="40% - Accent5 2 3" xfId="41647" xr:uid="{00000000-0005-0000-0000-000056030000}"/>
    <cellStyle name="40% - Accent5 2 3 2" xfId="41648" xr:uid="{00000000-0005-0000-0000-000057030000}"/>
    <cellStyle name="40% - Accent5 2 3 2 2" xfId="41649" xr:uid="{00000000-0005-0000-0000-000058030000}"/>
    <cellStyle name="40% - Accent5 2 3 2 3" xfId="41650" xr:uid="{00000000-0005-0000-0000-000059030000}"/>
    <cellStyle name="40% - Accent5 2 3 3" xfId="41651" xr:uid="{00000000-0005-0000-0000-00005A030000}"/>
    <cellStyle name="40% - Accent5 2 3 3 2" xfId="41652" xr:uid="{00000000-0005-0000-0000-00005B030000}"/>
    <cellStyle name="40% - Accent5 2 3 3 3" xfId="41653" xr:uid="{00000000-0005-0000-0000-00005C030000}"/>
    <cellStyle name="40% - Accent5 2 3 4" xfId="41654" xr:uid="{00000000-0005-0000-0000-00005D030000}"/>
    <cellStyle name="40% - Accent5 2 3 5" xfId="41655" xr:uid="{00000000-0005-0000-0000-00005E030000}"/>
    <cellStyle name="40% - Accent5 20" xfId="41656" xr:uid="{00000000-0005-0000-0000-00005F030000}"/>
    <cellStyle name="40% - Accent5 20 2" xfId="41657" xr:uid="{00000000-0005-0000-0000-000060030000}"/>
    <cellStyle name="40% - Accent5 20 2 2" xfId="41658" xr:uid="{00000000-0005-0000-0000-000061030000}"/>
    <cellStyle name="40% - Accent5 20 2 3" xfId="41659" xr:uid="{00000000-0005-0000-0000-000062030000}"/>
    <cellStyle name="40% - Accent5 20 3" xfId="41660" xr:uid="{00000000-0005-0000-0000-000063030000}"/>
    <cellStyle name="40% - Accent5 20 3 2" xfId="41661" xr:uid="{00000000-0005-0000-0000-000064030000}"/>
    <cellStyle name="40% - Accent5 20 3 3" xfId="41662" xr:uid="{00000000-0005-0000-0000-000065030000}"/>
    <cellStyle name="40% - Accent5 20 4" xfId="41663" xr:uid="{00000000-0005-0000-0000-000066030000}"/>
    <cellStyle name="40% - Accent5 20 5" xfId="41664" xr:uid="{00000000-0005-0000-0000-000067030000}"/>
    <cellStyle name="40% - Accent5 21" xfId="41665" xr:uid="{00000000-0005-0000-0000-000068030000}"/>
    <cellStyle name="40% - Accent5 21 2" xfId="41666" xr:uid="{00000000-0005-0000-0000-000069030000}"/>
    <cellStyle name="40% - Accent5 21 2 2" xfId="41667" xr:uid="{00000000-0005-0000-0000-00006A030000}"/>
    <cellStyle name="40% - Accent5 21 2 3" xfId="41668" xr:uid="{00000000-0005-0000-0000-00006B030000}"/>
    <cellStyle name="40% - Accent5 21 3" xfId="41669" xr:uid="{00000000-0005-0000-0000-00006C030000}"/>
    <cellStyle name="40% - Accent5 21 3 2" xfId="41670" xr:uid="{00000000-0005-0000-0000-00006D030000}"/>
    <cellStyle name="40% - Accent5 21 3 3" xfId="41671" xr:uid="{00000000-0005-0000-0000-00006E030000}"/>
    <cellStyle name="40% - Accent5 21 4" xfId="41672" xr:uid="{00000000-0005-0000-0000-00006F030000}"/>
    <cellStyle name="40% - Accent5 21 5" xfId="41673" xr:uid="{00000000-0005-0000-0000-000070030000}"/>
    <cellStyle name="40% - Accent5 22" xfId="41674" xr:uid="{00000000-0005-0000-0000-000071030000}"/>
    <cellStyle name="40% - Accent5 23" xfId="41675" xr:uid="{00000000-0005-0000-0000-000072030000}"/>
    <cellStyle name="40% - Accent5 23 2" xfId="41676" xr:uid="{00000000-0005-0000-0000-000073030000}"/>
    <cellStyle name="40% - Accent5 23 2 2" xfId="41677" xr:uid="{00000000-0005-0000-0000-000074030000}"/>
    <cellStyle name="40% - Accent5 23 2 3" xfId="41678" xr:uid="{00000000-0005-0000-0000-000075030000}"/>
    <cellStyle name="40% - Accent5 23 3" xfId="41679" xr:uid="{00000000-0005-0000-0000-000076030000}"/>
    <cellStyle name="40% - Accent5 23 3 2" xfId="41680" xr:uid="{00000000-0005-0000-0000-000077030000}"/>
    <cellStyle name="40% - Accent5 23 3 3" xfId="41681" xr:uid="{00000000-0005-0000-0000-000078030000}"/>
    <cellStyle name="40% - Accent5 23 4" xfId="41682" xr:uid="{00000000-0005-0000-0000-000079030000}"/>
    <cellStyle name="40% - Accent5 23 5" xfId="41683" xr:uid="{00000000-0005-0000-0000-00007A030000}"/>
    <cellStyle name="40% - Accent5 24" xfId="41684" xr:uid="{00000000-0005-0000-0000-00007B030000}"/>
    <cellStyle name="40% - Accent5 3" xfId="41685" xr:uid="{00000000-0005-0000-0000-00007C030000}"/>
    <cellStyle name="40% - Accent5 4" xfId="41686" xr:uid="{00000000-0005-0000-0000-00007D030000}"/>
    <cellStyle name="40% - Accent5 5" xfId="41687" xr:uid="{00000000-0005-0000-0000-00007E030000}"/>
    <cellStyle name="40% - Accent5 6" xfId="41688" xr:uid="{00000000-0005-0000-0000-00007F030000}"/>
    <cellStyle name="40% - Accent5 7" xfId="41689" xr:uid="{00000000-0005-0000-0000-000080030000}"/>
    <cellStyle name="40% - Accent5 8" xfId="41690" xr:uid="{00000000-0005-0000-0000-000081030000}"/>
    <cellStyle name="40% - Accent5 9" xfId="41691" xr:uid="{00000000-0005-0000-0000-000082030000}"/>
    <cellStyle name="40% - Accent6 10" xfId="41692" xr:uid="{00000000-0005-0000-0000-000083030000}"/>
    <cellStyle name="40% - Accent6 11" xfId="41693" xr:uid="{00000000-0005-0000-0000-000084030000}"/>
    <cellStyle name="40% - Accent6 12" xfId="41694" xr:uid="{00000000-0005-0000-0000-000085030000}"/>
    <cellStyle name="40% - Accent6 13" xfId="41695" xr:uid="{00000000-0005-0000-0000-000086030000}"/>
    <cellStyle name="40% - Accent6 14" xfId="41696" xr:uid="{00000000-0005-0000-0000-000087030000}"/>
    <cellStyle name="40% - Accent6 15" xfId="41697" xr:uid="{00000000-0005-0000-0000-000088030000}"/>
    <cellStyle name="40% - Accent6 16" xfId="41698" xr:uid="{00000000-0005-0000-0000-000089030000}"/>
    <cellStyle name="40% - Accent6 17" xfId="41699" xr:uid="{00000000-0005-0000-0000-00008A030000}"/>
    <cellStyle name="40% - Accent6 17 2" xfId="41700" xr:uid="{00000000-0005-0000-0000-00008B030000}"/>
    <cellStyle name="40% - Accent6 17 2 2" xfId="41701" xr:uid="{00000000-0005-0000-0000-00008C030000}"/>
    <cellStyle name="40% - Accent6 17 2 3" xfId="41702" xr:uid="{00000000-0005-0000-0000-00008D030000}"/>
    <cellStyle name="40% - Accent6 17 3" xfId="41703" xr:uid="{00000000-0005-0000-0000-00008E030000}"/>
    <cellStyle name="40% - Accent6 17 3 2" xfId="41704" xr:uid="{00000000-0005-0000-0000-00008F030000}"/>
    <cellStyle name="40% - Accent6 17 3 3" xfId="41705" xr:uid="{00000000-0005-0000-0000-000090030000}"/>
    <cellStyle name="40% - Accent6 17 4" xfId="41706" xr:uid="{00000000-0005-0000-0000-000091030000}"/>
    <cellStyle name="40% - Accent6 17 5" xfId="41707" xr:uid="{00000000-0005-0000-0000-000092030000}"/>
    <cellStyle name="40% - Accent6 18" xfId="41708" xr:uid="{00000000-0005-0000-0000-000093030000}"/>
    <cellStyle name="40% - Accent6 18 2" xfId="41709" xr:uid="{00000000-0005-0000-0000-000094030000}"/>
    <cellStyle name="40% - Accent6 18 2 2" xfId="41710" xr:uid="{00000000-0005-0000-0000-000095030000}"/>
    <cellStyle name="40% - Accent6 18 2 3" xfId="41711" xr:uid="{00000000-0005-0000-0000-000096030000}"/>
    <cellStyle name="40% - Accent6 18 3" xfId="41712" xr:uid="{00000000-0005-0000-0000-000097030000}"/>
    <cellStyle name="40% - Accent6 18 3 2" xfId="41713" xr:uid="{00000000-0005-0000-0000-000098030000}"/>
    <cellStyle name="40% - Accent6 18 3 3" xfId="41714" xr:uid="{00000000-0005-0000-0000-000099030000}"/>
    <cellStyle name="40% - Accent6 18 4" xfId="41715" xr:uid="{00000000-0005-0000-0000-00009A030000}"/>
    <cellStyle name="40% - Accent6 18 5" xfId="41716" xr:uid="{00000000-0005-0000-0000-00009B030000}"/>
    <cellStyle name="40% - Accent6 19" xfId="41717" xr:uid="{00000000-0005-0000-0000-00009C030000}"/>
    <cellStyle name="40% - Accent6 19 2" xfId="41718" xr:uid="{00000000-0005-0000-0000-00009D030000}"/>
    <cellStyle name="40% - Accent6 19 2 2" xfId="41719" xr:uid="{00000000-0005-0000-0000-00009E030000}"/>
    <cellStyle name="40% - Accent6 19 2 3" xfId="41720" xr:uid="{00000000-0005-0000-0000-00009F030000}"/>
    <cellStyle name="40% - Accent6 19 3" xfId="41721" xr:uid="{00000000-0005-0000-0000-0000A0030000}"/>
    <cellStyle name="40% - Accent6 19 3 2" xfId="41722" xr:uid="{00000000-0005-0000-0000-0000A1030000}"/>
    <cellStyle name="40% - Accent6 19 3 3" xfId="41723" xr:uid="{00000000-0005-0000-0000-0000A2030000}"/>
    <cellStyle name="40% - Accent6 19 4" xfId="41724" xr:uid="{00000000-0005-0000-0000-0000A3030000}"/>
    <cellStyle name="40% - Accent6 19 5" xfId="41725" xr:uid="{00000000-0005-0000-0000-0000A4030000}"/>
    <cellStyle name="40% - Accent6 2" xfId="35" xr:uid="{00000000-0005-0000-0000-0000A5030000}"/>
    <cellStyle name="40% - Accent6 2 2" xfId="41726" xr:uid="{00000000-0005-0000-0000-0000A6030000}"/>
    <cellStyle name="40% - Accent6 2 3" xfId="41727" xr:uid="{00000000-0005-0000-0000-0000A7030000}"/>
    <cellStyle name="40% - Accent6 2 3 2" xfId="41728" xr:uid="{00000000-0005-0000-0000-0000A8030000}"/>
    <cellStyle name="40% - Accent6 2 3 2 2" xfId="41729" xr:uid="{00000000-0005-0000-0000-0000A9030000}"/>
    <cellStyle name="40% - Accent6 2 3 2 3" xfId="41730" xr:uid="{00000000-0005-0000-0000-0000AA030000}"/>
    <cellStyle name="40% - Accent6 2 3 3" xfId="41731" xr:uid="{00000000-0005-0000-0000-0000AB030000}"/>
    <cellStyle name="40% - Accent6 2 3 3 2" xfId="41732" xr:uid="{00000000-0005-0000-0000-0000AC030000}"/>
    <cellStyle name="40% - Accent6 2 3 3 3" xfId="41733" xr:uid="{00000000-0005-0000-0000-0000AD030000}"/>
    <cellStyle name="40% - Accent6 2 3 4" xfId="41734" xr:uid="{00000000-0005-0000-0000-0000AE030000}"/>
    <cellStyle name="40% - Accent6 2 3 5" xfId="41735" xr:uid="{00000000-0005-0000-0000-0000AF030000}"/>
    <cellStyle name="40% - Accent6 20" xfId="41736" xr:uid="{00000000-0005-0000-0000-0000B0030000}"/>
    <cellStyle name="40% - Accent6 20 2" xfId="41737" xr:uid="{00000000-0005-0000-0000-0000B1030000}"/>
    <cellStyle name="40% - Accent6 20 2 2" xfId="41738" xr:uid="{00000000-0005-0000-0000-0000B2030000}"/>
    <cellStyle name="40% - Accent6 20 2 3" xfId="41739" xr:uid="{00000000-0005-0000-0000-0000B3030000}"/>
    <cellStyle name="40% - Accent6 20 3" xfId="41740" xr:uid="{00000000-0005-0000-0000-0000B4030000}"/>
    <cellStyle name="40% - Accent6 20 3 2" xfId="41741" xr:uid="{00000000-0005-0000-0000-0000B5030000}"/>
    <cellStyle name="40% - Accent6 20 3 3" xfId="41742" xr:uid="{00000000-0005-0000-0000-0000B6030000}"/>
    <cellStyle name="40% - Accent6 20 4" xfId="41743" xr:uid="{00000000-0005-0000-0000-0000B7030000}"/>
    <cellStyle name="40% - Accent6 20 5" xfId="41744" xr:uid="{00000000-0005-0000-0000-0000B8030000}"/>
    <cellStyle name="40% - Accent6 21" xfId="41745" xr:uid="{00000000-0005-0000-0000-0000B9030000}"/>
    <cellStyle name="40% - Accent6 21 2" xfId="41746" xr:uid="{00000000-0005-0000-0000-0000BA030000}"/>
    <cellStyle name="40% - Accent6 21 2 2" xfId="41747" xr:uid="{00000000-0005-0000-0000-0000BB030000}"/>
    <cellStyle name="40% - Accent6 21 2 3" xfId="41748" xr:uid="{00000000-0005-0000-0000-0000BC030000}"/>
    <cellStyle name="40% - Accent6 21 3" xfId="41749" xr:uid="{00000000-0005-0000-0000-0000BD030000}"/>
    <cellStyle name="40% - Accent6 21 3 2" xfId="41750" xr:uid="{00000000-0005-0000-0000-0000BE030000}"/>
    <cellStyle name="40% - Accent6 21 3 3" xfId="41751" xr:uid="{00000000-0005-0000-0000-0000BF030000}"/>
    <cellStyle name="40% - Accent6 21 4" xfId="41752" xr:uid="{00000000-0005-0000-0000-0000C0030000}"/>
    <cellStyle name="40% - Accent6 21 5" xfId="41753" xr:uid="{00000000-0005-0000-0000-0000C1030000}"/>
    <cellStyle name="40% - Accent6 22" xfId="41754" xr:uid="{00000000-0005-0000-0000-0000C2030000}"/>
    <cellStyle name="40% - Accent6 23" xfId="41755" xr:uid="{00000000-0005-0000-0000-0000C3030000}"/>
    <cellStyle name="40% - Accent6 23 2" xfId="41756" xr:uid="{00000000-0005-0000-0000-0000C4030000}"/>
    <cellStyle name="40% - Accent6 23 2 2" xfId="41757" xr:uid="{00000000-0005-0000-0000-0000C5030000}"/>
    <cellStyle name="40% - Accent6 23 2 3" xfId="41758" xr:uid="{00000000-0005-0000-0000-0000C6030000}"/>
    <cellStyle name="40% - Accent6 23 3" xfId="41759" xr:uid="{00000000-0005-0000-0000-0000C7030000}"/>
    <cellStyle name="40% - Accent6 23 3 2" xfId="41760" xr:uid="{00000000-0005-0000-0000-0000C8030000}"/>
    <cellStyle name="40% - Accent6 23 3 3" xfId="41761" xr:uid="{00000000-0005-0000-0000-0000C9030000}"/>
    <cellStyle name="40% - Accent6 23 4" xfId="41762" xr:uid="{00000000-0005-0000-0000-0000CA030000}"/>
    <cellStyle name="40% - Accent6 23 5" xfId="41763" xr:uid="{00000000-0005-0000-0000-0000CB030000}"/>
    <cellStyle name="40% - Accent6 24" xfId="41764" xr:uid="{00000000-0005-0000-0000-0000CC030000}"/>
    <cellStyle name="40% - Accent6 25" xfId="41765" xr:uid="{00000000-0005-0000-0000-0000CD030000}"/>
    <cellStyle name="40% - Accent6 26" xfId="41766" xr:uid="{00000000-0005-0000-0000-0000CE030000}"/>
    <cellStyle name="40% - Accent6 3" xfId="41767" xr:uid="{00000000-0005-0000-0000-0000CF030000}"/>
    <cellStyle name="40% - Accent6 4" xfId="41768" xr:uid="{00000000-0005-0000-0000-0000D0030000}"/>
    <cellStyle name="40% - Accent6 5" xfId="41769" xr:uid="{00000000-0005-0000-0000-0000D1030000}"/>
    <cellStyle name="40% - Accent6 6" xfId="41770" xr:uid="{00000000-0005-0000-0000-0000D2030000}"/>
    <cellStyle name="40% - Accent6 7" xfId="41771" xr:uid="{00000000-0005-0000-0000-0000D3030000}"/>
    <cellStyle name="40% - Accent6 8" xfId="41772" xr:uid="{00000000-0005-0000-0000-0000D4030000}"/>
    <cellStyle name="40% - Accent6 9" xfId="41773" xr:uid="{00000000-0005-0000-0000-0000D5030000}"/>
    <cellStyle name="60% - Accent1 10" xfId="41774" xr:uid="{00000000-0005-0000-0000-0000D6030000}"/>
    <cellStyle name="60% - Accent1 11" xfId="41775" xr:uid="{00000000-0005-0000-0000-0000D7030000}"/>
    <cellStyle name="60% - Accent1 12" xfId="41776" xr:uid="{00000000-0005-0000-0000-0000D8030000}"/>
    <cellStyle name="60% - Accent1 13" xfId="41777" xr:uid="{00000000-0005-0000-0000-0000D9030000}"/>
    <cellStyle name="60% - Accent1 14" xfId="41778" xr:uid="{00000000-0005-0000-0000-0000DA030000}"/>
    <cellStyle name="60% - Accent1 15" xfId="41779" xr:uid="{00000000-0005-0000-0000-0000DB030000}"/>
    <cellStyle name="60% - Accent1 16" xfId="41780" xr:uid="{00000000-0005-0000-0000-0000DC030000}"/>
    <cellStyle name="60% - Accent1 17" xfId="41781" xr:uid="{00000000-0005-0000-0000-0000DD030000}"/>
    <cellStyle name="60% - Accent1 18" xfId="41782" xr:uid="{00000000-0005-0000-0000-0000DE030000}"/>
    <cellStyle name="60% - Accent1 19" xfId="41783" xr:uid="{00000000-0005-0000-0000-0000DF030000}"/>
    <cellStyle name="60% - Accent1 2" xfId="36" xr:uid="{00000000-0005-0000-0000-0000E0030000}"/>
    <cellStyle name="60% - Accent1 2 2" xfId="41784" xr:uid="{00000000-0005-0000-0000-0000E1030000}"/>
    <cellStyle name="60% - Accent1 20" xfId="41785" xr:uid="{00000000-0005-0000-0000-0000E2030000}"/>
    <cellStyle name="60% - Accent1 21" xfId="41786" xr:uid="{00000000-0005-0000-0000-0000E3030000}"/>
    <cellStyle name="60% - Accent1 22" xfId="41787" xr:uid="{00000000-0005-0000-0000-0000E4030000}"/>
    <cellStyle name="60% - Accent1 23" xfId="41788" xr:uid="{00000000-0005-0000-0000-0000E5030000}"/>
    <cellStyle name="60% - Accent1 3" xfId="41789" xr:uid="{00000000-0005-0000-0000-0000E6030000}"/>
    <cellStyle name="60% - Accent1 4" xfId="41790" xr:uid="{00000000-0005-0000-0000-0000E7030000}"/>
    <cellStyle name="60% - Accent1 5" xfId="41791" xr:uid="{00000000-0005-0000-0000-0000E8030000}"/>
    <cellStyle name="60% - Accent1 6" xfId="41792" xr:uid="{00000000-0005-0000-0000-0000E9030000}"/>
    <cellStyle name="60% - Accent1 7" xfId="41793" xr:uid="{00000000-0005-0000-0000-0000EA030000}"/>
    <cellStyle name="60% - Accent1 8" xfId="41794" xr:uid="{00000000-0005-0000-0000-0000EB030000}"/>
    <cellStyle name="60% - Accent1 9" xfId="41795" xr:uid="{00000000-0005-0000-0000-0000EC030000}"/>
    <cellStyle name="60% - Accent2 10" xfId="41796" xr:uid="{00000000-0005-0000-0000-0000ED030000}"/>
    <cellStyle name="60% - Accent2 11" xfId="41797" xr:uid="{00000000-0005-0000-0000-0000EE030000}"/>
    <cellStyle name="60% - Accent2 12" xfId="41798" xr:uid="{00000000-0005-0000-0000-0000EF030000}"/>
    <cellStyle name="60% - Accent2 13" xfId="41799" xr:uid="{00000000-0005-0000-0000-0000F0030000}"/>
    <cellStyle name="60% - Accent2 14" xfId="41800" xr:uid="{00000000-0005-0000-0000-0000F1030000}"/>
    <cellStyle name="60% - Accent2 15" xfId="41801" xr:uid="{00000000-0005-0000-0000-0000F2030000}"/>
    <cellStyle name="60% - Accent2 16" xfId="41802" xr:uid="{00000000-0005-0000-0000-0000F3030000}"/>
    <cellStyle name="60% - Accent2 17" xfId="41803" xr:uid="{00000000-0005-0000-0000-0000F4030000}"/>
    <cellStyle name="60% - Accent2 18" xfId="41804" xr:uid="{00000000-0005-0000-0000-0000F5030000}"/>
    <cellStyle name="60% - Accent2 19" xfId="41805" xr:uid="{00000000-0005-0000-0000-0000F6030000}"/>
    <cellStyle name="60% - Accent2 2" xfId="37" xr:uid="{00000000-0005-0000-0000-0000F7030000}"/>
    <cellStyle name="60% - Accent2 2 2" xfId="41806" xr:uid="{00000000-0005-0000-0000-0000F8030000}"/>
    <cellStyle name="60% - Accent2 20" xfId="41807" xr:uid="{00000000-0005-0000-0000-0000F9030000}"/>
    <cellStyle name="60% - Accent2 21" xfId="41808" xr:uid="{00000000-0005-0000-0000-0000FA030000}"/>
    <cellStyle name="60% - Accent2 22" xfId="41809" xr:uid="{00000000-0005-0000-0000-0000FB030000}"/>
    <cellStyle name="60% - Accent2 23" xfId="41810" xr:uid="{00000000-0005-0000-0000-0000FC030000}"/>
    <cellStyle name="60% - Accent2 3" xfId="41811" xr:uid="{00000000-0005-0000-0000-0000FD030000}"/>
    <cellStyle name="60% - Accent2 4" xfId="41812" xr:uid="{00000000-0005-0000-0000-0000FE030000}"/>
    <cellStyle name="60% - Accent2 5" xfId="41813" xr:uid="{00000000-0005-0000-0000-0000FF030000}"/>
    <cellStyle name="60% - Accent2 6" xfId="41814" xr:uid="{00000000-0005-0000-0000-000000040000}"/>
    <cellStyle name="60% - Accent2 7" xfId="41815" xr:uid="{00000000-0005-0000-0000-000001040000}"/>
    <cellStyle name="60% - Accent2 8" xfId="41816" xr:uid="{00000000-0005-0000-0000-000002040000}"/>
    <cellStyle name="60% - Accent2 9" xfId="41817" xr:uid="{00000000-0005-0000-0000-000003040000}"/>
    <cellStyle name="60% - Accent3 10" xfId="41818" xr:uid="{00000000-0005-0000-0000-000004040000}"/>
    <cellStyle name="60% - Accent3 11" xfId="41819" xr:uid="{00000000-0005-0000-0000-000005040000}"/>
    <cellStyle name="60% - Accent3 12" xfId="41820" xr:uid="{00000000-0005-0000-0000-000006040000}"/>
    <cellStyle name="60% - Accent3 13" xfId="41821" xr:uid="{00000000-0005-0000-0000-000007040000}"/>
    <cellStyle name="60% - Accent3 14" xfId="41822" xr:uid="{00000000-0005-0000-0000-000008040000}"/>
    <cellStyle name="60% - Accent3 15" xfId="41823" xr:uid="{00000000-0005-0000-0000-000009040000}"/>
    <cellStyle name="60% - Accent3 16" xfId="41824" xr:uid="{00000000-0005-0000-0000-00000A040000}"/>
    <cellStyle name="60% - Accent3 17" xfId="41825" xr:uid="{00000000-0005-0000-0000-00000B040000}"/>
    <cellStyle name="60% - Accent3 18" xfId="41826" xr:uid="{00000000-0005-0000-0000-00000C040000}"/>
    <cellStyle name="60% - Accent3 19" xfId="41827" xr:uid="{00000000-0005-0000-0000-00000D040000}"/>
    <cellStyle name="60% - Accent3 2" xfId="38" xr:uid="{00000000-0005-0000-0000-00000E040000}"/>
    <cellStyle name="60% - Accent3 2 2" xfId="41828" xr:uid="{00000000-0005-0000-0000-00000F040000}"/>
    <cellStyle name="60% - Accent3 20" xfId="41829" xr:uid="{00000000-0005-0000-0000-000010040000}"/>
    <cellStyle name="60% - Accent3 21" xfId="41830" xr:uid="{00000000-0005-0000-0000-000011040000}"/>
    <cellStyle name="60% - Accent3 22" xfId="41831" xr:uid="{00000000-0005-0000-0000-000012040000}"/>
    <cellStyle name="60% - Accent3 23" xfId="41832" xr:uid="{00000000-0005-0000-0000-000013040000}"/>
    <cellStyle name="60% - Accent3 3" xfId="41833" xr:uid="{00000000-0005-0000-0000-000014040000}"/>
    <cellStyle name="60% - Accent3 4" xfId="41834" xr:uid="{00000000-0005-0000-0000-000015040000}"/>
    <cellStyle name="60% - Accent3 5" xfId="41835" xr:uid="{00000000-0005-0000-0000-000016040000}"/>
    <cellStyle name="60% - Accent3 6" xfId="41836" xr:uid="{00000000-0005-0000-0000-000017040000}"/>
    <cellStyle name="60% - Accent3 7" xfId="41837" xr:uid="{00000000-0005-0000-0000-000018040000}"/>
    <cellStyle name="60% - Accent3 8" xfId="41838" xr:uid="{00000000-0005-0000-0000-000019040000}"/>
    <cellStyle name="60% - Accent3 9" xfId="41839" xr:uid="{00000000-0005-0000-0000-00001A040000}"/>
    <cellStyle name="60% - Accent4 10" xfId="41840" xr:uid="{00000000-0005-0000-0000-00001B040000}"/>
    <cellStyle name="60% - Accent4 11" xfId="41841" xr:uid="{00000000-0005-0000-0000-00001C040000}"/>
    <cellStyle name="60% - Accent4 12" xfId="41842" xr:uid="{00000000-0005-0000-0000-00001D040000}"/>
    <cellStyle name="60% - Accent4 13" xfId="41843" xr:uid="{00000000-0005-0000-0000-00001E040000}"/>
    <cellStyle name="60% - Accent4 14" xfId="41844" xr:uid="{00000000-0005-0000-0000-00001F040000}"/>
    <cellStyle name="60% - Accent4 15" xfId="41845" xr:uid="{00000000-0005-0000-0000-000020040000}"/>
    <cellStyle name="60% - Accent4 16" xfId="41846" xr:uid="{00000000-0005-0000-0000-000021040000}"/>
    <cellStyle name="60% - Accent4 17" xfId="41847" xr:uid="{00000000-0005-0000-0000-000022040000}"/>
    <cellStyle name="60% - Accent4 18" xfId="41848" xr:uid="{00000000-0005-0000-0000-000023040000}"/>
    <cellStyle name="60% - Accent4 19" xfId="41849" xr:uid="{00000000-0005-0000-0000-000024040000}"/>
    <cellStyle name="60% - Accent4 2" xfId="39" xr:uid="{00000000-0005-0000-0000-000025040000}"/>
    <cellStyle name="60% - Accent4 2 2" xfId="41850" xr:uid="{00000000-0005-0000-0000-000026040000}"/>
    <cellStyle name="60% - Accent4 20" xfId="41851" xr:uid="{00000000-0005-0000-0000-000027040000}"/>
    <cellStyle name="60% - Accent4 21" xfId="41852" xr:uid="{00000000-0005-0000-0000-000028040000}"/>
    <cellStyle name="60% - Accent4 22" xfId="41853" xr:uid="{00000000-0005-0000-0000-000029040000}"/>
    <cellStyle name="60% - Accent4 23" xfId="41854" xr:uid="{00000000-0005-0000-0000-00002A040000}"/>
    <cellStyle name="60% - Accent4 3" xfId="41855" xr:uid="{00000000-0005-0000-0000-00002B040000}"/>
    <cellStyle name="60% - Accent4 4" xfId="41856" xr:uid="{00000000-0005-0000-0000-00002C040000}"/>
    <cellStyle name="60% - Accent4 5" xfId="41857" xr:uid="{00000000-0005-0000-0000-00002D040000}"/>
    <cellStyle name="60% - Accent4 6" xfId="41858" xr:uid="{00000000-0005-0000-0000-00002E040000}"/>
    <cellStyle name="60% - Accent4 7" xfId="41859" xr:uid="{00000000-0005-0000-0000-00002F040000}"/>
    <cellStyle name="60% - Accent4 8" xfId="41860" xr:uid="{00000000-0005-0000-0000-000030040000}"/>
    <cellStyle name="60% - Accent4 9" xfId="41861" xr:uid="{00000000-0005-0000-0000-000031040000}"/>
    <cellStyle name="60% - Accent5 10" xfId="41862" xr:uid="{00000000-0005-0000-0000-000032040000}"/>
    <cellStyle name="60% - Accent5 11" xfId="41863" xr:uid="{00000000-0005-0000-0000-000033040000}"/>
    <cellStyle name="60% - Accent5 12" xfId="41864" xr:uid="{00000000-0005-0000-0000-000034040000}"/>
    <cellStyle name="60% - Accent5 13" xfId="41865" xr:uid="{00000000-0005-0000-0000-000035040000}"/>
    <cellStyle name="60% - Accent5 14" xfId="41866" xr:uid="{00000000-0005-0000-0000-000036040000}"/>
    <cellStyle name="60% - Accent5 15" xfId="41867" xr:uid="{00000000-0005-0000-0000-000037040000}"/>
    <cellStyle name="60% - Accent5 16" xfId="41868" xr:uid="{00000000-0005-0000-0000-000038040000}"/>
    <cellStyle name="60% - Accent5 17" xfId="41869" xr:uid="{00000000-0005-0000-0000-000039040000}"/>
    <cellStyle name="60% - Accent5 18" xfId="41870" xr:uid="{00000000-0005-0000-0000-00003A040000}"/>
    <cellStyle name="60% - Accent5 19" xfId="41871" xr:uid="{00000000-0005-0000-0000-00003B040000}"/>
    <cellStyle name="60% - Accent5 2" xfId="40" xr:uid="{00000000-0005-0000-0000-00003C040000}"/>
    <cellStyle name="60% - Accent5 2 2" xfId="41872" xr:uid="{00000000-0005-0000-0000-00003D040000}"/>
    <cellStyle name="60% - Accent5 20" xfId="41873" xr:uid="{00000000-0005-0000-0000-00003E040000}"/>
    <cellStyle name="60% - Accent5 21" xfId="41874" xr:uid="{00000000-0005-0000-0000-00003F040000}"/>
    <cellStyle name="60% - Accent5 22" xfId="41875" xr:uid="{00000000-0005-0000-0000-000040040000}"/>
    <cellStyle name="60% - Accent5 23" xfId="41876" xr:uid="{00000000-0005-0000-0000-000041040000}"/>
    <cellStyle name="60% - Accent5 3" xfId="41877" xr:uid="{00000000-0005-0000-0000-000042040000}"/>
    <cellStyle name="60% - Accent5 4" xfId="41878" xr:uid="{00000000-0005-0000-0000-000043040000}"/>
    <cellStyle name="60% - Accent5 5" xfId="41879" xr:uid="{00000000-0005-0000-0000-000044040000}"/>
    <cellStyle name="60% - Accent5 6" xfId="41880" xr:uid="{00000000-0005-0000-0000-000045040000}"/>
    <cellStyle name="60% - Accent5 7" xfId="41881" xr:uid="{00000000-0005-0000-0000-000046040000}"/>
    <cellStyle name="60% - Accent5 8" xfId="41882" xr:uid="{00000000-0005-0000-0000-000047040000}"/>
    <cellStyle name="60% - Accent5 9" xfId="41883" xr:uid="{00000000-0005-0000-0000-000048040000}"/>
    <cellStyle name="60% - Accent6 10" xfId="41884" xr:uid="{00000000-0005-0000-0000-000049040000}"/>
    <cellStyle name="60% - Accent6 11" xfId="41885" xr:uid="{00000000-0005-0000-0000-00004A040000}"/>
    <cellStyle name="60% - Accent6 12" xfId="41886" xr:uid="{00000000-0005-0000-0000-00004B040000}"/>
    <cellStyle name="60% - Accent6 13" xfId="41887" xr:uid="{00000000-0005-0000-0000-00004C040000}"/>
    <cellStyle name="60% - Accent6 14" xfId="41888" xr:uid="{00000000-0005-0000-0000-00004D040000}"/>
    <cellStyle name="60% - Accent6 15" xfId="41889" xr:uid="{00000000-0005-0000-0000-00004E040000}"/>
    <cellStyle name="60% - Accent6 16" xfId="41890" xr:uid="{00000000-0005-0000-0000-00004F040000}"/>
    <cellStyle name="60% - Accent6 17" xfId="41891" xr:uid="{00000000-0005-0000-0000-000050040000}"/>
    <cellStyle name="60% - Accent6 18" xfId="41892" xr:uid="{00000000-0005-0000-0000-000051040000}"/>
    <cellStyle name="60% - Accent6 19" xfId="41893" xr:uid="{00000000-0005-0000-0000-000052040000}"/>
    <cellStyle name="60% - Accent6 2" xfId="41" xr:uid="{00000000-0005-0000-0000-000053040000}"/>
    <cellStyle name="60% - Accent6 2 2" xfId="41894" xr:uid="{00000000-0005-0000-0000-000054040000}"/>
    <cellStyle name="60% - Accent6 20" xfId="41895" xr:uid="{00000000-0005-0000-0000-000055040000}"/>
    <cellStyle name="60% - Accent6 21" xfId="41896" xr:uid="{00000000-0005-0000-0000-000056040000}"/>
    <cellStyle name="60% - Accent6 22" xfId="41897" xr:uid="{00000000-0005-0000-0000-000057040000}"/>
    <cellStyle name="60% - Accent6 23" xfId="41898" xr:uid="{00000000-0005-0000-0000-000058040000}"/>
    <cellStyle name="60% - Accent6 3" xfId="41899" xr:uid="{00000000-0005-0000-0000-000059040000}"/>
    <cellStyle name="60% - Accent6 4" xfId="41900" xr:uid="{00000000-0005-0000-0000-00005A040000}"/>
    <cellStyle name="60% - Accent6 5" xfId="41901" xr:uid="{00000000-0005-0000-0000-00005B040000}"/>
    <cellStyle name="60% - Accent6 6" xfId="41902" xr:uid="{00000000-0005-0000-0000-00005C040000}"/>
    <cellStyle name="60% - Accent6 7" xfId="41903" xr:uid="{00000000-0005-0000-0000-00005D040000}"/>
    <cellStyle name="60% - Accent6 8" xfId="41904" xr:uid="{00000000-0005-0000-0000-00005E040000}"/>
    <cellStyle name="60% - Accent6 9" xfId="41905" xr:uid="{00000000-0005-0000-0000-00005F040000}"/>
    <cellStyle name="Accent1" xfId="7" builtinId="29"/>
    <cellStyle name="Accent1 - 20%" xfId="129" xr:uid="{00000000-0005-0000-0000-000061040000}"/>
    <cellStyle name="Accent1 - 20% 10" xfId="41906" xr:uid="{00000000-0005-0000-0000-000062040000}"/>
    <cellStyle name="Accent1 - 20% 11" xfId="41907" xr:uid="{00000000-0005-0000-0000-000063040000}"/>
    <cellStyle name="Accent1 - 20% 12" xfId="41908" xr:uid="{00000000-0005-0000-0000-000064040000}"/>
    <cellStyle name="Accent1 - 20% 13" xfId="41909" xr:uid="{00000000-0005-0000-0000-000065040000}"/>
    <cellStyle name="Accent1 - 20% 14" xfId="41910" xr:uid="{00000000-0005-0000-0000-000066040000}"/>
    <cellStyle name="Accent1 - 20% 2" xfId="41911" xr:uid="{00000000-0005-0000-0000-000067040000}"/>
    <cellStyle name="Accent1 - 20% 3" xfId="41912" xr:uid="{00000000-0005-0000-0000-000068040000}"/>
    <cellStyle name="Accent1 - 20% 4" xfId="41913" xr:uid="{00000000-0005-0000-0000-000069040000}"/>
    <cellStyle name="Accent1 - 20% 5" xfId="41914" xr:uid="{00000000-0005-0000-0000-00006A040000}"/>
    <cellStyle name="Accent1 - 20% 6" xfId="41915" xr:uid="{00000000-0005-0000-0000-00006B040000}"/>
    <cellStyle name="Accent1 - 20% 7" xfId="41916" xr:uid="{00000000-0005-0000-0000-00006C040000}"/>
    <cellStyle name="Accent1 - 20% 8" xfId="41917" xr:uid="{00000000-0005-0000-0000-00006D040000}"/>
    <cellStyle name="Accent1 - 20% 9" xfId="41918" xr:uid="{00000000-0005-0000-0000-00006E040000}"/>
    <cellStyle name="Accent1 - 40%" xfId="130" xr:uid="{00000000-0005-0000-0000-00006F040000}"/>
    <cellStyle name="Accent1 - 40% 10" xfId="41919" xr:uid="{00000000-0005-0000-0000-000070040000}"/>
    <cellStyle name="Accent1 - 40% 11" xfId="41920" xr:uid="{00000000-0005-0000-0000-000071040000}"/>
    <cellStyle name="Accent1 - 40% 12" xfId="41921" xr:uid="{00000000-0005-0000-0000-000072040000}"/>
    <cellStyle name="Accent1 - 40% 13" xfId="41922" xr:uid="{00000000-0005-0000-0000-000073040000}"/>
    <cellStyle name="Accent1 - 40% 14" xfId="41923" xr:uid="{00000000-0005-0000-0000-000074040000}"/>
    <cellStyle name="Accent1 - 40% 2" xfId="41924" xr:uid="{00000000-0005-0000-0000-000075040000}"/>
    <cellStyle name="Accent1 - 40% 3" xfId="41925" xr:uid="{00000000-0005-0000-0000-000076040000}"/>
    <cellStyle name="Accent1 - 40% 4" xfId="41926" xr:uid="{00000000-0005-0000-0000-000077040000}"/>
    <cellStyle name="Accent1 - 40% 5" xfId="41927" xr:uid="{00000000-0005-0000-0000-000078040000}"/>
    <cellStyle name="Accent1 - 40% 6" xfId="41928" xr:uid="{00000000-0005-0000-0000-000079040000}"/>
    <cellStyle name="Accent1 - 40% 7" xfId="41929" xr:uid="{00000000-0005-0000-0000-00007A040000}"/>
    <cellStyle name="Accent1 - 40% 8" xfId="41930" xr:uid="{00000000-0005-0000-0000-00007B040000}"/>
    <cellStyle name="Accent1 - 40% 9" xfId="41931" xr:uid="{00000000-0005-0000-0000-00007C040000}"/>
    <cellStyle name="Accent1 - 60%" xfId="131" xr:uid="{00000000-0005-0000-0000-00007D040000}"/>
    <cellStyle name="Accent1 - 60% 10" xfId="41932" xr:uid="{00000000-0005-0000-0000-00007E040000}"/>
    <cellStyle name="Accent1 - 60% 11" xfId="41933" xr:uid="{00000000-0005-0000-0000-00007F040000}"/>
    <cellStyle name="Accent1 - 60% 12" xfId="41934" xr:uid="{00000000-0005-0000-0000-000080040000}"/>
    <cellStyle name="Accent1 - 60% 13" xfId="41935" xr:uid="{00000000-0005-0000-0000-000081040000}"/>
    <cellStyle name="Accent1 - 60% 14" xfId="41936" xr:uid="{00000000-0005-0000-0000-000082040000}"/>
    <cellStyle name="Accent1 - 60% 2" xfId="41937" xr:uid="{00000000-0005-0000-0000-000083040000}"/>
    <cellStyle name="Accent1 - 60% 3" xfId="41938" xr:uid="{00000000-0005-0000-0000-000084040000}"/>
    <cellStyle name="Accent1 - 60% 4" xfId="41939" xr:uid="{00000000-0005-0000-0000-000085040000}"/>
    <cellStyle name="Accent1 - 60% 5" xfId="41940" xr:uid="{00000000-0005-0000-0000-000086040000}"/>
    <cellStyle name="Accent1 - 60% 6" xfId="41941" xr:uid="{00000000-0005-0000-0000-000087040000}"/>
    <cellStyle name="Accent1 - 60% 7" xfId="41942" xr:uid="{00000000-0005-0000-0000-000088040000}"/>
    <cellStyle name="Accent1 - 60% 8" xfId="41943" xr:uid="{00000000-0005-0000-0000-000089040000}"/>
    <cellStyle name="Accent1 - 60% 9" xfId="41944" xr:uid="{00000000-0005-0000-0000-00008A040000}"/>
    <cellStyle name="Accent1 10" xfId="41945" xr:uid="{00000000-0005-0000-0000-00008B040000}"/>
    <cellStyle name="Accent1 11" xfId="41946" xr:uid="{00000000-0005-0000-0000-00008C040000}"/>
    <cellStyle name="Accent1 12" xfId="41947" xr:uid="{00000000-0005-0000-0000-00008D040000}"/>
    <cellStyle name="Accent1 13" xfId="41948" xr:uid="{00000000-0005-0000-0000-00008E040000}"/>
    <cellStyle name="Accent1 14" xfId="41949" xr:uid="{00000000-0005-0000-0000-00008F040000}"/>
    <cellStyle name="Accent1 15" xfId="41950" xr:uid="{00000000-0005-0000-0000-000090040000}"/>
    <cellStyle name="Accent1 16" xfId="41951" xr:uid="{00000000-0005-0000-0000-000091040000}"/>
    <cellStyle name="Accent1 17" xfId="41952" xr:uid="{00000000-0005-0000-0000-000092040000}"/>
    <cellStyle name="Accent1 18" xfId="41953" xr:uid="{00000000-0005-0000-0000-000093040000}"/>
    <cellStyle name="Accent1 19" xfId="41954" xr:uid="{00000000-0005-0000-0000-000094040000}"/>
    <cellStyle name="Accent1 2" xfId="42" xr:uid="{00000000-0005-0000-0000-000095040000}"/>
    <cellStyle name="Accent1 2 2" xfId="41955" xr:uid="{00000000-0005-0000-0000-000096040000}"/>
    <cellStyle name="Accent1 20" xfId="41956" xr:uid="{00000000-0005-0000-0000-000097040000}"/>
    <cellStyle name="Accent1 21" xfId="41957" xr:uid="{00000000-0005-0000-0000-000098040000}"/>
    <cellStyle name="Accent1 22" xfId="41958" xr:uid="{00000000-0005-0000-0000-000099040000}"/>
    <cellStyle name="Accent1 23" xfId="41959" xr:uid="{00000000-0005-0000-0000-00009A040000}"/>
    <cellStyle name="Accent1 24" xfId="41960" xr:uid="{00000000-0005-0000-0000-00009B040000}"/>
    <cellStyle name="Accent1 25" xfId="41961" xr:uid="{00000000-0005-0000-0000-00009C040000}"/>
    <cellStyle name="Accent1 26" xfId="41962" xr:uid="{00000000-0005-0000-0000-00009D040000}"/>
    <cellStyle name="Accent1 27" xfId="41963" xr:uid="{00000000-0005-0000-0000-00009E040000}"/>
    <cellStyle name="Accent1 28" xfId="41964" xr:uid="{00000000-0005-0000-0000-00009F040000}"/>
    <cellStyle name="Accent1 29" xfId="41965" xr:uid="{00000000-0005-0000-0000-0000A0040000}"/>
    <cellStyle name="Accent1 3" xfId="41966" xr:uid="{00000000-0005-0000-0000-0000A1040000}"/>
    <cellStyle name="Accent1 3 2" xfId="41967" xr:uid="{00000000-0005-0000-0000-0000A2040000}"/>
    <cellStyle name="Accent1 30" xfId="41968" xr:uid="{00000000-0005-0000-0000-0000A3040000}"/>
    <cellStyle name="Accent1 4" xfId="41969" xr:uid="{00000000-0005-0000-0000-0000A4040000}"/>
    <cellStyle name="Accent1 4 2" xfId="41970" xr:uid="{00000000-0005-0000-0000-0000A5040000}"/>
    <cellStyle name="Accent1 5" xfId="41971" xr:uid="{00000000-0005-0000-0000-0000A6040000}"/>
    <cellStyle name="Accent1 6" xfId="41972" xr:uid="{00000000-0005-0000-0000-0000A7040000}"/>
    <cellStyle name="Accent1 7" xfId="41973" xr:uid="{00000000-0005-0000-0000-0000A8040000}"/>
    <cellStyle name="Accent1 8" xfId="41974" xr:uid="{00000000-0005-0000-0000-0000A9040000}"/>
    <cellStyle name="Accent1 9" xfId="41975" xr:uid="{00000000-0005-0000-0000-0000AA040000}"/>
    <cellStyle name="Accent2 - 20%" xfId="132" xr:uid="{00000000-0005-0000-0000-0000AB040000}"/>
    <cellStyle name="Accent2 - 20% 10" xfId="41976" xr:uid="{00000000-0005-0000-0000-0000AC040000}"/>
    <cellStyle name="Accent2 - 20% 11" xfId="41977" xr:uid="{00000000-0005-0000-0000-0000AD040000}"/>
    <cellStyle name="Accent2 - 20% 12" xfId="41978" xr:uid="{00000000-0005-0000-0000-0000AE040000}"/>
    <cellStyle name="Accent2 - 20% 13" xfId="41979" xr:uid="{00000000-0005-0000-0000-0000AF040000}"/>
    <cellStyle name="Accent2 - 20% 14" xfId="41980" xr:uid="{00000000-0005-0000-0000-0000B0040000}"/>
    <cellStyle name="Accent2 - 20% 2" xfId="41981" xr:uid="{00000000-0005-0000-0000-0000B1040000}"/>
    <cellStyle name="Accent2 - 20% 3" xfId="41982" xr:uid="{00000000-0005-0000-0000-0000B2040000}"/>
    <cellStyle name="Accent2 - 20% 4" xfId="41983" xr:uid="{00000000-0005-0000-0000-0000B3040000}"/>
    <cellStyle name="Accent2 - 20% 5" xfId="41984" xr:uid="{00000000-0005-0000-0000-0000B4040000}"/>
    <cellStyle name="Accent2 - 20% 6" xfId="41985" xr:uid="{00000000-0005-0000-0000-0000B5040000}"/>
    <cellStyle name="Accent2 - 20% 7" xfId="41986" xr:uid="{00000000-0005-0000-0000-0000B6040000}"/>
    <cellStyle name="Accent2 - 20% 8" xfId="41987" xr:uid="{00000000-0005-0000-0000-0000B7040000}"/>
    <cellStyle name="Accent2 - 20% 9" xfId="41988" xr:uid="{00000000-0005-0000-0000-0000B8040000}"/>
    <cellStyle name="Accent2 - 40%" xfId="133" xr:uid="{00000000-0005-0000-0000-0000B9040000}"/>
    <cellStyle name="Accent2 - 40% 10" xfId="41989" xr:uid="{00000000-0005-0000-0000-0000BA040000}"/>
    <cellStyle name="Accent2 - 40% 11" xfId="41990" xr:uid="{00000000-0005-0000-0000-0000BB040000}"/>
    <cellStyle name="Accent2 - 40% 12" xfId="41991" xr:uid="{00000000-0005-0000-0000-0000BC040000}"/>
    <cellStyle name="Accent2 - 40% 13" xfId="41992" xr:uid="{00000000-0005-0000-0000-0000BD040000}"/>
    <cellStyle name="Accent2 - 40% 14" xfId="41993" xr:uid="{00000000-0005-0000-0000-0000BE040000}"/>
    <cellStyle name="Accent2 - 40% 2" xfId="41994" xr:uid="{00000000-0005-0000-0000-0000BF040000}"/>
    <cellStyle name="Accent2 - 40% 3" xfId="41995" xr:uid="{00000000-0005-0000-0000-0000C0040000}"/>
    <cellStyle name="Accent2 - 40% 4" xfId="41996" xr:uid="{00000000-0005-0000-0000-0000C1040000}"/>
    <cellStyle name="Accent2 - 40% 5" xfId="41997" xr:uid="{00000000-0005-0000-0000-0000C2040000}"/>
    <cellStyle name="Accent2 - 40% 6" xfId="41998" xr:uid="{00000000-0005-0000-0000-0000C3040000}"/>
    <cellStyle name="Accent2 - 40% 7" xfId="41999" xr:uid="{00000000-0005-0000-0000-0000C4040000}"/>
    <cellStyle name="Accent2 - 40% 8" xfId="42000" xr:uid="{00000000-0005-0000-0000-0000C5040000}"/>
    <cellStyle name="Accent2 - 40% 9" xfId="42001" xr:uid="{00000000-0005-0000-0000-0000C6040000}"/>
    <cellStyle name="Accent2 - 60%" xfId="134" xr:uid="{00000000-0005-0000-0000-0000C7040000}"/>
    <cellStyle name="Accent2 - 60% 10" xfId="42002" xr:uid="{00000000-0005-0000-0000-0000C8040000}"/>
    <cellStyle name="Accent2 - 60% 11" xfId="42003" xr:uid="{00000000-0005-0000-0000-0000C9040000}"/>
    <cellStyle name="Accent2 - 60% 12" xfId="42004" xr:uid="{00000000-0005-0000-0000-0000CA040000}"/>
    <cellStyle name="Accent2 - 60% 13" xfId="42005" xr:uid="{00000000-0005-0000-0000-0000CB040000}"/>
    <cellStyle name="Accent2 - 60% 14" xfId="42006" xr:uid="{00000000-0005-0000-0000-0000CC040000}"/>
    <cellStyle name="Accent2 - 60% 2" xfId="42007" xr:uid="{00000000-0005-0000-0000-0000CD040000}"/>
    <cellStyle name="Accent2 - 60% 3" xfId="42008" xr:uid="{00000000-0005-0000-0000-0000CE040000}"/>
    <cellStyle name="Accent2 - 60% 4" xfId="42009" xr:uid="{00000000-0005-0000-0000-0000CF040000}"/>
    <cellStyle name="Accent2 - 60% 5" xfId="42010" xr:uid="{00000000-0005-0000-0000-0000D0040000}"/>
    <cellStyle name="Accent2 - 60% 6" xfId="42011" xr:uid="{00000000-0005-0000-0000-0000D1040000}"/>
    <cellStyle name="Accent2 - 60% 7" xfId="42012" xr:uid="{00000000-0005-0000-0000-0000D2040000}"/>
    <cellStyle name="Accent2 - 60% 8" xfId="42013" xr:uid="{00000000-0005-0000-0000-0000D3040000}"/>
    <cellStyle name="Accent2 - 60% 9" xfId="42014" xr:uid="{00000000-0005-0000-0000-0000D4040000}"/>
    <cellStyle name="Accent2 10" xfId="42015" xr:uid="{00000000-0005-0000-0000-0000D5040000}"/>
    <cellStyle name="Accent2 11" xfId="42016" xr:uid="{00000000-0005-0000-0000-0000D6040000}"/>
    <cellStyle name="Accent2 12" xfId="42017" xr:uid="{00000000-0005-0000-0000-0000D7040000}"/>
    <cellStyle name="Accent2 13" xfId="42018" xr:uid="{00000000-0005-0000-0000-0000D8040000}"/>
    <cellStyle name="Accent2 14" xfId="42019" xr:uid="{00000000-0005-0000-0000-0000D9040000}"/>
    <cellStyle name="Accent2 15" xfId="42020" xr:uid="{00000000-0005-0000-0000-0000DA040000}"/>
    <cellStyle name="Accent2 16" xfId="42021" xr:uid="{00000000-0005-0000-0000-0000DB040000}"/>
    <cellStyle name="Accent2 17" xfId="42022" xr:uid="{00000000-0005-0000-0000-0000DC040000}"/>
    <cellStyle name="Accent2 18" xfId="42023" xr:uid="{00000000-0005-0000-0000-0000DD040000}"/>
    <cellStyle name="Accent2 19" xfId="42024" xr:uid="{00000000-0005-0000-0000-0000DE040000}"/>
    <cellStyle name="Accent2 2" xfId="43" xr:uid="{00000000-0005-0000-0000-0000DF040000}"/>
    <cellStyle name="Accent2 2 2" xfId="42025" xr:uid="{00000000-0005-0000-0000-0000E0040000}"/>
    <cellStyle name="Accent2 20" xfId="42026" xr:uid="{00000000-0005-0000-0000-0000E1040000}"/>
    <cellStyle name="Accent2 21" xfId="42027" xr:uid="{00000000-0005-0000-0000-0000E2040000}"/>
    <cellStyle name="Accent2 22" xfId="42028" xr:uid="{00000000-0005-0000-0000-0000E3040000}"/>
    <cellStyle name="Accent2 23" xfId="42029" xr:uid="{00000000-0005-0000-0000-0000E4040000}"/>
    <cellStyle name="Accent2 24" xfId="42030" xr:uid="{00000000-0005-0000-0000-0000E5040000}"/>
    <cellStyle name="Accent2 25" xfId="42031" xr:uid="{00000000-0005-0000-0000-0000E6040000}"/>
    <cellStyle name="Accent2 26" xfId="42032" xr:uid="{00000000-0005-0000-0000-0000E7040000}"/>
    <cellStyle name="Accent2 27" xfId="42033" xr:uid="{00000000-0005-0000-0000-0000E8040000}"/>
    <cellStyle name="Accent2 28" xfId="42034" xr:uid="{00000000-0005-0000-0000-0000E9040000}"/>
    <cellStyle name="Accent2 29" xfId="42035" xr:uid="{00000000-0005-0000-0000-0000EA040000}"/>
    <cellStyle name="Accent2 3" xfId="42036" xr:uid="{00000000-0005-0000-0000-0000EB040000}"/>
    <cellStyle name="Accent2 3 2" xfId="42037" xr:uid="{00000000-0005-0000-0000-0000EC040000}"/>
    <cellStyle name="Accent2 30" xfId="42038" xr:uid="{00000000-0005-0000-0000-0000ED040000}"/>
    <cellStyle name="Accent2 4" xfId="42039" xr:uid="{00000000-0005-0000-0000-0000EE040000}"/>
    <cellStyle name="Accent2 4 2" xfId="42040" xr:uid="{00000000-0005-0000-0000-0000EF040000}"/>
    <cellStyle name="Accent2 5" xfId="42041" xr:uid="{00000000-0005-0000-0000-0000F0040000}"/>
    <cellStyle name="Accent2 6" xfId="42042" xr:uid="{00000000-0005-0000-0000-0000F1040000}"/>
    <cellStyle name="Accent2 7" xfId="42043" xr:uid="{00000000-0005-0000-0000-0000F2040000}"/>
    <cellStyle name="Accent2 8" xfId="42044" xr:uid="{00000000-0005-0000-0000-0000F3040000}"/>
    <cellStyle name="Accent2 9" xfId="42045" xr:uid="{00000000-0005-0000-0000-0000F4040000}"/>
    <cellStyle name="Accent3 - 20%" xfId="135" xr:uid="{00000000-0005-0000-0000-0000F5040000}"/>
    <cellStyle name="Accent3 - 20% 10" xfId="42046" xr:uid="{00000000-0005-0000-0000-0000F6040000}"/>
    <cellStyle name="Accent3 - 20% 11" xfId="42047" xr:uid="{00000000-0005-0000-0000-0000F7040000}"/>
    <cellStyle name="Accent3 - 20% 12" xfId="42048" xr:uid="{00000000-0005-0000-0000-0000F8040000}"/>
    <cellStyle name="Accent3 - 20% 13" xfId="42049" xr:uid="{00000000-0005-0000-0000-0000F9040000}"/>
    <cellStyle name="Accent3 - 20% 14" xfId="42050" xr:uid="{00000000-0005-0000-0000-0000FA040000}"/>
    <cellStyle name="Accent3 - 20% 2" xfId="42051" xr:uid="{00000000-0005-0000-0000-0000FB040000}"/>
    <cellStyle name="Accent3 - 20% 3" xfId="42052" xr:uid="{00000000-0005-0000-0000-0000FC040000}"/>
    <cellStyle name="Accent3 - 20% 4" xfId="42053" xr:uid="{00000000-0005-0000-0000-0000FD040000}"/>
    <cellStyle name="Accent3 - 20% 5" xfId="42054" xr:uid="{00000000-0005-0000-0000-0000FE040000}"/>
    <cellStyle name="Accent3 - 20% 6" xfId="42055" xr:uid="{00000000-0005-0000-0000-0000FF040000}"/>
    <cellStyle name="Accent3 - 20% 7" xfId="42056" xr:uid="{00000000-0005-0000-0000-000000050000}"/>
    <cellStyle name="Accent3 - 20% 8" xfId="42057" xr:uid="{00000000-0005-0000-0000-000001050000}"/>
    <cellStyle name="Accent3 - 20% 9" xfId="42058" xr:uid="{00000000-0005-0000-0000-000002050000}"/>
    <cellStyle name="Accent3 - 40%" xfId="136" xr:uid="{00000000-0005-0000-0000-000003050000}"/>
    <cellStyle name="Accent3 - 40% 10" xfId="42059" xr:uid="{00000000-0005-0000-0000-000004050000}"/>
    <cellStyle name="Accent3 - 40% 11" xfId="42060" xr:uid="{00000000-0005-0000-0000-000005050000}"/>
    <cellStyle name="Accent3 - 40% 12" xfId="42061" xr:uid="{00000000-0005-0000-0000-000006050000}"/>
    <cellStyle name="Accent3 - 40% 13" xfId="42062" xr:uid="{00000000-0005-0000-0000-000007050000}"/>
    <cellStyle name="Accent3 - 40% 14" xfId="42063" xr:uid="{00000000-0005-0000-0000-000008050000}"/>
    <cellStyle name="Accent3 - 40% 2" xfId="42064" xr:uid="{00000000-0005-0000-0000-000009050000}"/>
    <cellStyle name="Accent3 - 40% 3" xfId="42065" xr:uid="{00000000-0005-0000-0000-00000A050000}"/>
    <cellStyle name="Accent3 - 40% 4" xfId="42066" xr:uid="{00000000-0005-0000-0000-00000B050000}"/>
    <cellStyle name="Accent3 - 40% 5" xfId="42067" xr:uid="{00000000-0005-0000-0000-00000C050000}"/>
    <cellStyle name="Accent3 - 40% 6" xfId="42068" xr:uid="{00000000-0005-0000-0000-00000D050000}"/>
    <cellStyle name="Accent3 - 40% 7" xfId="42069" xr:uid="{00000000-0005-0000-0000-00000E050000}"/>
    <cellStyle name="Accent3 - 40% 8" xfId="42070" xr:uid="{00000000-0005-0000-0000-00000F050000}"/>
    <cellStyle name="Accent3 - 40% 9" xfId="42071" xr:uid="{00000000-0005-0000-0000-000010050000}"/>
    <cellStyle name="Accent3 - 60%" xfId="137" xr:uid="{00000000-0005-0000-0000-000011050000}"/>
    <cellStyle name="Accent3 - 60% 10" xfId="42072" xr:uid="{00000000-0005-0000-0000-000012050000}"/>
    <cellStyle name="Accent3 - 60% 11" xfId="42073" xr:uid="{00000000-0005-0000-0000-000013050000}"/>
    <cellStyle name="Accent3 - 60% 12" xfId="42074" xr:uid="{00000000-0005-0000-0000-000014050000}"/>
    <cellStyle name="Accent3 - 60% 13" xfId="42075" xr:uid="{00000000-0005-0000-0000-000015050000}"/>
    <cellStyle name="Accent3 - 60% 14" xfId="42076" xr:uid="{00000000-0005-0000-0000-000016050000}"/>
    <cellStyle name="Accent3 - 60% 2" xfId="42077" xr:uid="{00000000-0005-0000-0000-000017050000}"/>
    <cellStyle name="Accent3 - 60% 3" xfId="42078" xr:uid="{00000000-0005-0000-0000-000018050000}"/>
    <cellStyle name="Accent3 - 60% 4" xfId="42079" xr:uid="{00000000-0005-0000-0000-000019050000}"/>
    <cellStyle name="Accent3 - 60% 5" xfId="42080" xr:uid="{00000000-0005-0000-0000-00001A050000}"/>
    <cellStyle name="Accent3 - 60% 6" xfId="42081" xr:uid="{00000000-0005-0000-0000-00001B050000}"/>
    <cellStyle name="Accent3 - 60% 7" xfId="42082" xr:uid="{00000000-0005-0000-0000-00001C050000}"/>
    <cellStyle name="Accent3 - 60% 8" xfId="42083" xr:uid="{00000000-0005-0000-0000-00001D050000}"/>
    <cellStyle name="Accent3 - 60% 9" xfId="42084" xr:uid="{00000000-0005-0000-0000-00001E050000}"/>
    <cellStyle name="Accent3 10" xfId="42085" xr:uid="{00000000-0005-0000-0000-00001F050000}"/>
    <cellStyle name="Accent3 11" xfId="42086" xr:uid="{00000000-0005-0000-0000-000020050000}"/>
    <cellStyle name="Accent3 12" xfId="42087" xr:uid="{00000000-0005-0000-0000-000021050000}"/>
    <cellStyle name="Accent3 13" xfId="42088" xr:uid="{00000000-0005-0000-0000-000022050000}"/>
    <cellStyle name="Accent3 14" xfId="42089" xr:uid="{00000000-0005-0000-0000-000023050000}"/>
    <cellStyle name="Accent3 15" xfId="42090" xr:uid="{00000000-0005-0000-0000-000024050000}"/>
    <cellStyle name="Accent3 16" xfId="42091" xr:uid="{00000000-0005-0000-0000-000025050000}"/>
    <cellStyle name="Accent3 17" xfId="42092" xr:uid="{00000000-0005-0000-0000-000026050000}"/>
    <cellStyle name="Accent3 18" xfId="42093" xr:uid="{00000000-0005-0000-0000-000027050000}"/>
    <cellStyle name="Accent3 19" xfId="42094" xr:uid="{00000000-0005-0000-0000-000028050000}"/>
    <cellStyle name="Accent3 2" xfId="44" xr:uid="{00000000-0005-0000-0000-000029050000}"/>
    <cellStyle name="Accent3 2 2" xfId="42095" xr:uid="{00000000-0005-0000-0000-00002A050000}"/>
    <cellStyle name="Accent3 20" xfId="42096" xr:uid="{00000000-0005-0000-0000-00002B050000}"/>
    <cellStyle name="Accent3 21" xfId="42097" xr:uid="{00000000-0005-0000-0000-00002C050000}"/>
    <cellStyle name="Accent3 22" xfId="42098" xr:uid="{00000000-0005-0000-0000-00002D050000}"/>
    <cellStyle name="Accent3 23" xfId="42099" xr:uid="{00000000-0005-0000-0000-00002E050000}"/>
    <cellStyle name="Accent3 24" xfId="42100" xr:uid="{00000000-0005-0000-0000-00002F050000}"/>
    <cellStyle name="Accent3 25" xfId="42101" xr:uid="{00000000-0005-0000-0000-000030050000}"/>
    <cellStyle name="Accent3 26" xfId="42102" xr:uid="{00000000-0005-0000-0000-000031050000}"/>
    <cellStyle name="Accent3 27" xfId="42103" xr:uid="{00000000-0005-0000-0000-000032050000}"/>
    <cellStyle name="Accent3 28" xfId="42104" xr:uid="{00000000-0005-0000-0000-000033050000}"/>
    <cellStyle name="Accent3 29" xfId="42105" xr:uid="{00000000-0005-0000-0000-000034050000}"/>
    <cellStyle name="Accent3 3" xfId="42106" xr:uid="{00000000-0005-0000-0000-000035050000}"/>
    <cellStyle name="Accent3 3 2" xfId="42107" xr:uid="{00000000-0005-0000-0000-000036050000}"/>
    <cellStyle name="Accent3 30" xfId="42108" xr:uid="{00000000-0005-0000-0000-000037050000}"/>
    <cellStyle name="Accent3 4" xfId="42109" xr:uid="{00000000-0005-0000-0000-000038050000}"/>
    <cellStyle name="Accent3 4 2" xfId="42110" xr:uid="{00000000-0005-0000-0000-000039050000}"/>
    <cellStyle name="Accent3 5" xfId="42111" xr:uid="{00000000-0005-0000-0000-00003A050000}"/>
    <cellStyle name="Accent3 6" xfId="42112" xr:uid="{00000000-0005-0000-0000-00003B050000}"/>
    <cellStyle name="Accent3 7" xfId="42113" xr:uid="{00000000-0005-0000-0000-00003C050000}"/>
    <cellStyle name="Accent3 8" xfId="42114" xr:uid="{00000000-0005-0000-0000-00003D050000}"/>
    <cellStyle name="Accent3 9" xfId="42115" xr:uid="{00000000-0005-0000-0000-00003E050000}"/>
    <cellStyle name="Accent4 - 20%" xfId="138" xr:uid="{00000000-0005-0000-0000-00003F050000}"/>
    <cellStyle name="Accent4 - 20% 10" xfId="42116" xr:uid="{00000000-0005-0000-0000-000040050000}"/>
    <cellStyle name="Accent4 - 20% 11" xfId="42117" xr:uid="{00000000-0005-0000-0000-000041050000}"/>
    <cellStyle name="Accent4 - 20% 12" xfId="42118" xr:uid="{00000000-0005-0000-0000-000042050000}"/>
    <cellStyle name="Accent4 - 20% 13" xfId="42119" xr:uid="{00000000-0005-0000-0000-000043050000}"/>
    <cellStyle name="Accent4 - 20% 14" xfId="42120" xr:uid="{00000000-0005-0000-0000-000044050000}"/>
    <cellStyle name="Accent4 - 20% 2" xfId="42121" xr:uid="{00000000-0005-0000-0000-000045050000}"/>
    <cellStyle name="Accent4 - 20% 3" xfId="42122" xr:uid="{00000000-0005-0000-0000-000046050000}"/>
    <cellStyle name="Accent4 - 20% 4" xfId="42123" xr:uid="{00000000-0005-0000-0000-000047050000}"/>
    <cellStyle name="Accent4 - 20% 5" xfId="42124" xr:uid="{00000000-0005-0000-0000-000048050000}"/>
    <cellStyle name="Accent4 - 20% 6" xfId="42125" xr:uid="{00000000-0005-0000-0000-000049050000}"/>
    <cellStyle name="Accent4 - 20% 7" xfId="42126" xr:uid="{00000000-0005-0000-0000-00004A050000}"/>
    <cellStyle name="Accent4 - 20% 8" xfId="42127" xr:uid="{00000000-0005-0000-0000-00004B050000}"/>
    <cellStyle name="Accent4 - 20% 9" xfId="42128" xr:uid="{00000000-0005-0000-0000-00004C050000}"/>
    <cellStyle name="Accent4 - 40%" xfId="139" xr:uid="{00000000-0005-0000-0000-00004D050000}"/>
    <cellStyle name="Accent4 - 40% 10" xfId="42129" xr:uid="{00000000-0005-0000-0000-00004E050000}"/>
    <cellStyle name="Accent4 - 40% 11" xfId="42130" xr:uid="{00000000-0005-0000-0000-00004F050000}"/>
    <cellStyle name="Accent4 - 40% 12" xfId="42131" xr:uid="{00000000-0005-0000-0000-000050050000}"/>
    <cellStyle name="Accent4 - 40% 13" xfId="42132" xr:uid="{00000000-0005-0000-0000-000051050000}"/>
    <cellStyle name="Accent4 - 40% 14" xfId="42133" xr:uid="{00000000-0005-0000-0000-000052050000}"/>
    <cellStyle name="Accent4 - 40% 2" xfId="42134" xr:uid="{00000000-0005-0000-0000-000053050000}"/>
    <cellStyle name="Accent4 - 40% 3" xfId="42135" xr:uid="{00000000-0005-0000-0000-000054050000}"/>
    <cellStyle name="Accent4 - 40% 4" xfId="42136" xr:uid="{00000000-0005-0000-0000-000055050000}"/>
    <cellStyle name="Accent4 - 40% 5" xfId="42137" xr:uid="{00000000-0005-0000-0000-000056050000}"/>
    <cellStyle name="Accent4 - 40% 6" xfId="42138" xr:uid="{00000000-0005-0000-0000-000057050000}"/>
    <cellStyle name="Accent4 - 40% 7" xfId="42139" xr:uid="{00000000-0005-0000-0000-000058050000}"/>
    <cellStyle name="Accent4 - 40% 8" xfId="42140" xr:uid="{00000000-0005-0000-0000-000059050000}"/>
    <cellStyle name="Accent4 - 40% 9" xfId="42141" xr:uid="{00000000-0005-0000-0000-00005A050000}"/>
    <cellStyle name="Accent4 - 60%" xfId="140" xr:uid="{00000000-0005-0000-0000-00005B050000}"/>
    <cellStyle name="Accent4 - 60% 10" xfId="42142" xr:uid="{00000000-0005-0000-0000-00005C050000}"/>
    <cellStyle name="Accent4 - 60% 11" xfId="42143" xr:uid="{00000000-0005-0000-0000-00005D050000}"/>
    <cellStyle name="Accent4 - 60% 12" xfId="42144" xr:uid="{00000000-0005-0000-0000-00005E050000}"/>
    <cellStyle name="Accent4 - 60% 13" xfId="42145" xr:uid="{00000000-0005-0000-0000-00005F050000}"/>
    <cellStyle name="Accent4 - 60% 14" xfId="42146" xr:uid="{00000000-0005-0000-0000-000060050000}"/>
    <cellStyle name="Accent4 - 60% 2" xfId="42147" xr:uid="{00000000-0005-0000-0000-000061050000}"/>
    <cellStyle name="Accent4 - 60% 3" xfId="42148" xr:uid="{00000000-0005-0000-0000-000062050000}"/>
    <cellStyle name="Accent4 - 60% 4" xfId="42149" xr:uid="{00000000-0005-0000-0000-000063050000}"/>
    <cellStyle name="Accent4 - 60% 5" xfId="42150" xr:uid="{00000000-0005-0000-0000-000064050000}"/>
    <cellStyle name="Accent4 - 60% 6" xfId="42151" xr:uid="{00000000-0005-0000-0000-000065050000}"/>
    <cellStyle name="Accent4 - 60% 7" xfId="42152" xr:uid="{00000000-0005-0000-0000-000066050000}"/>
    <cellStyle name="Accent4 - 60% 8" xfId="42153" xr:uid="{00000000-0005-0000-0000-000067050000}"/>
    <cellStyle name="Accent4 - 60% 9" xfId="42154" xr:uid="{00000000-0005-0000-0000-000068050000}"/>
    <cellStyle name="Accent4 10" xfId="42155" xr:uid="{00000000-0005-0000-0000-000069050000}"/>
    <cellStyle name="Accent4 11" xfId="42156" xr:uid="{00000000-0005-0000-0000-00006A050000}"/>
    <cellStyle name="Accent4 12" xfId="42157" xr:uid="{00000000-0005-0000-0000-00006B050000}"/>
    <cellStyle name="Accent4 13" xfId="42158" xr:uid="{00000000-0005-0000-0000-00006C050000}"/>
    <cellStyle name="Accent4 14" xfId="42159" xr:uid="{00000000-0005-0000-0000-00006D050000}"/>
    <cellStyle name="Accent4 15" xfId="42160" xr:uid="{00000000-0005-0000-0000-00006E050000}"/>
    <cellStyle name="Accent4 16" xfId="42161" xr:uid="{00000000-0005-0000-0000-00006F050000}"/>
    <cellStyle name="Accent4 17" xfId="42162" xr:uid="{00000000-0005-0000-0000-000070050000}"/>
    <cellStyle name="Accent4 18" xfId="42163" xr:uid="{00000000-0005-0000-0000-000071050000}"/>
    <cellStyle name="Accent4 19" xfId="42164" xr:uid="{00000000-0005-0000-0000-000072050000}"/>
    <cellStyle name="Accent4 2" xfId="45" xr:uid="{00000000-0005-0000-0000-000073050000}"/>
    <cellStyle name="Accent4 2 2" xfId="42165" xr:uid="{00000000-0005-0000-0000-000074050000}"/>
    <cellStyle name="Accent4 20" xfId="42166" xr:uid="{00000000-0005-0000-0000-000075050000}"/>
    <cellStyle name="Accent4 21" xfId="42167" xr:uid="{00000000-0005-0000-0000-000076050000}"/>
    <cellStyle name="Accent4 22" xfId="42168" xr:uid="{00000000-0005-0000-0000-000077050000}"/>
    <cellStyle name="Accent4 23" xfId="42169" xr:uid="{00000000-0005-0000-0000-000078050000}"/>
    <cellStyle name="Accent4 24" xfId="42170" xr:uid="{00000000-0005-0000-0000-000079050000}"/>
    <cellStyle name="Accent4 25" xfId="42171" xr:uid="{00000000-0005-0000-0000-00007A050000}"/>
    <cellStyle name="Accent4 26" xfId="42172" xr:uid="{00000000-0005-0000-0000-00007B050000}"/>
    <cellStyle name="Accent4 27" xfId="42173" xr:uid="{00000000-0005-0000-0000-00007C050000}"/>
    <cellStyle name="Accent4 28" xfId="42174" xr:uid="{00000000-0005-0000-0000-00007D050000}"/>
    <cellStyle name="Accent4 29" xfId="42175" xr:uid="{00000000-0005-0000-0000-00007E050000}"/>
    <cellStyle name="Accent4 3" xfId="42176" xr:uid="{00000000-0005-0000-0000-00007F050000}"/>
    <cellStyle name="Accent4 3 2" xfId="42177" xr:uid="{00000000-0005-0000-0000-000080050000}"/>
    <cellStyle name="Accent4 30" xfId="42178" xr:uid="{00000000-0005-0000-0000-000081050000}"/>
    <cellStyle name="Accent4 4" xfId="42179" xr:uid="{00000000-0005-0000-0000-000082050000}"/>
    <cellStyle name="Accent4 4 2" xfId="42180" xr:uid="{00000000-0005-0000-0000-000083050000}"/>
    <cellStyle name="Accent4 5" xfId="42181" xr:uid="{00000000-0005-0000-0000-000084050000}"/>
    <cellStyle name="Accent4 6" xfId="42182" xr:uid="{00000000-0005-0000-0000-000085050000}"/>
    <cellStyle name="Accent4 7" xfId="42183" xr:uid="{00000000-0005-0000-0000-000086050000}"/>
    <cellStyle name="Accent4 8" xfId="42184" xr:uid="{00000000-0005-0000-0000-000087050000}"/>
    <cellStyle name="Accent4 9" xfId="42185" xr:uid="{00000000-0005-0000-0000-000088050000}"/>
    <cellStyle name="Accent5 - 20%" xfId="141" xr:uid="{00000000-0005-0000-0000-000089050000}"/>
    <cellStyle name="Accent5 - 20% 10" xfId="42186" xr:uid="{00000000-0005-0000-0000-00008A050000}"/>
    <cellStyle name="Accent5 - 20% 11" xfId="42187" xr:uid="{00000000-0005-0000-0000-00008B050000}"/>
    <cellStyle name="Accent5 - 20% 12" xfId="42188" xr:uid="{00000000-0005-0000-0000-00008C050000}"/>
    <cellStyle name="Accent5 - 20% 13" xfId="42189" xr:uid="{00000000-0005-0000-0000-00008D050000}"/>
    <cellStyle name="Accent5 - 20% 14" xfId="42190" xr:uid="{00000000-0005-0000-0000-00008E050000}"/>
    <cellStyle name="Accent5 - 20% 2" xfId="42191" xr:uid="{00000000-0005-0000-0000-00008F050000}"/>
    <cellStyle name="Accent5 - 20% 3" xfId="42192" xr:uid="{00000000-0005-0000-0000-000090050000}"/>
    <cellStyle name="Accent5 - 20% 4" xfId="42193" xr:uid="{00000000-0005-0000-0000-000091050000}"/>
    <cellStyle name="Accent5 - 20% 5" xfId="42194" xr:uid="{00000000-0005-0000-0000-000092050000}"/>
    <cellStyle name="Accent5 - 20% 6" xfId="42195" xr:uid="{00000000-0005-0000-0000-000093050000}"/>
    <cellStyle name="Accent5 - 20% 7" xfId="42196" xr:uid="{00000000-0005-0000-0000-000094050000}"/>
    <cellStyle name="Accent5 - 20% 8" xfId="42197" xr:uid="{00000000-0005-0000-0000-000095050000}"/>
    <cellStyle name="Accent5 - 20% 9" xfId="42198" xr:uid="{00000000-0005-0000-0000-000096050000}"/>
    <cellStyle name="Accent5 - 40%" xfId="142" xr:uid="{00000000-0005-0000-0000-000097050000}"/>
    <cellStyle name="Accent5 - 40% 10" xfId="42199" xr:uid="{00000000-0005-0000-0000-000098050000}"/>
    <cellStyle name="Accent5 - 40% 11" xfId="42200" xr:uid="{00000000-0005-0000-0000-000099050000}"/>
    <cellStyle name="Accent5 - 40% 12" xfId="42201" xr:uid="{00000000-0005-0000-0000-00009A050000}"/>
    <cellStyle name="Accent5 - 40% 13" xfId="42202" xr:uid="{00000000-0005-0000-0000-00009B050000}"/>
    <cellStyle name="Accent5 - 40% 14" xfId="42203" xr:uid="{00000000-0005-0000-0000-00009C050000}"/>
    <cellStyle name="Accent5 - 40% 2" xfId="42204" xr:uid="{00000000-0005-0000-0000-00009D050000}"/>
    <cellStyle name="Accent5 - 40% 3" xfId="42205" xr:uid="{00000000-0005-0000-0000-00009E050000}"/>
    <cellStyle name="Accent5 - 40% 4" xfId="42206" xr:uid="{00000000-0005-0000-0000-00009F050000}"/>
    <cellStyle name="Accent5 - 40% 5" xfId="42207" xr:uid="{00000000-0005-0000-0000-0000A0050000}"/>
    <cellStyle name="Accent5 - 40% 6" xfId="42208" xr:uid="{00000000-0005-0000-0000-0000A1050000}"/>
    <cellStyle name="Accent5 - 40% 7" xfId="42209" xr:uid="{00000000-0005-0000-0000-0000A2050000}"/>
    <cellStyle name="Accent5 - 40% 8" xfId="42210" xr:uid="{00000000-0005-0000-0000-0000A3050000}"/>
    <cellStyle name="Accent5 - 40% 9" xfId="42211" xr:uid="{00000000-0005-0000-0000-0000A4050000}"/>
    <cellStyle name="Accent5 - 60%" xfId="143" xr:uid="{00000000-0005-0000-0000-0000A5050000}"/>
    <cellStyle name="Accent5 - 60% 10" xfId="42212" xr:uid="{00000000-0005-0000-0000-0000A6050000}"/>
    <cellStyle name="Accent5 - 60% 11" xfId="42213" xr:uid="{00000000-0005-0000-0000-0000A7050000}"/>
    <cellStyle name="Accent5 - 60% 12" xfId="42214" xr:uid="{00000000-0005-0000-0000-0000A8050000}"/>
    <cellStyle name="Accent5 - 60% 13" xfId="42215" xr:uid="{00000000-0005-0000-0000-0000A9050000}"/>
    <cellStyle name="Accent5 - 60% 14" xfId="42216" xr:uid="{00000000-0005-0000-0000-0000AA050000}"/>
    <cellStyle name="Accent5 - 60% 2" xfId="42217" xr:uid="{00000000-0005-0000-0000-0000AB050000}"/>
    <cellStyle name="Accent5 - 60% 3" xfId="42218" xr:uid="{00000000-0005-0000-0000-0000AC050000}"/>
    <cellStyle name="Accent5 - 60% 4" xfId="42219" xr:uid="{00000000-0005-0000-0000-0000AD050000}"/>
    <cellStyle name="Accent5 - 60% 5" xfId="42220" xr:uid="{00000000-0005-0000-0000-0000AE050000}"/>
    <cellStyle name="Accent5 - 60% 6" xfId="42221" xr:uid="{00000000-0005-0000-0000-0000AF050000}"/>
    <cellStyle name="Accent5 - 60% 7" xfId="42222" xr:uid="{00000000-0005-0000-0000-0000B0050000}"/>
    <cellStyle name="Accent5 - 60% 8" xfId="42223" xr:uid="{00000000-0005-0000-0000-0000B1050000}"/>
    <cellStyle name="Accent5 - 60% 9" xfId="42224" xr:uid="{00000000-0005-0000-0000-0000B2050000}"/>
    <cellStyle name="Accent5 10" xfId="42225" xr:uid="{00000000-0005-0000-0000-0000B3050000}"/>
    <cellStyle name="Accent5 11" xfId="42226" xr:uid="{00000000-0005-0000-0000-0000B4050000}"/>
    <cellStyle name="Accent5 12" xfId="42227" xr:uid="{00000000-0005-0000-0000-0000B5050000}"/>
    <cellStyle name="Accent5 13" xfId="42228" xr:uid="{00000000-0005-0000-0000-0000B6050000}"/>
    <cellStyle name="Accent5 14" xfId="42229" xr:uid="{00000000-0005-0000-0000-0000B7050000}"/>
    <cellStyle name="Accent5 15" xfId="42230" xr:uid="{00000000-0005-0000-0000-0000B8050000}"/>
    <cellStyle name="Accent5 16" xfId="42231" xr:uid="{00000000-0005-0000-0000-0000B9050000}"/>
    <cellStyle name="Accent5 17" xfId="42232" xr:uid="{00000000-0005-0000-0000-0000BA050000}"/>
    <cellStyle name="Accent5 18" xfId="42233" xr:uid="{00000000-0005-0000-0000-0000BB050000}"/>
    <cellStyle name="Accent5 19" xfId="42234" xr:uid="{00000000-0005-0000-0000-0000BC050000}"/>
    <cellStyle name="Accent5 2" xfId="46" xr:uid="{00000000-0005-0000-0000-0000BD050000}"/>
    <cellStyle name="Accent5 2 2" xfId="42235" xr:uid="{00000000-0005-0000-0000-0000BE050000}"/>
    <cellStyle name="Accent5 20" xfId="42236" xr:uid="{00000000-0005-0000-0000-0000BF050000}"/>
    <cellStyle name="Accent5 21" xfId="42237" xr:uid="{00000000-0005-0000-0000-0000C0050000}"/>
    <cellStyle name="Accent5 22" xfId="42238" xr:uid="{00000000-0005-0000-0000-0000C1050000}"/>
    <cellStyle name="Accent5 23" xfId="42239" xr:uid="{00000000-0005-0000-0000-0000C2050000}"/>
    <cellStyle name="Accent5 24" xfId="42240" xr:uid="{00000000-0005-0000-0000-0000C3050000}"/>
    <cellStyle name="Accent5 25" xfId="42241" xr:uid="{00000000-0005-0000-0000-0000C4050000}"/>
    <cellStyle name="Accent5 26" xfId="42242" xr:uid="{00000000-0005-0000-0000-0000C5050000}"/>
    <cellStyle name="Accent5 27" xfId="42243" xr:uid="{00000000-0005-0000-0000-0000C6050000}"/>
    <cellStyle name="Accent5 28" xfId="42244" xr:uid="{00000000-0005-0000-0000-0000C7050000}"/>
    <cellStyle name="Accent5 29" xfId="42245" xr:uid="{00000000-0005-0000-0000-0000C8050000}"/>
    <cellStyle name="Accent5 3" xfId="42246" xr:uid="{00000000-0005-0000-0000-0000C9050000}"/>
    <cellStyle name="Accent5 3 2" xfId="42247" xr:uid="{00000000-0005-0000-0000-0000CA050000}"/>
    <cellStyle name="Accent5 30" xfId="42248" xr:uid="{00000000-0005-0000-0000-0000CB050000}"/>
    <cellStyle name="Accent5 31" xfId="42249" xr:uid="{00000000-0005-0000-0000-0000CC050000}"/>
    <cellStyle name="Accent5 4" xfId="42250" xr:uid="{00000000-0005-0000-0000-0000CD050000}"/>
    <cellStyle name="Accent5 4 2" xfId="42251" xr:uid="{00000000-0005-0000-0000-0000CE050000}"/>
    <cellStyle name="Accent5 5" xfId="42252" xr:uid="{00000000-0005-0000-0000-0000CF050000}"/>
    <cellStyle name="Accent5 6" xfId="42253" xr:uid="{00000000-0005-0000-0000-0000D0050000}"/>
    <cellStyle name="Accent5 7" xfId="42254" xr:uid="{00000000-0005-0000-0000-0000D1050000}"/>
    <cellStyle name="Accent5 8" xfId="42255" xr:uid="{00000000-0005-0000-0000-0000D2050000}"/>
    <cellStyle name="Accent5 9" xfId="42256" xr:uid="{00000000-0005-0000-0000-0000D3050000}"/>
    <cellStyle name="Accent6 - 20%" xfId="144" xr:uid="{00000000-0005-0000-0000-0000D4050000}"/>
    <cellStyle name="Accent6 - 20% 10" xfId="42257" xr:uid="{00000000-0005-0000-0000-0000D5050000}"/>
    <cellStyle name="Accent6 - 20% 11" xfId="42258" xr:uid="{00000000-0005-0000-0000-0000D6050000}"/>
    <cellStyle name="Accent6 - 20% 12" xfId="42259" xr:uid="{00000000-0005-0000-0000-0000D7050000}"/>
    <cellStyle name="Accent6 - 20% 13" xfId="42260" xr:uid="{00000000-0005-0000-0000-0000D8050000}"/>
    <cellStyle name="Accent6 - 20% 14" xfId="42261" xr:uid="{00000000-0005-0000-0000-0000D9050000}"/>
    <cellStyle name="Accent6 - 20% 2" xfId="42262" xr:uid="{00000000-0005-0000-0000-0000DA050000}"/>
    <cellStyle name="Accent6 - 20% 3" xfId="42263" xr:uid="{00000000-0005-0000-0000-0000DB050000}"/>
    <cellStyle name="Accent6 - 20% 4" xfId="42264" xr:uid="{00000000-0005-0000-0000-0000DC050000}"/>
    <cellStyle name="Accent6 - 20% 5" xfId="42265" xr:uid="{00000000-0005-0000-0000-0000DD050000}"/>
    <cellStyle name="Accent6 - 20% 6" xfId="42266" xr:uid="{00000000-0005-0000-0000-0000DE050000}"/>
    <cellStyle name="Accent6 - 20% 7" xfId="42267" xr:uid="{00000000-0005-0000-0000-0000DF050000}"/>
    <cellStyle name="Accent6 - 20% 8" xfId="42268" xr:uid="{00000000-0005-0000-0000-0000E0050000}"/>
    <cellStyle name="Accent6 - 20% 9" xfId="42269" xr:uid="{00000000-0005-0000-0000-0000E1050000}"/>
    <cellStyle name="Accent6 - 40%" xfId="145" xr:uid="{00000000-0005-0000-0000-0000E2050000}"/>
    <cellStyle name="Accent6 - 40% 10" xfId="42270" xr:uid="{00000000-0005-0000-0000-0000E3050000}"/>
    <cellStyle name="Accent6 - 40% 11" xfId="42271" xr:uid="{00000000-0005-0000-0000-0000E4050000}"/>
    <cellStyle name="Accent6 - 40% 12" xfId="42272" xr:uid="{00000000-0005-0000-0000-0000E5050000}"/>
    <cellStyle name="Accent6 - 40% 13" xfId="42273" xr:uid="{00000000-0005-0000-0000-0000E6050000}"/>
    <cellStyle name="Accent6 - 40% 14" xfId="42274" xr:uid="{00000000-0005-0000-0000-0000E7050000}"/>
    <cellStyle name="Accent6 - 40% 2" xfId="42275" xr:uid="{00000000-0005-0000-0000-0000E8050000}"/>
    <cellStyle name="Accent6 - 40% 3" xfId="42276" xr:uid="{00000000-0005-0000-0000-0000E9050000}"/>
    <cellStyle name="Accent6 - 40% 4" xfId="42277" xr:uid="{00000000-0005-0000-0000-0000EA050000}"/>
    <cellStyle name="Accent6 - 40% 5" xfId="42278" xr:uid="{00000000-0005-0000-0000-0000EB050000}"/>
    <cellStyle name="Accent6 - 40% 6" xfId="42279" xr:uid="{00000000-0005-0000-0000-0000EC050000}"/>
    <cellStyle name="Accent6 - 40% 7" xfId="42280" xr:uid="{00000000-0005-0000-0000-0000ED050000}"/>
    <cellStyle name="Accent6 - 40% 8" xfId="42281" xr:uid="{00000000-0005-0000-0000-0000EE050000}"/>
    <cellStyle name="Accent6 - 40% 9" xfId="42282" xr:uid="{00000000-0005-0000-0000-0000EF050000}"/>
    <cellStyle name="Accent6 - 60%" xfId="146" xr:uid="{00000000-0005-0000-0000-0000F0050000}"/>
    <cellStyle name="Accent6 - 60% 10" xfId="42283" xr:uid="{00000000-0005-0000-0000-0000F1050000}"/>
    <cellStyle name="Accent6 - 60% 11" xfId="42284" xr:uid="{00000000-0005-0000-0000-0000F2050000}"/>
    <cellStyle name="Accent6 - 60% 12" xfId="42285" xr:uid="{00000000-0005-0000-0000-0000F3050000}"/>
    <cellStyle name="Accent6 - 60% 13" xfId="42286" xr:uid="{00000000-0005-0000-0000-0000F4050000}"/>
    <cellStyle name="Accent6 - 60% 14" xfId="42287" xr:uid="{00000000-0005-0000-0000-0000F5050000}"/>
    <cellStyle name="Accent6 - 60% 2" xfId="42288" xr:uid="{00000000-0005-0000-0000-0000F6050000}"/>
    <cellStyle name="Accent6 - 60% 3" xfId="42289" xr:uid="{00000000-0005-0000-0000-0000F7050000}"/>
    <cellStyle name="Accent6 - 60% 4" xfId="42290" xr:uid="{00000000-0005-0000-0000-0000F8050000}"/>
    <cellStyle name="Accent6 - 60% 5" xfId="42291" xr:uid="{00000000-0005-0000-0000-0000F9050000}"/>
    <cellStyle name="Accent6 - 60% 6" xfId="42292" xr:uid="{00000000-0005-0000-0000-0000FA050000}"/>
    <cellStyle name="Accent6 - 60% 7" xfId="42293" xr:uid="{00000000-0005-0000-0000-0000FB050000}"/>
    <cellStyle name="Accent6 - 60% 8" xfId="42294" xr:uid="{00000000-0005-0000-0000-0000FC050000}"/>
    <cellStyle name="Accent6 - 60% 9" xfId="42295" xr:uid="{00000000-0005-0000-0000-0000FD050000}"/>
    <cellStyle name="Accent6 10" xfId="42296" xr:uid="{00000000-0005-0000-0000-0000FE050000}"/>
    <cellStyle name="Accent6 11" xfId="42297" xr:uid="{00000000-0005-0000-0000-0000FF050000}"/>
    <cellStyle name="Accent6 12" xfId="42298" xr:uid="{00000000-0005-0000-0000-000000060000}"/>
    <cellStyle name="Accent6 13" xfId="42299" xr:uid="{00000000-0005-0000-0000-000001060000}"/>
    <cellStyle name="Accent6 14" xfId="42300" xr:uid="{00000000-0005-0000-0000-000002060000}"/>
    <cellStyle name="Accent6 15" xfId="42301" xr:uid="{00000000-0005-0000-0000-000003060000}"/>
    <cellStyle name="Accent6 16" xfId="42302" xr:uid="{00000000-0005-0000-0000-000004060000}"/>
    <cellStyle name="Accent6 17" xfId="42303" xr:uid="{00000000-0005-0000-0000-000005060000}"/>
    <cellStyle name="Accent6 18" xfId="42304" xr:uid="{00000000-0005-0000-0000-000006060000}"/>
    <cellStyle name="Accent6 19" xfId="42305" xr:uid="{00000000-0005-0000-0000-000007060000}"/>
    <cellStyle name="Accent6 2" xfId="47" xr:uid="{00000000-0005-0000-0000-000008060000}"/>
    <cellStyle name="Accent6 2 2" xfId="42306" xr:uid="{00000000-0005-0000-0000-000009060000}"/>
    <cellStyle name="Accent6 20" xfId="42307" xr:uid="{00000000-0005-0000-0000-00000A060000}"/>
    <cellStyle name="Accent6 21" xfId="42308" xr:uid="{00000000-0005-0000-0000-00000B060000}"/>
    <cellStyle name="Accent6 22" xfId="42309" xr:uid="{00000000-0005-0000-0000-00000C060000}"/>
    <cellStyle name="Accent6 23" xfId="42310" xr:uid="{00000000-0005-0000-0000-00000D060000}"/>
    <cellStyle name="Accent6 24" xfId="42311" xr:uid="{00000000-0005-0000-0000-00000E060000}"/>
    <cellStyle name="Accent6 25" xfId="42312" xr:uid="{00000000-0005-0000-0000-00000F060000}"/>
    <cellStyle name="Accent6 26" xfId="42313" xr:uid="{00000000-0005-0000-0000-000010060000}"/>
    <cellStyle name="Accent6 27" xfId="42314" xr:uid="{00000000-0005-0000-0000-000011060000}"/>
    <cellStyle name="Accent6 28" xfId="42315" xr:uid="{00000000-0005-0000-0000-000012060000}"/>
    <cellStyle name="Accent6 29" xfId="42316" xr:uid="{00000000-0005-0000-0000-000013060000}"/>
    <cellStyle name="Accent6 3" xfId="42317" xr:uid="{00000000-0005-0000-0000-000014060000}"/>
    <cellStyle name="Accent6 3 2" xfId="42318" xr:uid="{00000000-0005-0000-0000-000015060000}"/>
    <cellStyle name="Accent6 30" xfId="42319" xr:uid="{00000000-0005-0000-0000-000016060000}"/>
    <cellStyle name="Accent6 4" xfId="42320" xr:uid="{00000000-0005-0000-0000-000017060000}"/>
    <cellStyle name="Accent6 4 2" xfId="42321" xr:uid="{00000000-0005-0000-0000-000018060000}"/>
    <cellStyle name="Accent6 5" xfId="42322" xr:uid="{00000000-0005-0000-0000-000019060000}"/>
    <cellStyle name="Accent6 6" xfId="42323" xr:uid="{00000000-0005-0000-0000-00001A060000}"/>
    <cellStyle name="Accent6 7" xfId="42324" xr:uid="{00000000-0005-0000-0000-00001B060000}"/>
    <cellStyle name="Accent6 8" xfId="42325" xr:uid="{00000000-0005-0000-0000-00001C060000}"/>
    <cellStyle name="Accent6 9" xfId="42326" xr:uid="{00000000-0005-0000-0000-00001D060000}"/>
    <cellStyle name="Arial 11" xfId="147" xr:uid="{00000000-0005-0000-0000-00001E060000}"/>
    <cellStyle name="Arial 11 10" xfId="42327" xr:uid="{00000000-0005-0000-0000-00001F060000}"/>
    <cellStyle name="Arial 11 11" xfId="42328" xr:uid="{00000000-0005-0000-0000-000020060000}"/>
    <cellStyle name="Arial 11 12" xfId="42329" xr:uid="{00000000-0005-0000-0000-000021060000}"/>
    <cellStyle name="Arial 11 13" xfId="42330" xr:uid="{00000000-0005-0000-0000-000022060000}"/>
    <cellStyle name="Arial 11 14" xfId="42331" xr:uid="{00000000-0005-0000-0000-000023060000}"/>
    <cellStyle name="Arial 11 15" xfId="42332" xr:uid="{00000000-0005-0000-0000-000024060000}"/>
    <cellStyle name="Arial 11 16" xfId="42333" xr:uid="{00000000-0005-0000-0000-000025060000}"/>
    <cellStyle name="Arial 11 17" xfId="42334" xr:uid="{00000000-0005-0000-0000-000026060000}"/>
    <cellStyle name="Arial 11 18" xfId="42335" xr:uid="{00000000-0005-0000-0000-000027060000}"/>
    <cellStyle name="Arial 11 19" xfId="42336" xr:uid="{00000000-0005-0000-0000-000028060000}"/>
    <cellStyle name="Arial 11 2" xfId="42337" xr:uid="{00000000-0005-0000-0000-000029060000}"/>
    <cellStyle name="Arial 11 20" xfId="42338" xr:uid="{00000000-0005-0000-0000-00002A060000}"/>
    <cellStyle name="Arial 11 21" xfId="42339" xr:uid="{00000000-0005-0000-0000-00002B060000}"/>
    <cellStyle name="Arial 11 22" xfId="42340" xr:uid="{00000000-0005-0000-0000-00002C060000}"/>
    <cellStyle name="Arial 11 3" xfId="42341" xr:uid="{00000000-0005-0000-0000-00002D060000}"/>
    <cellStyle name="Arial 11 4" xfId="42342" xr:uid="{00000000-0005-0000-0000-00002E060000}"/>
    <cellStyle name="Arial 11 5" xfId="42343" xr:uid="{00000000-0005-0000-0000-00002F060000}"/>
    <cellStyle name="Arial 11 6" xfId="42344" xr:uid="{00000000-0005-0000-0000-000030060000}"/>
    <cellStyle name="Arial 11 7" xfId="42345" xr:uid="{00000000-0005-0000-0000-000031060000}"/>
    <cellStyle name="Arial 11 8" xfId="42346" xr:uid="{00000000-0005-0000-0000-000032060000}"/>
    <cellStyle name="Arial 11 9" xfId="42347" xr:uid="{00000000-0005-0000-0000-000033060000}"/>
    <cellStyle name="Bad" xfId="5" builtinId="27"/>
    <cellStyle name="Bad 10" xfId="42348" xr:uid="{00000000-0005-0000-0000-000035060000}"/>
    <cellStyle name="Bad 11" xfId="42349" xr:uid="{00000000-0005-0000-0000-000036060000}"/>
    <cellStyle name="Bad 12" xfId="42350" xr:uid="{00000000-0005-0000-0000-000037060000}"/>
    <cellStyle name="Bad 13" xfId="42351" xr:uid="{00000000-0005-0000-0000-000038060000}"/>
    <cellStyle name="Bad 14" xfId="42352" xr:uid="{00000000-0005-0000-0000-000039060000}"/>
    <cellStyle name="Bad 15" xfId="42353" xr:uid="{00000000-0005-0000-0000-00003A060000}"/>
    <cellStyle name="Bad 16" xfId="42354" xr:uid="{00000000-0005-0000-0000-00003B060000}"/>
    <cellStyle name="Bad 17" xfId="42355" xr:uid="{00000000-0005-0000-0000-00003C060000}"/>
    <cellStyle name="Bad 18" xfId="42356" xr:uid="{00000000-0005-0000-0000-00003D060000}"/>
    <cellStyle name="Bad 19" xfId="42357" xr:uid="{00000000-0005-0000-0000-00003E060000}"/>
    <cellStyle name="Bad 2" xfId="48" xr:uid="{00000000-0005-0000-0000-00003F060000}"/>
    <cellStyle name="Bad 2 2" xfId="40715" xr:uid="{00000000-0005-0000-0000-000040060000}"/>
    <cellStyle name="Bad 2 3" xfId="40716" xr:uid="{00000000-0005-0000-0000-000041060000}"/>
    <cellStyle name="Bad 20" xfId="42358" xr:uid="{00000000-0005-0000-0000-000042060000}"/>
    <cellStyle name="Bad 21" xfId="42359" xr:uid="{00000000-0005-0000-0000-000043060000}"/>
    <cellStyle name="Bad 22" xfId="42360" xr:uid="{00000000-0005-0000-0000-000044060000}"/>
    <cellStyle name="Bad 23" xfId="42361" xr:uid="{00000000-0005-0000-0000-000045060000}"/>
    <cellStyle name="Bad 3" xfId="40717" xr:uid="{00000000-0005-0000-0000-000046060000}"/>
    <cellStyle name="Bad 4" xfId="42362" xr:uid="{00000000-0005-0000-0000-000047060000}"/>
    <cellStyle name="Bad 5" xfId="42363" xr:uid="{00000000-0005-0000-0000-000048060000}"/>
    <cellStyle name="Bad 6" xfId="42364" xr:uid="{00000000-0005-0000-0000-000049060000}"/>
    <cellStyle name="Bad 7" xfId="42365" xr:uid="{00000000-0005-0000-0000-00004A060000}"/>
    <cellStyle name="Bad 8" xfId="42366" xr:uid="{00000000-0005-0000-0000-00004B060000}"/>
    <cellStyle name="Bad 9" xfId="42367" xr:uid="{00000000-0005-0000-0000-00004C060000}"/>
    <cellStyle name="biu" xfId="148" xr:uid="{00000000-0005-0000-0000-00004D060000}"/>
    <cellStyle name="Body: normal cell" xfId="18" xr:uid="{00000000-0005-0000-0000-00004E060000}"/>
    <cellStyle name="Calculation" xfId="6" builtinId="22"/>
    <cellStyle name="Calculation 10" xfId="42368" xr:uid="{00000000-0005-0000-0000-000050060000}"/>
    <cellStyle name="Calculation 11" xfId="42369" xr:uid="{00000000-0005-0000-0000-000051060000}"/>
    <cellStyle name="Calculation 12" xfId="42370" xr:uid="{00000000-0005-0000-0000-000052060000}"/>
    <cellStyle name="Calculation 13" xfId="42371" xr:uid="{00000000-0005-0000-0000-000053060000}"/>
    <cellStyle name="Calculation 14" xfId="42372" xr:uid="{00000000-0005-0000-0000-000054060000}"/>
    <cellStyle name="Calculation 15" xfId="42373" xr:uid="{00000000-0005-0000-0000-000055060000}"/>
    <cellStyle name="Calculation 16" xfId="42374" xr:uid="{00000000-0005-0000-0000-000056060000}"/>
    <cellStyle name="Calculation 17" xfId="42375" xr:uid="{00000000-0005-0000-0000-000057060000}"/>
    <cellStyle name="Calculation 18" xfId="42376" xr:uid="{00000000-0005-0000-0000-000058060000}"/>
    <cellStyle name="Calculation 19" xfId="42377" xr:uid="{00000000-0005-0000-0000-000059060000}"/>
    <cellStyle name="Calculation 2" xfId="49" xr:uid="{00000000-0005-0000-0000-00005A060000}"/>
    <cellStyle name="Calculation 2 2" xfId="42378" xr:uid="{00000000-0005-0000-0000-00005B060000}"/>
    <cellStyle name="Calculation 20" xfId="42379" xr:uid="{00000000-0005-0000-0000-00005C060000}"/>
    <cellStyle name="Calculation 21" xfId="42380" xr:uid="{00000000-0005-0000-0000-00005D060000}"/>
    <cellStyle name="Calculation 22" xfId="42381" xr:uid="{00000000-0005-0000-0000-00005E060000}"/>
    <cellStyle name="Calculation 23" xfId="42382" xr:uid="{00000000-0005-0000-0000-00005F060000}"/>
    <cellStyle name="Calculation 3" xfId="42383" xr:uid="{00000000-0005-0000-0000-000060060000}"/>
    <cellStyle name="Calculation 4" xfId="42384" xr:uid="{00000000-0005-0000-0000-000061060000}"/>
    <cellStyle name="Calculation 5" xfId="42385" xr:uid="{00000000-0005-0000-0000-000062060000}"/>
    <cellStyle name="Calculation 6" xfId="42386" xr:uid="{00000000-0005-0000-0000-000063060000}"/>
    <cellStyle name="Calculation 7" xfId="42387" xr:uid="{00000000-0005-0000-0000-000064060000}"/>
    <cellStyle name="Calculation 8" xfId="42388" xr:uid="{00000000-0005-0000-0000-000065060000}"/>
    <cellStyle name="Calculation 9" xfId="42389" xr:uid="{00000000-0005-0000-0000-000066060000}"/>
    <cellStyle name="Check Cell 10" xfId="42390" xr:uid="{00000000-0005-0000-0000-000067060000}"/>
    <cellStyle name="Check Cell 11" xfId="42391" xr:uid="{00000000-0005-0000-0000-000068060000}"/>
    <cellStyle name="Check Cell 12" xfId="42392" xr:uid="{00000000-0005-0000-0000-000069060000}"/>
    <cellStyle name="Check Cell 13" xfId="42393" xr:uid="{00000000-0005-0000-0000-00006A060000}"/>
    <cellStyle name="Check Cell 14" xfId="42394" xr:uid="{00000000-0005-0000-0000-00006B060000}"/>
    <cellStyle name="Check Cell 15" xfId="42395" xr:uid="{00000000-0005-0000-0000-00006C060000}"/>
    <cellStyle name="Check Cell 16" xfId="42396" xr:uid="{00000000-0005-0000-0000-00006D060000}"/>
    <cellStyle name="Check Cell 17" xfId="42397" xr:uid="{00000000-0005-0000-0000-00006E060000}"/>
    <cellStyle name="Check Cell 18" xfId="42398" xr:uid="{00000000-0005-0000-0000-00006F060000}"/>
    <cellStyle name="Check Cell 19" xfId="42399" xr:uid="{00000000-0005-0000-0000-000070060000}"/>
    <cellStyle name="Check Cell 2" xfId="50" xr:uid="{00000000-0005-0000-0000-000071060000}"/>
    <cellStyle name="Check Cell 2 2" xfId="42400" xr:uid="{00000000-0005-0000-0000-000072060000}"/>
    <cellStyle name="Check Cell 20" xfId="42401" xr:uid="{00000000-0005-0000-0000-000073060000}"/>
    <cellStyle name="Check Cell 21" xfId="42402" xr:uid="{00000000-0005-0000-0000-000074060000}"/>
    <cellStyle name="Check Cell 22" xfId="42403" xr:uid="{00000000-0005-0000-0000-000075060000}"/>
    <cellStyle name="Check Cell 23" xfId="42404" xr:uid="{00000000-0005-0000-0000-000076060000}"/>
    <cellStyle name="Check Cell 3" xfId="42405" xr:uid="{00000000-0005-0000-0000-000077060000}"/>
    <cellStyle name="Check Cell 4" xfId="42406" xr:uid="{00000000-0005-0000-0000-000078060000}"/>
    <cellStyle name="Check Cell 5" xfId="42407" xr:uid="{00000000-0005-0000-0000-000079060000}"/>
    <cellStyle name="Check Cell 6" xfId="42408" xr:uid="{00000000-0005-0000-0000-00007A060000}"/>
    <cellStyle name="Check Cell 7" xfId="42409" xr:uid="{00000000-0005-0000-0000-00007B060000}"/>
    <cellStyle name="Check Cell 8" xfId="42410" xr:uid="{00000000-0005-0000-0000-00007C060000}"/>
    <cellStyle name="Check Cell 9" xfId="42411" xr:uid="{00000000-0005-0000-0000-00007D060000}"/>
    <cellStyle name="Column heading" xfId="51" xr:uid="{00000000-0005-0000-0000-00007E060000}"/>
    <cellStyle name="Comma" xfId="2" builtinId="3"/>
    <cellStyle name="Comma 10" xfId="42412" xr:uid="{00000000-0005-0000-0000-000080060000}"/>
    <cellStyle name="Comma 11" xfId="42413" xr:uid="{00000000-0005-0000-0000-000081060000}"/>
    <cellStyle name="Comma 11 2" xfId="42414" xr:uid="{00000000-0005-0000-0000-000082060000}"/>
    <cellStyle name="Comma 11 2 2" xfId="42415" xr:uid="{00000000-0005-0000-0000-000083060000}"/>
    <cellStyle name="Comma 11 2 3" xfId="42416" xr:uid="{00000000-0005-0000-0000-000084060000}"/>
    <cellStyle name="Comma 11 3" xfId="42417" xr:uid="{00000000-0005-0000-0000-000085060000}"/>
    <cellStyle name="Comma 11 3 2" xfId="42418" xr:uid="{00000000-0005-0000-0000-000086060000}"/>
    <cellStyle name="Comma 11 3 3" xfId="42419" xr:uid="{00000000-0005-0000-0000-000087060000}"/>
    <cellStyle name="Comma 11 4" xfId="42420" xr:uid="{00000000-0005-0000-0000-000088060000}"/>
    <cellStyle name="Comma 11 5" xfId="42421" xr:uid="{00000000-0005-0000-0000-000089060000}"/>
    <cellStyle name="Comma 12" xfId="42422" xr:uid="{00000000-0005-0000-0000-00008A060000}"/>
    <cellStyle name="Comma 12 2" xfId="42423" xr:uid="{00000000-0005-0000-0000-00008B060000}"/>
    <cellStyle name="Comma 12 2 2" xfId="42424" xr:uid="{00000000-0005-0000-0000-00008C060000}"/>
    <cellStyle name="Comma 12 2 3" xfId="42425" xr:uid="{00000000-0005-0000-0000-00008D060000}"/>
    <cellStyle name="Comma 12 3" xfId="42426" xr:uid="{00000000-0005-0000-0000-00008E060000}"/>
    <cellStyle name="Comma 12 3 2" xfId="42427" xr:uid="{00000000-0005-0000-0000-00008F060000}"/>
    <cellStyle name="Comma 12 3 3" xfId="42428" xr:uid="{00000000-0005-0000-0000-000090060000}"/>
    <cellStyle name="Comma 12 4" xfId="42429" xr:uid="{00000000-0005-0000-0000-000091060000}"/>
    <cellStyle name="Comma 12 5" xfId="42430" xr:uid="{00000000-0005-0000-0000-000092060000}"/>
    <cellStyle name="Comma 13" xfId="42431" xr:uid="{00000000-0005-0000-0000-000093060000}"/>
    <cellStyle name="Comma 14" xfId="42432" xr:uid="{00000000-0005-0000-0000-000094060000}"/>
    <cellStyle name="Comma 15" xfId="42433" xr:uid="{00000000-0005-0000-0000-000095060000}"/>
    <cellStyle name="Comma 16" xfId="42434" xr:uid="{00000000-0005-0000-0000-000096060000}"/>
    <cellStyle name="Comma 17" xfId="42435" xr:uid="{00000000-0005-0000-0000-000097060000}"/>
    <cellStyle name="Comma 18" xfId="42436" xr:uid="{00000000-0005-0000-0000-000098060000}"/>
    <cellStyle name="Comma 2" xfId="52" xr:uid="{00000000-0005-0000-0000-000099060000}"/>
    <cellStyle name="Comma 2 2" xfId="149" xr:uid="{00000000-0005-0000-0000-00009A060000}"/>
    <cellStyle name="Comma 2 3" xfId="42437" xr:uid="{00000000-0005-0000-0000-00009B060000}"/>
    <cellStyle name="Comma 2 4" xfId="43850" xr:uid="{00000000-0005-0000-0000-00009C060000}"/>
    <cellStyle name="Comma 3" xfId="53" xr:uid="{00000000-0005-0000-0000-00009D060000}"/>
    <cellStyle name="Comma 3 2" xfId="213" xr:uid="{00000000-0005-0000-0000-00009E060000}"/>
    <cellStyle name="Comma 3 2 2" xfId="42438" xr:uid="{00000000-0005-0000-0000-00009F060000}"/>
    <cellStyle name="Comma 3 2 2 2" xfId="42439" xr:uid="{00000000-0005-0000-0000-0000A0060000}"/>
    <cellStyle name="Comma 3 2 2 2 2" xfId="42440" xr:uid="{00000000-0005-0000-0000-0000A1060000}"/>
    <cellStyle name="Comma 3 2 2 2 2 2" xfId="42441" xr:uid="{00000000-0005-0000-0000-0000A2060000}"/>
    <cellStyle name="Comma 3 2 2 2 2 3" xfId="42442" xr:uid="{00000000-0005-0000-0000-0000A3060000}"/>
    <cellStyle name="Comma 3 2 2 2 3" xfId="42443" xr:uid="{00000000-0005-0000-0000-0000A4060000}"/>
    <cellStyle name="Comma 3 2 2 2 3 2" xfId="42444" xr:uid="{00000000-0005-0000-0000-0000A5060000}"/>
    <cellStyle name="Comma 3 2 2 2 3 3" xfId="42445" xr:uid="{00000000-0005-0000-0000-0000A6060000}"/>
    <cellStyle name="Comma 3 2 2 2 4" xfId="42446" xr:uid="{00000000-0005-0000-0000-0000A7060000}"/>
    <cellStyle name="Comma 3 2 2 2 5" xfId="42447" xr:uid="{00000000-0005-0000-0000-0000A8060000}"/>
    <cellStyle name="Comma 3 2 2 3" xfId="42448" xr:uid="{00000000-0005-0000-0000-0000A9060000}"/>
    <cellStyle name="Comma 3 2 2 3 2" xfId="42449" xr:uid="{00000000-0005-0000-0000-0000AA060000}"/>
    <cellStyle name="Comma 3 2 2 3 3" xfId="42450" xr:uid="{00000000-0005-0000-0000-0000AB060000}"/>
    <cellStyle name="Comma 3 2 2 4" xfId="42451" xr:uid="{00000000-0005-0000-0000-0000AC060000}"/>
    <cellStyle name="Comma 3 2 2 4 2" xfId="42452" xr:uid="{00000000-0005-0000-0000-0000AD060000}"/>
    <cellStyle name="Comma 3 2 2 4 3" xfId="42453" xr:uid="{00000000-0005-0000-0000-0000AE060000}"/>
    <cellStyle name="Comma 3 2 2 5" xfId="42454" xr:uid="{00000000-0005-0000-0000-0000AF060000}"/>
    <cellStyle name="Comma 3 2 2 6" xfId="42455" xr:uid="{00000000-0005-0000-0000-0000B0060000}"/>
    <cellStyle name="Comma 3 2 3" xfId="42456" xr:uid="{00000000-0005-0000-0000-0000B1060000}"/>
    <cellStyle name="Comma 3 2 3 2" xfId="42457" xr:uid="{00000000-0005-0000-0000-0000B2060000}"/>
    <cellStyle name="Comma 3 2 3 2 2" xfId="42458" xr:uid="{00000000-0005-0000-0000-0000B3060000}"/>
    <cellStyle name="Comma 3 2 3 2 3" xfId="42459" xr:uid="{00000000-0005-0000-0000-0000B4060000}"/>
    <cellStyle name="Comma 3 2 3 3" xfId="42460" xr:uid="{00000000-0005-0000-0000-0000B5060000}"/>
    <cellStyle name="Comma 3 2 3 3 2" xfId="42461" xr:uid="{00000000-0005-0000-0000-0000B6060000}"/>
    <cellStyle name="Comma 3 2 3 3 3" xfId="42462" xr:uid="{00000000-0005-0000-0000-0000B7060000}"/>
    <cellStyle name="Comma 3 2 3 4" xfId="42463" xr:uid="{00000000-0005-0000-0000-0000B8060000}"/>
    <cellStyle name="Comma 3 2 3 5" xfId="42464" xr:uid="{00000000-0005-0000-0000-0000B9060000}"/>
    <cellStyle name="Comma 3 2 4" xfId="42465" xr:uid="{00000000-0005-0000-0000-0000BA060000}"/>
    <cellStyle name="Comma 3 2 4 2" xfId="42466" xr:uid="{00000000-0005-0000-0000-0000BB060000}"/>
    <cellStyle name="Comma 3 2 4 3" xfId="42467" xr:uid="{00000000-0005-0000-0000-0000BC060000}"/>
    <cellStyle name="Comma 3 2 5" xfId="42468" xr:uid="{00000000-0005-0000-0000-0000BD060000}"/>
    <cellStyle name="Comma 3 2 5 2" xfId="42469" xr:uid="{00000000-0005-0000-0000-0000BE060000}"/>
    <cellStyle name="Comma 3 2 5 3" xfId="42470" xr:uid="{00000000-0005-0000-0000-0000BF060000}"/>
    <cellStyle name="Comma 3 2 6" xfId="42471" xr:uid="{00000000-0005-0000-0000-0000C0060000}"/>
    <cellStyle name="Comma 3 2 7" xfId="42472" xr:uid="{00000000-0005-0000-0000-0000C1060000}"/>
    <cellStyle name="Comma 4" xfId="150" xr:uid="{00000000-0005-0000-0000-0000C2060000}"/>
    <cellStyle name="Comma 5" xfId="21" xr:uid="{00000000-0005-0000-0000-0000C3060000}"/>
    <cellStyle name="Comma 5 2" xfId="151" xr:uid="{00000000-0005-0000-0000-0000C4060000}"/>
    <cellStyle name="Comma 5 2 2" xfId="42473" xr:uid="{00000000-0005-0000-0000-0000C5060000}"/>
    <cellStyle name="Comma 5 2 2 2" xfId="42474" xr:uid="{00000000-0005-0000-0000-0000C6060000}"/>
    <cellStyle name="Comma 5 2 2 3" xfId="42475" xr:uid="{00000000-0005-0000-0000-0000C7060000}"/>
    <cellStyle name="Comma 5 2 3" xfId="42476" xr:uid="{00000000-0005-0000-0000-0000C8060000}"/>
    <cellStyle name="Comma 5 2 3 2" xfId="42477" xr:uid="{00000000-0005-0000-0000-0000C9060000}"/>
    <cellStyle name="Comma 5 2 3 3" xfId="42478" xr:uid="{00000000-0005-0000-0000-0000CA060000}"/>
    <cellStyle name="Comma 5 2 4" xfId="42479" xr:uid="{00000000-0005-0000-0000-0000CB060000}"/>
    <cellStyle name="Comma 5 2 5" xfId="42480" xr:uid="{00000000-0005-0000-0000-0000CC060000}"/>
    <cellStyle name="Comma 6" xfId="42481" xr:uid="{00000000-0005-0000-0000-0000CD060000}"/>
    <cellStyle name="Comma 7" xfId="42482" xr:uid="{00000000-0005-0000-0000-0000CE060000}"/>
    <cellStyle name="Comma 7 2" xfId="42483" xr:uid="{00000000-0005-0000-0000-0000CF060000}"/>
    <cellStyle name="Comma 7 2 2" xfId="42484" xr:uid="{00000000-0005-0000-0000-0000D0060000}"/>
    <cellStyle name="Comma 7 2 2 2" xfId="42485" xr:uid="{00000000-0005-0000-0000-0000D1060000}"/>
    <cellStyle name="Comma 7 2 2 3" xfId="42486" xr:uid="{00000000-0005-0000-0000-0000D2060000}"/>
    <cellStyle name="Comma 7 2 3" xfId="42487" xr:uid="{00000000-0005-0000-0000-0000D3060000}"/>
    <cellStyle name="Comma 7 2 3 2" xfId="42488" xr:uid="{00000000-0005-0000-0000-0000D4060000}"/>
    <cellStyle name="Comma 7 2 3 3" xfId="42489" xr:uid="{00000000-0005-0000-0000-0000D5060000}"/>
    <cellStyle name="Comma 7 2 4" xfId="42490" xr:uid="{00000000-0005-0000-0000-0000D6060000}"/>
    <cellStyle name="Comma 7 2 5" xfId="42491" xr:uid="{00000000-0005-0000-0000-0000D7060000}"/>
    <cellStyle name="Comma 7 3" xfId="42492" xr:uid="{00000000-0005-0000-0000-0000D8060000}"/>
    <cellStyle name="Comma 8" xfId="42493" xr:uid="{00000000-0005-0000-0000-0000D9060000}"/>
    <cellStyle name="Comma 8 2" xfId="42494" xr:uid="{00000000-0005-0000-0000-0000DA060000}"/>
    <cellStyle name="Comma 8 2 2" xfId="42495" xr:uid="{00000000-0005-0000-0000-0000DB060000}"/>
    <cellStyle name="Comma 8 2 3" xfId="42496" xr:uid="{00000000-0005-0000-0000-0000DC060000}"/>
    <cellStyle name="Comma 8 3" xfId="42497" xr:uid="{00000000-0005-0000-0000-0000DD060000}"/>
    <cellStyle name="Comma 8 3 2" xfId="42498" xr:uid="{00000000-0005-0000-0000-0000DE060000}"/>
    <cellStyle name="Comma 8 3 3" xfId="42499" xr:uid="{00000000-0005-0000-0000-0000DF060000}"/>
    <cellStyle name="Comma 8 4" xfId="42500" xr:uid="{00000000-0005-0000-0000-0000E0060000}"/>
    <cellStyle name="Comma 8 5" xfId="42501" xr:uid="{00000000-0005-0000-0000-0000E1060000}"/>
    <cellStyle name="Comma 9" xfId="42502" xr:uid="{00000000-0005-0000-0000-0000E2060000}"/>
    <cellStyle name="Comma 9 2" xfId="42503" xr:uid="{00000000-0005-0000-0000-0000E3060000}"/>
    <cellStyle name="Comma 9 2 2" xfId="42504" xr:uid="{00000000-0005-0000-0000-0000E4060000}"/>
    <cellStyle name="Comma 9 2 3" xfId="42505" xr:uid="{00000000-0005-0000-0000-0000E5060000}"/>
    <cellStyle name="Comma 9 3" xfId="42506" xr:uid="{00000000-0005-0000-0000-0000E6060000}"/>
    <cellStyle name="Comma 9 3 2" xfId="42507" xr:uid="{00000000-0005-0000-0000-0000E7060000}"/>
    <cellStyle name="Comma 9 3 3" xfId="42508" xr:uid="{00000000-0005-0000-0000-0000E8060000}"/>
    <cellStyle name="Comma 9 4" xfId="42509" xr:uid="{00000000-0005-0000-0000-0000E9060000}"/>
    <cellStyle name="Comma 9 5" xfId="42510" xr:uid="{00000000-0005-0000-0000-0000EA060000}"/>
    <cellStyle name="Comma." xfId="152" xr:uid="{00000000-0005-0000-0000-0000EB060000}"/>
    <cellStyle name="Comma0" xfId="54" xr:uid="{00000000-0005-0000-0000-0000EC060000}"/>
    <cellStyle name="Comma0 2" xfId="42511" xr:uid="{00000000-0005-0000-0000-0000ED060000}"/>
    <cellStyle name="Corner heading" xfId="55" xr:uid="{00000000-0005-0000-0000-0000EE060000}"/>
    <cellStyle name="Currency" xfId="3" builtinId="4"/>
    <cellStyle name="Currency 10" xfId="42512" xr:uid="{00000000-0005-0000-0000-0000F0060000}"/>
    <cellStyle name="Currency 11" xfId="42513" xr:uid="{00000000-0005-0000-0000-0000F1060000}"/>
    <cellStyle name="Currency 12" xfId="42514" xr:uid="{00000000-0005-0000-0000-0000F2060000}"/>
    <cellStyle name="Currency 13" xfId="42515" xr:uid="{00000000-0005-0000-0000-0000F3060000}"/>
    <cellStyle name="Currency 14" xfId="42516" xr:uid="{00000000-0005-0000-0000-0000F4060000}"/>
    <cellStyle name="Currency 15" xfId="42517" xr:uid="{00000000-0005-0000-0000-0000F5060000}"/>
    <cellStyle name="Currency 15 2" xfId="42518" xr:uid="{00000000-0005-0000-0000-0000F6060000}"/>
    <cellStyle name="Currency 16" xfId="42519" xr:uid="{00000000-0005-0000-0000-0000F7060000}"/>
    <cellStyle name="Currency 16 2" xfId="42520" xr:uid="{00000000-0005-0000-0000-0000F8060000}"/>
    <cellStyle name="Currency 16 2 2" xfId="42521" xr:uid="{00000000-0005-0000-0000-0000F9060000}"/>
    <cellStyle name="Currency 16 2 2 2" xfId="42522" xr:uid="{00000000-0005-0000-0000-0000FA060000}"/>
    <cellStyle name="Currency 16 2 2 3" xfId="42523" xr:uid="{00000000-0005-0000-0000-0000FB060000}"/>
    <cellStyle name="Currency 16 2 3" xfId="42524" xr:uid="{00000000-0005-0000-0000-0000FC060000}"/>
    <cellStyle name="Currency 16 2 3 2" xfId="42525" xr:uid="{00000000-0005-0000-0000-0000FD060000}"/>
    <cellStyle name="Currency 16 2 3 3" xfId="42526" xr:uid="{00000000-0005-0000-0000-0000FE060000}"/>
    <cellStyle name="Currency 16 2 4" xfId="42527" xr:uid="{00000000-0005-0000-0000-0000FF060000}"/>
    <cellStyle name="Currency 16 2 5" xfId="42528" xr:uid="{00000000-0005-0000-0000-000000070000}"/>
    <cellStyle name="Currency 16 3" xfId="42529" xr:uid="{00000000-0005-0000-0000-000001070000}"/>
    <cellStyle name="Currency 16 3 2" xfId="42530" xr:uid="{00000000-0005-0000-0000-000002070000}"/>
    <cellStyle name="Currency 16 3 3" xfId="42531" xr:uid="{00000000-0005-0000-0000-000003070000}"/>
    <cellStyle name="Currency 16 4" xfId="42532" xr:uid="{00000000-0005-0000-0000-000004070000}"/>
    <cellStyle name="Currency 16 4 2" xfId="42533" xr:uid="{00000000-0005-0000-0000-000005070000}"/>
    <cellStyle name="Currency 16 4 3" xfId="42534" xr:uid="{00000000-0005-0000-0000-000006070000}"/>
    <cellStyle name="Currency 16 5" xfId="42535" xr:uid="{00000000-0005-0000-0000-000007070000}"/>
    <cellStyle name="Currency 16 6" xfId="42536" xr:uid="{00000000-0005-0000-0000-000008070000}"/>
    <cellStyle name="Currency 17" xfId="42537" xr:uid="{00000000-0005-0000-0000-000009070000}"/>
    <cellStyle name="Currency 17 2" xfId="42538" xr:uid="{00000000-0005-0000-0000-00000A070000}"/>
    <cellStyle name="Currency 17 2 2" xfId="42539" xr:uid="{00000000-0005-0000-0000-00000B070000}"/>
    <cellStyle name="Currency 17 2 3" xfId="42540" xr:uid="{00000000-0005-0000-0000-00000C070000}"/>
    <cellStyle name="Currency 17 3" xfId="42541" xr:uid="{00000000-0005-0000-0000-00000D070000}"/>
    <cellStyle name="Currency 17 3 2" xfId="42542" xr:uid="{00000000-0005-0000-0000-00000E070000}"/>
    <cellStyle name="Currency 17 3 3" xfId="42543" xr:uid="{00000000-0005-0000-0000-00000F070000}"/>
    <cellStyle name="Currency 17 4" xfId="42544" xr:uid="{00000000-0005-0000-0000-000010070000}"/>
    <cellStyle name="Currency 17 5" xfId="42545" xr:uid="{00000000-0005-0000-0000-000011070000}"/>
    <cellStyle name="Currency 18" xfId="42546" xr:uid="{00000000-0005-0000-0000-000012070000}"/>
    <cellStyle name="Currency 18 2" xfId="42547" xr:uid="{00000000-0005-0000-0000-000013070000}"/>
    <cellStyle name="Currency 18 2 2" xfId="42548" xr:uid="{00000000-0005-0000-0000-000014070000}"/>
    <cellStyle name="Currency 18 2 2 2" xfId="42549" xr:uid="{00000000-0005-0000-0000-000015070000}"/>
    <cellStyle name="Currency 18 2 2 3" xfId="42550" xr:uid="{00000000-0005-0000-0000-000016070000}"/>
    <cellStyle name="Currency 18 2 3" xfId="42551" xr:uid="{00000000-0005-0000-0000-000017070000}"/>
    <cellStyle name="Currency 18 2 3 2" xfId="42552" xr:uid="{00000000-0005-0000-0000-000018070000}"/>
    <cellStyle name="Currency 18 2 3 3" xfId="42553" xr:uid="{00000000-0005-0000-0000-000019070000}"/>
    <cellStyle name="Currency 18 2 4" xfId="42554" xr:uid="{00000000-0005-0000-0000-00001A070000}"/>
    <cellStyle name="Currency 18 2 5" xfId="42555" xr:uid="{00000000-0005-0000-0000-00001B070000}"/>
    <cellStyle name="Currency 18 3" xfId="42556" xr:uid="{00000000-0005-0000-0000-00001C070000}"/>
    <cellStyle name="Currency 18 3 2" xfId="42557" xr:uid="{00000000-0005-0000-0000-00001D070000}"/>
    <cellStyle name="Currency 18 3 3" xfId="42558" xr:uid="{00000000-0005-0000-0000-00001E070000}"/>
    <cellStyle name="Currency 18 4" xfId="42559" xr:uid="{00000000-0005-0000-0000-00001F070000}"/>
    <cellStyle name="Currency 18 4 2" xfId="42560" xr:uid="{00000000-0005-0000-0000-000020070000}"/>
    <cellStyle name="Currency 18 4 3" xfId="42561" xr:uid="{00000000-0005-0000-0000-000021070000}"/>
    <cellStyle name="Currency 18 5" xfId="42562" xr:uid="{00000000-0005-0000-0000-000022070000}"/>
    <cellStyle name="Currency 18 6" xfId="42563" xr:uid="{00000000-0005-0000-0000-000023070000}"/>
    <cellStyle name="Currency 19" xfId="42564" xr:uid="{00000000-0005-0000-0000-000024070000}"/>
    <cellStyle name="Currency 2" xfId="56" xr:uid="{00000000-0005-0000-0000-000025070000}"/>
    <cellStyle name="Currency 20" xfId="42565" xr:uid="{00000000-0005-0000-0000-000026070000}"/>
    <cellStyle name="Currency 21" xfId="42566" xr:uid="{00000000-0005-0000-0000-000027070000}"/>
    <cellStyle name="Currency 22" xfId="42567" xr:uid="{00000000-0005-0000-0000-000028070000}"/>
    <cellStyle name="Currency 23" xfId="42568" xr:uid="{00000000-0005-0000-0000-000029070000}"/>
    <cellStyle name="Currency 3" xfId="57" xr:uid="{00000000-0005-0000-0000-00002A070000}"/>
    <cellStyle name="Currency 4" xfId="23" xr:uid="{00000000-0005-0000-0000-00002B070000}"/>
    <cellStyle name="Currency 4 2" xfId="42569" xr:uid="{00000000-0005-0000-0000-00002C070000}"/>
    <cellStyle name="Currency 4 2 2" xfId="42570" xr:uid="{00000000-0005-0000-0000-00002D070000}"/>
    <cellStyle name="Currency 4 2 2 2" xfId="42571" xr:uid="{00000000-0005-0000-0000-00002E070000}"/>
    <cellStyle name="Currency 4 2 2 3" xfId="42572" xr:uid="{00000000-0005-0000-0000-00002F070000}"/>
    <cellStyle name="Currency 4 2 3" xfId="42573" xr:uid="{00000000-0005-0000-0000-000030070000}"/>
    <cellStyle name="Currency 4 2 3 2" xfId="42574" xr:uid="{00000000-0005-0000-0000-000031070000}"/>
    <cellStyle name="Currency 4 2 3 3" xfId="42575" xr:uid="{00000000-0005-0000-0000-000032070000}"/>
    <cellStyle name="Currency 4 2 4" xfId="42576" xr:uid="{00000000-0005-0000-0000-000033070000}"/>
    <cellStyle name="Currency 4 2 5" xfId="42577" xr:uid="{00000000-0005-0000-0000-000034070000}"/>
    <cellStyle name="Currency 5" xfId="42578" xr:uid="{00000000-0005-0000-0000-000035070000}"/>
    <cellStyle name="Currency 6" xfId="42579" xr:uid="{00000000-0005-0000-0000-000036070000}"/>
    <cellStyle name="Currency 7" xfId="42580" xr:uid="{00000000-0005-0000-0000-000037070000}"/>
    <cellStyle name="Currency 8" xfId="42581" xr:uid="{00000000-0005-0000-0000-000038070000}"/>
    <cellStyle name="Currency 8 2" xfId="42582" xr:uid="{00000000-0005-0000-0000-000039070000}"/>
    <cellStyle name="Currency 8 2 2" xfId="42583" xr:uid="{00000000-0005-0000-0000-00003A070000}"/>
    <cellStyle name="Currency 8 2 2 2" xfId="42584" xr:uid="{00000000-0005-0000-0000-00003B070000}"/>
    <cellStyle name="Currency 8 2 2 3" xfId="42585" xr:uid="{00000000-0005-0000-0000-00003C070000}"/>
    <cellStyle name="Currency 8 2 3" xfId="42586" xr:uid="{00000000-0005-0000-0000-00003D070000}"/>
    <cellStyle name="Currency 8 2 3 2" xfId="42587" xr:uid="{00000000-0005-0000-0000-00003E070000}"/>
    <cellStyle name="Currency 8 2 3 3" xfId="42588" xr:uid="{00000000-0005-0000-0000-00003F070000}"/>
    <cellStyle name="Currency 8 2 4" xfId="42589" xr:uid="{00000000-0005-0000-0000-000040070000}"/>
    <cellStyle name="Currency 8 2 5" xfId="42590" xr:uid="{00000000-0005-0000-0000-000041070000}"/>
    <cellStyle name="Currency 9" xfId="42591" xr:uid="{00000000-0005-0000-0000-000042070000}"/>
    <cellStyle name="Currency." xfId="153" xr:uid="{00000000-0005-0000-0000-000043070000}"/>
    <cellStyle name="Currency.00" xfId="154" xr:uid="{00000000-0005-0000-0000-000044070000}"/>
    <cellStyle name="Currency0" xfId="58" xr:uid="{00000000-0005-0000-0000-000045070000}"/>
    <cellStyle name="Currency0 2" xfId="59" xr:uid="{00000000-0005-0000-0000-000046070000}"/>
    <cellStyle name="Data" xfId="60" xr:uid="{00000000-0005-0000-0000-000047070000}"/>
    <cellStyle name="Data 2" xfId="61" xr:uid="{00000000-0005-0000-0000-000048070000}"/>
    <cellStyle name="Data 2 10" xfId="221" xr:uid="{00000000-0005-0000-0000-000049070000}"/>
    <cellStyle name="Data 2 10 10" xfId="222" xr:uid="{00000000-0005-0000-0000-00004A070000}"/>
    <cellStyle name="Data 2 10 10 2" xfId="223" xr:uid="{00000000-0005-0000-0000-00004B070000}"/>
    <cellStyle name="Data 2 10 10 2 2" xfId="224" xr:uid="{00000000-0005-0000-0000-00004C070000}"/>
    <cellStyle name="Data 2 10 10 3" xfId="225" xr:uid="{00000000-0005-0000-0000-00004D070000}"/>
    <cellStyle name="Data 2 10 10 3 2" xfId="226" xr:uid="{00000000-0005-0000-0000-00004E070000}"/>
    <cellStyle name="Data 2 10 10 4" xfId="227" xr:uid="{00000000-0005-0000-0000-00004F070000}"/>
    <cellStyle name="Data 2 10 10 4 2" xfId="228" xr:uid="{00000000-0005-0000-0000-000050070000}"/>
    <cellStyle name="Data 2 10 10 5" xfId="229" xr:uid="{00000000-0005-0000-0000-000051070000}"/>
    <cellStyle name="Data 2 10 10 5 2" xfId="230" xr:uid="{00000000-0005-0000-0000-000052070000}"/>
    <cellStyle name="Data 2 10 10 6" xfId="231" xr:uid="{00000000-0005-0000-0000-000053070000}"/>
    <cellStyle name="Data 2 10 10 6 2" xfId="232" xr:uid="{00000000-0005-0000-0000-000054070000}"/>
    <cellStyle name="Data 2 10 10 7" xfId="233" xr:uid="{00000000-0005-0000-0000-000055070000}"/>
    <cellStyle name="Data 2 10 10 7 2" xfId="234" xr:uid="{00000000-0005-0000-0000-000056070000}"/>
    <cellStyle name="Data 2 10 10 8" xfId="235" xr:uid="{00000000-0005-0000-0000-000057070000}"/>
    <cellStyle name="Data 2 10 10 8 2" xfId="236" xr:uid="{00000000-0005-0000-0000-000058070000}"/>
    <cellStyle name="Data 2 10 10 9" xfId="237" xr:uid="{00000000-0005-0000-0000-000059070000}"/>
    <cellStyle name="Data 2 10 11" xfId="238" xr:uid="{00000000-0005-0000-0000-00005A070000}"/>
    <cellStyle name="Data 2 10 11 2" xfId="239" xr:uid="{00000000-0005-0000-0000-00005B070000}"/>
    <cellStyle name="Data 2 10 12" xfId="240" xr:uid="{00000000-0005-0000-0000-00005C070000}"/>
    <cellStyle name="Data 2 10 12 2" xfId="241" xr:uid="{00000000-0005-0000-0000-00005D070000}"/>
    <cellStyle name="Data 2 10 13" xfId="242" xr:uid="{00000000-0005-0000-0000-00005E070000}"/>
    <cellStyle name="Data 2 10 13 2" xfId="243" xr:uid="{00000000-0005-0000-0000-00005F070000}"/>
    <cellStyle name="Data 2 10 14" xfId="244" xr:uid="{00000000-0005-0000-0000-000060070000}"/>
    <cellStyle name="Data 2 10 14 2" xfId="245" xr:uid="{00000000-0005-0000-0000-000061070000}"/>
    <cellStyle name="Data 2 10 15" xfId="246" xr:uid="{00000000-0005-0000-0000-000062070000}"/>
    <cellStyle name="Data 2 10 15 2" xfId="247" xr:uid="{00000000-0005-0000-0000-000063070000}"/>
    <cellStyle name="Data 2 10 16" xfId="248" xr:uid="{00000000-0005-0000-0000-000064070000}"/>
    <cellStyle name="Data 2 10 16 2" xfId="249" xr:uid="{00000000-0005-0000-0000-000065070000}"/>
    <cellStyle name="Data 2 10 17" xfId="250" xr:uid="{00000000-0005-0000-0000-000066070000}"/>
    <cellStyle name="Data 2 10 17 2" xfId="251" xr:uid="{00000000-0005-0000-0000-000067070000}"/>
    <cellStyle name="Data 2 10 18" xfId="252" xr:uid="{00000000-0005-0000-0000-000068070000}"/>
    <cellStyle name="Data 2 10 2" xfId="253" xr:uid="{00000000-0005-0000-0000-000069070000}"/>
    <cellStyle name="Data 2 10 2 10" xfId="254" xr:uid="{00000000-0005-0000-0000-00006A070000}"/>
    <cellStyle name="Data 2 10 2 2" xfId="255" xr:uid="{00000000-0005-0000-0000-00006B070000}"/>
    <cellStyle name="Data 2 10 2 2 2" xfId="256" xr:uid="{00000000-0005-0000-0000-00006C070000}"/>
    <cellStyle name="Data 2 10 2 3" xfId="257" xr:uid="{00000000-0005-0000-0000-00006D070000}"/>
    <cellStyle name="Data 2 10 2 3 2" xfId="258" xr:uid="{00000000-0005-0000-0000-00006E070000}"/>
    <cellStyle name="Data 2 10 2 4" xfId="259" xr:uid="{00000000-0005-0000-0000-00006F070000}"/>
    <cellStyle name="Data 2 10 2 4 2" xfId="260" xr:uid="{00000000-0005-0000-0000-000070070000}"/>
    <cellStyle name="Data 2 10 2 5" xfId="261" xr:uid="{00000000-0005-0000-0000-000071070000}"/>
    <cellStyle name="Data 2 10 2 5 2" xfId="262" xr:uid="{00000000-0005-0000-0000-000072070000}"/>
    <cellStyle name="Data 2 10 2 6" xfId="263" xr:uid="{00000000-0005-0000-0000-000073070000}"/>
    <cellStyle name="Data 2 10 2 6 2" xfId="264" xr:uid="{00000000-0005-0000-0000-000074070000}"/>
    <cellStyle name="Data 2 10 2 7" xfId="265" xr:uid="{00000000-0005-0000-0000-000075070000}"/>
    <cellStyle name="Data 2 10 2 7 2" xfId="266" xr:uid="{00000000-0005-0000-0000-000076070000}"/>
    <cellStyle name="Data 2 10 2 8" xfId="267" xr:uid="{00000000-0005-0000-0000-000077070000}"/>
    <cellStyle name="Data 2 10 2 8 2" xfId="268" xr:uid="{00000000-0005-0000-0000-000078070000}"/>
    <cellStyle name="Data 2 10 2 9" xfId="269" xr:uid="{00000000-0005-0000-0000-000079070000}"/>
    <cellStyle name="Data 2 10 2 9 2" xfId="270" xr:uid="{00000000-0005-0000-0000-00007A070000}"/>
    <cellStyle name="Data 2 10 3" xfId="271" xr:uid="{00000000-0005-0000-0000-00007B070000}"/>
    <cellStyle name="Data 2 10 3 10" xfId="272" xr:uid="{00000000-0005-0000-0000-00007C070000}"/>
    <cellStyle name="Data 2 10 3 2" xfId="273" xr:uid="{00000000-0005-0000-0000-00007D070000}"/>
    <cellStyle name="Data 2 10 3 2 2" xfId="274" xr:uid="{00000000-0005-0000-0000-00007E070000}"/>
    <cellStyle name="Data 2 10 3 3" xfId="275" xr:uid="{00000000-0005-0000-0000-00007F070000}"/>
    <cellStyle name="Data 2 10 3 3 2" xfId="276" xr:uid="{00000000-0005-0000-0000-000080070000}"/>
    <cellStyle name="Data 2 10 3 4" xfId="277" xr:uid="{00000000-0005-0000-0000-000081070000}"/>
    <cellStyle name="Data 2 10 3 4 2" xfId="278" xr:uid="{00000000-0005-0000-0000-000082070000}"/>
    <cellStyle name="Data 2 10 3 5" xfId="279" xr:uid="{00000000-0005-0000-0000-000083070000}"/>
    <cellStyle name="Data 2 10 3 5 2" xfId="280" xr:uid="{00000000-0005-0000-0000-000084070000}"/>
    <cellStyle name="Data 2 10 3 6" xfId="281" xr:uid="{00000000-0005-0000-0000-000085070000}"/>
    <cellStyle name="Data 2 10 3 6 2" xfId="282" xr:uid="{00000000-0005-0000-0000-000086070000}"/>
    <cellStyle name="Data 2 10 3 7" xfId="283" xr:uid="{00000000-0005-0000-0000-000087070000}"/>
    <cellStyle name="Data 2 10 3 7 2" xfId="284" xr:uid="{00000000-0005-0000-0000-000088070000}"/>
    <cellStyle name="Data 2 10 3 8" xfId="285" xr:uid="{00000000-0005-0000-0000-000089070000}"/>
    <cellStyle name="Data 2 10 3 8 2" xfId="286" xr:uid="{00000000-0005-0000-0000-00008A070000}"/>
    <cellStyle name="Data 2 10 3 9" xfId="287" xr:uid="{00000000-0005-0000-0000-00008B070000}"/>
    <cellStyle name="Data 2 10 3 9 2" xfId="288" xr:uid="{00000000-0005-0000-0000-00008C070000}"/>
    <cellStyle name="Data 2 10 4" xfId="289" xr:uid="{00000000-0005-0000-0000-00008D070000}"/>
    <cellStyle name="Data 2 10 4 10" xfId="290" xr:uid="{00000000-0005-0000-0000-00008E070000}"/>
    <cellStyle name="Data 2 10 4 2" xfId="291" xr:uid="{00000000-0005-0000-0000-00008F070000}"/>
    <cellStyle name="Data 2 10 4 2 2" xfId="292" xr:uid="{00000000-0005-0000-0000-000090070000}"/>
    <cellStyle name="Data 2 10 4 3" xfId="293" xr:uid="{00000000-0005-0000-0000-000091070000}"/>
    <cellStyle name="Data 2 10 4 3 2" xfId="294" xr:uid="{00000000-0005-0000-0000-000092070000}"/>
    <cellStyle name="Data 2 10 4 4" xfId="295" xr:uid="{00000000-0005-0000-0000-000093070000}"/>
    <cellStyle name="Data 2 10 4 4 2" xfId="296" xr:uid="{00000000-0005-0000-0000-000094070000}"/>
    <cellStyle name="Data 2 10 4 5" xfId="297" xr:uid="{00000000-0005-0000-0000-000095070000}"/>
    <cellStyle name="Data 2 10 4 5 2" xfId="298" xr:uid="{00000000-0005-0000-0000-000096070000}"/>
    <cellStyle name="Data 2 10 4 6" xfId="299" xr:uid="{00000000-0005-0000-0000-000097070000}"/>
    <cellStyle name="Data 2 10 4 6 2" xfId="300" xr:uid="{00000000-0005-0000-0000-000098070000}"/>
    <cellStyle name="Data 2 10 4 7" xfId="301" xr:uid="{00000000-0005-0000-0000-000099070000}"/>
    <cellStyle name="Data 2 10 4 7 2" xfId="302" xr:uid="{00000000-0005-0000-0000-00009A070000}"/>
    <cellStyle name="Data 2 10 4 8" xfId="303" xr:uid="{00000000-0005-0000-0000-00009B070000}"/>
    <cellStyle name="Data 2 10 4 8 2" xfId="304" xr:uid="{00000000-0005-0000-0000-00009C070000}"/>
    <cellStyle name="Data 2 10 4 9" xfId="305" xr:uid="{00000000-0005-0000-0000-00009D070000}"/>
    <cellStyle name="Data 2 10 4 9 2" xfId="306" xr:uid="{00000000-0005-0000-0000-00009E070000}"/>
    <cellStyle name="Data 2 10 5" xfId="307" xr:uid="{00000000-0005-0000-0000-00009F070000}"/>
    <cellStyle name="Data 2 10 5 10" xfId="308" xr:uid="{00000000-0005-0000-0000-0000A0070000}"/>
    <cellStyle name="Data 2 10 5 2" xfId="309" xr:uid="{00000000-0005-0000-0000-0000A1070000}"/>
    <cellStyle name="Data 2 10 5 2 2" xfId="310" xr:uid="{00000000-0005-0000-0000-0000A2070000}"/>
    <cellStyle name="Data 2 10 5 3" xfId="311" xr:uid="{00000000-0005-0000-0000-0000A3070000}"/>
    <cellStyle name="Data 2 10 5 3 2" xfId="312" xr:uid="{00000000-0005-0000-0000-0000A4070000}"/>
    <cellStyle name="Data 2 10 5 4" xfId="313" xr:uid="{00000000-0005-0000-0000-0000A5070000}"/>
    <cellStyle name="Data 2 10 5 4 2" xfId="314" xr:uid="{00000000-0005-0000-0000-0000A6070000}"/>
    <cellStyle name="Data 2 10 5 5" xfId="315" xr:uid="{00000000-0005-0000-0000-0000A7070000}"/>
    <cellStyle name="Data 2 10 5 5 2" xfId="316" xr:uid="{00000000-0005-0000-0000-0000A8070000}"/>
    <cellStyle name="Data 2 10 5 6" xfId="317" xr:uid="{00000000-0005-0000-0000-0000A9070000}"/>
    <cellStyle name="Data 2 10 5 6 2" xfId="318" xr:uid="{00000000-0005-0000-0000-0000AA070000}"/>
    <cellStyle name="Data 2 10 5 7" xfId="319" xr:uid="{00000000-0005-0000-0000-0000AB070000}"/>
    <cellStyle name="Data 2 10 5 7 2" xfId="320" xr:uid="{00000000-0005-0000-0000-0000AC070000}"/>
    <cellStyle name="Data 2 10 5 8" xfId="321" xr:uid="{00000000-0005-0000-0000-0000AD070000}"/>
    <cellStyle name="Data 2 10 5 8 2" xfId="322" xr:uid="{00000000-0005-0000-0000-0000AE070000}"/>
    <cellStyle name="Data 2 10 5 9" xfId="323" xr:uid="{00000000-0005-0000-0000-0000AF070000}"/>
    <cellStyle name="Data 2 10 5 9 2" xfId="324" xr:uid="{00000000-0005-0000-0000-0000B0070000}"/>
    <cellStyle name="Data 2 10 6" xfId="325" xr:uid="{00000000-0005-0000-0000-0000B1070000}"/>
    <cellStyle name="Data 2 10 6 10" xfId="326" xr:uid="{00000000-0005-0000-0000-0000B2070000}"/>
    <cellStyle name="Data 2 10 6 2" xfId="327" xr:uid="{00000000-0005-0000-0000-0000B3070000}"/>
    <cellStyle name="Data 2 10 6 2 2" xfId="328" xr:uid="{00000000-0005-0000-0000-0000B4070000}"/>
    <cellStyle name="Data 2 10 6 3" xfId="329" xr:uid="{00000000-0005-0000-0000-0000B5070000}"/>
    <cellStyle name="Data 2 10 6 3 2" xfId="330" xr:uid="{00000000-0005-0000-0000-0000B6070000}"/>
    <cellStyle name="Data 2 10 6 4" xfId="331" xr:uid="{00000000-0005-0000-0000-0000B7070000}"/>
    <cellStyle name="Data 2 10 6 4 2" xfId="332" xr:uid="{00000000-0005-0000-0000-0000B8070000}"/>
    <cellStyle name="Data 2 10 6 5" xfId="333" xr:uid="{00000000-0005-0000-0000-0000B9070000}"/>
    <cellStyle name="Data 2 10 6 5 2" xfId="334" xr:uid="{00000000-0005-0000-0000-0000BA070000}"/>
    <cellStyle name="Data 2 10 6 6" xfId="335" xr:uid="{00000000-0005-0000-0000-0000BB070000}"/>
    <cellStyle name="Data 2 10 6 6 2" xfId="336" xr:uid="{00000000-0005-0000-0000-0000BC070000}"/>
    <cellStyle name="Data 2 10 6 7" xfId="337" xr:uid="{00000000-0005-0000-0000-0000BD070000}"/>
    <cellStyle name="Data 2 10 6 7 2" xfId="338" xr:uid="{00000000-0005-0000-0000-0000BE070000}"/>
    <cellStyle name="Data 2 10 6 8" xfId="339" xr:uid="{00000000-0005-0000-0000-0000BF070000}"/>
    <cellStyle name="Data 2 10 6 8 2" xfId="340" xr:uid="{00000000-0005-0000-0000-0000C0070000}"/>
    <cellStyle name="Data 2 10 6 9" xfId="341" xr:uid="{00000000-0005-0000-0000-0000C1070000}"/>
    <cellStyle name="Data 2 10 6 9 2" xfId="342" xr:uid="{00000000-0005-0000-0000-0000C2070000}"/>
    <cellStyle name="Data 2 10 7" xfId="343" xr:uid="{00000000-0005-0000-0000-0000C3070000}"/>
    <cellStyle name="Data 2 10 7 10" xfId="344" xr:uid="{00000000-0005-0000-0000-0000C4070000}"/>
    <cellStyle name="Data 2 10 7 2" xfId="345" xr:uid="{00000000-0005-0000-0000-0000C5070000}"/>
    <cellStyle name="Data 2 10 7 2 2" xfId="346" xr:uid="{00000000-0005-0000-0000-0000C6070000}"/>
    <cellStyle name="Data 2 10 7 3" xfId="347" xr:uid="{00000000-0005-0000-0000-0000C7070000}"/>
    <cellStyle name="Data 2 10 7 3 2" xfId="348" xr:uid="{00000000-0005-0000-0000-0000C8070000}"/>
    <cellStyle name="Data 2 10 7 4" xfId="349" xr:uid="{00000000-0005-0000-0000-0000C9070000}"/>
    <cellStyle name="Data 2 10 7 4 2" xfId="350" xr:uid="{00000000-0005-0000-0000-0000CA070000}"/>
    <cellStyle name="Data 2 10 7 5" xfId="351" xr:uid="{00000000-0005-0000-0000-0000CB070000}"/>
    <cellStyle name="Data 2 10 7 5 2" xfId="352" xr:uid="{00000000-0005-0000-0000-0000CC070000}"/>
    <cellStyle name="Data 2 10 7 6" xfId="353" xr:uid="{00000000-0005-0000-0000-0000CD070000}"/>
    <cellStyle name="Data 2 10 7 6 2" xfId="354" xr:uid="{00000000-0005-0000-0000-0000CE070000}"/>
    <cellStyle name="Data 2 10 7 7" xfId="355" xr:uid="{00000000-0005-0000-0000-0000CF070000}"/>
    <cellStyle name="Data 2 10 7 7 2" xfId="356" xr:uid="{00000000-0005-0000-0000-0000D0070000}"/>
    <cellStyle name="Data 2 10 7 8" xfId="357" xr:uid="{00000000-0005-0000-0000-0000D1070000}"/>
    <cellStyle name="Data 2 10 7 8 2" xfId="358" xr:uid="{00000000-0005-0000-0000-0000D2070000}"/>
    <cellStyle name="Data 2 10 7 9" xfId="359" xr:uid="{00000000-0005-0000-0000-0000D3070000}"/>
    <cellStyle name="Data 2 10 7 9 2" xfId="360" xr:uid="{00000000-0005-0000-0000-0000D4070000}"/>
    <cellStyle name="Data 2 10 8" xfId="361" xr:uid="{00000000-0005-0000-0000-0000D5070000}"/>
    <cellStyle name="Data 2 10 8 10" xfId="362" xr:uid="{00000000-0005-0000-0000-0000D6070000}"/>
    <cellStyle name="Data 2 10 8 2" xfId="363" xr:uid="{00000000-0005-0000-0000-0000D7070000}"/>
    <cellStyle name="Data 2 10 8 2 2" xfId="364" xr:uid="{00000000-0005-0000-0000-0000D8070000}"/>
    <cellStyle name="Data 2 10 8 3" xfId="365" xr:uid="{00000000-0005-0000-0000-0000D9070000}"/>
    <cellStyle name="Data 2 10 8 3 2" xfId="366" xr:uid="{00000000-0005-0000-0000-0000DA070000}"/>
    <cellStyle name="Data 2 10 8 4" xfId="367" xr:uid="{00000000-0005-0000-0000-0000DB070000}"/>
    <cellStyle name="Data 2 10 8 4 2" xfId="368" xr:uid="{00000000-0005-0000-0000-0000DC070000}"/>
    <cellStyle name="Data 2 10 8 5" xfId="369" xr:uid="{00000000-0005-0000-0000-0000DD070000}"/>
    <cellStyle name="Data 2 10 8 5 2" xfId="370" xr:uid="{00000000-0005-0000-0000-0000DE070000}"/>
    <cellStyle name="Data 2 10 8 6" xfId="371" xr:uid="{00000000-0005-0000-0000-0000DF070000}"/>
    <cellStyle name="Data 2 10 8 6 2" xfId="372" xr:uid="{00000000-0005-0000-0000-0000E0070000}"/>
    <cellStyle name="Data 2 10 8 7" xfId="373" xr:uid="{00000000-0005-0000-0000-0000E1070000}"/>
    <cellStyle name="Data 2 10 8 7 2" xfId="374" xr:uid="{00000000-0005-0000-0000-0000E2070000}"/>
    <cellStyle name="Data 2 10 8 8" xfId="375" xr:uid="{00000000-0005-0000-0000-0000E3070000}"/>
    <cellStyle name="Data 2 10 8 8 2" xfId="376" xr:uid="{00000000-0005-0000-0000-0000E4070000}"/>
    <cellStyle name="Data 2 10 8 9" xfId="377" xr:uid="{00000000-0005-0000-0000-0000E5070000}"/>
    <cellStyle name="Data 2 10 8 9 2" xfId="378" xr:uid="{00000000-0005-0000-0000-0000E6070000}"/>
    <cellStyle name="Data 2 10 9" xfId="379" xr:uid="{00000000-0005-0000-0000-0000E7070000}"/>
    <cellStyle name="Data 2 10 9 10" xfId="380" xr:uid="{00000000-0005-0000-0000-0000E8070000}"/>
    <cellStyle name="Data 2 10 9 2" xfId="381" xr:uid="{00000000-0005-0000-0000-0000E9070000}"/>
    <cellStyle name="Data 2 10 9 2 2" xfId="382" xr:uid="{00000000-0005-0000-0000-0000EA070000}"/>
    <cellStyle name="Data 2 10 9 3" xfId="383" xr:uid="{00000000-0005-0000-0000-0000EB070000}"/>
    <cellStyle name="Data 2 10 9 3 2" xfId="384" xr:uid="{00000000-0005-0000-0000-0000EC070000}"/>
    <cellStyle name="Data 2 10 9 4" xfId="385" xr:uid="{00000000-0005-0000-0000-0000ED070000}"/>
    <cellStyle name="Data 2 10 9 4 2" xfId="386" xr:uid="{00000000-0005-0000-0000-0000EE070000}"/>
    <cellStyle name="Data 2 10 9 5" xfId="387" xr:uid="{00000000-0005-0000-0000-0000EF070000}"/>
    <cellStyle name="Data 2 10 9 5 2" xfId="388" xr:uid="{00000000-0005-0000-0000-0000F0070000}"/>
    <cellStyle name="Data 2 10 9 6" xfId="389" xr:uid="{00000000-0005-0000-0000-0000F1070000}"/>
    <cellStyle name="Data 2 10 9 6 2" xfId="390" xr:uid="{00000000-0005-0000-0000-0000F2070000}"/>
    <cellStyle name="Data 2 10 9 7" xfId="391" xr:uid="{00000000-0005-0000-0000-0000F3070000}"/>
    <cellStyle name="Data 2 10 9 7 2" xfId="392" xr:uid="{00000000-0005-0000-0000-0000F4070000}"/>
    <cellStyle name="Data 2 10 9 8" xfId="393" xr:uid="{00000000-0005-0000-0000-0000F5070000}"/>
    <cellStyle name="Data 2 10 9 8 2" xfId="394" xr:uid="{00000000-0005-0000-0000-0000F6070000}"/>
    <cellStyle name="Data 2 10 9 9" xfId="395" xr:uid="{00000000-0005-0000-0000-0000F7070000}"/>
    <cellStyle name="Data 2 10 9 9 2" xfId="396" xr:uid="{00000000-0005-0000-0000-0000F8070000}"/>
    <cellStyle name="Data 2 11" xfId="397" xr:uid="{00000000-0005-0000-0000-0000F9070000}"/>
    <cellStyle name="Data 2 11 10" xfId="398" xr:uid="{00000000-0005-0000-0000-0000FA070000}"/>
    <cellStyle name="Data 2 11 10 2" xfId="399" xr:uid="{00000000-0005-0000-0000-0000FB070000}"/>
    <cellStyle name="Data 2 11 10 2 2" xfId="400" xr:uid="{00000000-0005-0000-0000-0000FC070000}"/>
    <cellStyle name="Data 2 11 10 3" xfId="401" xr:uid="{00000000-0005-0000-0000-0000FD070000}"/>
    <cellStyle name="Data 2 11 10 3 2" xfId="402" xr:uid="{00000000-0005-0000-0000-0000FE070000}"/>
    <cellStyle name="Data 2 11 10 4" xfId="403" xr:uid="{00000000-0005-0000-0000-0000FF070000}"/>
    <cellStyle name="Data 2 11 10 4 2" xfId="404" xr:uid="{00000000-0005-0000-0000-000000080000}"/>
    <cellStyle name="Data 2 11 10 5" xfId="405" xr:uid="{00000000-0005-0000-0000-000001080000}"/>
    <cellStyle name="Data 2 11 10 5 2" xfId="406" xr:uid="{00000000-0005-0000-0000-000002080000}"/>
    <cellStyle name="Data 2 11 10 6" xfId="407" xr:uid="{00000000-0005-0000-0000-000003080000}"/>
    <cellStyle name="Data 2 11 10 6 2" xfId="408" xr:uid="{00000000-0005-0000-0000-000004080000}"/>
    <cellStyle name="Data 2 11 10 7" xfId="409" xr:uid="{00000000-0005-0000-0000-000005080000}"/>
    <cellStyle name="Data 2 11 10 7 2" xfId="410" xr:uid="{00000000-0005-0000-0000-000006080000}"/>
    <cellStyle name="Data 2 11 10 8" xfId="411" xr:uid="{00000000-0005-0000-0000-000007080000}"/>
    <cellStyle name="Data 2 11 10 8 2" xfId="412" xr:uid="{00000000-0005-0000-0000-000008080000}"/>
    <cellStyle name="Data 2 11 10 9" xfId="413" xr:uid="{00000000-0005-0000-0000-000009080000}"/>
    <cellStyle name="Data 2 11 11" xfId="414" xr:uid="{00000000-0005-0000-0000-00000A080000}"/>
    <cellStyle name="Data 2 11 11 2" xfId="415" xr:uid="{00000000-0005-0000-0000-00000B080000}"/>
    <cellStyle name="Data 2 11 12" xfId="416" xr:uid="{00000000-0005-0000-0000-00000C080000}"/>
    <cellStyle name="Data 2 11 12 2" xfId="417" xr:uid="{00000000-0005-0000-0000-00000D080000}"/>
    <cellStyle name="Data 2 11 13" xfId="418" xr:uid="{00000000-0005-0000-0000-00000E080000}"/>
    <cellStyle name="Data 2 11 13 2" xfId="419" xr:uid="{00000000-0005-0000-0000-00000F080000}"/>
    <cellStyle name="Data 2 11 14" xfId="420" xr:uid="{00000000-0005-0000-0000-000010080000}"/>
    <cellStyle name="Data 2 11 14 2" xfId="421" xr:uid="{00000000-0005-0000-0000-000011080000}"/>
    <cellStyle name="Data 2 11 15" xfId="422" xr:uid="{00000000-0005-0000-0000-000012080000}"/>
    <cellStyle name="Data 2 11 15 2" xfId="423" xr:uid="{00000000-0005-0000-0000-000013080000}"/>
    <cellStyle name="Data 2 11 16" xfId="424" xr:uid="{00000000-0005-0000-0000-000014080000}"/>
    <cellStyle name="Data 2 11 16 2" xfId="425" xr:uid="{00000000-0005-0000-0000-000015080000}"/>
    <cellStyle name="Data 2 11 17" xfId="426" xr:uid="{00000000-0005-0000-0000-000016080000}"/>
    <cellStyle name="Data 2 11 17 2" xfId="427" xr:uid="{00000000-0005-0000-0000-000017080000}"/>
    <cellStyle name="Data 2 11 18" xfId="428" xr:uid="{00000000-0005-0000-0000-000018080000}"/>
    <cellStyle name="Data 2 11 2" xfId="429" xr:uid="{00000000-0005-0000-0000-000019080000}"/>
    <cellStyle name="Data 2 11 2 10" xfId="430" xr:uid="{00000000-0005-0000-0000-00001A080000}"/>
    <cellStyle name="Data 2 11 2 2" xfId="431" xr:uid="{00000000-0005-0000-0000-00001B080000}"/>
    <cellStyle name="Data 2 11 2 2 2" xfId="432" xr:uid="{00000000-0005-0000-0000-00001C080000}"/>
    <cellStyle name="Data 2 11 2 3" xfId="433" xr:uid="{00000000-0005-0000-0000-00001D080000}"/>
    <cellStyle name="Data 2 11 2 3 2" xfId="434" xr:uid="{00000000-0005-0000-0000-00001E080000}"/>
    <cellStyle name="Data 2 11 2 4" xfId="435" xr:uid="{00000000-0005-0000-0000-00001F080000}"/>
    <cellStyle name="Data 2 11 2 4 2" xfId="436" xr:uid="{00000000-0005-0000-0000-000020080000}"/>
    <cellStyle name="Data 2 11 2 5" xfId="437" xr:uid="{00000000-0005-0000-0000-000021080000}"/>
    <cellStyle name="Data 2 11 2 5 2" xfId="438" xr:uid="{00000000-0005-0000-0000-000022080000}"/>
    <cellStyle name="Data 2 11 2 6" xfId="439" xr:uid="{00000000-0005-0000-0000-000023080000}"/>
    <cellStyle name="Data 2 11 2 6 2" xfId="440" xr:uid="{00000000-0005-0000-0000-000024080000}"/>
    <cellStyle name="Data 2 11 2 7" xfId="441" xr:uid="{00000000-0005-0000-0000-000025080000}"/>
    <cellStyle name="Data 2 11 2 7 2" xfId="442" xr:uid="{00000000-0005-0000-0000-000026080000}"/>
    <cellStyle name="Data 2 11 2 8" xfId="443" xr:uid="{00000000-0005-0000-0000-000027080000}"/>
    <cellStyle name="Data 2 11 2 8 2" xfId="444" xr:uid="{00000000-0005-0000-0000-000028080000}"/>
    <cellStyle name="Data 2 11 2 9" xfId="445" xr:uid="{00000000-0005-0000-0000-000029080000}"/>
    <cellStyle name="Data 2 11 2 9 2" xfId="446" xr:uid="{00000000-0005-0000-0000-00002A080000}"/>
    <cellStyle name="Data 2 11 3" xfId="447" xr:uid="{00000000-0005-0000-0000-00002B080000}"/>
    <cellStyle name="Data 2 11 3 10" xfId="448" xr:uid="{00000000-0005-0000-0000-00002C080000}"/>
    <cellStyle name="Data 2 11 3 2" xfId="449" xr:uid="{00000000-0005-0000-0000-00002D080000}"/>
    <cellStyle name="Data 2 11 3 2 2" xfId="450" xr:uid="{00000000-0005-0000-0000-00002E080000}"/>
    <cellStyle name="Data 2 11 3 3" xfId="451" xr:uid="{00000000-0005-0000-0000-00002F080000}"/>
    <cellStyle name="Data 2 11 3 3 2" xfId="452" xr:uid="{00000000-0005-0000-0000-000030080000}"/>
    <cellStyle name="Data 2 11 3 4" xfId="453" xr:uid="{00000000-0005-0000-0000-000031080000}"/>
    <cellStyle name="Data 2 11 3 4 2" xfId="454" xr:uid="{00000000-0005-0000-0000-000032080000}"/>
    <cellStyle name="Data 2 11 3 5" xfId="455" xr:uid="{00000000-0005-0000-0000-000033080000}"/>
    <cellStyle name="Data 2 11 3 5 2" xfId="456" xr:uid="{00000000-0005-0000-0000-000034080000}"/>
    <cellStyle name="Data 2 11 3 6" xfId="457" xr:uid="{00000000-0005-0000-0000-000035080000}"/>
    <cellStyle name="Data 2 11 3 6 2" xfId="458" xr:uid="{00000000-0005-0000-0000-000036080000}"/>
    <cellStyle name="Data 2 11 3 7" xfId="459" xr:uid="{00000000-0005-0000-0000-000037080000}"/>
    <cellStyle name="Data 2 11 3 7 2" xfId="460" xr:uid="{00000000-0005-0000-0000-000038080000}"/>
    <cellStyle name="Data 2 11 3 8" xfId="461" xr:uid="{00000000-0005-0000-0000-000039080000}"/>
    <cellStyle name="Data 2 11 3 8 2" xfId="462" xr:uid="{00000000-0005-0000-0000-00003A080000}"/>
    <cellStyle name="Data 2 11 3 9" xfId="463" xr:uid="{00000000-0005-0000-0000-00003B080000}"/>
    <cellStyle name="Data 2 11 3 9 2" xfId="464" xr:uid="{00000000-0005-0000-0000-00003C080000}"/>
    <cellStyle name="Data 2 11 4" xfId="465" xr:uid="{00000000-0005-0000-0000-00003D080000}"/>
    <cellStyle name="Data 2 11 4 10" xfId="466" xr:uid="{00000000-0005-0000-0000-00003E080000}"/>
    <cellStyle name="Data 2 11 4 2" xfId="467" xr:uid="{00000000-0005-0000-0000-00003F080000}"/>
    <cellStyle name="Data 2 11 4 2 2" xfId="468" xr:uid="{00000000-0005-0000-0000-000040080000}"/>
    <cellStyle name="Data 2 11 4 3" xfId="469" xr:uid="{00000000-0005-0000-0000-000041080000}"/>
    <cellStyle name="Data 2 11 4 3 2" xfId="470" xr:uid="{00000000-0005-0000-0000-000042080000}"/>
    <cellStyle name="Data 2 11 4 4" xfId="471" xr:uid="{00000000-0005-0000-0000-000043080000}"/>
    <cellStyle name="Data 2 11 4 4 2" xfId="472" xr:uid="{00000000-0005-0000-0000-000044080000}"/>
    <cellStyle name="Data 2 11 4 5" xfId="473" xr:uid="{00000000-0005-0000-0000-000045080000}"/>
    <cellStyle name="Data 2 11 4 5 2" xfId="474" xr:uid="{00000000-0005-0000-0000-000046080000}"/>
    <cellStyle name="Data 2 11 4 6" xfId="475" xr:uid="{00000000-0005-0000-0000-000047080000}"/>
    <cellStyle name="Data 2 11 4 6 2" xfId="476" xr:uid="{00000000-0005-0000-0000-000048080000}"/>
    <cellStyle name="Data 2 11 4 7" xfId="477" xr:uid="{00000000-0005-0000-0000-000049080000}"/>
    <cellStyle name="Data 2 11 4 7 2" xfId="478" xr:uid="{00000000-0005-0000-0000-00004A080000}"/>
    <cellStyle name="Data 2 11 4 8" xfId="479" xr:uid="{00000000-0005-0000-0000-00004B080000}"/>
    <cellStyle name="Data 2 11 4 8 2" xfId="480" xr:uid="{00000000-0005-0000-0000-00004C080000}"/>
    <cellStyle name="Data 2 11 4 9" xfId="481" xr:uid="{00000000-0005-0000-0000-00004D080000}"/>
    <cellStyle name="Data 2 11 4 9 2" xfId="482" xr:uid="{00000000-0005-0000-0000-00004E080000}"/>
    <cellStyle name="Data 2 11 5" xfId="483" xr:uid="{00000000-0005-0000-0000-00004F080000}"/>
    <cellStyle name="Data 2 11 5 10" xfId="484" xr:uid="{00000000-0005-0000-0000-000050080000}"/>
    <cellStyle name="Data 2 11 5 2" xfId="485" xr:uid="{00000000-0005-0000-0000-000051080000}"/>
    <cellStyle name="Data 2 11 5 2 2" xfId="486" xr:uid="{00000000-0005-0000-0000-000052080000}"/>
    <cellStyle name="Data 2 11 5 3" xfId="487" xr:uid="{00000000-0005-0000-0000-000053080000}"/>
    <cellStyle name="Data 2 11 5 3 2" xfId="488" xr:uid="{00000000-0005-0000-0000-000054080000}"/>
    <cellStyle name="Data 2 11 5 4" xfId="489" xr:uid="{00000000-0005-0000-0000-000055080000}"/>
    <cellStyle name="Data 2 11 5 4 2" xfId="490" xr:uid="{00000000-0005-0000-0000-000056080000}"/>
    <cellStyle name="Data 2 11 5 5" xfId="491" xr:uid="{00000000-0005-0000-0000-000057080000}"/>
    <cellStyle name="Data 2 11 5 5 2" xfId="492" xr:uid="{00000000-0005-0000-0000-000058080000}"/>
    <cellStyle name="Data 2 11 5 6" xfId="493" xr:uid="{00000000-0005-0000-0000-000059080000}"/>
    <cellStyle name="Data 2 11 5 6 2" xfId="494" xr:uid="{00000000-0005-0000-0000-00005A080000}"/>
    <cellStyle name="Data 2 11 5 7" xfId="495" xr:uid="{00000000-0005-0000-0000-00005B080000}"/>
    <cellStyle name="Data 2 11 5 7 2" xfId="496" xr:uid="{00000000-0005-0000-0000-00005C080000}"/>
    <cellStyle name="Data 2 11 5 8" xfId="497" xr:uid="{00000000-0005-0000-0000-00005D080000}"/>
    <cellStyle name="Data 2 11 5 8 2" xfId="498" xr:uid="{00000000-0005-0000-0000-00005E080000}"/>
    <cellStyle name="Data 2 11 5 9" xfId="499" xr:uid="{00000000-0005-0000-0000-00005F080000}"/>
    <cellStyle name="Data 2 11 5 9 2" xfId="500" xr:uid="{00000000-0005-0000-0000-000060080000}"/>
    <cellStyle name="Data 2 11 6" xfId="501" xr:uid="{00000000-0005-0000-0000-000061080000}"/>
    <cellStyle name="Data 2 11 6 10" xfId="502" xr:uid="{00000000-0005-0000-0000-000062080000}"/>
    <cellStyle name="Data 2 11 6 2" xfId="503" xr:uid="{00000000-0005-0000-0000-000063080000}"/>
    <cellStyle name="Data 2 11 6 2 2" xfId="504" xr:uid="{00000000-0005-0000-0000-000064080000}"/>
    <cellStyle name="Data 2 11 6 3" xfId="505" xr:uid="{00000000-0005-0000-0000-000065080000}"/>
    <cellStyle name="Data 2 11 6 3 2" xfId="506" xr:uid="{00000000-0005-0000-0000-000066080000}"/>
    <cellStyle name="Data 2 11 6 4" xfId="507" xr:uid="{00000000-0005-0000-0000-000067080000}"/>
    <cellStyle name="Data 2 11 6 4 2" xfId="508" xr:uid="{00000000-0005-0000-0000-000068080000}"/>
    <cellStyle name="Data 2 11 6 5" xfId="509" xr:uid="{00000000-0005-0000-0000-000069080000}"/>
    <cellStyle name="Data 2 11 6 5 2" xfId="510" xr:uid="{00000000-0005-0000-0000-00006A080000}"/>
    <cellStyle name="Data 2 11 6 6" xfId="511" xr:uid="{00000000-0005-0000-0000-00006B080000}"/>
    <cellStyle name="Data 2 11 6 6 2" xfId="512" xr:uid="{00000000-0005-0000-0000-00006C080000}"/>
    <cellStyle name="Data 2 11 6 7" xfId="513" xr:uid="{00000000-0005-0000-0000-00006D080000}"/>
    <cellStyle name="Data 2 11 6 7 2" xfId="514" xr:uid="{00000000-0005-0000-0000-00006E080000}"/>
    <cellStyle name="Data 2 11 6 8" xfId="515" xr:uid="{00000000-0005-0000-0000-00006F080000}"/>
    <cellStyle name="Data 2 11 6 8 2" xfId="516" xr:uid="{00000000-0005-0000-0000-000070080000}"/>
    <cellStyle name="Data 2 11 6 9" xfId="517" xr:uid="{00000000-0005-0000-0000-000071080000}"/>
    <cellStyle name="Data 2 11 6 9 2" xfId="518" xr:uid="{00000000-0005-0000-0000-000072080000}"/>
    <cellStyle name="Data 2 11 7" xfId="519" xr:uid="{00000000-0005-0000-0000-000073080000}"/>
    <cellStyle name="Data 2 11 7 10" xfId="520" xr:uid="{00000000-0005-0000-0000-000074080000}"/>
    <cellStyle name="Data 2 11 7 2" xfId="521" xr:uid="{00000000-0005-0000-0000-000075080000}"/>
    <cellStyle name="Data 2 11 7 2 2" xfId="522" xr:uid="{00000000-0005-0000-0000-000076080000}"/>
    <cellStyle name="Data 2 11 7 3" xfId="523" xr:uid="{00000000-0005-0000-0000-000077080000}"/>
    <cellStyle name="Data 2 11 7 3 2" xfId="524" xr:uid="{00000000-0005-0000-0000-000078080000}"/>
    <cellStyle name="Data 2 11 7 4" xfId="525" xr:uid="{00000000-0005-0000-0000-000079080000}"/>
    <cellStyle name="Data 2 11 7 4 2" xfId="526" xr:uid="{00000000-0005-0000-0000-00007A080000}"/>
    <cellStyle name="Data 2 11 7 5" xfId="527" xr:uid="{00000000-0005-0000-0000-00007B080000}"/>
    <cellStyle name="Data 2 11 7 5 2" xfId="528" xr:uid="{00000000-0005-0000-0000-00007C080000}"/>
    <cellStyle name="Data 2 11 7 6" xfId="529" xr:uid="{00000000-0005-0000-0000-00007D080000}"/>
    <cellStyle name="Data 2 11 7 6 2" xfId="530" xr:uid="{00000000-0005-0000-0000-00007E080000}"/>
    <cellStyle name="Data 2 11 7 7" xfId="531" xr:uid="{00000000-0005-0000-0000-00007F080000}"/>
    <cellStyle name="Data 2 11 7 7 2" xfId="532" xr:uid="{00000000-0005-0000-0000-000080080000}"/>
    <cellStyle name="Data 2 11 7 8" xfId="533" xr:uid="{00000000-0005-0000-0000-000081080000}"/>
    <cellStyle name="Data 2 11 7 8 2" xfId="534" xr:uid="{00000000-0005-0000-0000-000082080000}"/>
    <cellStyle name="Data 2 11 7 9" xfId="535" xr:uid="{00000000-0005-0000-0000-000083080000}"/>
    <cellStyle name="Data 2 11 7 9 2" xfId="536" xr:uid="{00000000-0005-0000-0000-000084080000}"/>
    <cellStyle name="Data 2 11 8" xfId="537" xr:uid="{00000000-0005-0000-0000-000085080000}"/>
    <cellStyle name="Data 2 11 8 10" xfId="538" xr:uid="{00000000-0005-0000-0000-000086080000}"/>
    <cellStyle name="Data 2 11 8 2" xfId="539" xr:uid="{00000000-0005-0000-0000-000087080000}"/>
    <cellStyle name="Data 2 11 8 2 2" xfId="540" xr:uid="{00000000-0005-0000-0000-000088080000}"/>
    <cellStyle name="Data 2 11 8 3" xfId="541" xr:uid="{00000000-0005-0000-0000-000089080000}"/>
    <cellStyle name="Data 2 11 8 3 2" xfId="542" xr:uid="{00000000-0005-0000-0000-00008A080000}"/>
    <cellStyle name="Data 2 11 8 4" xfId="543" xr:uid="{00000000-0005-0000-0000-00008B080000}"/>
    <cellStyle name="Data 2 11 8 4 2" xfId="544" xr:uid="{00000000-0005-0000-0000-00008C080000}"/>
    <cellStyle name="Data 2 11 8 5" xfId="545" xr:uid="{00000000-0005-0000-0000-00008D080000}"/>
    <cellStyle name="Data 2 11 8 5 2" xfId="546" xr:uid="{00000000-0005-0000-0000-00008E080000}"/>
    <cellStyle name="Data 2 11 8 6" xfId="547" xr:uid="{00000000-0005-0000-0000-00008F080000}"/>
    <cellStyle name="Data 2 11 8 6 2" xfId="548" xr:uid="{00000000-0005-0000-0000-000090080000}"/>
    <cellStyle name="Data 2 11 8 7" xfId="549" xr:uid="{00000000-0005-0000-0000-000091080000}"/>
    <cellStyle name="Data 2 11 8 7 2" xfId="550" xr:uid="{00000000-0005-0000-0000-000092080000}"/>
    <cellStyle name="Data 2 11 8 8" xfId="551" xr:uid="{00000000-0005-0000-0000-000093080000}"/>
    <cellStyle name="Data 2 11 8 8 2" xfId="552" xr:uid="{00000000-0005-0000-0000-000094080000}"/>
    <cellStyle name="Data 2 11 8 9" xfId="553" xr:uid="{00000000-0005-0000-0000-000095080000}"/>
    <cellStyle name="Data 2 11 8 9 2" xfId="554" xr:uid="{00000000-0005-0000-0000-000096080000}"/>
    <cellStyle name="Data 2 11 9" xfId="555" xr:uid="{00000000-0005-0000-0000-000097080000}"/>
    <cellStyle name="Data 2 11 9 10" xfId="556" xr:uid="{00000000-0005-0000-0000-000098080000}"/>
    <cellStyle name="Data 2 11 9 2" xfId="557" xr:uid="{00000000-0005-0000-0000-000099080000}"/>
    <cellStyle name="Data 2 11 9 2 2" xfId="558" xr:uid="{00000000-0005-0000-0000-00009A080000}"/>
    <cellStyle name="Data 2 11 9 3" xfId="559" xr:uid="{00000000-0005-0000-0000-00009B080000}"/>
    <cellStyle name="Data 2 11 9 3 2" xfId="560" xr:uid="{00000000-0005-0000-0000-00009C080000}"/>
    <cellStyle name="Data 2 11 9 4" xfId="561" xr:uid="{00000000-0005-0000-0000-00009D080000}"/>
    <cellStyle name="Data 2 11 9 4 2" xfId="562" xr:uid="{00000000-0005-0000-0000-00009E080000}"/>
    <cellStyle name="Data 2 11 9 5" xfId="563" xr:uid="{00000000-0005-0000-0000-00009F080000}"/>
    <cellStyle name="Data 2 11 9 5 2" xfId="564" xr:uid="{00000000-0005-0000-0000-0000A0080000}"/>
    <cellStyle name="Data 2 11 9 6" xfId="565" xr:uid="{00000000-0005-0000-0000-0000A1080000}"/>
    <cellStyle name="Data 2 11 9 6 2" xfId="566" xr:uid="{00000000-0005-0000-0000-0000A2080000}"/>
    <cellStyle name="Data 2 11 9 7" xfId="567" xr:uid="{00000000-0005-0000-0000-0000A3080000}"/>
    <cellStyle name="Data 2 11 9 7 2" xfId="568" xr:uid="{00000000-0005-0000-0000-0000A4080000}"/>
    <cellStyle name="Data 2 11 9 8" xfId="569" xr:uid="{00000000-0005-0000-0000-0000A5080000}"/>
    <cellStyle name="Data 2 11 9 8 2" xfId="570" xr:uid="{00000000-0005-0000-0000-0000A6080000}"/>
    <cellStyle name="Data 2 11 9 9" xfId="571" xr:uid="{00000000-0005-0000-0000-0000A7080000}"/>
    <cellStyle name="Data 2 11 9 9 2" xfId="572" xr:uid="{00000000-0005-0000-0000-0000A8080000}"/>
    <cellStyle name="Data 2 2" xfId="155" xr:uid="{00000000-0005-0000-0000-0000A9080000}"/>
    <cellStyle name="Data 2 2 2" xfId="573" xr:uid="{00000000-0005-0000-0000-0000AA080000}"/>
    <cellStyle name="Data 2 2 2 10" xfId="574" xr:uid="{00000000-0005-0000-0000-0000AB080000}"/>
    <cellStyle name="Data 2 2 2 10 10" xfId="575" xr:uid="{00000000-0005-0000-0000-0000AC080000}"/>
    <cellStyle name="Data 2 2 2 10 2" xfId="576" xr:uid="{00000000-0005-0000-0000-0000AD080000}"/>
    <cellStyle name="Data 2 2 2 10 2 2" xfId="577" xr:uid="{00000000-0005-0000-0000-0000AE080000}"/>
    <cellStyle name="Data 2 2 2 10 3" xfId="578" xr:uid="{00000000-0005-0000-0000-0000AF080000}"/>
    <cellStyle name="Data 2 2 2 10 3 2" xfId="579" xr:uid="{00000000-0005-0000-0000-0000B0080000}"/>
    <cellStyle name="Data 2 2 2 10 4" xfId="580" xr:uid="{00000000-0005-0000-0000-0000B1080000}"/>
    <cellStyle name="Data 2 2 2 10 4 2" xfId="581" xr:uid="{00000000-0005-0000-0000-0000B2080000}"/>
    <cellStyle name="Data 2 2 2 10 5" xfId="582" xr:uid="{00000000-0005-0000-0000-0000B3080000}"/>
    <cellStyle name="Data 2 2 2 10 5 2" xfId="583" xr:uid="{00000000-0005-0000-0000-0000B4080000}"/>
    <cellStyle name="Data 2 2 2 10 6" xfId="584" xr:uid="{00000000-0005-0000-0000-0000B5080000}"/>
    <cellStyle name="Data 2 2 2 10 6 2" xfId="585" xr:uid="{00000000-0005-0000-0000-0000B6080000}"/>
    <cellStyle name="Data 2 2 2 10 7" xfId="586" xr:uid="{00000000-0005-0000-0000-0000B7080000}"/>
    <cellStyle name="Data 2 2 2 10 7 2" xfId="587" xr:uid="{00000000-0005-0000-0000-0000B8080000}"/>
    <cellStyle name="Data 2 2 2 10 8" xfId="588" xr:uid="{00000000-0005-0000-0000-0000B9080000}"/>
    <cellStyle name="Data 2 2 2 10 8 2" xfId="589" xr:uid="{00000000-0005-0000-0000-0000BA080000}"/>
    <cellStyle name="Data 2 2 2 10 9" xfId="590" xr:uid="{00000000-0005-0000-0000-0000BB080000}"/>
    <cellStyle name="Data 2 2 2 10 9 2" xfId="591" xr:uid="{00000000-0005-0000-0000-0000BC080000}"/>
    <cellStyle name="Data 2 2 2 11" xfId="592" xr:uid="{00000000-0005-0000-0000-0000BD080000}"/>
    <cellStyle name="Data 2 2 2 11 2" xfId="593" xr:uid="{00000000-0005-0000-0000-0000BE080000}"/>
    <cellStyle name="Data 2 2 2 11 2 2" xfId="594" xr:uid="{00000000-0005-0000-0000-0000BF080000}"/>
    <cellStyle name="Data 2 2 2 11 3" xfId="595" xr:uid="{00000000-0005-0000-0000-0000C0080000}"/>
    <cellStyle name="Data 2 2 2 11 3 2" xfId="596" xr:uid="{00000000-0005-0000-0000-0000C1080000}"/>
    <cellStyle name="Data 2 2 2 11 4" xfId="597" xr:uid="{00000000-0005-0000-0000-0000C2080000}"/>
    <cellStyle name="Data 2 2 2 11 4 2" xfId="598" xr:uid="{00000000-0005-0000-0000-0000C3080000}"/>
    <cellStyle name="Data 2 2 2 11 5" xfId="599" xr:uid="{00000000-0005-0000-0000-0000C4080000}"/>
    <cellStyle name="Data 2 2 2 11 5 2" xfId="600" xr:uid="{00000000-0005-0000-0000-0000C5080000}"/>
    <cellStyle name="Data 2 2 2 11 6" xfId="601" xr:uid="{00000000-0005-0000-0000-0000C6080000}"/>
    <cellStyle name="Data 2 2 2 11 6 2" xfId="602" xr:uid="{00000000-0005-0000-0000-0000C7080000}"/>
    <cellStyle name="Data 2 2 2 11 7" xfId="603" xr:uid="{00000000-0005-0000-0000-0000C8080000}"/>
    <cellStyle name="Data 2 2 2 11 7 2" xfId="604" xr:uid="{00000000-0005-0000-0000-0000C9080000}"/>
    <cellStyle name="Data 2 2 2 11 8" xfId="605" xr:uid="{00000000-0005-0000-0000-0000CA080000}"/>
    <cellStyle name="Data 2 2 2 11 8 2" xfId="606" xr:uid="{00000000-0005-0000-0000-0000CB080000}"/>
    <cellStyle name="Data 2 2 2 11 9" xfId="607" xr:uid="{00000000-0005-0000-0000-0000CC080000}"/>
    <cellStyle name="Data 2 2 2 2" xfId="608" xr:uid="{00000000-0005-0000-0000-0000CD080000}"/>
    <cellStyle name="Data 2 2 2 2 10" xfId="609" xr:uid="{00000000-0005-0000-0000-0000CE080000}"/>
    <cellStyle name="Data 2 2 2 2 2" xfId="610" xr:uid="{00000000-0005-0000-0000-0000CF080000}"/>
    <cellStyle name="Data 2 2 2 2 2 2" xfId="611" xr:uid="{00000000-0005-0000-0000-0000D0080000}"/>
    <cellStyle name="Data 2 2 2 2 3" xfId="612" xr:uid="{00000000-0005-0000-0000-0000D1080000}"/>
    <cellStyle name="Data 2 2 2 2 3 2" xfId="613" xr:uid="{00000000-0005-0000-0000-0000D2080000}"/>
    <cellStyle name="Data 2 2 2 2 4" xfId="614" xr:uid="{00000000-0005-0000-0000-0000D3080000}"/>
    <cellStyle name="Data 2 2 2 2 4 2" xfId="615" xr:uid="{00000000-0005-0000-0000-0000D4080000}"/>
    <cellStyle name="Data 2 2 2 2 5" xfId="616" xr:uid="{00000000-0005-0000-0000-0000D5080000}"/>
    <cellStyle name="Data 2 2 2 2 5 2" xfId="617" xr:uid="{00000000-0005-0000-0000-0000D6080000}"/>
    <cellStyle name="Data 2 2 2 2 6" xfId="618" xr:uid="{00000000-0005-0000-0000-0000D7080000}"/>
    <cellStyle name="Data 2 2 2 2 6 2" xfId="619" xr:uid="{00000000-0005-0000-0000-0000D8080000}"/>
    <cellStyle name="Data 2 2 2 2 7" xfId="620" xr:uid="{00000000-0005-0000-0000-0000D9080000}"/>
    <cellStyle name="Data 2 2 2 2 7 2" xfId="621" xr:uid="{00000000-0005-0000-0000-0000DA080000}"/>
    <cellStyle name="Data 2 2 2 2 8" xfId="622" xr:uid="{00000000-0005-0000-0000-0000DB080000}"/>
    <cellStyle name="Data 2 2 2 2 8 2" xfId="623" xr:uid="{00000000-0005-0000-0000-0000DC080000}"/>
    <cellStyle name="Data 2 2 2 2 9" xfId="624" xr:uid="{00000000-0005-0000-0000-0000DD080000}"/>
    <cellStyle name="Data 2 2 2 2 9 2" xfId="625" xr:uid="{00000000-0005-0000-0000-0000DE080000}"/>
    <cellStyle name="Data 2 2 2 3" xfId="626" xr:uid="{00000000-0005-0000-0000-0000DF080000}"/>
    <cellStyle name="Data 2 2 2 3 10" xfId="627" xr:uid="{00000000-0005-0000-0000-0000E0080000}"/>
    <cellStyle name="Data 2 2 2 3 2" xfId="628" xr:uid="{00000000-0005-0000-0000-0000E1080000}"/>
    <cellStyle name="Data 2 2 2 3 2 2" xfId="629" xr:uid="{00000000-0005-0000-0000-0000E2080000}"/>
    <cellStyle name="Data 2 2 2 3 3" xfId="630" xr:uid="{00000000-0005-0000-0000-0000E3080000}"/>
    <cellStyle name="Data 2 2 2 3 3 2" xfId="631" xr:uid="{00000000-0005-0000-0000-0000E4080000}"/>
    <cellStyle name="Data 2 2 2 3 4" xfId="632" xr:uid="{00000000-0005-0000-0000-0000E5080000}"/>
    <cellStyle name="Data 2 2 2 3 4 2" xfId="633" xr:uid="{00000000-0005-0000-0000-0000E6080000}"/>
    <cellStyle name="Data 2 2 2 3 5" xfId="634" xr:uid="{00000000-0005-0000-0000-0000E7080000}"/>
    <cellStyle name="Data 2 2 2 3 5 2" xfId="635" xr:uid="{00000000-0005-0000-0000-0000E8080000}"/>
    <cellStyle name="Data 2 2 2 3 6" xfId="636" xr:uid="{00000000-0005-0000-0000-0000E9080000}"/>
    <cellStyle name="Data 2 2 2 3 6 2" xfId="637" xr:uid="{00000000-0005-0000-0000-0000EA080000}"/>
    <cellStyle name="Data 2 2 2 3 7" xfId="638" xr:uid="{00000000-0005-0000-0000-0000EB080000}"/>
    <cellStyle name="Data 2 2 2 3 7 2" xfId="639" xr:uid="{00000000-0005-0000-0000-0000EC080000}"/>
    <cellStyle name="Data 2 2 2 3 8" xfId="640" xr:uid="{00000000-0005-0000-0000-0000ED080000}"/>
    <cellStyle name="Data 2 2 2 3 8 2" xfId="641" xr:uid="{00000000-0005-0000-0000-0000EE080000}"/>
    <cellStyle name="Data 2 2 2 3 9" xfId="642" xr:uid="{00000000-0005-0000-0000-0000EF080000}"/>
    <cellStyle name="Data 2 2 2 3 9 2" xfId="643" xr:uid="{00000000-0005-0000-0000-0000F0080000}"/>
    <cellStyle name="Data 2 2 2 4" xfId="644" xr:uid="{00000000-0005-0000-0000-0000F1080000}"/>
    <cellStyle name="Data 2 2 2 4 10" xfId="645" xr:uid="{00000000-0005-0000-0000-0000F2080000}"/>
    <cellStyle name="Data 2 2 2 4 2" xfId="646" xr:uid="{00000000-0005-0000-0000-0000F3080000}"/>
    <cellStyle name="Data 2 2 2 4 2 2" xfId="647" xr:uid="{00000000-0005-0000-0000-0000F4080000}"/>
    <cellStyle name="Data 2 2 2 4 3" xfId="648" xr:uid="{00000000-0005-0000-0000-0000F5080000}"/>
    <cellStyle name="Data 2 2 2 4 3 2" xfId="649" xr:uid="{00000000-0005-0000-0000-0000F6080000}"/>
    <cellStyle name="Data 2 2 2 4 4" xfId="650" xr:uid="{00000000-0005-0000-0000-0000F7080000}"/>
    <cellStyle name="Data 2 2 2 4 4 2" xfId="651" xr:uid="{00000000-0005-0000-0000-0000F8080000}"/>
    <cellStyle name="Data 2 2 2 4 5" xfId="652" xr:uid="{00000000-0005-0000-0000-0000F9080000}"/>
    <cellStyle name="Data 2 2 2 4 5 2" xfId="653" xr:uid="{00000000-0005-0000-0000-0000FA080000}"/>
    <cellStyle name="Data 2 2 2 4 6" xfId="654" xr:uid="{00000000-0005-0000-0000-0000FB080000}"/>
    <cellStyle name="Data 2 2 2 4 6 2" xfId="655" xr:uid="{00000000-0005-0000-0000-0000FC080000}"/>
    <cellStyle name="Data 2 2 2 4 7" xfId="656" xr:uid="{00000000-0005-0000-0000-0000FD080000}"/>
    <cellStyle name="Data 2 2 2 4 7 2" xfId="657" xr:uid="{00000000-0005-0000-0000-0000FE080000}"/>
    <cellStyle name="Data 2 2 2 4 8" xfId="658" xr:uid="{00000000-0005-0000-0000-0000FF080000}"/>
    <cellStyle name="Data 2 2 2 4 8 2" xfId="659" xr:uid="{00000000-0005-0000-0000-000000090000}"/>
    <cellStyle name="Data 2 2 2 4 9" xfId="660" xr:uid="{00000000-0005-0000-0000-000001090000}"/>
    <cellStyle name="Data 2 2 2 4 9 2" xfId="661" xr:uid="{00000000-0005-0000-0000-000002090000}"/>
    <cellStyle name="Data 2 2 2 5" xfId="662" xr:uid="{00000000-0005-0000-0000-000003090000}"/>
    <cellStyle name="Data 2 2 2 5 10" xfId="663" xr:uid="{00000000-0005-0000-0000-000004090000}"/>
    <cellStyle name="Data 2 2 2 5 2" xfId="664" xr:uid="{00000000-0005-0000-0000-000005090000}"/>
    <cellStyle name="Data 2 2 2 5 2 2" xfId="665" xr:uid="{00000000-0005-0000-0000-000006090000}"/>
    <cellStyle name="Data 2 2 2 5 3" xfId="666" xr:uid="{00000000-0005-0000-0000-000007090000}"/>
    <cellStyle name="Data 2 2 2 5 3 2" xfId="667" xr:uid="{00000000-0005-0000-0000-000008090000}"/>
    <cellStyle name="Data 2 2 2 5 4" xfId="668" xr:uid="{00000000-0005-0000-0000-000009090000}"/>
    <cellStyle name="Data 2 2 2 5 4 2" xfId="669" xr:uid="{00000000-0005-0000-0000-00000A090000}"/>
    <cellStyle name="Data 2 2 2 5 5" xfId="670" xr:uid="{00000000-0005-0000-0000-00000B090000}"/>
    <cellStyle name="Data 2 2 2 5 5 2" xfId="671" xr:uid="{00000000-0005-0000-0000-00000C090000}"/>
    <cellStyle name="Data 2 2 2 5 6" xfId="672" xr:uid="{00000000-0005-0000-0000-00000D090000}"/>
    <cellStyle name="Data 2 2 2 5 6 2" xfId="673" xr:uid="{00000000-0005-0000-0000-00000E090000}"/>
    <cellStyle name="Data 2 2 2 5 7" xfId="674" xr:uid="{00000000-0005-0000-0000-00000F090000}"/>
    <cellStyle name="Data 2 2 2 5 7 2" xfId="675" xr:uid="{00000000-0005-0000-0000-000010090000}"/>
    <cellStyle name="Data 2 2 2 5 8" xfId="676" xr:uid="{00000000-0005-0000-0000-000011090000}"/>
    <cellStyle name="Data 2 2 2 5 8 2" xfId="677" xr:uid="{00000000-0005-0000-0000-000012090000}"/>
    <cellStyle name="Data 2 2 2 5 9" xfId="678" xr:uid="{00000000-0005-0000-0000-000013090000}"/>
    <cellStyle name="Data 2 2 2 5 9 2" xfId="679" xr:uid="{00000000-0005-0000-0000-000014090000}"/>
    <cellStyle name="Data 2 2 2 6" xfId="680" xr:uid="{00000000-0005-0000-0000-000015090000}"/>
    <cellStyle name="Data 2 2 2 6 10" xfId="681" xr:uid="{00000000-0005-0000-0000-000016090000}"/>
    <cellStyle name="Data 2 2 2 6 2" xfId="682" xr:uid="{00000000-0005-0000-0000-000017090000}"/>
    <cellStyle name="Data 2 2 2 6 2 2" xfId="683" xr:uid="{00000000-0005-0000-0000-000018090000}"/>
    <cellStyle name="Data 2 2 2 6 3" xfId="684" xr:uid="{00000000-0005-0000-0000-000019090000}"/>
    <cellStyle name="Data 2 2 2 6 3 2" xfId="685" xr:uid="{00000000-0005-0000-0000-00001A090000}"/>
    <cellStyle name="Data 2 2 2 6 4" xfId="686" xr:uid="{00000000-0005-0000-0000-00001B090000}"/>
    <cellStyle name="Data 2 2 2 6 4 2" xfId="687" xr:uid="{00000000-0005-0000-0000-00001C090000}"/>
    <cellStyle name="Data 2 2 2 6 5" xfId="688" xr:uid="{00000000-0005-0000-0000-00001D090000}"/>
    <cellStyle name="Data 2 2 2 6 5 2" xfId="689" xr:uid="{00000000-0005-0000-0000-00001E090000}"/>
    <cellStyle name="Data 2 2 2 6 6" xfId="690" xr:uid="{00000000-0005-0000-0000-00001F090000}"/>
    <cellStyle name="Data 2 2 2 6 6 2" xfId="691" xr:uid="{00000000-0005-0000-0000-000020090000}"/>
    <cellStyle name="Data 2 2 2 6 7" xfId="692" xr:uid="{00000000-0005-0000-0000-000021090000}"/>
    <cellStyle name="Data 2 2 2 6 7 2" xfId="693" xr:uid="{00000000-0005-0000-0000-000022090000}"/>
    <cellStyle name="Data 2 2 2 6 8" xfId="694" xr:uid="{00000000-0005-0000-0000-000023090000}"/>
    <cellStyle name="Data 2 2 2 6 8 2" xfId="695" xr:uid="{00000000-0005-0000-0000-000024090000}"/>
    <cellStyle name="Data 2 2 2 6 9" xfId="696" xr:uid="{00000000-0005-0000-0000-000025090000}"/>
    <cellStyle name="Data 2 2 2 6 9 2" xfId="697" xr:uid="{00000000-0005-0000-0000-000026090000}"/>
    <cellStyle name="Data 2 2 2 7" xfId="698" xr:uid="{00000000-0005-0000-0000-000027090000}"/>
    <cellStyle name="Data 2 2 2 7 10" xfId="699" xr:uid="{00000000-0005-0000-0000-000028090000}"/>
    <cellStyle name="Data 2 2 2 7 2" xfId="700" xr:uid="{00000000-0005-0000-0000-000029090000}"/>
    <cellStyle name="Data 2 2 2 7 2 2" xfId="701" xr:uid="{00000000-0005-0000-0000-00002A090000}"/>
    <cellStyle name="Data 2 2 2 7 3" xfId="702" xr:uid="{00000000-0005-0000-0000-00002B090000}"/>
    <cellStyle name="Data 2 2 2 7 3 2" xfId="703" xr:uid="{00000000-0005-0000-0000-00002C090000}"/>
    <cellStyle name="Data 2 2 2 7 4" xfId="704" xr:uid="{00000000-0005-0000-0000-00002D090000}"/>
    <cellStyle name="Data 2 2 2 7 4 2" xfId="705" xr:uid="{00000000-0005-0000-0000-00002E090000}"/>
    <cellStyle name="Data 2 2 2 7 5" xfId="706" xr:uid="{00000000-0005-0000-0000-00002F090000}"/>
    <cellStyle name="Data 2 2 2 7 5 2" xfId="707" xr:uid="{00000000-0005-0000-0000-000030090000}"/>
    <cellStyle name="Data 2 2 2 7 6" xfId="708" xr:uid="{00000000-0005-0000-0000-000031090000}"/>
    <cellStyle name="Data 2 2 2 7 6 2" xfId="709" xr:uid="{00000000-0005-0000-0000-000032090000}"/>
    <cellStyle name="Data 2 2 2 7 7" xfId="710" xr:uid="{00000000-0005-0000-0000-000033090000}"/>
    <cellStyle name="Data 2 2 2 7 7 2" xfId="711" xr:uid="{00000000-0005-0000-0000-000034090000}"/>
    <cellStyle name="Data 2 2 2 7 8" xfId="712" xr:uid="{00000000-0005-0000-0000-000035090000}"/>
    <cellStyle name="Data 2 2 2 7 8 2" xfId="713" xr:uid="{00000000-0005-0000-0000-000036090000}"/>
    <cellStyle name="Data 2 2 2 7 9" xfId="714" xr:uid="{00000000-0005-0000-0000-000037090000}"/>
    <cellStyle name="Data 2 2 2 7 9 2" xfId="715" xr:uid="{00000000-0005-0000-0000-000038090000}"/>
    <cellStyle name="Data 2 2 2 8" xfId="716" xr:uid="{00000000-0005-0000-0000-000039090000}"/>
    <cellStyle name="Data 2 2 2 8 10" xfId="717" xr:uid="{00000000-0005-0000-0000-00003A090000}"/>
    <cellStyle name="Data 2 2 2 8 2" xfId="718" xr:uid="{00000000-0005-0000-0000-00003B090000}"/>
    <cellStyle name="Data 2 2 2 8 2 2" xfId="719" xr:uid="{00000000-0005-0000-0000-00003C090000}"/>
    <cellStyle name="Data 2 2 2 8 3" xfId="720" xr:uid="{00000000-0005-0000-0000-00003D090000}"/>
    <cellStyle name="Data 2 2 2 8 3 2" xfId="721" xr:uid="{00000000-0005-0000-0000-00003E090000}"/>
    <cellStyle name="Data 2 2 2 8 4" xfId="722" xr:uid="{00000000-0005-0000-0000-00003F090000}"/>
    <cellStyle name="Data 2 2 2 8 4 2" xfId="723" xr:uid="{00000000-0005-0000-0000-000040090000}"/>
    <cellStyle name="Data 2 2 2 8 5" xfId="724" xr:uid="{00000000-0005-0000-0000-000041090000}"/>
    <cellStyle name="Data 2 2 2 8 5 2" xfId="725" xr:uid="{00000000-0005-0000-0000-000042090000}"/>
    <cellStyle name="Data 2 2 2 8 6" xfId="726" xr:uid="{00000000-0005-0000-0000-000043090000}"/>
    <cellStyle name="Data 2 2 2 8 6 2" xfId="727" xr:uid="{00000000-0005-0000-0000-000044090000}"/>
    <cellStyle name="Data 2 2 2 8 7" xfId="728" xr:uid="{00000000-0005-0000-0000-000045090000}"/>
    <cellStyle name="Data 2 2 2 8 7 2" xfId="729" xr:uid="{00000000-0005-0000-0000-000046090000}"/>
    <cellStyle name="Data 2 2 2 8 8" xfId="730" xr:uid="{00000000-0005-0000-0000-000047090000}"/>
    <cellStyle name="Data 2 2 2 8 8 2" xfId="731" xr:uid="{00000000-0005-0000-0000-000048090000}"/>
    <cellStyle name="Data 2 2 2 8 9" xfId="732" xr:uid="{00000000-0005-0000-0000-000049090000}"/>
    <cellStyle name="Data 2 2 2 8 9 2" xfId="733" xr:uid="{00000000-0005-0000-0000-00004A090000}"/>
    <cellStyle name="Data 2 2 2 9" xfId="734" xr:uid="{00000000-0005-0000-0000-00004B090000}"/>
    <cellStyle name="Data 2 2 2 9 10" xfId="735" xr:uid="{00000000-0005-0000-0000-00004C090000}"/>
    <cellStyle name="Data 2 2 2 9 2" xfId="736" xr:uid="{00000000-0005-0000-0000-00004D090000}"/>
    <cellStyle name="Data 2 2 2 9 2 2" xfId="737" xr:uid="{00000000-0005-0000-0000-00004E090000}"/>
    <cellStyle name="Data 2 2 2 9 3" xfId="738" xr:uid="{00000000-0005-0000-0000-00004F090000}"/>
    <cellStyle name="Data 2 2 2 9 3 2" xfId="739" xr:uid="{00000000-0005-0000-0000-000050090000}"/>
    <cellStyle name="Data 2 2 2 9 4" xfId="740" xr:uid="{00000000-0005-0000-0000-000051090000}"/>
    <cellStyle name="Data 2 2 2 9 4 2" xfId="741" xr:uid="{00000000-0005-0000-0000-000052090000}"/>
    <cellStyle name="Data 2 2 2 9 5" xfId="742" xr:uid="{00000000-0005-0000-0000-000053090000}"/>
    <cellStyle name="Data 2 2 2 9 5 2" xfId="743" xr:uid="{00000000-0005-0000-0000-000054090000}"/>
    <cellStyle name="Data 2 2 2 9 6" xfId="744" xr:uid="{00000000-0005-0000-0000-000055090000}"/>
    <cellStyle name="Data 2 2 2 9 6 2" xfId="745" xr:uid="{00000000-0005-0000-0000-000056090000}"/>
    <cellStyle name="Data 2 2 2 9 7" xfId="746" xr:uid="{00000000-0005-0000-0000-000057090000}"/>
    <cellStyle name="Data 2 2 2 9 7 2" xfId="747" xr:uid="{00000000-0005-0000-0000-000058090000}"/>
    <cellStyle name="Data 2 2 2 9 8" xfId="748" xr:uid="{00000000-0005-0000-0000-000059090000}"/>
    <cellStyle name="Data 2 2 2 9 8 2" xfId="749" xr:uid="{00000000-0005-0000-0000-00005A090000}"/>
    <cellStyle name="Data 2 2 2 9 9" xfId="750" xr:uid="{00000000-0005-0000-0000-00005B090000}"/>
    <cellStyle name="Data 2 2 2 9 9 2" xfId="751" xr:uid="{00000000-0005-0000-0000-00005C090000}"/>
    <cellStyle name="Data 2 2 3" xfId="752" xr:uid="{00000000-0005-0000-0000-00005D090000}"/>
    <cellStyle name="Data 2 2 3 10" xfId="753" xr:uid="{00000000-0005-0000-0000-00005E090000}"/>
    <cellStyle name="Data 2 2 3 10 10" xfId="754" xr:uid="{00000000-0005-0000-0000-00005F090000}"/>
    <cellStyle name="Data 2 2 3 10 2" xfId="755" xr:uid="{00000000-0005-0000-0000-000060090000}"/>
    <cellStyle name="Data 2 2 3 10 2 2" xfId="756" xr:uid="{00000000-0005-0000-0000-000061090000}"/>
    <cellStyle name="Data 2 2 3 10 3" xfId="757" xr:uid="{00000000-0005-0000-0000-000062090000}"/>
    <cellStyle name="Data 2 2 3 10 3 2" xfId="758" xr:uid="{00000000-0005-0000-0000-000063090000}"/>
    <cellStyle name="Data 2 2 3 10 4" xfId="759" xr:uid="{00000000-0005-0000-0000-000064090000}"/>
    <cellStyle name="Data 2 2 3 10 4 2" xfId="760" xr:uid="{00000000-0005-0000-0000-000065090000}"/>
    <cellStyle name="Data 2 2 3 10 5" xfId="761" xr:uid="{00000000-0005-0000-0000-000066090000}"/>
    <cellStyle name="Data 2 2 3 10 5 2" xfId="762" xr:uid="{00000000-0005-0000-0000-000067090000}"/>
    <cellStyle name="Data 2 2 3 10 6" xfId="763" xr:uid="{00000000-0005-0000-0000-000068090000}"/>
    <cellStyle name="Data 2 2 3 10 6 2" xfId="764" xr:uid="{00000000-0005-0000-0000-000069090000}"/>
    <cellStyle name="Data 2 2 3 10 7" xfId="765" xr:uid="{00000000-0005-0000-0000-00006A090000}"/>
    <cellStyle name="Data 2 2 3 10 7 2" xfId="766" xr:uid="{00000000-0005-0000-0000-00006B090000}"/>
    <cellStyle name="Data 2 2 3 10 8" xfId="767" xr:uid="{00000000-0005-0000-0000-00006C090000}"/>
    <cellStyle name="Data 2 2 3 10 8 2" xfId="768" xr:uid="{00000000-0005-0000-0000-00006D090000}"/>
    <cellStyle name="Data 2 2 3 10 9" xfId="769" xr:uid="{00000000-0005-0000-0000-00006E090000}"/>
    <cellStyle name="Data 2 2 3 10 9 2" xfId="770" xr:uid="{00000000-0005-0000-0000-00006F090000}"/>
    <cellStyle name="Data 2 2 3 11" xfId="771" xr:uid="{00000000-0005-0000-0000-000070090000}"/>
    <cellStyle name="Data 2 2 3 11 2" xfId="772" xr:uid="{00000000-0005-0000-0000-000071090000}"/>
    <cellStyle name="Data 2 2 3 11 2 2" xfId="773" xr:uid="{00000000-0005-0000-0000-000072090000}"/>
    <cellStyle name="Data 2 2 3 11 3" xfId="774" xr:uid="{00000000-0005-0000-0000-000073090000}"/>
    <cellStyle name="Data 2 2 3 11 3 2" xfId="775" xr:uid="{00000000-0005-0000-0000-000074090000}"/>
    <cellStyle name="Data 2 2 3 11 4" xfId="776" xr:uid="{00000000-0005-0000-0000-000075090000}"/>
    <cellStyle name="Data 2 2 3 11 4 2" xfId="777" xr:uid="{00000000-0005-0000-0000-000076090000}"/>
    <cellStyle name="Data 2 2 3 11 5" xfId="778" xr:uid="{00000000-0005-0000-0000-000077090000}"/>
    <cellStyle name="Data 2 2 3 11 5 2" xfId="779" xr:uid="{00000000-0005-0000-0000-000078090000}"/>
    <cellStyle name="Data 2 2 3 11 6" xfId="780" xr:uid="{00000000-0005-0000-0000-000079090000}"/>
    <cellStyle name="Data 2 2 3 11 6 2" xfId="781" xr:uid="{00000000-0005-0000-0000-00007A090000}"/>
    <cellStyle name="Data 2 2 3 11 7" xfId="782" xr:uid="{00000000-0005-0000-0000-00007B090000}"/>
    <cellStyle name="Data 2 2 3 11 7 2" xfId="783" xr:uid="{00000000-0005-0000-0000-00007C090000}"/>
    <cellStyle name="Data 2 2 3 11 8" xfId="784" xr:uid="{00000000-0005-0000-0000-00007D090000}"/>
    <cellStyle name="Data 2 2 3 11 8 2" xfId="785" xr:uid="{00000000-0005-0000-0000-00007E090000}"/>
    <cellStyle name="Data 2 2 3 11 9" xfId="786" xr:uid="{00000000-0005-0000-0000-00007F090000}"/>
    <cellStyle name="Data 2 2 3 2" xfId="787" xr:uid="{00000000-0005-0000-0000-000080090000}"/>
    <cellStyle name="Data 2 2 3 2 10" xfId="788" xr:uid="{00000000-0005-0000-0000-000081090000}"/>
    <cellStyle name="Data 2 2 3 2 2" xfId="789" xr:uid="{00000000-0005-0000-0000-000082090000}"/>
    <cellStyle name="Data 2 2 3 2 2 2" xfId="790" xr:uid="{00000000-0005-0000-0000-000083090000}"/>
    <cellStyle name="Data 2 2 3 2 3" xfId="791" xr:uid="{00000000-0005-0000-0000-000084090000}"/>
    <cellStyle name="Data 2 2 3 2 3 2" xfId="792" xr:uid="{00000000-0005-0000-0000-000085090000}"/>
    <cellStyle name="Data 2 2 3 2 4" xfId="793" xr:uid="{00000000-0005-0000-0000-000086090000}"/>
    <cellStyle name="Data 2 2 3 2 4 2" xfId="794" xr:uid="{00000000-0005-0000-0000-000087090000}"/>
    <cellStyle name="Data 2 2 3 2 5" xfId="795" xr:uid="{00000000-0005-0000-0000-000088090000}"/>
    <cellStyle name="Data 2 2 3 2 5 2" xfId="796" xr:uid="{00000000-0005-0000-0000-000089090000}"/>
    <cellStyle name="Data 2 2 3 2 6" xfId="797" xr:uid="{00000000-0005-0000-0000-00008A090000}"/>
    <cellStyle name="Data 2 2 3 2 6 2" xfId="798" xr:uid="{00000000-0005-0000-0000-00008B090000}"/>
    <cellStyle name="Data 2 2 3 2 7" xfId="799" xr:uid="{00000000-0005-0000-0000-00008C090000}"/>
    <cellStyle name="Data 2 2 3 2 7 2" xfId="800" xr:uid="{00000000-0005-0000-0000-00008D090000}"/>
    <cellStyle name="Data 2 2 3 2 8" xfId="801" xr:uid="{00000000-0005-0000-0000-00008E090000}"/>
    <cellStyle name="Data 2 2 3 2 8 2" xfId="802" xr:uid="{00000000-0005-0000-0000-00008F090000}"/>
    <cellStyle name="Data 2 2 3 2 9" xfId="803" xr:uid="{00000000-0005-0000-0000-000090090000}"/>
    <cellStyle name="Data 2 2 3 2 9 2" xfId="804" xr:uid="{00000000-0005-0000-0000-000091090000}"/>
    <cellStyle name="Data 2 2 3 3" xfId="805" xr:uid="{00000000-0005-0000-0000-000092090000}"/>
    <cellStyle name="Data 2 2 3 3 10" xfId="806" xr:uid="{00000000-0005-0000-0000-000093090000}"/>
    <cellStyle name="Data 2 2 3 3 2" xfId="807" xr:uid="{00000000-0005-0000-0000-000094090000}"/>
    <cellStyle name="Data 2 2 3 3 2 2" xfId="808" xr:uid="{00000000-0005-0000-0000-000095090000}"/>
    <cellStyle name="Data 2 2 3 3 3" xfId="809" xr:uid="{00000000-0005-0000-0000-000096090000}"/>
    <cellStyle name="Data 2 2 3 3 3 2" xfId="810" xr:uid="{00000000-0005-0000-0000-000097090000}"/>
    <cellStyle name="Data 2 2 3 3 4" xfId="811" xr:uid="{00000000-0005-0000-0000-000098090000}"/>
    <cellStyle name="Data 2 2 3 3 4 2" xfId="812" xr:uid="{00000000-0005-0000-0000-000099090000}"/>
    <cellStyle name="Data 2 2 3 3 5" xfId="813" xr:uid="{00000000-0005-0000-0000-00009A090000}"/>
    <cellStyle name="Data 2 2 3 3 5 2" xfId="814" xr:uid="{00000000-0005-0000-0000-00009B090000}"/>
    <cellStyle name="Data 2 2 3 3 6" xfId="815" xr:uid="{00000000-0005-0000-0000-00009C090000}"/>
    <cellStyle name="Data 2 2 3 3 6 2" xfId="816" xr:uid="{00000000-0005-0000-0000-00009D090000}"/>
    <cellStyle name="Data 2 2 3 3 7" xfId="817" xr:uid="{00000000-0005-0000-0000-00009E090000}"/>
    <cellStyle name="Data 2 2 3 3 7 2" xfId="818" xr:uid="{00000000-0005-0000-0000-00009F090000}"/>
    <cellStyle name="Data 2 2 3 3 8" xfId="819" xr:uid="{00000000-0005-0000-0000-0000A0090000}"/>
    <cellStyle name="Data 2 2 3 3 8 2" xfId="820" xr:uid="{00000000-0005-0000-0000-0000A1090000}"/>
    <cellStyle name="Data 2 2 3 3 9" xfId="821" xr:uid="{00000000-0005-0000-0000-0000A2090000}"/>
    <cellStyle name="Data 2 2 3 3 9 2" xfId="822" xr:uid="{00000000-0005-0000-0000-0000A3090000}"/>
    <cellStyle name="Data 2 2 3 4" xfId="823" xr:uid="{00000000-0005-0000-0000-0000A4090000}"/>
    <cellStyle name="Data 2 2 3 4 10" xfId="824" xr:uid="{00000000-0005-0000-0000-0000A5090000}"/>
    <cellStyle name="Data 2 2 3 4 2" xfId="825" xr:uid="{00000000-0005-0000-0000-0000A6090000}"/>
    <cellStyle name="Data 2 2 3 4 2 2" xfId="826" xr:uid="{00000000-0005-0000-0000-0000A7090000}"/>
    <cellStyle name="Data 2 2 3 4 3" xfId="827" xr:uid="{00000000-0005-0000-0000-0000A8090000}"/>
    <cellStyle name="Data 2 2 3 4 3 2" xfId="828" xr:uid="{00000000-0005-0000-0000-0000A9090000}"/>
    <cellStyle name="Data 2 2 3 4 4" xfId="829" xr:uid="{00000000-0005-0000-0000-0000AA090000}"/>
    <cellStyle name="Data 2 2 3 4 4 2" xfId="830" xr:uid="{00000000-0005-0000-0000-0000AB090000}"/>
    <cellStyle name="Data 2 2 3 4 5" xfId="831" xr:uid="{00000000-0005-0000-0000-0000AC090000}"/>
    <cellStyle name="Data 2 2 3 4 5 2" xfId="832" xr:uid="{00000000-0005-0000-0000-0000AD090000}"/>
    <cellStyle name="Data 2 2 3 4 6" xfId="833" xr:uid="{00000000-0005-0000-0000-0000AE090000}"/>
    <cellStyle name="Data 2 2 3 4 6 2" xfId="834" xr:uid="{00000000-0005-0000-0000-0000AF090000}"/>
    <cellStyle name="Data 2 2 3 4 7" xfId="835" xr:uid="{00000000-0005-0000-0000-0000B0090000}"/>
    <cellStyle name="Data 2 2 3 4 7 2" xfId="836" xr:uid="{00000000-0005-0000-0000-0000B1090000}"/>
    <cellStyle name="Data 2 2 3 4 8" xfId="837" xr:uid="{00000000-0005-0000-0000-0000B2090000}"/>
    <cellStyle name="Data 2 2 3 4 8 2" xfId="838" xr:uid="{00000000-0005-0000-0000-0000B3090000}"/>
    <cellStyle name="Data 2 2 3 4 9" xfId="839" xr:uid="{00000000-0005-0000-0000-0000B4090000}"/>
    <cellStyle name="Data 2 2 3 4 9 2" xfId="840" xr:uid="{00000000-0005-0000-0000-0000B5090000}"/>
    <cellStyle name="Data 2 2 3 5" xfId="841" xr:uid="{00000000-0005-0000-0000-0000B6090000}"/>
    <cellStyle name="Data 2 2 3 5 10" xfId="842" xr:uid="{00000000-0005-0000-0000-0000B7090000}"/>
    <cellStyle name="Data 2 2 3 5 2" xfId="843" xr:uid="{00000000-0005-0000-0000-0000B8090000}"/>
    <cellStyle name="Data 2 2 3 5 2 2" xfId="844" xr:uid="{00000000-0005-0000-0000-0000B9090000}"/>
    <cellStyle name="Data 2 2 3 5 3" xfId="845" xr:uid="{00000000-0005-0000-0000-0000BA090000}"/>
    <cellStyle name="Data 2 2 3 5 3 2" xfId="846" xr:uid="{00000000-0005-0000-0000-0000BB090000}"/>
    <cellStyle name="Data 2 2 3 5 4" xfId="847" xr:uid="{00000000-0005-0000-0000-0000BC090000}"/>
    <cellStyle name="Data 2 2 3 5 4 2" xfId="848" xr:uid="{00000000-0005-0000-0000-0000BD090000}"/>
    <cellStyle name="Data 2 2 3 5 5" xfId="849" xr:uid="{00000000-0005-0000-0000-0000BE090000}"/>
    <cellStyle name="Data 2 2 3 5 5 2" xfId="850" xr:uid="{00000000-0005-0000-0000-0000BF090000}"/>
    <cellStyle name="Data 2 2 3 5 6" xfId="851" xr:uid="{00000000-0005-0000-0000-0000C0090000}"/>
    <cellStyle name="Data 2 2 3 5 6 2" xfId="852" xr:uid="{00000000-0005-0000-0000-0000C1090000}"/>
    <cellStyle name="Data 2 2 3 5 7" xfId="853" xr:uid="{00000000-0005-0000-0000-0000C2090000}"/>
    <cellStyle name="Data 2 2 3 5 7 2" xfId="854" xr:uid="{00000000-0005-0000-0000-0000C3090000}"/>
    <cellStyle name="Data 2 2 3 5 8" xfId="855" xr:uid="{00000000-0005-0000-0000-0000C4090000}"/>
    <cellStyle name="Data 2 2 3 5 8 2" xfId="856" xr:uid="{00000000-0005-0000-0000-0000C5090000}"/>
    <cellStyle name="Data 2 2 3 5 9" xfId="857" xr:uid="{00000000-0005-0000-0000-0000C6090000}"/>
    <cellStyle name="Data 2 2 3 5 9 2" xfId="858" xr:uid="{00000000-0005-0000-0000-0000C7090000}"/>
    <cellStyle name="Data 2 2 3 6" xfId="859" xr:uid="{00000000-0005-0000-0000-0000C8090000}"/>
    <cellStyle name="Data 2 2 3 6 10" xfId="860" xr:uid="{00000000-0005-0000-0000-0000C9090000}"/>
    <cellStyle name="Data 2 2 3 6 2" xfId="861" xr:uid="{00000000-0005-0000-0000-0000CA090000}"/>
    <cellStyle name="Data 2 2 3 6 2 2" xfId="862" xr:uid="{00000000-0005-0000-0000-0000CB090000}"/>
    <cellStyle name="Data 2 2 3 6 3" xfId="863" xr:uid="{00000000-0005-0000-0000-0000CC090000}"/>
    <cellStyle name="Data 2 2 3 6 3 2" xfId="864" xr:uid="{00000000-0005-0000-0000-0000CD090000}"/>
    <cellStyle name="Data 2 2 3 6 4" xfId="865" xr:uid="{00000000-0005-0000-0000-0000CE090000}"/>
    <cellStyle name="Data 2 2 3 6 4 2" xfId="866" xr:uid="{00000000-0005-0000-0000-0000CF090000}"/>
    <cellStyle name="Data 2 2 3 6 5" xfId="867" xr:uid="{00000000-0005-0000-0000-0000D0090000}"/>
    <cellStyle name="Data 2 2 3 6 5 2" xfId="868" xr:uid="{00000000-0005-0000-0000-0000D1090000}"/>
    <cellStyle name="Data 2 2 3 6 6" xfId="869" xr:uid="{00000000-0005-0000-0000-0000D2090000}"/>
    <cellStyle name="Data 2 2 3 6 6 2" xfId="870" xr:uid="{00000000-0005-0000-0000-0000D3090000}"/>
    <cellStyle name="Data 2 2 3 6 7" xfId="871" xr:uid="{00000000-0005-0000-0000-0000D4090000}"/>
    <cellStyle name="Data 2 2 3 6 7 2" xfId="872" xr:uid="{00000000-0005-0000-0000-0000D5090000}"/>
    <cellStyle name="Data 2 2 3 6 8" xfId="873" xr:uid="{00000000-0005-0000-0000-0000D6090000}"/>
    <cellStyle name="Data 2 2 3 6 8 2" xfId="874" xr:uid="{00000000-0005-0000-0000-0000D7090000}"/>
    <cellStyle name="Data 2 2 3 6 9" xfId="875" xr:uid="{00000000-0005-0000-0000-0000D8090000}"/>
    <cellStyle name="Data 2 2 3 6 9 2" xfId="876" xr:uid="{00000000-0005-0000-0000-0000D9090000}"/>
    <cellStyle name="Data 2 2 3 7" xfId="877" xr:uid="{00000000-0005-0000-0000-0000DA090000}"/>
    <cellStyle name="Data 2 2 3 7 10" xfId="878" xr:uid="{00000000-0005-0000-0000-0000DB090000}"/>
    <cellStyle name="Data 2 2 3 7 2" xfId="879" xr:uid="{00000000-0005-0000-0000-0000DC090000}"/>
    <cellStyle name="Data 2 2 3 7 2 2" xfId="880" xr:uid="{00000000-0005-0000-0000-0000DD090000}"/>
    <cellStyle name="Data 2 2 3 7 3" xfId="881" xr:uid="{00000000-0005-0000-0000-0000DE090000}"/>
    <cellStyle name="Data 2 2 3 7 3 2" xfId="882" xr:uid="{00000000-0005-0000-0000-0000DF090000}"/>
    <cellStyle name="Data 2 2 3 7 4" xfId="883" xr:uid="{00000000-0005-0000-0000-0000E0090000}"/>
    <cellStyle name="Data 2 2 3 7 4 2" xfId="884" xr:uid="{00000000-0005-0000-0000-0000E1090000}"/>
    <cellStyle name="Data 2 2 3 7 5" xfId="885" xr:uid="{00000000-0005-0000-0000-0000E2090000}"/>
    <cellStyle name="Data 2 2 3 7 5 2" xfId="886" xr:uid="{00000000-0005-0000-0000-0000E3090000}"/>
    <cellStyle name="Data 2 2 3 7 6" xfId="887" xr:uid="{00000000-0005-0000-0000-0000E4090000}"/>
    <cellStyle name="Data 2 2 3 7 6 2" xfId="888" xr:uid="{00000000-0005-0000-0000-0000E5090000}"/>
    <cellStyle name="Data 2 2 3 7 7" xfId="889" xr:uid="{00000000-0005-0000-0000-0000E6090000}"/>
    <cellStyle name="Data 2 2 3 7 7 2" xfId="890" xr:uid="{00000000-0005-0000-0000-0000E7090000}"/>
    <cellStyle name="Data 2 2 3 7 8" xfId="891" xr:uid="{00000000-0005-0000-0000-0000E8090000}"/>
    <cellStyle name="Data 2 2 3 7 8 2" xfId="892" xr:uid="{00000000-0005-0000-0000-0000E9090000}"/>
    <cellStyle name="Data 2 2 3 7 9" xfId="893" xr:uid="{00000000-0005-0000-0000-0000EA090000}"/>
    <cellStyle name="Data 2 2 3 7 9 2" xfId="894" xr:uid="{00000000-0005-0000-0000-0000EB090000}"/>
    <cellStyle name="Data 2 2 3 8" xfId="895" xr:uid="{00000000-0005-0000-0000-0000EC090000}"/>
    <cellStyle name="Data 2 2 3 8 10" xfId="896" xr:uid="{00000000-0005-0000-0000-0000ED090000}"/>
    <cellStyle name="Data 2 2 3 8 2" xfId="897" xr:uid="{00000000-0005-0000-0000-0000EE090000}"/>
    <cellStyle name="Data 2 2 3 8 2 2" xfId="898" xr:uid="{00000000-0005-0000-0000-0000EF090000}"/>
    <cellStyle name="Data 2 2 3 8 3" xfId="899" xr:uid="{00000000-0005-0000-0000-0000F0090000}"/>
    <cellStyle name="Data 2 2 3 8 3 2" xfId="900" xr:uid="{00000000-0005-0000-0000-0000F1090000}"/>
    <cellStyle name="Data 2 2 3 8 4" xfId="901" xr:uid="{00000000-0005-0000-0000-0000F2090000}"/>
    <cellStyle name="Data 2 2 3 8 4 2" xfId="902" xr:uid="{00000000-0005-0000-0000-0000F3090000}"/>
    <cellStyle name="Data 2 2 3 8 5" xfId="903" xr:uid="{00000000-0005-0000-0000-0000F4090000}"/>
    <cellStyle name="Data 2 2 3 8 5 2" xfId="904" xr:uid="{00000000-0005-0000-0000-0000F5090000}"/>
    <cellStyle name="Data 2 2 3 8 6" xfId="905" xr:uid="{00000000-0005-0000-0000-0000F6090000}"/>
    <cellStyle name="Data 2 2 3 8 6 2" xfId="906" xr:uid="{00000000-0005-0000-0000-0000F7090000}"/>
    <cellStyle name="Data 2 2 3 8 7" xfId="907" xr:uid="{00000000-0005-0000-0000-0000F8090000}"/>
    <cellStyle name="Data 2 2 3 8 7 2" xfId="908" xr:uid="{00000000-0005-0000-0000-0000F9090000}"/>
    <cellStyle name="Data 2 2 3 8 8" xfId="909" xr:uid="{00000000-0005-0000-0000-0000FA090000}"/>
    <cellStyle name="Data 2 2 3 8 8 2" xfId="910" xr:uid="{00000000-0005-0000-0000-0000FB090000}"/>
    <cellStyle name="Data 2 2 3 8 9" xfId="911" xr:uid="{00000000-0005-0000-0000-0000FC090000}"/>
    <cellStyle name="Data 2 2 3 8 9 2" xfId="912" xr:uid="{00000000-0005-0000-0000-0000FD090000}"/>
    <cellStyle name="Data 2 2 3 9" xfId="913" xr:uid="{00000000-0005-0000-0000-0000FE090000}"/>
    <cellStyle name="Data 2 2 3 9 10" xfId="914" xr:uid="{00000000-0005-0000-0000-0000FF090000}"/>
    <cellStyle name="Data 2 2 3 9 2" xfId="915" xr:uid="{00000000-0005-0000-0000-0000000A0000}"/>
    <cellStyle name="Data 2 2 3 9 2 2" xfId="916" xr:uid="{00000000-0005-0000-0000-0000010A0000}"/>
    <cellStyle name="Data 2 2 3 9 3" xfId="917" xr:uid="{00000000-0005-0000-0000-0000020A0000}"/>
    <cellStyle name="Data 2 2 3 9 3 2" xfId="918" xr:uid="{00000000-0005-0000-0000-0000030A0000}"/>
    <cellStyle name="Data 2 2 3 9 4" xfId="919" xr:uid="{00000000-0005-0000-0000-0000040A0000}"/>
    <cellStyle name="Data 2 2 3 9 4 2" xfId="920" xr:uid="{00000000-0005-0000-0000-0000050A0000}"/>
    <cellStyle name="Data 2 2 3 9 5" xfId="921" xr:uid="{00000000-0005-0000-0000-0000060A0000}"/>
    <cellStyle name="Data 2 2 3 9 5 2" xfId="922" xr:uid="{00000000-0005-0000-0000-0000070A0000}"/>
    <cellStyle name="Data 2 2 3 9 6" xfId="923" xr:uid="{00000000-0005-0000-0000-0000080A0000}"/>
    <cellStyle name="Data 2 2 3 9 6 2" xfId="924" xr:uid="{00000000-0005-0000-0000-0000090A0000}"/>
    <cellStyle name="Data 2 2 3 9 7" xfId="925" xr:uid="{00000000-0005-0000-0000-00000A0A0000}"/>
    <cellStyle name="Data 2 2 3 9 7 2" xfId="926" xr:uid="{00000000-0005-0000-0000-00000B0A0000}"/>
    <cellStyle name="Data 2 2 3 9 8" xfId="927" xr:uid="{00000000-0005-0000-0000-00000C0A0000}"/>
    <cellStyle name="Data 2 2 3 9 8 2" xfId="928" xr:uid="{00000000-0005-0000-0000-00000D0A0000}"/>
    <cellStyle name="Data 2 2 3 9 9" xfId="929" xr:uid="{00000000-0005-0000-0000-00000E0A0000}"/>
    <cellStyle name="Data 2 2 3 9 9 2" xfId="930" xr:uid="{00000000-0005-0000-0000-00000F0A0000}"/>
    <cellStyle name="Data 2 2 4" xfId="931" xr:uid="{00000000-0005-0000-0000-0000100A0000}"/>
    <cellStyle name="Data 2 2 4 10" xfId="932" xr:uid="{00000000-0005-0000-0000-0000110A0000}"/>
    <cellStyle name="Data 2 2 4 10 2" xfId="933" xr:uid="{00000000-0005-0000-0000-0000120A0000}"/>
    <cellStyle name="Data 2 2 4 10 2 2" xfId="934" xr:uid="{00000000-0005-0000-0000-0000130A0000}"/>
    <cellStyle name="Data 2 2 4 10 3" xfId="935" xr:uid="{00000000-0005-0000-0000-0000140A0000}"/>
    <cellStyle name="Data 2 2 4 10 3 2" xfId="936" xr:uid="{00000000-0005-0000-0000-0000150A0000}"/>
    <cellStyle name="Data 2 2 4 10 4" xfId="937" xr:uid="{00000000-0005-0000-0000-0000160A0000}"/>
    <cellStyle name="Data 2 2 4 10 4 2" xfId="938" xr:uid="{00000000-0005-0000-0000-0000170A0000}"/>
    <cellStyle name="Data 2 2 4 10 5" xfId="939" xr:uid="{00000000-0005-0000-0000-0000180A0000}"/>
    <cellStyle name="Data 2 2 4 10 5 2" xfId="940" xr:uid="{00000000-0005-0000-0000-0000190A0000}"/>
    <cellStyle name="Data 2 2 4 10 6" xfId="941" xr:uid="{00000000-0005-0000-0000-00001A0A0000}"/>
    <cellStyle name="Data 2 2 4 10 6 2" xfId="942" xr:uid="{00000000-0005-0000-0000-00001B0A0000}"/>
    <cellStyle name="Data 2 2 4 10 7" xfId="943" xr:uid="{00000000-0005-0000-0000-00001C0A0000}"/>
    <cellStyle name="Data 2 2 4 10 7 2" xfId="944" xr:uid="{00000000-0005-0000-0000-00001D0A0000}"/>
    <cellStyle name="Data 2 2 4 10 8" xfId="945" xr:uid="{00000000-0005-0000-0000-00001E0A0000}"/>
    <cellStyle name="Data 2 2 4 10 8 2" xfId="946" xr:uid="{00000000-0005-0000-0000-00001F0A0000}"/>
    <cellStyle name="Data 2 2 4 10 9" xfId="947" xr:uid="{00000000-0005-0000-0000-0000200A0000}"/>
    <cellStyle name="Data 2 2 4 11" xfId="948" xr:uid="{00000000-0005-0000-0000-0000210A0000}"/>
    <cellStyle name="Data 2 2 4 11 2" xfId="949" xr:uid="{00000000-0005-0000-0000-0000220A0000}"/>
    <cellStyle name="Data 2 2 4 12" xfId="950" xr:uid="{00000000-0005-0000-0000-0000230A0000}"/>
    <cellStyle name="Data 2 2 4 12 2" xfId="951" xr:uid="{00000000-0005-0000-0000-0000240A0000}"/>
    <cellStyle name="Data 2 2 4 13" xfId="952" xr:uid="{00000000-0005-0000-0000-0000250A0000}"/>
    <cellStyle name="Data 2 2 4 13 2" xfId="953" xr:uid="{00000000-0005-0000-0000-0000260A0000}"/>
    <cellStyle name="Data 2 2 4 14" xfId="954" xr:uid="{00000000-0005-0000-0000-0000270A0000}"/>
    <cellStyle name="Data 2 2 4 14 2" xfId="955" xr:uid="{00000000-0005-0000-0000-0000280A0000}"/>
    <cellStyle name="Data 2 2 4 15" xfId="956" xr:uid="{00000000-0005-0000-0000-0000290A0000}"/>
    <cellStyle name="Data 2 2 4 15 2" xfId="957" xr:uid="{00000000-0005-0000-0000-00002A0A0000}"/>
    <cellStyle name="Data 2 2 4 16" xfId="958" xr:uid="{00000000-0005-0000-0000-00002B0A0000}"/>
    <cellStyle name="Data 2 2 4 16 2" xfId="959" xr:uid="{00000000-0005-0000-0000-00002C0A0000}"/>
    <cellStyle name="Data 2 2 4 17" xfId="960" xr:uid="{00000000-0005-0000-0000-00002D0A0000}"/>
    <cellStyle name="Data 2 2 4 17 2" xfId="961" xr:uid="{00000000-0005-0000-0000-00002E0A0000}"/>
    <cellStyle name="Data 2 2 4 18" xfId="962" xr:uid="{00000000-0005-0000-0000-00002F0A0000}"/>
    <cellStyle name="Data 2 2 4 2" xfId="963" xr:uid="{00000000-0005-0000-0000-0000300A0000}"/>
    <cellStyle name="Data 2 2 4 2 10" xfId="964" xr:uid="{00000000-0005-0000-0000-0000310A0000}"/>
    <cellStyle name="Data 2 2 4 2 2" xfId="965" xr:uid="{00000000-0005-0000-0000-0000320A0000}"/>
    <cellStyle name="Data 2 2 4 2 2 2" xfId="966" xr:uid="{00000000-0005-0000-0000-0000330A0000}"/>
    <cellStyle name="Data 2 2 4 2 3" xfId="967" xr:uid="{00000000-0005-0000-0000-0000340A0000}"/>
    <cellStyle name="Data 2 2 4 2 3 2" xfId="968" xr:uid="{00000000-0005-0000-0000-0000350A0000}"/>
    <cellStyle name="Data 2 2 4 2 4" xfId="969" xr:uid="{00000000-0005-0000-0000-0000360A0000}"/>
    <cellStyle name="Data 2 2 4 2 4 2" xfId="970" xr:uid="{00000000-0005-0000-0000-0000370A0000}"/>
    <cellStyle name="Data 2 2 4 2 5" xfId="971" xr:uid="{00000000-0005-0000-0000-0000380A0000}"/>
    <cellStyle name="Data 2 2 4 2 5 2" xfId="972" xr:uid="{00000000-0005-0000-0000-0000390A0000}"/>
    <cellStyle name="Data 2 2 4 2 6" xfId="973" xr:uid="{00000000-0005-0000-0000-00003A0A0000}"/>
    <cellStyle name="Data 2 2 4 2 6 2" xfId="974" xr:uid="{00000000-0005-0000-0000-00003B0A0000}"/>
    <cellStyle name="Data 2 2 4 2 7" xfId="975" xr:uid="{00000000-0005-0000-0000-00003C0A0000}"/>
    <cellStyle name="Data 2 2 4 2 7 2" xfId="976" xr:uid="{00000000-0005-0000-0000-00003D0A0000}"/>
    <cellStyle name="Data 2 2 4 2 8" xfId="977" xr:uid="{00000000-0005-0000-0000-00003E0A0000}"/>
    <cellStyle name="Data 2 2 4 2 8 2" xfId="978" xr:uid="{00000000-0005-0000-0000-00003F0A0000}"/>
    <cellStyle name="Data 2 2 4 2 9" xfId="979" xr:uid="{00000000-0005-0000-0000-0000400A0000}"/>
    <cellStyle name="Data 2 2 4 2 9 2" xfId="980" xr:uid="{00000000-0005-0000-0000-0000410A0000}"/>
    <cellStyle name="Data 2 2 4 3" xfId="981" xr:uid="{00000000-0005-0000-0000-0000420A0000}"/>
    <cellStyle name="Data 2 2 4 3 10" xfId="982" xr:uid="{00000000-0005-0000-0000-0000430A0000}"/>
    <cellStyle name="Data 2 2 4 3 2" xfId="983" xr:uid="{00000000-0005-0000-0000-0000440A0000}"/>
    <cellStyle name="Data 2 2 4 3 2 2" xfId="984" xr:uid="{00000000-0005-0000-0000-0000450A0000}"/>
    <cellStyle name="Data 2 2 4 3 3" xfId="985" xr:uid="{00000000-0005-0000-0000-0000460A0000}"/>
    <cellStyle name="Data 2 2 4 3 3 2" xfId="986" xr:uid="{00000000-0005-0000-0000-0000470A0000}"/>
    <cellStyle name="Data 2 2 4 3 4" xfId="987" xr:uid="{00000000-0005-0000-0000-0000480A0000}"/>
    <cellStyle name="Data 2 2 4 3 4 2" xfId="988" xr:uid="{00000000-0005-0000-0000-0000490A0000}"/>
    <cellStyle name="Data 2 2 4 3 5" xfId="989" xr:uid="{00000000-0005-0000-0000-00004A0A0000}"/>
    <cellStyle name="Data 2 2 4 3 5 2" xfId="990" xr:uid="{00000000-0005-0000-0000-00004B0A0000}"/>
    <cellStyle name="Data 2 2 4 3 6" xfId="991" xr:uid="{00000000-0005-0000-0000-00004C0A0000}"/>
    <cellStyle name="Data 2 2 4 3 6 2" xfId="992" xr:uid="{00000000-0005-0000-0000-00004D0A0000}"/>
    <cellStyle name="Data 2 2 4 3 7" xfId="993" xr:uid="{00000000-0005-0000-0000-00004E0A0000}"/>
    <cellStyle name="Data 2 2 4 3 7 2" xfId="994" xr:uid="{00000000-0005-0000-0000-00004F0A0000}"/>
    <cellStyle name="Data 2 2 4 3 8" xfId="995" xr:uid="{00000000-0005-0000-0000-0000500A0000}"/>
    <cellStyle name="Data 2 2 4 3 8 2" xfId="996" xr:uid="{00000000-0005-0000-0000-0000510A0000}"/>
    <cellStyle name="Data 2 2 4 3 9" xfId="997" xr:uid="{00000000-0005-0000-0000-0000520A0000}"/>
    <cellStyle name="Data 2 2 4 3 9 2" xfId="998" xr:uid="{00000000-0005-0000-0000-0000530A0000}"/>
    <cellStyle name="Data 2 2 4 4" xfId="999" xr:uid="{00000000-0005-0000-0000-0000540A0000}"/>
    <cellStyle name="Data 2 2 4 4 10" xfId="1000" xr:uid="{00000000-0005-0000-0000-0000550A0000}"/>
    <cellStyle name="Data 2 2 4 4 2" xfId="1001" xr:uid="{00000000-0005-0000-0000-0000560A0000}"/>
    <cellStyle name="Data 2 2 4 4 2 2" xfId="1002" xr:uid="{00000000-0005-0000-0000-0000570A0000}"/>
    <cellStyle name="Data 2 2 4 4 3" xfId="1003" xr:uid="{00000000-0005-0000-0000-0000580A0000}"/>
    <cellStyle name="Data 2 2 4 4 3 2" xfId="1004" xr:uid="{00000000-0005-0000-0000-0000590A0000}"/>
    <cellStyle name="Data 2 2 4 4 4" xfId="1005" xr:uid="{00000000-0005-0000-0000-00005A0A0000}"/>
    <cellStyle name="Data 2 2 4 4 4 2" xfId="1006" xr:uid="{00000000-0005-0000-0000-00005B0A0000}"/>
    <cellStyle name="Data 2 2 4 4 5" xfId="1007" xr:uid="{00000000-0005-0000-0000-00005C0A0000}"/>
    <cellStyle name="Data 2 2 4 4 5 2" xfId="1008" xr:uid="{00000000-0005-0000-0000-00005D0A0000}"/>
    <cellStyle name="Data 2 2 4 4 6" xfId="1009" xr:uid="{00000000-0005-0000-0000-00005E0A0000}"/>
    <cellStyle name="Data 2 2 4 4 6 2" xfId="1010" xr:uid="{00000000-0005-0000-0000-00005F0A0000}"/>
    <cellStyle name="Data 2 2 4 4 7" xfId="1011" xr:uid="{00000000-0005-0000-0000-0000600A0000}"/>
    <cellStyle name="Data 2 2 4 4 7 2" xfId="1012" xr:uid="{00000000-0005-0000-0000-0000610A0000}"/>
    <cellStyle name="Data 2 2 4 4 8" xfId="1013" xr:uid="{00000000-0005-0000-0000-0000620A0000}"/>
    <cellStyle name="Data 2 2 4 4 8 2" xfId="1014" xr:uid="{00000000-0005-0000-0000-0000630A0000}"/>
    <cellStyle name="Data 2 2 4 4 9" xfId="1015" xr:uid="{00000000-0005-0000-0000-0000640A0000}"/>
    <cellStyle name="Data 2 2 4 4 9 2" xfId="1016" xr:uid="{00000000-0005-0000-0000-0000650A0000}"/>
    <cellStyle name="Data 2 2 4 5" xfId="1017" xr:uid="{00000000-0005-0000-0000-0000660A0000}"/>
    <cellStyle name="Data 2 2 4 5 10" xfId="1018" xr:uid="{00000000-0005-0000-0000-0000670A0000}"/>
    <cellStyle name="Data 2 2 4 5 2" xfId="1019" xr:uid="{00000000-0005-0000-0000-0000680A0000}"/>
    <cellStyle name="Data 2 2 4 5 2 2" xfId="1020" xr:uid="{00000000-0005-0000-0000-0000690A0000}"/>
    <cellStyle name="Data 2 2 4 5 3" xfId="1021" xr:uid="{00000000-0005-0000-0000-00006A0A0000}"/>
    <cellStyle name="Data 2 2 4 5 3 2" xfId="1022" xr:uid="{00000000-0005-0000-0000-00006B0A0000}"/>
    <cellStyle name="Data 2 2 4 5 4" xfId="1023" xr:uid="{00000000-0005-0000-0000-00006C0A0000}"/>
    <cellStyle name="Data 2 2 4 5 4 2" xfId="1024" xr:uid="{00000000-0005-0000-0000-00006D0A0000}"/>
    <cellStyle name="Data 2 2 4 5 5" xfId="1025" xr:uid="{00000000-0005-0000-0000-00006E0A0000}"/>
    <cellStyle name="Data 2 2 4 5 5 2" xfId="1026" xr:uid="{00000000-0005-0000-0000-00006F0A0000}"/>
    <cellStyle name="Data 2 2 4 5 6" xfId="1027" xr:uid="{00000000-0005-0000-0000-0000700A0000}"/>
    <cellStyle name="Data 2 2 4 5 6 2" xfId="1028" xr:uid="{00000000-0005-0000-0000-0000710A0000}"/>
    <cellStyle name="Data 2 2 4 5 7" xfId="1029" xr:uid="{00000000-0005-0000-0000-0000720A0000}"/>
    <cellStyle name="Data 2 2 4 5 7 2" xfId="1030" xr:uid="{00000000-0005-0000-0000-0000730A0000}"/>
    <cellStyle name="Data 2 2 4 5 8" xfId="1031" xr:uid="{00000000-0005-0000-0000-0000740A0000}"/>
    <cellStyle name="Data 2 2 4 5 8 2" xfId="1032" xr:uid="{00000000-0005-0000-0000-0000750A0000}"/>
    <cellStyle name="Data 2 2 4 5 9" xfId="1033" xr:uid="{00000000-0005-0000-0000-0000760A0000}"/>
    <cellStyle name="Data 2 2 4 5 9 2" xfId="1034" xr:uid="{00000000-0005-0000-0000-0000770A0000}"/>
    <cellStyle name="Data 2 2 4 6" xfId="1035" xr:uid="{00000000-0005-0000-0000-0000780A0000}"/>
    <cellStyle name="Data 2 2 4 6 10" xfId="1036" xr:uid="{00000000-0005-0000-0000-0000790A0000}"/>
    <cellStyle name="Data 2 2 4 6 2" xfId="1037" xr:uid="{00000000-0005-0000-0000-00007A0A0000}"/>
    <cellStyle name="Data 2 2 4 6 2 2" xfId="1038" xr:uid="{00000000-0005-0000-0000-00007B0A0000}"/>
    <cellStyle name="Data 2 2 4 6 3" xfId="1039" xr:uid="{00000000-0005-0000-0000-00007C0A0000}"/>
    <cellStyle name="Data 2 2 4 6 3 2" xfId="1040" xr:uid="{00000000-0005-0000-0000-00007D0A0000}"/>
    <cellStyle name="Data 2 2 4 6 4" xfId="1041" xr:uid="{00000000-0005-0000-0000-00007E0A0000}"/>
    <cellStyle name="Data 2 2 4 6 4 2" xfId="1042" xr:uid="{00000000-0005-0000-0000-00007F0A0000}"/>
    <cellStyle name="Data 2 2 4 6 5" xfId="1043" xr:uid="{00000000-0005-0000-0000-0000800A0000}"/>
    <cellStyle name="Data 2 2 4 6 5 2" xfId="1044" xr:uid="{00000000-0005-0000-0000-0000810A0000}"/>
    <cellStyle name="Data 2 2 4 6 6" xfId="1045" xr:uid="{00000000-0005-0000-0000-0000820A0000}"/>
    <cellStyle name="Data 2 2 4 6 6 2" xfId="1046" xr:uid="{00000000-0005-0000-0000-0000830A0000}"/>
    <cellStyle name="Data 2 2 4 6 7" xfId="1047" xr:uid="{00000000-0005-0000-0000-0000840A0000}"/>
    <cellStyle name="Data 2 2 4 6 7 2" xfId="1048" xr:uid="{00000000-0005-0000-0000-0000850A0000}"/>
    <cellStyle name="Data 2 2 4 6 8" xfId="1049" xr:uid="{00000000-0005-0000-0000-0000860A0000}"/>
    <cellStyle name="Data 2 2 4 6 8 2" xfId="1050" xr:uid="{00000000-0005-0000-0000-0000870A0000}"/>
    <cellStyle name="Data 2 2 4 6 9" xfId="1051" xr:uid="{00000000-0005-0000-0000-0000880A0000}"/>
    <cellStyle name="Data 2 2 4 6 9 2" xfId="1052" xr:uid="{00000000-0005-0000-0000-0000890A0000}"/>
    <cellStyle name="Data 2 2 4 7" xfId="1053" xr:uid="{00000000-0005-0000-0000-00008A0A0000}"/>
    <cellStyle name="Data 2 2 4 7 10" xfId="1054" xr:uid="{00000000-0005-0000-0000-00008B0A0000}"/>
    <cellStyle name="Data 2 2 4 7 2" xfId="1055" xr:uid="{00000000-0005-0000-0000-00008C0A0000}"/>
    <cellStyle name="Data 2 2 4 7 2 2" xfId="1056" xr:uid="{00000000-0005-0000-0000-00008D0A0000}"/>
    <cellStyle name="Data 2 2 4 7 3" xfId="1057" xr:uid="{00000000-0005-0000-0000-00008E0A0000}"/>
    <cellStyle name="Data 2 2 4 7 3 2" xfId="1058" xr:uid="{00000000-0005-0000-0000-00008F0A0000}"/>
    <cellStyle name="Data 2 2 4 7 4" xfId="1059" xr:uid="{00000000-0005-0000-0000-0000900A0000}"/>
    <cellStyle name="Data 2 2 4 7 4 2" xfId="1060" xr:uid="{00000000-0005-0000-0000-0000910A0000}"/>
    <cellStyle name="Data 2 2 4 7 5" xfId="1061" xr:uid="{00000000-0005-0000-0000-0000920A0000}"/>
    <cellStyle name="Data 2 2 4 7 5 2" xfId="1062" xr:uid="{00000000-0005-0000-0000-0000930A0000}"/>
    <cellStyle name="Data 2 2 4 7 6" xfId="1063" xr:uid="{00000000-0005-0000-0000-0000940A0000}"/>
    <cellStyle name="Data 2 2 4 7 6 2" xfId="1064" xr:uid="{00000000-0005-0000-0000-0000950A0000}"/>
    <cellStyle name="Data 2 2 4 7 7" xfId="1065" xr:uid="{00000000-0005-0000-0000-0000960A0000}"/>
    <cellStyle name="Data 2 2 4 7 7 2" xfId="1066" xr:uid="{00000000-0005-0000-0000-0000970A0000}"/>
    <cellStyle name="Data 2 2 4 7 8" xfId="1067" xr:uid="{00000000-0005-0000-0000-0000980A0000}"/>
    <cellStyle name="Data 2 2 4 7 8 2" xfId="1068" xr:uid="{00000000-0005-0000-0000-0000990A0000}"/>
    <cellStyle name="Data 2 2 4 7 9" xfId="1069" xr:uid="{00000000-0005-0000-0000-00009A0A0000}"/>
    <cellStyle name="Data 2 2 4 7 9 2" xfId="1070" xr:uid="{00000000-0005-0000-0000-00009B0A0000}"/>
    <cellStyle name="Data 2 2 4 8" xfId="1071" xr:uid="{00000000-0005-0000-0000-00009C0A0000}"/>
    <cellStyle name="Data 2 2 4 8 10" xfId="1072" xr:uid="{00000000-0005-0000-0000-00009D0A0000}"/>
    <cellStyle name="Data 2 2 4 8 2" xfId="1073" xr:uid="{00000000-0005-0000-0000-00009E0A0000}"/>
    <cellStyle name="Data 2 2 4 8 2 2" xfId="1074" xr:uid="{00000000-0005-0000-0000-00009F0A0000}"/>
    <cellStyle name="Data 2 2 4 8 3" xfId="1075" xr:uid="{00000000-0005-0000-0000-0000A00A0000}"/>
    <cellStyle name="Data 2 2 4 8 3 2" xfId="1076" xr:uid="{00000000-0005-0000-0000-0000A10A0000}"/>
    <cellStyle name="Data 2 2 4 8 4" xfId="1077" xr:uid="{00000000-0005-0000-0000-0000A20A0000}"/>
    <cellStyle name="Data 2 2 4 8 4 2" xfId="1078" xr:uid="{00000000-0005-0000-0000-0000A30A0000}"/>
    <cellStyle name="Data 2 2 4 8 5" xfId="1079" xr:uid="{00000000-0005-0000-0000-0000A40A0000}"/>
    <cellStyle name="Data 2 2 4 8 5 2" xfId="1080" xr:uid="{00000000-0005-0000-0000-0000A50A0000}"/>
    <cellStyle name="Data 2 2 4 8 6" xfId="1081" xr:uid="{00000000-0005-0000-0000-0000A60A0000}"/>
    <cellStyle name="Data 2 2 4 8 6 2" xfId="1082" xr:uid="{00000000-0005-0000-0000-0000A70A0000}"/>
    <cellStyle name="Data 2 2 4 8 7" xfId="1083" xr:uid="{00000000-0005-0000-0000-0000A80A0000}"/>
    <cellStyle name="Data 2 2 4 8 7 2" xfId="1084" xr:uid="{00000000-0005-0000-0000-0000A90A0000}"/>
    <cellStyle name="Data 2 2 4 8 8" xfId="1085" xr:uid="{00000000-0005-0000-0000-0000AA0A0000}"/>
    <cellStyle name="Data 2 2 4 8 8 2" xfId="1086" xr:uid="{00000000-0005-0000-0000-0000AB0A0000}"/>
    <cellStyle name="Data 2 2 4 8 9" xfId="1087" xr:uid="{00000000-0005-0000-0000-0000AC0A0000}"/>
    <cellStyle name="Data 2 2 4 8 9 2" xfId="1088" xr:uid="{00000000-0005-0000-0000-0000AD0A0000}"/>
    <cellStyle name="Data 2 2 4 9" xfId="1089" xr:uid="{00000000-0005-0000-0000-0000AE0A0000}"/>
    <cellStyle name="Data 2 2 4 9 10" xfId="1090" xr:uid="{00000000-0005-0000-0000-0000AF0A0000}"/>
    <cellStyle name="Data 2 2 4 9 2" xfId="1091" xr:uid="{00000000-0005-0000-0000-0000B00A0000}"/>
    <cellStyle name="Data 2 2 4 9 2 2" xfId="1092" xr:uid="{00000000-0005-0000-0000-0000B10A0000}"/>
    <cellStyle name="Data 2 2 4 9 3" xfId="1093" xr:uid="{00000000-0005-0000-0000-0000B20A0000}"/>
    <cellStyle name="Data 2 2 4 9 3 2" xfId="1094" xr:uid="{00000000-0005-0000-0000-0000B30A0000}"/>
    <cellStyle name="Data 2 2 4 9 4" xfId="1095" xr:uid="{00000000-0005-0000-0000-0000B40A0000}"/>
    <cellStyle name="Data 2 2 4 9 4 2" xfId="1096" xr:uid="{00000000-0005-0000-0000-0000B50A0000}"/>
    <cellStyle name="Data 2 2 4 9 5" xfId="1097" xr:uid="{00000000-0005-0000-0000-0000B60A0000}"/>
    <cellStyle name="Data 2 2 4 9 5 2" xfId="1098" xr:uid="{00000000-0005-0000-0000-0000B70A0000}"/>
    <cellStyle name="Data 2 2 4 9 6" xfId="1099" xr:uid="{00000000-0005-0000-0000-0000B80A0000}"/>
    <cellStyle name="Data 2 2 4 9 6 2" xfId="1100" xr:uid="{00000000-0005-0000-0000-0000B90A0000}"/>
    <cellStyle name="Data 2 2 4 9 7" xfId="1101" xr:uid="{00000000-0005-0000-0000-0000BA0A0000}"/>
    <cellStyle name="Data 2 2 4 9 7 2" xfId="1102" xr:uid="{00000000-0005-0000-0000-0000BB0A0000}"/>
    <cellStyle name="Data 2 2 4 9 8" xfId="1103" xr:uid="{00000000-0005-0000-0000-0000BC0A0000}"/>
    <cellStyle name="Data 2 2 4 9 8 2" xfId="1104" xr:uid="{00000000-0005-0000-0000-0000BD0A0000}"/>
    <cellStyle name="Data 2 2 4 9 9" xfId="1105" xr:uid="{00000000-0005-0000-0000-0000BE0A0000}"/>
    <cellStyle name="Data 2 2 4 9 9 2" xfId="1106" xr:uid="{00000000-0005-0000-0000-0000BF0A0000}"/>
    <cellStyle name="Data 2 2 5" xfId="1107" xr:uid="{00000000-0005-0000-0000-0000C00A0000}"/>
    <cellStyle name="Data 2 2 5 10" xfId="1108" xr:uid="{00000000-0005-0000-0000-0000C10A0000}"/>
    <cellStyle name="Data 2 2 5 10 2" xfId="1109" xr:uid="{00000000-0005-0000-0000-0000C20A0000}"/>
    <cellStyle name="Data 2 2 5 10 2 2" xfId="1110" xr:uid="{00000000-0005-0000-0000-0000C30A0000}"/>
    <cellStyle name="Data 2 2 5 10 3" xfId="1111" xr:uid="{00000000-0005-0000-0000-0000C40A0000}"/>
    <cellStyle name="Data 2 2 5 10 3 2" xfId="1112" xr:uid="{00000000-0005-0000-0000-0000C50A0000}"/>
    <cellStyle name="Data 2 2 5 10 4" xfId="1113" xr:uid="{00000000-0005-0000-0000-0000C60A0000}"/>
    <cellStyle name="Data 2 2 5 10 4 2" xfId="1114" xr:uid="{00000000-0005-0000-0000-0000C70A0000}"/>
    <cellStyle name="Data 2 2 5 10 5" xfId="1115" xr:uid="{00000000-0005-0000-0000-0000C80A0000}"/>
    <cellStyle name="Data 2 2 5 10 5 2" xfId="1116" xr:uid="{00000000-0005-0000-0000-0000C90A0000}"/>
    <cellStyle name="Data 2 2 5 10 6" xfId="1117" xr:uid="{00000000-0005-0000-0000-0000CA0A0000}"/>
    <cellStyle name="Data 2 2 5 10 6 2" xfId="1118" xr:uid="{00000000-0005-0000-0000-0000CB0A0000}"/>
    <cellStyle name="Data 2 2 5 10 7" xfId="1119" xr:uid="{00000000-0005-0000-0000-0000CC0A0000}"/>
    <cellStyle name="Data 2 2 5 10 7 2" xfId="1120" xr:uid="{00000000-0005-0000-0000-0000CD0A0000}"/>
    <cellStyle name="Data 2 2 5 10 8" xfId="1121" xr:uid="{00000000-0005-0000-0000-0000CE0A0000}"/>
    <cellStyle name="Data 2 2 5 10 8 2" xfId="1122" xr:uid="{00000000-0005-0000-0000-0000CF0A0000}"/>
    <cellStyle name="Data 2 2 5 10 9" xfId="1123" xr:uid="{00000000-0005-0000-0000-0000D00A0000}"/>
    <cellStyle name="Data 2 2 5 11" xfId="1124" xr:uid="{00000000-0005-0000-0000-0000D10A0000}"/>
    <cellStyle name="Data 2 2 5 11 2" xfId="1125" xr:uid="{00000000-0005-0000-0000-0000D20A0000}"/>
    <cellStyle name="Data 2 2 5 12" xfId="1126" xr:uid="{00000000-0005-0000-0000-0000D30A0000}"/>
    <cellStyle name="Data 2 2 5 12 2" xfId="1127" xr:uid="{00000000-0005-0000-0000-0000D40A0000}"/>
    <cellStyle name="Data 2 2 5 13" xfId="1128" xr:uid="{00000000-0005-0000-0000-0000D50A0000}"/>
    <cellStyle name="Data 2 2 5 13 2" xfId="1129" xr:uid="{00000000-0005-0000-0000-0000D60A0000}"/>
    <cellStyle name="Data 2 2 5 14" xfId="1130" xr:uid="{00000000-0005-0000-0000-0000D70A0000}"/>
    <cellStyle name="Data 2 2 5 14 2" xfId="1131" xr:uid="{00000000-0005-0000-0000-0000D80A0000}"/>
    <cellStyle name="Data 2 2 5 15" xfId="1132" xr:uid="{00000000-0005-0000-0000-0000D90A0000}"/>
    <cellStyle name="Data 2 2 5 15 2" xfId="1133" xr:uid="{00000000-0005-0000-0000-0000DA0A0000}"/>
    <cellStyle name="Data 2 2 5 16" xfId="1134" xr:uid="{00000000-0005-0000-0000-0000DB0A0000}"/>
    <cellStyle name="Data 2 2 5 16 2" xfId="1135" xr:uid="{00000000-0005-0000-0000-0000DC0A0000}"/>
    <cellStyle name="Data 2 2 5 17" xfId="1136" xr:uid="{00000000-0005-0000-0000-0000DD0A0000}"/>
    <cellStyle name="Data 2 2 5 17 2" xfId="1137" xr:uid="{00000000-0005-0000-0000-0000DE0A0000}"/>
    <cellStyle name="Data 2 2 5 18" xfId="1138" xr:uid="{00000000-0005-0000-0000-0000DF0A0000}"/>
    <cellStyle name="Data 2 2 5 2" xfId="1139" xr:uid="{00000000-0005-0000-0000-0000E00A0000}"/>
    <cellStyle name="Data 2 2 5 2 10" xfId="1140" xr:uid="{00000000-0005-0000-0000-0000E10A0000}"/>
    <cellStyle name="Data 2 2 5 2 2" xfId="1141" xr:uid="{00000000-0005-0000-0000-0000E20A0000}"/>
    <cellStyle name="Data 2 2 5 2 2 2" xfId="1142" xr:uid="{00000000-0005-0000-0000-0000E30A0000}"/>
    <cellStyle name="Data 2 2 5 2 3" xfId="1143" xr:uid="{00000000-0005-0000-0000-0000E40A0000}"/>
    <cellStyle name="Data 2 2 5 2 3 2" xfId="1144" xr:uid="{00000000-0005-0000-0000-0000E50A0000}"/>
    <cellStyle name="Data 2 2 5 2 4" xfId="1145" xr:uid="{00000000-0005-0000-0000-0000E60A0000}"/>
    <cellStyle name="Data 2 2 5 2 4 2" xfId="1146" xr:uid="{00000000-0005-0000-0000-0000E70A0000}"/>
    <cellStyle name="Data 2 2 5 2 5" xfId="1147" xr:uid="{00000000-0005-0000-0000-0000E80A0000}"/>
    <cellStyle name="Data 2 2 5 2 5 2" xfId="1148" xr:uid="{00000000-0005-0000-0000-0000E90A0000}"/>
    <cellStyle name="Data 2 2 5 2 6" xfId="1149" xr:uid="{00000000-0005-0000-0000-0000EA0A0000}"/>
    <cellStyle name="Data 2 2 5 2 6 2" xfId="1150" xr:uid="{00000000-0005-0000-0000-0000EB0A0000}"/>
    <cellStyle name="Data 2 2 5 2 7" xfId="1151" xr:uid="{00000000-0005-0000-0000-0000EC0A0000}"/>
    <cellStyle name="Data 2 2 5 2 7 2" xfId="1152" xr:uid="{00000000-0005-0000-0000-0000ED0A0000}"/>
    <cellStyle name="Data 2 2 5 2 8" xfId="1153" xr:uid="{00000000-0005-0000-0000-0000EE0A0000}"/>
    <cellStyle name="Data 2 2 5 2 8 2" xfId="1154" xr:uid="{00000000-0005-0000-0000-0000EF0A0000}"/>
    <cellStyle name="Data 2 2 5 2 9" xfId="1155" xr:uid="{00000000-0005-0000-0000-0000F00A0000}"/>
    <cellStyle name="Data 2 2 5 2 9 2" xfId="1156" xr:uid="{00000000-0005-0000-0000-0000F10A0000}"/>
    <cellStyle name="Data 2 2 5 3" xfId="1157" xr:uid="{00000000-0005-0000-0000-0000F20A0000}"/>
    <cellStyle name="Data 2 2 5 3 10" xfId="1158" xr:uid="{00000000-0005-0000-0000-0000F30A0000}"/>
    <cellStyle name="Data 2 2 5 3 2" xfId="1159" xr:uid="{00000000-0005-0000-0000-0000F40A0000}"/>
    <cellStyle name="Data 2 2 5 3 2 2" xfId="1160" xr:uid="{00000000-0005-0000-0000-0000F50A0000}"/>
    <cellStyle name="Data 2 2 5 3 3" xfId="1161" xr:uid="{00000000-0005-0000-0000-0000F60A0000}"/>
    <cellStyle name="Data 2 2 5 3 3 2" xfId="1162" xr:uid="{00000000-0005-0000-0000-0000F70A0000}"/>
    <cellStyle name="Data 2 2 5 3 4" xfId="1163" xr:uid="{00000000-0005-0000-0000-0000F80A0000}"/>
    <cellStyle name="Data 2 2 5 3 4 2" xfId="1164" xr:uid="{00000000-0005-0000-0000-0000F90A0000}"/>
    <cellStyle name="Data 2 2 5 3 5" xfId="1165" xr:uid="{00000000-0005-0000-0000-0000FA0A0000}"/>
    <cellStyle name="Data 2 2 5 3 5 2" xfId="1166" xr:uid="{00000000-0005-0000-0000-0000FB0A0000}"/>
    <cellStyle name="Data 2 2 5 3 6" xfId="1167" xr:uid="{00000000-0005-0000-0000-0000FC0A0000}"/>
    <cellStyle name="Data 2 2 5 3 6 2" xfId="1168" xr:uid="{00000000-0005-0000-0000-0000FD0A0000}"/>
    <cellStyle name="Data 2 2 5 3 7" xfId="1169" xr:uid="{00000000-0005-0000-0000-0000FE0A0000}"/>
    <cellStyle name="Data 2 2 5 3 7 2" xfId="1170" xr:uid="{00000000-0005-0000-0000-0000FF0A0000}"/>
    <cellStyle name="Data 2 2 5 3 8" xfId="1171" xr:uid="{00000000-0005-0000-0000-0000000B0000}"/>
    <cellStyle name="Data 2 2 5 3 8 2" xfId="1172" xr:uid="{00000000-0005-0000-0000-0000010B0000}"/>
    <cellStyle name="Data 2 2 5 3 9" xfId="1173" xr:uid="{00000000-0005-0000-0000-0000020B0000}"/>
    <cellStyle name="Data 2 2 5 3 9 2" xfId="1174" xr:uid="{00000000-0005-0000-0000-0000030B0000}"/>
    <cellStyle name="Data 2 2 5 4" xfId="1175" xr:uid="{00000000-0005-0000-0000-0000040B0000}"/>
    <cellStyle name="Data 2 2 5 4 10" xfId="1176" xr:uid="{00000000-0005-0000-0000-0000050B0000}"/>
    <cellStyle name="Data 2 2 5 4 2" xfId="1177" xr:uid="{00000000-0005-0000-0000-0000060B0000}"/>
    <cellStyle name="Data 2 2 5 4 2 2" xfId="1178" xr:uid="{00000000-0005-0000-0000-0000070B0000}"/>
    <cellStyle name="Data 2 2 5 4 3" xfId="1179" xr:uid="{00000000-0005-0000-0000-0000080B0000}"/>
    <cellStyle name="Data 2 2 5 4 3 2" xfId="1180" xr:uid="{00000000-0005-0000-0000-0000090B0000}"/>
    <cellStyle name="Data 2 2 5 4 4" xfId="1181" xr:uid="{00000000-0005-0000-0000-00000A0B0000}"/>
    <cellStyle name="Data 2 2 5 4 4 2" xfId="1182" xr:uid="{00000000-0005-0000-0000-00000B0B0000}"/>
    <cellStyle name="Data 2 2 5 4 5" xfId="1183" xr:uid="{00000000-0005-0000-0000-00000C0B0000}"/>
    <cellStyle name="Data 2 2 5 4 5 2" xfId="1184" xr:uid="{00000000-0005-0000-0000-00000D0B0000}"/>
    <cellStyle name="Data 2 2 5 4 6" xfId="1185" xr:uid="{00000000-0005-0000-0000-00000E0B0000}"/>
    <cellStyle name="Data 2 2 5 4 6 2" xfId="1186" xr:uid="{00000000-0005-0000-0000-00000F0B0000}"/>
    <cellStyle name="Data 2 2 5 4 7" xfId="1187" xr:uid="{00000000-0005-0000-0000-0000100B0000}"/>
    <cellStyle name="Data 2 2 5 4 7 2" xfId="1188" xr:uid="{00000000-0005-0000-0000-0000110B0000}"/>
    <cellStyle name="Data 2 2 5 4 8" xfId="1189" xr:uid="{00000000-0005-0000-0000-0000120B0000}"/>
    <cellStyle name="Data 2 2 5 4 8 2" xfId="1190" xr:uid="{00000000-0005-0000-0000-0000130B0000}"/>
    <cellStyle name="Data 2 2 5 4 9" xfId="1191" xr:uid="{00000000-0005-0000-0000-0000140B0000}"/>
    <cellStyle name="Data 2 2 5 4 9 2" xfId="1192" xr:uid="{00000000-0005-0000-0000-0000150B0000}"/>
    <cellStyle name="Data 2 2 5 5" xfId="1193" xr:uid="{00000000-0005-0000-0000-0000160B0000}"/>
    <cellStyle name="Data 2 2 5 5 10" xfId="1194" xr:uid="{00000000-0005-0000-0000-0000170B0000}"/>
    <cellStyle name="Data 2 2 5 5 2" xfId="1195" xr:uid="{00000000-0005-0000-0000-0000180B0000}"/>
    <cellStyle name="Data 2 2 5 5 2 2" xfId="1196" xr:uid="{00000000-0005-0000-0000-0000190B0000}"/>
    <cellStyle name="Data 2 2 5 5 3" xfId="1197" xr:uid="{00000000-0005-0000-0000-00001A0B0000}"/>
    <cellStyle name="Data 2 2 5 5 3 2" xfId="1198" xr:uid="{00000000-0005-0000-0000-00001B0B0000}"/>
    <cellStyle name="Data 2 2 5 5 4" xfId="1199" xr:uid="{00000000-0005-0000-0000-00001C0B0000}"/>
    <cellStyle name="Data 2 2 5 5 4 2" xfId="1200" xr:uid="{00000000-0005-0000-0000-00001D0B0000}"/>
    <cellStyle name="Data 2 2 5 5 5" xfId="1201" xr:uid="{00000000-0005-0000-0000-00001E0B0000}"/>
    <cellStyle name="Data 2 2 5 5 5 2" xfId="1202" xr:uid="{00000000-0005-0000-0000-00001F0B0000}"/>
    <cellStyle name="Data 2 2 5 5 6" xfId="1203" xr:uid="{00000000-0005-0000-0000-0000200B0000}"/>
    <cellStyle name="Data 2 2 5 5 6 2" xfId="1204" xr:uid="{00000000-0005-0000-0000-0000210B0000}"/>
    <cellStyle name="Data 2 2 5 5 7" xfId="1205" xr:uid="{00000000-0005-0000-0000-0000220B0000}"/>
    <cellStyle name="Data 2 2 5 5 7 2" xfId="1206" xr:uid="{00000000-0005-0000-0000-0000230B0000}"/>
    <cellStyle name="Data 2 2 5 5 8" xfId="1207" xr:uid="{00000000-0005-0000-0000-0000240B0000}"/>
    <cellStyle name="Data 2 2 5 5 8 2" xfId="1208" xr:uid="{00000000-0005-0000-0000-0000250B0000}"/>
    <cellStyle name="Data 2 2 5 5 9" xfId="1209" xr:uid="{00000000-0005-0000-0000-0000260B0000}"/>
    <cellStyle name="Data 2 2 5 5 9 2" xfId="1210" xr:uid="{00000000-0005-0000-0000-0000270B0000}"/>
    <cellStyle name="Data 2 2 5 6" xfId="1211" xr:uid="{00000000-0005-0000-0000-0000280B0000}"/>
    <cellStyle name="Data 2 2 5 6 10" xfId="1212" xr:uid="{00000000-0005-0000-0000-0000290B0000}"/>
    <cellStyle name="Data 2 2 5 6 2" xfId="1213" xr:uid="{00000000-0005-0000-0000-00002A0B0000}"/>
    <cellStyle name="Data 2 2 5 6 2 2" xfId="1214" xr:uid="{00000000-0005-0000-0000-00002B0B0000}"/>
    <cellStyle name="Data 2 2 5 6 3" xfId="1215" xr:uid="{00000000-0005-0000-0000-00002C0B0000}"/>
    <cellStyle name="Data 2 2 5 6 3 2" xfId="1216" xr:uid="{00000000-0005-0000-0000-00002D0B0000}"/>
    <cellStyle name="Data 2 2 5 6 4" xfId="1217" xr:uid="{00000000-0005-0000-0000-00002E0B0000}"/>
    <cellStyle name="Data 2 2 5 6 4 2" xfId="1218" xr:uid="{00000000-0005-0000-0000-00002F0B0000}"/>
    <cellStyle name="Data 2 2 5 6 5" xfId="1219" xr:uid="{00000000-0005-0000-0000-0000300B0000}"/>
    <cellStyle name="Data 2 2 5 6 5 2" xfId="1220" xr:uid="{00000000-0005-0000-0000-0000310B0000}"/>
    <cellStyle name="Data 2 2 5 6 6" xfId="1221" xr:uid="{00000000-0005-0000-0000-0000320B0000}"/>
    <cellStyle name="Data 2 2 5 6 6 2" xfId="1222" xr:uid="{00000000-0005-0000-0000-0000330B0000}"/>
    <cellStyle name="Data 2 2 5 6 7" xfId="1223" xr:uid="{00000000-0005-0000-0000-0000340B0000}"/>
    <cellStyle name="Data 2 2 5 6 7 2" xfId="1224" xr:uid="{00000000-0005-0000-0000-0000350B0000}"/>
    <cellStyle name="Data 2 2 5 6 8" xfId="1225" xr:uid="{00000000-0005-0000-0000-0000360B0000}"/>
    <cellStyle name="Data 2 2 5 6 8 2" xfId="1226" xr:uid="{00000000-0005-0000-0000-0000370B0000}"/>
    <cellStyle name="Data 2 2 5 6 9" xfId="1227" xr:uid="{00000000-0005-0000-0000-0000380B0000}"/>
    <cellStyle name="Data 2 2 5 6 9 2" xfId="1228" xr:uid="{00000000-0005-0000-0000-0000390B0000}"/>
    <cellStyle name="Data 2 2 5 7" xfId="1229" xr:uid="{00000000-0005-0000-0000-00003A0B0000}"/>
    <cellStyle name="Data 2 2 5 7 10" xfId="1230" xr:uid="{00000000-0005-0000-0000-00003B0B0000}"/>
    <cellStyle name="Data 2 2 5 7 2" xfId="1231" xr:uid="{00000000-0005-0000-0000-00003C0B0000}"/>
    <cellStyle name="Data 2 2 5 7 2 2" xfId="1232" xr:uid="{00000000-0005-0000-0000-00003D0B0000}"/>
    <cellStyle name="Data 2 2 5 7 3" xfId="1233" xr:uid="{00000000-0005-0000-0000-00003E0B0000}"/>
    <cellStyle name="Data 2 2 5 7 3 2" xfId="1234" xr:uid="{00000000-0005-0000-0000-00003F0B0000}"/>
    <cellStyle name="Data 2 2 5 7 4" xfId="1235" xr:uid="{00000000-0005-0000-0000-0000400B0000}"/>
    <cellStyle name="Data 2 2 5 7 4 2" xfId="1236" xr:uid="{00000000-0005-0000-0000-0000410B0000}"/>
    <cellStyle name="Data 2 2 5 7 5" xfId="1237" xr:uid="{00000000-0005-0000-0000-0000420B0000}"/>
    <cellStyle name="Data 2 2 5 7 5 2" xfId="1238" xr:uid="{00000000-0005-0000-0000-0000430B0000}"/>
    <cellStyle name="Data 2 2 5 7 6" xfId="1239" xr:uid="{00000000-0005-0000-0000-0000440B0000}"/>
    <cellStyle name="Data 2 2 5 7 6 2" xfId="1240" xr:uid="{00000000-0005-0000-0000-0000450B0000}"/>
    <cellStyle name="Data 2 2 5 7 7" xfId="1241" xr:uid="{00000000-0005-0000-0000-0000460B0000}"/>
    <cellStyle name="Data 2 2 5 7 7 2" xfId="1242" xr:uid="{00000000-0005-0000-0000-0000470B0000}"/>
    <cellStyle name="Data 2 2 5 7 8" xfId="1243" xr:uid="{00000000-0005-0000-0000-0000480B0000}"/>
    <cellStyle name="Data 2 2 5 7 8 2" xfId="1244" xr:uid="{00000000-0005-0000-0000-0000490B0000}"/>
    <cellStyle name="Data 2 2 5 7 9" xfId="1245" xr:uid="{00000000-0005-0000-0000-00004A0B0000}"/>
    <cellStyle name="Data 2 2 5 7 9 2" xfId="1246" xr:uid="{00000000-0005-0000-0000-00004B0B0000}"/>
    <cellStyle name="Data 2 2 5 8" xfId="1247" xr:uid="{00000000-0005-0000-0000-00004C0B0000}"/>
    <cellStyle name="Data 2 2 5 8 10" xfId="1248" xr:uid="{00000000-0005-0000-0000-00004D0B0000}"/>
    <cellStyle name="Data 2 2 5 8 2" xfId="1249" xr:uid="{00000000-0005-0000-0000-00004E0B0000}"/>
    <cellStyle name="Data 2 2 5 8 2 2" xfId="1250" xr:uid="{00000000-0005-0000-0000-00004F0B0000}"/>
    <cellStyle name="Data 2 2 5 8 3" xfId="1251" xr:uid="{00000000-0005-0000-0000-0000500B0000}"/>
    <cellStyle name="Data 2 2 5 8 3 2" xfId="1252" xr:uid="{00000000-0005-0000-0000-0000510B0000}"/>
    <cellStyle name="Data 2 2 5 8 4" xfId="1253" xr:uid="{00000000-0005-0000-0000-0000520B0000}"/>
    <cellStyle name="Data 2 2 5 8 4 2" xfId="1254" xr:uid="{00000000-0005-0000-0000-0000530B0000}"/>
    <cellStyle name="Data 2 2 5 8 5" xfId="1255" xr:uid="{00000000-0005-0000-0000-0000540B0000}"/>
    <cellStyle name="Data 2 2 5 8 5 2" xfId="1256" xr:uid="{00000000-0005-0000-0000-0000550B0000}"/>
    <cellStyle name="Data 2 2 5 8 6" xfId="1257" xr:uid="{00000000-0005-0000-0000-0000560B0000}"/>
    <cellStyle name="Data 2 2 5 8 6 2" xfId="1258" xr:uid="{00000000-0005-0000-0000-0000570B0000}"/>
    <cellStyle name="Data 2 2 5 8 7" xfId="1259" xr:uid="{00000000-0005-0000-0000-0000580B0000}"/>
    <cellStyle name="Data 2 2 5 8 7 2" xfId="1260" xr:uid="{00000000-0005-0000-0000-0000590B0000}"/>
    <cellStyle name="Data 2 2 5 8 8" xfId="1261" xr:uid="{00000000-0005-0000-0000-00005A0B0000}"/>
    <cellStyle name="Data 2 2 5 8 8 2" xfId="1262" xr:uid="{00000000-0005-0000-0000-00005B0B0000}"/>
    <cellStyle name="Data 2 2 5 8 9" xfId="1263" xr:uid="{00000000-0005-0000-0000-00005C0B0000}"/>
    <cellStyle name="Data 2 2 5 8 9 2" xfId="1264" xr:uid="{00000000-0005-0000-0000-00005D0B0000}"/>
    <cellStyle name="Data 2 2 5 9" xfId="1265" xr:uid="{00000000-0005-0000-0000-00005E0B0000}"/>
    <cellStyle name="Data 2 2 5 9 10" xfId="1266" xr:uid="{00000000-0005-0000-0000-00005F0B0000}"/>
    <cellStyle name="Data 2 2 5 9 2" xfId="1267" xr:uid="{00000000-0005-0000-0000-0000600B0000}"/>
    <cellStyle name="Data 2 2 5 9 2 2" xfId="1268" xr:uid="{00000000-0005-0000-0000-0000610B0000}"/>
    <cellStyle name="Data 2 2 5 9 3" xfId="1269" xr:uid="{00000000-0005-0000-0000-0000620B0000}"/>
    <cellStyle name="Data 2 2 5 9 3 2" xfId="1270" xr:uid="{00000000-0005-0000-0000-0000630B0000}"/>
    <cellStyle name="Data 2 2 5 9 4" xfId="1271" xr:uid="{00000000-0005-0000-0000-0000640B0000}"/>
    <cellStyle name="Data 2 2 5 9 4 2" xfId="1272" xr:uid="{00000000-0005-0000-0000-0000650B0000}"/>
    <cellStyle name="Data 2 2 5 9 5" xfId="1273" xr:uid="{00000000-0005-0000-0000-0000660B0000}"/>
    <cellStyle name="Data 2 2 5 9 5 2" xfId="1274" xr:uid="{00000000-0005-0000-0000-0000670B0000}"/>
    <cellStyle name="Data 2 2 5 9 6" xfId="1275" xr:uid="{00000000-0005-0000-0000-0000680B0000}"/>
    <cellStyle name="Data 2 2 5 9 6 2" xfId="1276" xr:uid="{00000000-0005-0000-0000-0000690B0000}"/>
    <cellStyle name="Data 2 2 5 9 7" xfId="1277" xr:uid="{00000000-0005-0000-0000-00006A0B0000}"/>
    <cellStyle name="Data 2 2 5 9 7 2" xfId="1278" xr:uid="{00000000-0005-0000-0000-00006B0B0000}"/>
    <cellStyle name="Data 2 2 5 9 8" xfId="1279" xr:uid="{00000000-0005-0000-0000-00006C0B0000}"/>
    <cellStyle name="Data 2 2 5 9 8 2" xfId="1280" xr:uid="{00000000-0005-0000-0000-00006D0B0000}"/>
    <cellStyle name="Data 2 2 5 9 9" xfId="1281" xr:uid="{00000000-0005-0000-0000-00006E0B0000}"/>
    <cellStyle name="Data 2 2 5 9 9 2" xfId="1282" xr:uid="{00000000-0005-0000-0000-00006F0B0000}"/>
    <cellStyle name="Data 2 2 6" xfId="1283" xr:uid="{00000000-0005-0000-0000-0000700B0000}"/>
    <cellStyle name="Data 2 2 6 10" xfId="1284" xr:uid="{00000000-0005-0000-0000-0000710B0000}"/>
    <cellStyle name="Data 2 2 6 10 2" xfId="1285" xr:uid="{00000000-0005-0000-0000-0000720B0000}"/>
    <cellStyle name="Data 2 2 6 10 2 2" xfId="1286" xr:uid="{00000000-0005-0000-0000-0000730B0000}"/>
    <cellStyle name="Data 2 2 6 10 3" xfId="1287" xr:uid="{00000000-0005-0000-0000-0000740B0000}"/>
    <cellStyle name="Data 2 2 6 10 3 2" xfId="1288" xr:uid="{00000000-0005-0000-0000-0000750B0000}"/>
    <cellStyle name="Data 2 2 6 10 4" xfId="1289" xr:uid="{00000000-0005-0000-0000-0000760B0000}"/>
    <cellStyle name="Data 2 2 6 10 4 2" xfId="1290" xr:uid="{00000000-0005-0000-0000-0000770B0000}"/>
    <cellStyle name="Data 2 2 6 10 5" xfId="1291" xr:uid="{00000000-0005-0000-0000-0000780B0000}"/>
    <cellStyle name="Data 2 2 6 10 5 2" xfId="1292" xr:uid="{00000000-0005-0000-0000-0000790B0000}"/>
    <cellStyle name="Data 2 2 6 10 6" xfId="1293" xr:uid="{00000000-0005-0000-0000-00007A0B0000}"/>
    <cellStyle name="Data 2 2 6 10 6 2" xfId="1294" xr:uid="{00000000-0005-0000-0000-00007B0B0000}"/>
    <cellStyle name="Data 2 2 6 10 7" xfId="1295" xr:uid="{00000000-0005-0000-0000-00007C0B0000}"/>
    <cellStyle name="Data 2 2 6 10 7 2" xfId="1296" xr:uid="{00000000-0005-0000-0000-00007D0B0000}"/>
    <cellStyle name="Data 2 2 6 10 8" xfId="1297" xr:uid="{00000000-0005-0000-0000-00007E0B0000}"/>
    <cellStyle name="Data 2 2 6 10 8 2" xfId="1298" xr:uid="{00000000-0005-0000-0000-00007F0B0000}"/>
    <cellStyle name="Data 2 2 6 10 9" xfId="1299" xr:uid="{00000000-0005-0000-0000-0000800B0000}"/>
    <cellStyle name="Data 2 2 6 11" xfId="1300" xr:uid="{00000000-0005-0000-0000-0000810B0000}"/>
    <cellStyle name="Data 2 2 6 11 2" xfId="1301" xr:uid="{00000000-0005-0000-0000-0000820B0000}"/>
    <cellStyle name="Data 2 2 6 12" xfId="1302" xr:uid="{00000000-0005-0000-0000-0000830B0000}"/>
    <cellStyle name="Data 2 2 6 12 2" xfId="1303" xr:uid="{00000000-0005-0000-0000-0000840B0000}"/>
    <cellStyle name="Data 2 2 6 13" xfId="1304" xr:uid="{00000000-0005-0000-0000-0000850B0000}"/>
    <cellStyle name="Data 2 2 6 13 2" xfId="1305" xr:uid="{00000000-0005-0000-0000-0000860B0000}"/>
    <cellStyle name="Data 2 2 6 14" xfId="1306" xr:uid="{00000000-0005-0000-0000-0000870B0000}"/>
    <cellStyle name="Data 2 2 6 14 2" xfId="1307" xr:uid="{00000000-0005-0000-0000-0000880B0000}"/>
    <cellStyle name="Data 2 2 6 15" xfId="1308" xr:uid="{00000000-0005-0000-0000-0000890B0000}"/>
    <cellStyle name="Data 2 2 6 15 2" xfId="1309" xr:uid="{00000000-0005-0000-0000-00008A0B0000}"/>
    <cellStyle name="Data 2 2 6 16" xfId="1310" xr:uid="{00000000-0005-0000-0000-00008B0B0000}"/>
    <cellStyle name="Data 2 2 6 16 2" xfId="1311" xr:uid="{00000000-0005-0000-0000-00008C0B0000}"/>
    <cellStyle name="Data 2 2 6 17" xfId="1312" xr:uid="{00000000-0005-0000-0000-00008D0B0000}"/>
    <cellStyle name="Data 2 2 6 17 2" xfId="1313" xr:uid="{00000000-0005-0000-0000-00008E0B0000}"/>
    <cellStyle name="Data 2 2 6 18" xfId="1314" xr:uid="{00000000-0005-0000-0000-00008F0B0000}"/>
    <cellStyle name="Data 2 2 6 2" xfId="1315" xr:uid="{00000000-0005-0000-0000-0000900B0000}"/>
    <cellStyle name="Data 2 2 6 2 10" xfId="1316" xr:uid="{00000000-0005-0000-0000-0000910B0000}"/>
    <cellStyle name="Data 2 2 6 2 2" xfId="1317" xr:uid="{00000000-0005-0000-0000-0000920B0000}"/>
    <cellStyle name="Data 2 2 6 2 2 2" xfId="1318" xr:uid="{00000000-0005-0000-0000-0000930B0000}"/>
    <cellStyle name="Data 2 2 6 2 3" xfId="1319" xr:uid="{00000000-0005-0000-0000-0000940B0000}"/>
    <cellStyle name="Data 2 2 6 2 3 2" xfId="1320" xr:uid="{00000000-0005-0000-0000-0000950B0000}"/>
    <cellStyle name="Data 2 2 6 2 4" xfId="1321" xr:uid="{00000000-0005-0000-0000-0000960B0000}"/>
    <cellStyle name="Data 2 2 6 2 4 2" xfId="1322" xr:uid="{00000000-0005-0000-0000-0000970B0000}"/>
    <cellStyle name="Data 2 2 6 2 5" xfId="1323" xr:uid="{00000000-0005-0000-0000-0000980B0000}"/>
    <cellStyle name="Data 2 2 6 2 5 2" xfId="1324" xr:uid="{00000000-0005-0000-0000-0000990B0000}"/>
    <cellStyle name="Data 2 2 6 2 6" xfId="1325" xr:uid="{00000000-0005-0000-0000-00009A0B0000}"/>
    <cellStyle name="Data 2 2 6 2 6 2" xfId="1326" xr:uid="{00000000-0005-0000-0000-00009B0B0000}"/>
    <cellStyle name="Data 2 2 6 2 7" xfId="1327" xr:uid="{00000000-0005-0000-0000-00009C0B0000}"/>
    <cellStyle name="Data 2 2 6 2 7 2" xfId="1328" xr:uid="{00000000-0005-0000-0000-00009D0B0000}"/>
    <cellStyle name="Data 2 2 6 2 8" xfId="1329" xr:uid="{00000000-0005-0000-0000-00009E0B0000}"/>
    <cellStyle name="Data 2 2 6 2 8 2" xfId="1330" xr:uid="{00000000-0005-0000-0000-00009F0B0000}"/>
    <cellStyle name="Data 2 2 6 2 9" xfId="1331" xr:uid="{00000000-0005-0000-0000-0000A00B0000}"/>
    <cellStyle name="Data 2 2 6 2 9 2" xfId="1332" xr:uid="{00000000-0005-0000-0000-0000A10B0000}"/>
    <cellStyle name="Data 2 2 6 3" xfId="1333" xr:uid="{00000000-0005-0000-0000-0000A20B0000}"/>
    <cellStyle name="Data 2 2 6 3 10" xfId="1334" xr:uid="{00000000-0005-0000-0000-0000A30B0000}"/>
    <cellStyle name="Data 2 2 6 3 2" xfId="1335" xr:uid="{00000000-0005-0000-0000-0000A40B0000}"/>
    <cellStyle name="Data 2 2 6 3 2 2" xfId="1336" xr:uid="{00000000-0005-0000-0000-0000A50B0000}"/>
    <cellStyle name="Data 2 2 6 3 3" xfId="1337" xr:uid="{00000000-0005-0000-0000-0000A60B0000}"/>
    <cellStyle name="Data 2 2 6 3 3 2" xfId="1338" xr:uid="{00000000-0005-0000-0000-0000A70B0000}"/>
    <cellStyle name="Data 2 2 6 3 4" xfId="1339" xr:uid="{00000000-0005-0000-0000-0000A80B0000}"/>
    <cellStyle name="Data 2 2 6 3 4 2" xfId="1340" xr:uid="{00000000-0005-0000-0000-0000A90B0000}"/>
    <cellStyle name="Data 2 2 6 3 5" xfId="1341" xr:uid="{00000000-0005-0000-0000-0000AA0B0000}"/>
    <cellStyle name="Data 2 2 6 3 5 2" xfId="1342" xr:uid="{00000000-0005-0000-0000-0000AB0B0000}"/>
    <cellStyle name="Data 2 2 6 3 6" xfId="1343" xr:uid="{00000000-0005-0000-0000-0000AC0B0000}"/>
    <cellStyle name="Data 2 2 6 3 6 2" xfId="1344" xr:uid="{00000000-0005-0000-0000-0000AD0B0000}"/>
    <cellStyle name="Data 2 2 6 3 7" xfId="1345" xr:uid="{00000000-0005-0000-0000-0000AE0B0000}"/>
    <cellStyle name="Data 2 2 6 3 7 2" xfId="1346" xr:uid="{00000000-0005-0000-0000-0000AF0B0000}"/>
    <cellStyle name="Data 2 2 6 3 8" xfId="1347" xr:uid="{00000000-0005-0000-0000-0000B00B0000}"/>
    <cellStyle name="Data 2 2 6 3 8 2" xfId="1348" xr:uid="{00000000-0005-0000-0000-0000B10B0000}"/>
    <cellStyle name="Data 2 2 6 3 9" xfId="1349" xr:uid="{00000000-0005-0000-0000-0000B20B0000}"/>
    <cellStyle name="Data 2 2 6 3 9 2" xfId="1350" xr:uid="{00000000-0005-0000-0000-0000B30B0000}"/>
    <cellStyle name="Data 2 2 6 4" xfId="1351" xr:uid="{00000000-0005-0000-0000-0000B40B0000}"/>
    <cellStyle name="Data 2 2 6 4 10" xfId="1352" xr:uid="{00000000-0005-0000-0000-0000B50B0000}"/>
    <cellStyle name="Data 2 2 6 4 2" xfId="1353" xr:uid="{00000000-0005-0000-0000-0000B60B0000}"/>
    <cellStyle name="Data 2 2 6 4 2 2" xfId="1354" xr:uid="{00000000-0005-0000-0000-0000B70B0000}"/>
    <cellStyle name="Data 2 2 6 4 3" xfId="1355" xr:uid="{00000000-0005-0000-0000-0000B80B0000}"/>
    <cellStyle name="Data 2 2 6 4 3 2" xfId="1356" xr:uid="{00000000-0005-0000-0000-0000B90B0000}"/>
    <cellStyle name="Data 2 2 6 4 4" xfId="1357" xr:uid="{00000000-0005-0000-0000-0000BA0B0000}"/>
    <cellStyle name="Data 2 2 6 4 4 2" xfId="1358" xr:uid="{00000000-0005-0000-0000-0000BB0B0000}"/>
    <cellStyle name="Data 2 2 6 4 5" xfId="1359" xr:uid="{00000000-0005-0000-0000-0000BC0B0000}"/>
    <cellStyle name="Data 2 2 6 4 5 2" xfId="1360" xr:uid="{00000000-0005-0000-0000-0000BD0B0000}"/>
    <cellStyle name="Data 2 2 6 4 6" xfId="1361" xr:uid="{00000000-0005-0000-0000-0000BE0B0000}"/>
    <cellStyle name="Data 2 2 6 4 6 2" xfId="1362" xr:uid="{00000000-0005-0000-0000-0000BF0B0000}"/>
    <cellStyle name="Data 2 2 6 4 7" xfId="1363" xr:uid="{00000000-0005-0000-0000-0000C00B0000}"/>
    <cellStyle name="Data 2 2 6 4 7 2" xfId="1364" xr:uid="{00000000-0005-0000-0000-0000C10B0000}"/>
    <cellStyle name="Data 2 2 6 4 8" xfId="1365" xr:uid="{00000000-0005-0000-0000-0000C20B0000}"/>
    <cellStyle name="Data 2 2 6 4 8 2" xfId="1366" xr:uid="{00000000-0005-0000-0000-0000C30B0000}"/>
    <cellStyle name="Data 2 2 6 4 9" xfId="1367" xr:uid="{00000000-0005-0000-0000-0000C40B0000}"/>
    <cellStyle name="Data 2 2 6 4 9 2" xfId="1368" xr:uid="{00000000-0005-0000-0000-0000C50B0000}"/>
    <cellStyle name="Data 2 2 6 5" xfId="1369" xr:uid="{00000000-0005-0000-0000-0000C60B0000}"/>
    <cellStyle name="Data 2 2 6 5 10" xfId="1370" xr:uid="{00000000-0005-0000-0000-0000C70B0000}"/>
    <cellStyle name="Data 2 2 6 5 2" xfId="1371" xr:uid="{00000000-0005-0000-0000-0000C80B0000}"/>
    <cellStyle name="Data 2 2 6 5 2 2" xfId="1372" xr:uid="{00000000-0005-0000-0000-0000C90B0000}"/>
    <cellStyle name="Data 2 2 6 5 3" xfId="1373" xr:uid="{00000000-0005-0000-0000-0000CA0B0000}"/>
    <cellStyle name="Data 2 2 6 5 3 2" xfId="1374" xr:uid="{00000000-0005-0000-0000-0000CB0B0000}"/>
    <cellStyle name="Data 2 2 6 5 4" xfId="1375" xr:uid="{00000000-0005-0000-0000-0000CC0B0000}"/>
    <cellStyle name="Data 2 2 6 5 4 2" xfId="1376" xr:uid="{00000000-0005-0000-0000-0000CD0B0000}"/>
    <cellStyle name="Data 2 2 6 5 5" xfId="1377" xr:uid="{00000000-0005-0000-0000-0000CE0B0000}"/>
    <cellStyle name="Data 2 2 6 5 5 2" xfId="1378" xr:uid="{00000000-0005-0000-0000-0000CF0B0000}"/>
    <cellStyle name="Data 2 2 6 5 6" xfId="1379" xr:uid="{00000000-0005-0000-0000-0000D00B0000}"/>
    <cellStyle name="Data 2 2 6 5 6 2" xfId="1380" xr:uid="{00000000-0005-0000-0000-0000D10B0000}"/>
    <cellStyle name="Data 2 2 6 5 7" xfId="1381" xr:uid="{00000000-0005-0000-0000-0000D20B0000}"/>
    <cellStyle name="Data 2 2 6 5 7 2" xfId="1382" xr:uid="{00000000-0005-0000-0000-0000D30B0000}"/>
    <cellStyle name="Data 2 2 6 5 8" xfId="1383" xr:uid="{00000000-0005-0000-0000-0000D40B0000}"/>
    <cellStyle name="Data 2 2 6 5 8 2" xfId="1384" xr:uid="{00000000-0005-0000-0000-0000D50B0000}"/>
    <cellStyle name="Data 2 2 6 5 9" xfId="1385" xr:uid="{00000000-0005-0000-0000-0000D60B0000}"/>
    <cellStyle name="Data 2 2 6 5 9 2" xfId="1386" xr:uid="{00000000-0005-0000-0000-0000D70B0000}"/>
    <cellStyle name="Data 2 2 6 6" xfId="1387" xr:uid="{00000000-0005-0000-0000-0000D80B0000}"/>
    <cellStyle name="Data 2 2 6 6 10" xfId="1388" xr:uid="{00000000-0005-0000-0000-0000D90B0000}"/>
    <cellStyle name="Data 2 2 6 6 2" xfId="1389" xr:uid="{00000000-0005-0000-0000-0000DA0B0000}"/>
    <cellStyle name="Data 2 2 6 6 2 2" xfId="1390" xr:uid="{00000000-0005-0000-0000-0000DB0B0000}"/>
    <cellStyle name="Data 2 2 6 6 3" xfId="1391" xr:uid="{00000000-0005-0000-0000-0000DC0B0000}"/>
    <cellStyle name="Data 2 2 6 6 3 2" xfId="1392" xr:uid="{00000000-0005-0000-0000-0000DD0B0000}"/>
    <cellStyle name="Data 2 2 6 6 4" xfId="1393" xr:uid="{00000000-0005-0000-0000-0000DE0B0000}"/>
    <cellStyle name="Data 2 2 6 6 4 2" xfId="1394" xr:uid="{00000000-0005-0000-0000-0000DF0B0000}"/>
    <cellStyle name="Data 2 2 6 6 5" xfId="1395" xr:uid="{00000000-0005-0000-0000-0000E00B0000}"/>
    <cellStyle name="Data 2 2 6 6 5 2" xfId="1396" xr:uid="{00000000-0005-0000-0000-0000E10B0000}"/>
    <cellStyle name="Data 2 2 6 6 6" xfId="1397" xr:uid="{00000000-0005-0000-0000-0000E20B0000}"/>
    <cellStyle name="Data 2 2 6 6 6 2" xfId="1398" xr:uid="{00000000-0005-0000-0000-0000E30B0000}"/>
    <cellStyle name="Data 2 2 6 6 7" xfId="1399" xr:uid="{00000000-0005-0000-0000-0000E40B0000}"/>
    <cellStyle name="Data 2 2 6 6 7 2" xfId="1400" xr:uid="{00000000-0005-0000-0000-0000E50B0000}"/>
    <cellStyle name="Data 2 2 6 6 8" xfId="1401" xr:uid="{00000000-0005-0000-0000-0000E60B0000}"/>
    <cellStyle name="Data 2 2 6 6 8 2" xfId="1402" xr:uid="{00000000-0005-0000-0000-0000E70B0000}"/>
    <cellStyle name="Data 2 2 6 6 9" xfId="1403" xr:uid="{00000000-0005-0000-0000-0000E80B0000}"/>
    <cellStyle name="Data 2 2 6 6 9 2" xfId="1404" xr:uid="{00000000-0005-0000-0000-0000E90B0000}"/>
    <cellStyle name="Data 2 2 6 7" xfId="1405" xr:uid="{00000000-0005-0000-0000-0000EA0B0000}"/>
    <cellStyle name="Data 2 2 6 7 10" xfId="1406" xr:uid="{00000000-0005-0000-0000-0000EB0B0000}"/>
    <cellStyle name="Data 2 2 6 7 2" xfId="1407" xr:uid="{00000000-0005-0000-0000-0000EC0B0000}"/>
    <cellStyle name="Data 2 2 6 7 2 2" xfId="1408" xr:uid="{00000000-0005-0000-0000-0000ED0B0000}"/>
    <cellStyle name="Data 2 2 6 7 3" xfId="1409" xr:uid="{00000000-0005-0000-0000-0000EE0B0000}"/>
    <cellStyle name="Data 2 2 6 7 3 2" xfId="1410" xr:uid="{00000000-0005-0000-0000-0000EF0B0000}"/>
    <cellStyle name="Data 2 2 6 7 4" xfId="1411" xr:uid="{00000000-0005-0000-0000-0000F00B0000}"/>
    <cellStyle name="Data 2 2 6 7 4 2" xfId="1412" xr:uid="{00000000-0005-0000-0000-0000F10B0000}"/>
    <cellStyle name="Data 2 2 6 7 5" xfId="1413" xr:uid="{00000000-0005-0000-0000-0000F20B0000}"/>
    <cellStyle name="Data 2 2 6 7 5 2" xfId="1414" xr:uid="{00000000-0005-0000-0000-0000F30B0000}"/>
    <cellStyle name="Data 2 2 6 7 6" xfId="1415" xr:uid="{00000000-0005-0000-0000-0000F40B0000}"/>
    <cellStyle name="Data 2 2 6 7 6 2" xfId="1416" xr:uid="{00000000-0005-0000-0000-0000F50B0000}"/>
    <cellStyle name="Data 2 2 6 7 7" xfId="1417" xr:uid="{00000000-0005-0000-0000-0000F60B0000}"/>
    <cellStyle name="Data 2 2 6 7 7 2" xfId="1418" xr:uid="{00000000-0005-0000-0000-0000F70B0000}"/>
    <cellStyle name="Data 2 2 6 7 8" xfId="1419" xr:uid="{00000000-0005-0000-0000-0000F80B0000}"/>
    <cellStyle name="Data 2 2 6 7 8 2" xfId="1420" xr:uid="{00000000-0005-0000-0000-0000F90B0000}"/>
    <cellStyle name="Data 2 2 6 7 9" xfId="1421" xr:uid="{00000000-0005-0000-0000-0000FA0B0000}"/>
    <cellStyle name="Data 2 2 6 7 9 2" xfId="1422" xr:uid="{00000000-0005-0000-0000-0000FB0B0000}"/>
    <cellStyle name="Data 2 2 6 8" xfId="1423" xr:uid="{00000000-0005-0000-0000-0000FC0B0000}"/>
    <cellStyle name="Data 2 2 6 8 10" xfId="1424" xr:uid="{00000000-0005-0000-0000-0000FD0B0000}"/>
    <cellStyle name="Data 2 2 6 8 2" xfId="1425" xr:uid="{00000000-0005-0000-0000-0000FE0B0000}"/>
    <cellStyle name="Data 2 2 6 8 2 2" xfId="1426" xr:uid="{00000000-0005-0000-0000-0000FF0B0000}"/>
    <cellStyle name="Data 2 2 6 8 3" xfId="1427" xr:uid="{00000000-0005-0000-0000-0000000C0000}"/>
    <cellStyle name="Data 2 2 6 8 3 2" xfId="1428" xr:uid="{00000000-0005-0000-0000-0000010C0000}"/>
    <cellStyle name="Data 2 2 6 8 4" xfId="1429" xr:uid="{00000000-0005-0000-0000-0000020C0000}"/>
    <cellStyle name="Data 2 2 6 8 4 2" xfId="1430" xr:uid="{00000000-0005-0000-0000-0000030C0000}"/>
    <cellStyle name="Data 2 2 6 8 5" xfId="1431" xr:uid="{00000000-0005-0000-0000-0000040C0000}"/>
    <cellStyle name="Data 2 2 6 8 5 2" xfId="1432" xr:uid="{00000000-0005-0000-0000-0000050C0000}"/>
    <cellStyle name="Data 2 2 6 8 6" xfId="1433" xr:uid="{00000000-0005-0000-0000-0000060C0000}"/>
    <cellStyle name="Data 2 2 6 8 6 2" xfId="1434" xr:uid="{00000000-0005-0000-0000-0000070C0000}"/>
    <cellStyle name="Data 2 2 6 8 7" xfId="1435" xr:uid="{00000000-0005-0000-0000-0000080C0000}"/>
    <cellStyle name="Data 2 2 6 8 7 2" xfId="1436" xr:uid="{00000000-0005-0000-0000-0000090C0000}"/>
    <cellStyle name="Data 2 2 6 8 8" xfId="1437" xr:uid="{00000000-0005-0000-0000-00000A0C0000}"/>
    <cellStyle name="Data 2 2 6 8 8 2" xfId="1438" xr:uid="{00000000-0005-0000-0000-00000B0C0000}"/>
    <cellStyle name="Data 2 2 6 8 9" xfId="1439" xr:uid="{00000000-0005-0000-0000-00000C0C0000}"/>
    <cellStyle name="Data 2 2 6 8 9 2" xfId="1440" xr:uid="{00000000-0005-0000-0000-00000D0C0000}"/>
    <cellStyle name="Data 2 2 6 9" xfId="1441" xr:uid="{00000000-0005-0000-0000-00000E0C0000}"/>
    <cellStyle name="Data 2 2 6 9 10" xfId="1442" xr:uid="{00000000-0005-0000-0000-00000F0C0000}"/>
    <cellStyle name="Data 2 2 6 9 2" xfId="1443" xr:uid="{00000000-0005-0000-0000-0000100C0000}"/>
    <cellStyle name="Data 2 2 6 9 2 2" xfId="1444" xr:uid="{00000000-0005-0000-0000-0000110C0000}"/>
    <cellStyle name="Data 2 2 6 9 3" xfId="1445" xr:uid="{00000000-0005-0000-0000-0000120C0000}"/>
    <cellStyle name="Data 2 2 6 9 3 2" xfId="1446" xr:uid="{00000000-0005-0000-0000-0000130C0000}"/>
    <cellStyle name="Data 2 2 6 9 4" xfId="1447" xr:uid="{00000000-0005-0000-0000-0000140C0000}"/>
    <cellStyle name="Data 2 2 6 9 4 2" xfId="1448" xr:uid="{00000000-0005-0000-0000-0000150C0000}"/>
    <cellStyle name="Data 2 2 6 9 5" xfId="1449" xr:uid="{00000000-0005-0000-0000-0000160C0000}"/>
    <cellStyle name="Data 2 2 6 9 5 2" xfId="1450" xr:uid="{00000000-0005-0000-0000-0000170C0000}"/>
    <cellStyle name="Data 2 2 6 9 6" xfId="1451" xr:uid="{00000000-0005-0000-0000-0000180C0000}"/>
    <cellStyle name="Data 2 2 6 9 6 2" xfId="1452" xr:uid="{00000000-0005-0000-0000-0000190C0000}"/>
    <cellStyle name="Data 2 2 6 9 7" xfId="1453" xr:uid="{00000000-0005-0000-0000-00001A0C0000}"/>
    <cellStyle name="Data 2 2 6 9 7 2" xfId="1454" xr:uid="{00000000-0005-0000-0000-00001B0C0000}"/>
    <cellStyle name="Data 2 2 6 9 8" xfId="1455" xr:uid="{00000000-0005-0000-0000-00001C0C0000}"/>
    <cellStyle name="Data 2 2 6 9 8 2" xfId="1456" xr:uid="{00000000-0005-0000-0000-00001D0C0000}"/>
    <cellStyle name="Data 2 2 6 9 9" xfId="1457" xr:uid="{00000000-0005-0000-0000-00001E0C0000}"/>
    <cellStyle name="Data 2 2 6 9 9 2" xfId="1458" xr:uid="{00000000-0005-0000-0000-00001F0C0000}"/>
    <cellStyle name="Data 2 2 7" xfId="1459" xr:uid="{00000000-0005-0000-0000-0000200C0000}"/>
    <cellStyle name="Data 2 2 7 10" xfId="1460" xr:uid="{00000000-0005-0000-0000-0000210C0000}"/>
    <cellStyle name="Data 2 2 7 10 2" xfId="1461" xr:uid="{00000000-0005-0000-0000-0000220C0000}"/>
    <cellStyle name="Data 2 2 7 10 2 2" xfId="1462" xr:uid="{00000000-0005-0000-0000-0000230C0000}"/>
    <cellStyle name="Data 2 2 7 10 3" xfId="1463" xr:uid="{00000000-0005-0000-0000-0000240C0000}"/>
    <cellStyle name="Data 2 2 7 10 3 2" xfId="1464" xr:uid="{00000000-0005-0000-0000-0000250C0000}"/>
    <cellStyle name="Data 2 2 7 10 4" xfId="1465" xr:uid="{00000000-0005-0000-0000-0000260C0000}"/>
    <cellStyle name="Data 2 2 7 10 4 2" xfId="1466" xr:uid="{00000000-0005-0000-0000-0000270C0000}"/>
    <cellStyle name="Data 2 2 7 10 5" xfId="1467" xr:uid="{00000000-0005-0000-0000-0000280C0000}"/>
    <cellStyle name="Data 2 2 7 10 5 2" xfId="1468" xr:uid="{00000000-0005-0000-0000-0000290C0000}"/>
    <cellStyle name="Data 2 2 7 10 6" xfId="1469" xr:uid="{00000000-0005-0000-0000-00002A0C0000}"/>
    <cellStyle name="Data 2 2 7 10 6 2" xfId="1470" xr:uid="{00000000-0005-0000-0000-00002B0C0000}"/>
    <cellStyle name="Data 2 2 7 10 7" xfId="1471" xr:uid="{00000000-0005-0000-0000-00002C0C0000}"/>
    <cellStyle name="Data 2 2 7 10 7 2" xfId="1472" xr:uid="{00000000-0005-0000-0000-00002D0C0000}"/>
    <cellStyle name="Data 2 2 7 10 8" xfId="1473" xr:uid="{00000000-0005-0000-0000-00002E0C0000}"/>
    <cellStyle name="Data 2 2 7 10 8 2" xfId="1474" xr:uid="{00000000-0005-0000-0000-00002F0C0000}"/>
    <cellStyle name="Data 2 2 7 10 9" xfId="1475" xr:uid="{00000000-0005-0000-0000-0000300C0000}"/>
    <cellStyle name="Data 2 2 7 11" xfId="1476" xr:uid="{00000000-0005-0000-0000-0000310C0000}"/>
    <cellStyle name="Data 2 2 7 11 2" xfId="1477" xr:uid="{00000000-0005-0000-0000-0000320C0000}"/>
    <cellStyle name="Data 2 2 7 12" xfId="1478" xr:uid="{00000000-0005-0000-0000-0000330C0000}"/>
    <cellStyle name="Data 2 2 7 12 2" xfId="1479" xr:uid="{00000000-0005-0000-0000-0000340C0000}"/>
    <cellStyle name="Data 2 2 7 13" xfId="1480" xr:uid="{00000000-0005-0000-0000-0000350C0000}"/>
    <cellStyle name="Data 2 2 7 13 2" xfId="1481" xr:uid="{00000000-0005-0000-0000-0000360C0000}"/>
    <cellStyle name="Data 2 2 7 14" xfId="1482" xr:uid="{00000000-0005-0000-0000-0000370C0000}"/>
    <cellStyle name="Data 2 2 7 14 2" xfId="1483" xr:uid="{00000000-0005-0000-0000-0000380C0000}"/>
    <cellStyle name="Data 2 2 7 15" xfId="1484" xr:uid="{00000000-0005-0000-0000-0000390C0000}"/>
    <cellStyle name="Data 2 2 7 15 2" xfId="1485" xr:uid="{00000000-0005-0000-0000-00003A0C0000}"/>
    <cellStyle name="Data 2 2 7 16" xfId="1486" xr:uid="{00000000-0005-0000-0000-00003B0C0000}"/>
    <cellStyle name="Data 2 2 7 16 2" xfId="1487" xr:uid="{00000000-0005-0000-0000-00003C0C0000}"/>
    <cellStyle name="Data 2 2 7 17" xfId="1488" xr:uid="{00000000-0005-0000-0000-00003D0C0000}"/>
    <cellStyle name="Data 2 2 7 17 2" xfId="1489" xr:uid="{00000000-0005-0000-0000-00003E0C0000}"/>
    <cellStyle name="Data 2 2 7 18" xfId="1490" xr:uid="{00000000-0005-0000-0000-00003F0C0000}"/>
    <cellStyle name="Data 2 2 7 2" xfId="1491" xr:uid="{00000000-0005-0000-0000-0000400C0000}"/>
    <cellStyle name="Data 2 2 7 2 10" xfId="1492" xr:uid="{00000000-0005-0000-0000-0000410C0000}"/>
    <cellStyle name="Data 2 2 7 2 2" xfId="1493" xr:uid="{00000000-0005-0000-0000-0000420C0000}"/>
    <cellStyle name="Data 2 2 7 2 2 2" xfId="1494" xr:uid="{00000000-0005-0000-0000-0000430C0000}"/>
    <cellStyle name="Data 2 2 7 2 3" xfId="1495" xr:uid="{00000000-0005-0000-0000-0000440C0000}"/>
    <cellStyle name="Data 2 2 7 2 3 2" xfId="1496" xr:uid="{00000000-0005-0000-0000-0000450C0000}"/>
    <cellStyle name="Data 2 2 7 2 4" xfId="1497" xr:uid="{00000000-0005-0000-0000-0000460C0000}"/>
    <cellStyle name="Data 2 2 7 2 4 2" xfId="1498" xr:uid="{00000000-0005-0000-0000-0000470C0000}"/>
    <cellStyle name="Data 2 2 7 2 5" xfId="1499" xr:uid="{00000000-0005-0000-0000-0000480C0000}"/>
    <cellStyle name="Data 2 2 7 2 5 2" xfId="1500" xr:uid="{00000000-0005-0000-0000-0000490C0000}"/>
    <cellStyle name="Data 2 2 7 2 6" xfId="1501" xr:uid="{00000000-0005-0000-0000-00004A0C0000}"/>
    <cellStyle name="Data 2 2 7 2 6 2" xfId="1502" xr:uid="{00000000-0005-0000-0000-00004B0C0000}"/>
    <cellStyle name="Data 2 2 7 2 7" xfId="1503" xr:uid="{00000000-0005-0000-0000-00004C0C0000}"/>
    <cellStyle name="Data 2 2 7 2 7 2" xfId="1504" xr:uid="{00000000-0005-0000-0000-00004D0C0000}"/>
    <cellStyle name="Data 2 2 7 2 8" xfId="1505" xr:uid="{00000000-0005-0000-0000-00004E0C0000}"/>
    <cellStyle name="Data 2 2 7 2 8 2" xfId="1506" xr:uid="{00000000-0005-0000-0000-00004F0C0000}"/>
    <cellStyle name="Data 2 2 7 2 9" xfId="1507" xr:uid="{00000000-0005-0000-0000-0000500C0000}"/>
    <cellStyle name="Data 2 2 7 2 9 2" xfId="1508" xr:uid="{00000000-0005-0000-0000-0000510C0000}"/>
    <cellStyle name="Data 2 2 7 3" xfId="1509" xr:uid="{00000000-0005-0000-0000-0000520C0000}"/>
    <cellStyle name="Data 2 2 7 3 10" xfId="1510" xr:uid="{00000000-0005-0000-0000-0000530C0000}"/>
    <cellStyle name="Data 2 2 7 3 2" xfId="1511" xr:uid="{00000000-0005-0000-0000-0000540C0000}"/>
    <cellStyle name="Data 2 2 7 3 2 2" xfId="1512" xr:uid="{00000000-0005-0000-0000-0000550C0000}"/>
    <cellStyle name="Data 2 2 7 3 3" xfId="1513" xr:uid="{00000000-0005-0000-0000-0000560C0000}"/>
    <cellStyle name="Data 2 2 7 3 3 2" xfId="1514" xr:uid="{00000000-0005-0000-0000-0000570C0000}"/>
    <cellStyle name="Data 2 2 7 3 4" xfId="1515" xr:uid="{00000000-0005-0000-0000-0000580C0000}"/>
    <cellStyle name="Data 2 2 7 3 4 2" xfId="1516" xr:uid="{00000000-0005-0000-0000-0000590C0000}"/>
    <cellStyle name="Data 2 2 7 3 5" xfId="1517" xr:uid="{00000000-0005-0000-0000-00005A0C0000}"/>
    <cellStyle name="Data 2 2 7 3 5 2" xfId="1518" xr:uid="{00000000-0005-0000-0000-00005B0C0000}"/>
    <cellStyle name="Data 2 2 7 3 6" xfId="1519" xr:uid="{00000000-0005-0000-0000-00005C0C0000}"/>
    <cellStyle name="Data 2 2 7 3 6 2" xfId="1520" xr:uid="{00000000-0005-0000-0000-00005D0C0000}"/>
    <cellStyle name="Data 2 2 7 3 7" xfId="1521" xr:uid="{00000000-0005-0000-0000-00005E0C0000}"/>
    <cellStyle name="Data 2 2 7 3 7 2" xfId="1522" xr:uid="{00000000-0005-0000-0000-00005F0C0000}"/>
    <cellStyle name="Data 2 2 7 3 8" xfId="1523" xr:uid="{00000000-0005-0000-0000-0000600C0000}"/>
    <cellStyle name="Data 2 2 7 3 8 2" xfId="1524" xr:uid="{00000000-0005-0000-0000-0000610C0000}"/>
    <cellStyle name="Data 2 2 7 3 9" xfId="1525" xr:uid="{00000000-0005-0000-0000-0000620C0000}"/>
    <cellStyle name="Data 2 2 7 3 9 2" xfId="1526" xr:uid="{00000000-0005-0000-0000-0000630C0000}"/>
    <cellStyle name="Data 2 2 7 4" xfId="1527" xr:uid="{00000000-0005-0000-0000-0000640C0000}"/>
    <cellStyle name="Data 2 2 7 4 10" xfId="1528" xr:uid="{00000000-0005-0000-0000-0000650C0000}"/>
    <cellStyle name="Data 2 2 7 4 2" xfId="1529" xr:uid="{00000000-0005-0000-0000-0000660C0000}"/>
    <cellStyle name="Data 2 2 7 4 2 2" xfId="1530" xr:uid="{00000000-0005-0000-0000-0000670C0000}"/>
    <cellStyle name="Data 2 2 7 4 3" xfId="1531" xr:uid="{00000000-0005-0000-0000-0000680C0000}"/>
    <cellStyle name="Data 2 2 7 4 3 2" xfId="1532" xr:uid="{00000000-0005-0000-0000-0000690C0000}"/>
    <cellStyle name="Data 2 2 7 4 4" xfId="1533" xr:uid="{00000000-0005-0000-0000-00006A0C0000}"/>
    <cellStyle name="Data 2 2 7 4 4 2" xfId="1534" xr:uid="{00000000-0005-0000-0000-00006B0C0000}"/>
    <cellStyle name="Data 2 2 7 4 5" xfId="1535" xr:uid="{00000000-0005-0000-0000-00006C0C0000}"/>
    <cellStyle name="Data 2 2 7 4 5 2" xfId="1536" xr:uid="{00000000-0005-0000-0000-00006D0C0000}"/>
    <cellStyle name="Data 2 2 7 4 6" xfId="1537" xr:uid="{00000000-0005-0000-0000-00006E0C0000}"/>
    <cellStyle name="Data 2 2 7 4 6 2" xfId="1538" xr:uid="{00000000-0005-0000-0000-00006F0C0000}"/>
    <cellStyle name="Data 2 2 7 4 7" xfId="1539" xr:uid="{00000000-0005-0000-0000-0000700C0000}"/>
    <cellStyle name="Data 2 2 7 4 7 2" xfId="1540" xr:uid="{00000000-0005-0000-0000-0000710C0000}"/>
    <cellStyle name="Data 2 2 7 4 8" xfId="1541" xr:uid="{00000000-0005-0000-0000-0000720C0000}"/>
    <cellStyle name="Data 2 2 7 4 8 2" xfId="1542" xr:uid="{00000000-0005-0000-0000-0000730C0000}"/>
    <cellStyle name="Data 2 2 7 4 9" xfId="1543" xr:uid="{00000000-0005-0000-0000-0000740C0000}"/>
    <cellStyle name="Data 2 2 7 4 9 2" xfId="1544" xr:uid="{00000000-0005-0000-0000-0000750C0000}"/>
    <cellStyle name="Data 2 2 7 5" xfId="1545" xr:uid="{00000000-0005-0000-0000-0000760C0000}"/>
    <cellStyle name="Data 2 2 7 5 10" xfId="1546" xr:uid="{00000000-0005-0000-0000-0000770C0000}"/>
    <cellStyle name="Data 2 2 7 5 2" xfId="1547" xr:uid="{00000000-0005-0000-0000-0000780C0000}"/>
    <cellStyle name="Data 2 2 7 5 2 2" xfId="1548" xr:uid="{00000000-0005-0000-0000-0000790C0000}"/>
    <cellStyle name="Data 2 2 7 5 3" xfId="1549" xr:uid="{00000000-0005-0000-0000-00007A0C0000}"/>
    <cellStyle name="Data 2 2 7 5 3 2" xfId="1550" xr:uid="{00000000-0005-0000-0000-00007B0C0000}"/>
    <cellStyle name="Data 2 2 7 5 4" xfId="1551" xr:uid="{00000000-0005-0000-0000-00007C0C0000}"/>
    <cellStyle name="Data 2 2 7 5 4 2" xfId="1552" xr:uid="{00000000-0005-0000-0000-00007D0C0000}"/>
    <cellStyle name="Data 2 2 7 5 5" xfId="1553" xr:uid="{00000000-0005-0000-0000-00007E0C0000}"/>
    <cellStyle name="Data 2 2 7 5 5 2" xfId="1554" xr:uid="{00000000-0005-0000-0000-00007F0C0000}"/>
    <cellStyle name="Data 2 2 7 5 6" xfId="1555" xr:uid="{00000000-0005-0000-0000-0000800C0000}"/>
    <cellStyle name="Data 2 2 7 5 6 2" xfId="1556" xr:uid="{00000000-0005-0000-0000-0000810C0000}"/>
    <cellStyle name="Data 2 2 7 5 7" xfId="1557" xr:uid="{00000000-0005-0000-0000-0000820C0000}"/>
    <cellStyle name="Data 2 2 7 5 7 2" xfId="1558" xr:uid="{00000000-0005-0000-0000-0000830C0000}"/>
    <cellStyle name="Data 2 2 7 5 8" xfId="1559" xr:uid="{00000000-0005-0000-0000-0000840C0000}"/>
    <cellStyle name="Data 2 2 7 5 8 2" xfId="1560" xr:uid="{00000000-0005-0000-0000-0000850C0000}"/>
    <cellStyle name="Data 2 2 7 5 9" xfId="1561" xr:uid="{00000000-0005-0000-0000-0000860C0000}"/>
    <cellStyle name="Data 2 2 7 5 9 2" xfId="1562" xr:uid="{00000000-0005-0000-0000-0000870C0000}"/>
    <cellStyle name="Data 2 2 7 6" xfId="1563" xr:uid="{00000000-0005-0000-0000-0000880C0000}"/>
    <cellStyle name="Data 2 2 7 6 10" xfId="1564" xr:uid="{00000000-0005-0000-0000-0000890C0000}"/>
    <cellStyle name="Data 2 2 7 6 2" xfId="1565" xr:uid="{00000000-0005-0000-0000-00008A0C0000}"/>
    <cellStyle name="Data 2 2 7 6 2 2" xfId="1566" xr:uid="{00000000-0005-0000-0000-00008B0C0000}"/>
    <cellStyle name="Data 2 2 7 6 3" xfId="1567" xr:uid="{00000000-0005-0000-0000-00008C0C0000}"/>
    <cellStyle name="Data 2 2 7 6 3 2" xfId="1568" xr:uid="{00000000-0005-0000-0000-00008D0C0000}"/>
    <cellStyle name="Data 2 2 7 6 4" xfId="1569" xr:uid="{00000000-0005-0000-0000-00008E0C0000}"/>
    <cellStyle name="Data 2 2 7 6 4 2" xfId="1570" xr:uid="{00000000-0005-0000-0000-00008F0C0000}"/>
    <cellStyle name="Data 2 2 7 6 5" xfId="1571" xr:uid="{00000000-0005-0000-0000-0000900C0000}"/>
    <cellStyle name="Data 2 2 7 6 5 2" xfId="1572" xr:uid="{00000000-0005-0000-0000-0000910C0000}"/>
    <cellStyle name="Data 2 2 7 6 6" xfId="1573" xr:uid="{00000000-0005-0000-0000-0000920C0000}"/>
    <cellStyle name="Data 2 2 7 6 6 2" xfId="1574" xr:uid="{00000000-0005-0000-0000-0000930C0000}"/>
    <cellStyle name="Data 2 2 7 6 7" xfId="1575" xr:uid="{00000000-0005-0000-0000-0000940C0000}"/>
    <cellStyle name="Data 2 2 7 6 7 2" xfId="1576" xr:uid="{00000000-0005-0000-0000-0000950C0000}"/>
    <cellStyle name="Data 2 2 7 6 8" xfId="1577" xr:uid="{00000000-0005-0000-0000-0000960C0000}"/>
    <cellStyle name="Data 2 2 7 6 8 2" xfId="1578" xr:uid="{00000000-0005-0000-0000-0000970C0000}"/>
    <cellStyle name="Data 2 2 7 6 9" xfId="1579" xr:uid="{00000000-0005-0000-0000-0000980C0000}"/>
    <cellStyle name="Data 2 2 7 6 9 2" xfId="1580" xr:uid="{00000000-0005-0000-0000-0000990C0000}"/>
    <cellStyle name="Data 2 2 7 7" xfId="1581" xr:uid="{00000000-0005-0000-0000-00009A0C0000}"/>
    <cellStyle name="Data 2 2 7 7 10" xfId="1582" xr:uid="{00000000-0005-0000-0000-00009B0C0000}"/>
    <cellStyle name="Data 2 2 7 7 2" xfId="1583" xr:uid="{00000000-0005-0000-0000-00009C0C0000}"/>
    <cellStyle name="Data 2 2 7 7 2 2" xfId="1584" xr:uid="{00000000-0005-0000-0000-00009D0C0000}"/>
    <cellStyle name="Data 2 2 7 7 3" xfId="1585" xr:uid="{00000000-0005-0000-0000-00009E0C0000}"/>
    <cellStyle name="Data 2 2 7 7 3 2" xfId="1586" xr:uid="{00000000-0005-0000-0000-00009F0C0000}"/>
    <cellStyle name="Data 2 2 7 7 4" xfId="1587" xr:uid="{00000000-0005-0000-0000-0000A00C0000}"/>
    <cellStyle name="Data 2 2 7 7 4 2" xfId="1588" xr:uid="{00000000-0005-0000-0000-0000A10C0000}"/>
    <cellStyle name="Data 2 2 7 7 5" xfId="1589" xr:uid="{00000000-0005-0000-0000-0000A20C0000}"/>
    <cellStyle name="Data 2 2 7 7 5 2" xfId="1590" xr:uid="{00000000-0005-0000-0000-0000A30C0000}"/>
    <cellStyle name="Data 2 2 7 7 6" xfId="1591" xr:uid="{00000000-0005-0000-0000-0000A40C0000}"/>
    <cellStyle name="Data 2 2 7 7 6 2" xfId="1592" xr:uid="{00000000-0005-0000-0000-0000A50C0000}"/>
    <cellStyle name="Data 2 2 7 7 7" xfId="1593" xr:uid="{00000000-0005-0000-0000-0000A60C0000}"/>
    <cellStyle name="Data 2 2 7 7 7 2" xfId="1594" xr:uid="{00000000-0005-0000-0000-0000A70C0000}"/>
    <cellStyle name="Data 2 2 7 7 8" xfId="1595" xr:uid="{00000000-0005-0000-0000-0000A80C0000}"/>
    <cellStyle name="Data 2 2 7 7 8 2" xfId="1596" xr:uid="{00000000-0005-0000-0000-0000A90C0000}"/>
    <cellStyle name="Data 2 2 7 7 9" xfId="1597" xr:uid="{00000000-0005-0000-0000-0000AA0C0000}"/>
    <cellStyle name="Data 2 2 7 7 9 2" xfId="1598" xr:uid="{00000000-0005-0000-0000-0000AB0C0000}"/>
    <cellStyle name="Data 2 2 7 8" xfId="1599" xr:uid="{00000000-0005-0000-0000-0000AC0C0000}"/>
    <cellStyle name="Data 2 2 7 8 10" xfId="1600" xr:uid="{00000000-0005-0000-0000-0000AD0C0000}"/>
    <cellStyle name="Data 2 2 7 8 2" xfId="1601" xr:uid="{00000000-0005-0000-0000-0000AE0C0000}"/>
    <cellStyle name="Data 2 2 7 8 2 2" xfId="1602" xr:uid="{00000000-0005-0000-0000-0000AF0C0000}"/>
    <cellStyle name="Data 2 2 7 8 3" xfId="1603" xr:uid="{00000000-0005-0000-0000-0000B00C0000}"/>
    <cellStyle name="Data 2 2 7 8 3 2" xfId="1604" xr:uid="{00000000-0005-0000-0000-0000B10C0000}"/>
    <cellStyle name="Data 2 2 7 8 4" xfId="1605" xr:uid="{00000000-0005-0000-0000-0000B20C0000}"/>
    <cellStyle name="Data 2 2 7 8 4 2" xfId="1606" xr:uid="{00000000-0005-0000-0000-0000B30C0000}"/>
    <cellStyle name="Data 2 2 7 8 5" xfId="1607" xr:uid="{00000000-0005-0000-0000-0000B40C0000}"/>
    <cellStyle name="Data 2 2 7 8 5 2" xfId="1608" xr:uid="{00000000-0005-0000-0000-0000B50C0000}"/>
    <cellStyle name="Data 2 2 7 8 6" xfId="1609" xr:uid="{00000000-0005-0000-0000-0000B60C0000}"/>
    <cellStyle name="Data 2 2 7 8 6 2" xfId="1610" xr:uid="{00000000-0005-0000-0000-0000B70C0000}"/>
    <cellStyle name="Data 2 2 7 8 7" xfId="1611" xr:uid="{00000000-0005-0000-0000-0000B80C0000}"/>
    <cellStyle name="Data 2 2 7 8 7 2" xfId="1612" xr:uid="{00000000-0005-0000-0000-0000B90C0000}"/>
    <cellStyle name="Data 2 2 7 8 8" xfId="1613" xr:uid="{00000000-0005-0000-0000-0000BA0C0000}"/>
    <cellStyle name="Data 2 2 7 8 8 2" xfId="1614" xr:uid="{00000000-0005-0000-0000-0000BB0C0000}"/>
    <cellStyle name="Data 2 2 7 8 9" xfId="1615" xr:uid="{00000000-0005-0000-0000-0000BC0C0000}"/>
    <cellStyle name="Data 2 2 7 8 9 2" xfId="1616" xr:uid="{00000000-0005-0000-0000-0000BD0C0000}"/>
    <cellStyle name="Data 2 2 7 9" xfId="1617" xr:uid="{00000000-0005-0000-0000-0000BE0C0000}"/>
    <cellStyle name="Data 2 2 7 9 10" xfId="1618" xr:uid="{00000000-0005-0000-0000-0000BF0C0000}"/>
    <cellStyle name="Data 2 2 7 9 2" xfId="1619" xr:uid="{00000000-0005-0000-0000-0000C00C0000}"/>
    <cellStyle name="Data 2 2 7 9 2 2" xfId="1620" xr:uid="{00000000-0005-0000-0000-0000C10C0000}"/>
    <cellStyle name="Data 2 2 7 9 3" xfId="1621" xr:uid="{00000000-0005-0000-0000-0000C20C0000}"/>
    <cellStyle name="Data 2 2 7 9 3 2" xfId="1622" xr:uid="{00000000-0005-0000-0000-0000C30C0000}"/>
    <cellStyle name="Data 2 2 7 9 4" xfId="1623" xr:uid="{00000000-0005-0000-0000-0000C40C0000}"/>
    <cellStyle name="Data 2 2 7 9 4 2" xfId="1624" xr:uid="{00000000-0005-0000-0000-0000C50C0000}"/>
    <cellStyle name="Data 2 2 7 9 5" xfId="1625" xr:uid="{00000000-0005-0000-0000-0000C60C0000}"/>
    <cellStyle name="Data 2 2 7 9 5 2" xfId="1626" xr:uid="{00000000-0005-0000-0000-0000C70C0000}"/>
    <cellStyle name="Data 2 2 7 9 6" xfId="1627" xr:uid="{00000000-0005-0000-0000-0000C80C0000}"/>
    <cellStyle name="Data 2 2 7 9 6 2" xfId="1628" xr:uid="{00000000-0005-0000-0000-0000C90C0000}"/>
    <cellStyle name="Data 2 2 7 9 7" xfId="1629" xr:uid="{00000000-0005-0000-0000-0000CA0C0000}"/>
    <cellStyle name="Data 2 2 7 9 7 2" xfId="1630" xr:uid="{00000000-0005-0000-0000-0000CB0C0000}"/>
    <cellStyle name="Data 2 2 7 9 8" xfId="1631" xr:uid="{00000000-0005-0000-0000-0000CC0C0000}"/>
    <cellStyle name="Data 2 2 7 9 8 2" xfId="1632" xr:uid="{00000000-0005-0000-0000-0000CD0C0000}"/>
    <cellStyle name="Data 2 2 7 9 9" xfId="1633" xr:uid="{00000000-0005-0000-0000-0000CE0C0000}"/>
    <cellStyle name="Data 2 2 7 9 9 2" xfId="1634" xr:uid="{00000000-0005-0000-0000-0000CF0C0000}"/>
    <cellStyle name="Data 2 2 8" xfId="1635" xr:uid="{00000000-0005-0000-0000-0000D00C0000}"/>
    <cellStyle name="Data 2 2 8 10" xfId="1636" xr:uid="{00000000-0005-0000-0000-0000D10C0000}"/>
    <cellStyle name="Data 2 2 8 10 2" xfId="1637" xr:uid="{00000000-0005-0000-0000-0000D20C0000}"/>
    <cellStyle name="Data 2 2 8 10 2 2" xfId="1638" xr:uid="{00000000-0005-0000-0000-0000D30C0000}"/>
    <cellStyle name="Data 2 2 8 10 3" xfId="1639" xr:uid="{00000000-0005-0000-0000-0000D40C0000}"/>
    <cellStyle name="Data 2 2 8 10 3 2" xfId="1640" xr:uid="{00000000-0005-0000-0000-0000D50C0000}"/>
    <cellStyle name="Data 2 2 8 10 4" xfId="1641" xr:uid="{00000000-0005-0000-0000-0000D60C0000}"/>
    <cellStyle name="Data 2 2 8 10 4 2" xfId="1642" xr:uid="{00000000-0005-0000-0000-0000D70C0000}"/>
    <cellStyle name="Data 2 2 8 10 5" xfId="1643" xr:uid="{00000000-0005-0000-0000-0000D80C0000}"/>
    <cellStyle name="Data 2 2 8 10 5 2" xfId="1644" xr:uid="{00000000-0005-0000-0000-0000D90C0000}"/>
    <cellStyle name="Data 2 2 8 10 6" xfId="1645" xr:uid="{00000000-0005-0000-0000-0000DA0C0000}"/>
    <cellStyle name="Data 2 2 8 10 6 2" xfId="1646" xr:uid="{00000000-0005-0000-0000-0000DB0C0000}"/>
    <cellStyle name="Data 2 2 8 10 7" xfId="1647" xr:uid="{00000000-0005-0000-0000-0000DC0C0000}"/>
    <cellStyle name="Data 2 2 8 10 7 2" xfId="1648" xr:uid="{00000000-0005-0000-0000-0000DD0C0000}"/>
    <cellStyle name="Data 2 2 8 10 8" xfId="1649" xr:uid="{00000000-0005-0000-0000-0000DE0C0000}"/>
    <cellStyle name="Data 2 2 8 10 8 2" xfId="1650" xr:uid="{00000000-0005-0000-0000-0000DF0C0000}"/>
    <cellStyle name="Data 2 2 8 10 9" xfId="1651" xr:uid="{00000000-0005-0000-0000-0000E00C0000}"/>
    <cellStyle name="Data 2 2 8 11" xfId="1652" xr:uid="{00000000-0005-0000-0000-0000E10C0000}"/>
    <cellStyle name="Data 2 2 8 11 2" xfId="1653" xr:uid="{00000000-0005-0000-0000-0000E20C0000}"/>
    <cellStyle name="Data 2 2 8 12" xfId="1654" xr:uid="{00000000-0005-0000-0000-0000E30C0000}"/>
    <cellStyle name="Data 2 2 8 12 2" xfId="1655" xr:uid="{00000000-0005-0000-0000-0000E40C0000}"/>
    <cellStyle name="Data 2 2 8 13" xfId="1656" xr:uid="{00000000-0005-0000-0000-0000E50C0000}"/>
    <cellStyle name="Data 2 2 8 13 2" xfId="1657" xr:uid="{00000000-0005-0000-0000-0000E60C0000}"/>
    <cellStyle name="Data 2 2 8 14" xfId="1658" xr:uid="{00000000-0005-0000-0000-0000E70C0000}"/>
    <cellStyle name="Data 2 2 8 14 2" xfId="1659" xr:uid="{00000000-0005-0000-0000-0000E80C0000}"/>
    <cellStyle name="Data 2 2 8 15" xfId="1660" xr:uid="{00000000-0005-0000-0000-0000E90C0000}"/>
    <cellStyle name="Data 2 2 8 15 2" xfId="1661" xr:uid="{00000000-0005-0000-0000-0000EA0C0000}"/>
    <cellStyle name="Data 2 2 8 16" xfId="1662" xr:uid="{00000000-0005-0000-0000-0000EB0C0000}"/>
    <cellStyle name="Data 2 2 8 16 2" xfId="1663" xr:uid="{00000000-0005-0000-0000-0000EC0C0000}"/>
    <cellStyle name="Data 2 2 8 17" xfId="1664" xr:uid="{00000000-0005-0000-0000-0000ED0C0000}"/>
    <cellStyle name="Data 2 2 8 17 2" xfId="1665" xr:uid="{00000000-0005-0000-0000-0000EE0C0000}"/>
    <cellStyle name="Data 2 2 8 18" xfId="1666" xr:uid="{00000000-0005-0000-0000-0000EF0C0000}"/>
    <cellStyle name="Data 2 2 8 2" xfId="1667" xr:uid="{00000000-0005-0000-0000-0000F00C0000}"/>
    <cellStyle name="Data 2 2 8 2 10" xfId="1668" xr:uid="{00000000-0005-0000-0000-0000F10C0000}"/>
    <cellStyle name="Data 2 2 8 2 2" xfId="1669" xr:uid="{00000000-0005-0000-0000-0000F20C0000}"/>
    <cellStyle name="Data 2 2 8 2 2 2" xfId="1670" xr:uid="{00000000-0005-0000-0000-0000F30C0000}"/>
    <cellStyle name="Data 2 2 8 2 3" xfId="1671" xr:uid="{00000000-0005-0000-0000-0000F40C0000}"/>
    <cellStyle name="Data 2 2 8 2 3 2" xfId="1672" xr:uid="{00000000-0005-0000-0000-0000F50C0000}"/>
    <cellStyle name="Data 2 2 8 2 4" xfId="1673" xr:uid="{00000000-0005-0000-0000-0000F60C0000}"/>
    <cellStyle name="Data 2 2 8 2 4 2" xfId="1674" xr:uid="{00000000-0005-0000-0000-0000F70C0000}"/>
    <cellStyle name="Data 2 2 8 2 5" xfId="1675" xr:uid="{00000000-0005-0000-0000-0000F80C0000}"/>
    <cellStyle name="Data 2 2 8 2 5 2" xfId="1676" xr:uid="{00000000-0005-0000-0000-0000F90C0000}"/>
    <cellStyle name="Data 2 2 8 2 6" xfId="1677" xr:uid="{00000000-0005-0000-0000-0000FA0C0000}"/>
    <cellStyle name="Data 2 2 8 2 6 2" xfId="1678" xr:uid="{00000000-0005-0000-0000-0000FB0C0000}"/>
    <cellStyle name="Data 2 2 8 2 7" xfId="1679" xr:uid="{00000000-0005-0000-0000-0000FC0C0000}"/>
    <cellStyle name="Data 2 2 8 2 7 2" xfId="1680" xr:uid="{00000000-0005-0000-0000-0000FD0C0000}"/>
    <cellStyle name="Data 2 2 8 2 8" xfId="1681" xr:uid="{00000000-0005-0000-0000-0000FE0C0000}"/>
    <cellStyle name="Data 2 2 8 2 8 2" xfId="1682" xr:uid="{00000000-0005-0000-0000-0000FF0C0000}"/>
    <cellStyle name="Data 2 2 8 2 9" xfId="1683" xr:uid="{00000000-0005-0000-0000-0000000D0000}"/>
    <cellStyle name="Data 2 2 8 2 9 2" xfId="1684" xr:uid="{00000000-0005-0000-0000-0000010D0000}"/>
    <cellStyle name="Data 2 2 8 3" xfId="1685" xr:uid="{00000000-0005-0000-0000-0000020D0000}"/>
    <cellStyle name="Data 2 2 8 3 10" xfId="1686" xr:uid="{00000000-0005-0000-0000-0000030D0000}"/>
    <cellStyle name="Data 2 2 8 3 2" xfId="1687" xr:uid="{00000000-0005-0000-0000-0000040D0000}"/>
    <cellStyle name="Data 2 2 8 3 2 2" xfId="1688" xr:uid="{00000000-0005-0000-0000-0000050D0000}"/>
    <cellStyle name="Data 2 2 8 3 3" xfId="1689" xr:uid="{00000000-0005-0000-0000-0000060D0000}"/>
    <cellStyle name="Data 2 2 8 3 3 2" xfId="1690" xr:uid="{00000000-0005-0000-0000-0000070D0000}"/>
    <cellStyle name="Data 2 2 8 3 4" xfId="1691" xr:uid="{00000000-0005-0000-0000-0000080D0000}"/>
    <cellStyle name="Data 2 2 8 3 4 2" xfId="1692" xr:uid="{00000000-0005-0000-0000-0000090D0000}"/>
    <cellStyle name="Data 2 2 8 3 5" xfId="1693" xr:uid="{00000000-0005-0000-0000-00000A0D0000}"/>
    <cellStyle name="Data 2 2 8 3 5 2" xfId="1694" xr:uid="{00000000-0005-0000-0000-00000B0D0000}"/>
    <cellStyle name="Data 2 2 8 3 6" xfId="1695" xr:uid="{00000000-0005-0000-0000-00000C0D0000}"/>
    <cellStyle name="Data 2 2 8 3 6 2" xfId="1696" xr:uid="{00000000-0005-0000-0000-00000D0D0000}"/>
    <cellStyle name="Data 2 2 8 3 7" xfId="1697" xr:uid="{00000000-0005-0000-0000-00000E0D0000}"/>
    <cellStyle name="Data 2 2 8 3 7 2" xfId="1698" xr:uid="{00000000-0005-0000-0000-00000F0D0000}"/>
    <cellStyle name="Data 2 2 8 3 8" xfId="1699" xr:uid="{00000000-0005-0000-0000-0000100D0000}"/>
    <cellStyle name="Data 2 2 8 3 8 2" xfId="1700" xr:uid="{00000000-0005-0000-0000-0000110D0000}"/>
    <cellStyle name="Data 2 2 8 3 9" xfId="1701" xr:uid="{00000000-0005-0000-0000-0000120D0000}"/>
    <cellStyle name="Data 2 2 8 3 9 2" xfId="1702" xr:uid="{00000000-0005-0000-0000-0000130D0000}"/>
    <cellStyle name="Data 2 2 8 4" xfId="1703" xr:uid="{00000000-0005-0000-0000-0000140D0000}"/>
    <cellStyle name="Data 2 2 8 4 10" xfId="1704" xr:uid="{00000000-0005-0000-0000-0000150D0000}"/>
    <cellStyle name="Data 2 2 8 4 2" xfId="1705" xr:uid="{00000000-0005-0000-0000-0000160D0000}"/>
    <cellStyle name="Data 2 2 8 4 2 2" xfId="1706" xr:uid="{00000000-0005-0000-0000-0000170D0000}"/>
    <cellStyle name="Data 2 2 8 4 3" xfId="1707" xr:uid="{00000000-0005-0000-0000-0000180D0000}"/>
    <cellStyle name="Data 2 2 8 4 3 2" xfId="1708" xr:uid="{00000000-0005-0000-0000-0000190D0000}"/>
    <cellStyle name="Data 2 2 8 4 4" xfId="1709" xr:uid="{00000000-0005-0000-0000-00001A0D0000}"/>
    <cellStyle name="Data 2 2 8 4 4 2" xfId="1710" xr:uid="{00000000-0005-0000-0000-00001B0D0000}"/>
    <cellStyle name="Data 2 2 8 4 5" xfId="1711" xr:uid="{00000000-0005-0000-0000-00001C0D0000}"/>
    <cellStyle name="Data 2 2 8 4 5 2" xfId="1712" xr:uid="{00000000-0005-0000-0000-00001D0D0000}"/>
    <cellStyle name="Data 2 2 8 4 6" xfId="1713" xr:uid="{00000000-0005-0000-0000-00001E0D0000}"/>
    <cellStyle name="Data 2 2 8 4 6 2" xfId="1714" xr:uid="{00000000-0005-0000-0000-00001F0D0000}"/>
    <cellStyle name="Data 2 2 8 4 7" xfId="1715" xr:uid="{00000000-0005-0000-0000-0000200D0000}"/>
    <cellStyle name="Data 2 2 8 4 7 2" xfId="1716" xr:uid="{00000000-0005-0000-0000-0000210D0000}"/>
    <cellStyle name="Data 2 2 8 4 8" xfId="1717" xr:uid="{00000000-0005-0000-0000-0000220D0000}"/>
    <cellStyle name="Data 2 2 8 4 8 2" xfId="1718" xr:uid="{00000000-0005-0000-0000-0000230D0000}"/>
    <cellStyle name="Data 2 2 8 4 9" xfId="1719" xr:uid="{00000000-0005-0000-0000-0000240D0000}"/>
    <cellStyle name="Data 2 2 8 4 9 2" xfId="1720" xr:uid="{00000000-0005-0000-0000-0000250D0000}"/>
    <cellStyle name="Data 2 2 8 5" xfId="1721" xr:uid="{00000000-0005-0000-0000-0000260D0000}"/>
    <cellStyle name="Data 2 2 8 5 10" xfId="1722" xr:uid="{00000000-0005-0000-0000-0000270D0000}"/>
    <cellStyle name="Data 2 2 8 5 2" xfId="1723" xr:uid="{00000000-0005-0000-0000-0000280D0000}"/>
    <cellStyle name="Data 2 2 8 5 2 2" xfId="1724" xr:uid="{00000000-0005-0000-0000-0000290D0000}"/>
    <cellStyle name="Data 2 2 8 5 3" xfId="1725" xr:uid="{00000000-0005-0000-0000-00002A0D0000}"/>
    <cellStyle name="Data 2 2 8 5 3 2" xfId="1726" xr:uid="{00000000-0005-0000-0000-00002B0D0000}"/>
    <cellStyle name="Data 2 2 8 5 4" xfId="1727" xr:uid="{00000000-0005-0000-0000-00002C0D0000}"/>
    <cellStyle name="Data 2 2 8 5 4 2" xfId="1728" xr:uid="{00000000-0005-0000-0000-00002D0D0000}"/>
    <cellStyle name="Data 2 2 8 5 5" xfId="1729" xr:uid="{00000000-0005-0000-0000-00002E0D0000}"/>
    <cellStyle name="Data 2 2 8 5 5 2" xfId="1730" xr:uid="{00000000-0005-0000-0000-00002F0D0000}"/>
    <cellStyle name="Data 2 2 8 5 6" xfId="1731" xr:uid="{00000000-0005-0000-0000-0000300D0000}"/>
    <cellStyle name="Data 2 2 8 5 6 2" xfId="1732" xr:uid="{00000000-0005-0000-0000-0000310D0000}"/>
    <cellStyle name="Data 2 2 8 5 7" xfId="1733" xr:uid="{00000000-0005-0000-0000-0000320D0000}"/>
    <cellStyle name="Data 2 2 8 5 7 2" xfId="1734" xr:uid="{00000000-0005-0000-0000-0000330D0000}"/>
    <cellStyle name="Data 2 2 8 5 8" xfId="1735" xr:uid="{00000000-0005-0000-0000-0000340D0000}"/>
    <cellStyle name="Data 2 2 8 5 8 2" xfId="1736" xr:uid="{00000000-0005-0000-0000-0000350D0000}"/>
    <cellStyle name="Data 2 2 8 5 9" xfId="1737" xr:uid="{00000000-0005-0000-0000-0000360D0000}"/>
    <cellStyle name="Data 2 2 8 5 9 2" xfId="1738" xr:uid="{00000000-0005-0000-0000-0000370D0000}"/>
    <cellStyle name="Data 2 2 8 6" xfId="1739" xr:uid="{00000000-0005-0000-0000-0000380D0000}"/>
    <cellStyle name="Data 2 2 8 6 10" xfId="1740" xr:uid="{00000000-0005-0000-0000-0000390D0000}"/>
    <cellStyle name="Data 2 2 8 6 2" xfId="1741" xr:uid="{00000000-0005-0000-0000-00003A0D0000}"/>
    <cellStyle name="Data 2 2 8 6 2 2" xfId="1742" xr:uid="{00000000-0005-0000-0000-00003B0D0000}"/>
    <cellStyle name="Data 2 2 8 6 3" xfId="1743" xr:uid="{00000000-0005-0000-0000-00003C0D0000}"/>
    <cellStyle name="Data 2 2 8 6 3 2" xfId="1744" xr:uid="{00000000-0005-0000-0000-00003D0D0000}"/>
    <cellStyle name="Data 2 2 8 6 4" xfId="1745" xr:uid="{00000000-0005-0000-0000-00003E0D0000}"/>
    <cellStyle name="Data 2 2 8 6 4 2" xfId="1746" xr:uid="{00000000-0005-0000-0000-00003F0D0000}"/>
    <cellStyle name="Data 2 2 8 6 5" xfId="1747" xr:uid="{00000000-0005-0000-0000-0000400D0000}"/>
    <cellStyle name="Data 2 2 8 6 5 2" xfId="1748" xr:uid="{00000000-0005-0000-0000-0000410D0000}"/>
    <cellStyle name="Data 2 2 8 6 6" xfId="1749" xr:uid="{00000000-0005-0000-0000-0000420D0000}"/>
    <cellStyle name="Data 2 2 8 6 6 2" xfId="1750" xr:uid="{00000000-0005-0000-0000-0000430D0000}"/>
    <cellStyle name="Data 2 2 8 6 7" xfId="1751" xr:uid="{00000000-0005-0000-0000-0000440D0000}"/>
    <cellStyle name="Data 2 2 8 6 7 2" xfId="1752" xr:uid="{00000000-0005-0000-0000-0000450D0000}"/>
    <cellStyle name="Data 2 2 8 6 8" xfId="1753" xr:uid="{00000000-0005-0000-0000-0000460D0000}"/>
    <cellStyle name="Data 2 2 8 6 8 2" xfId="1754" xr:uid="{00000000-0005-0000-0000-0000470D0000}"/>
    <cellStyle name="Data 2 2 8 6 9" xfId="1755" xr:uid="{00000000-0005-0000-0000-0000480D0000}"/>
    <cellStyle name="Data 2 2 8 6 9 2" xfId="1756" xr:uid="{00000000-0005-0000-0000-0000490D0000}"/>
    <cellStyle name="Data 2 2 8 7" xfId="1757" xr:uid="{00000000-0005-0000-0000-00004A0D0000}"/>
    <cellStyle name="Data 2 2 8 7 10" xfId="1758" xr:uid="{00000000-0005-0000-0000-00004B0D0000}"/>
    <cellStyle name="Data 2 2 8 7 2" xfId="1759" xr:uid="{00000000-0005-0000-0000-00004C0D0000}"/>
    <cellStyle name="Data 2 2 8 7 2 2" xfId="1760" xr:uid="{00000000-0005-0000-0000-00004D0D0000}"/>
    <cellStyle name="Data 2 2 8 7 3" xfId="1761" xr:uid="{00000000-0005-0000-0000-00004E0D0000}"/>
    <cellStyle name="Data 2 2 8 7 3 2" xfId="1762" xr:uid="{00000000-0005-0000-0000-00004F0D0000}"/>
    <cellStyle name="Data 2 2 8 7 4" xfId="1763" xr:uid="{00000000-0005-0000-0000-0000500D0000}"/>
    <cellStyle name="Data 2 2 8 7 4 2" xfId="1764" xr:uid="{00000000-0005-0000-0000-0000510D0000}"/>
    <cellStyle name="Data 2 2 8 7 5" xfId="1765" xr:uid="{00000000-0005-0000-0000-0000520D0000}"/>
    <cellStyle name="Data 2 2 8 7 5 2" xfId="1766" xr:uid="{00000000-0005-0000-0000-0000530D0000}"/>
    <cellStyle name="Data 2 2 8 7 6" xfId="1767" xr:uid="{00000000-0005-0000-0000-0000540D0000}"/>
    <cellStyle name="Data 2 2 8 7 6 2" xfId="1768" xr:uid="{00000000-0005-0000-0000-0000550D0000}"/>
    <cellStyle name="Data 2 2 8 7 7" xfId="1769" xr:uid="{00000000-0005-0000-0000-0000560D0000}"/>
    <cellStyle name="Data 2 2 8 7 7 2" xfId="1770" xr:uid="{00000000-0005-0000-0000-0000570D0000}"/>
    <cellStyle name="Data 2 2 8 7 8" xfId="1771" xr:uid="{00000000-0005-0000-0000-0000580D0000}"/>
    <cellStyle name="Data 2 2 8 7 8 2" xfId="1772" xr:uid="{00000000-0005-0000-0000-0000590D0000}"/>
    <cellStyle name="Data 2 2 8 7 9" xfId="1773" xr:uid="{00000000-0005-0000-0000-00005A0D0000}"/>
    <cellStyle name="Data 2 2 8 7 9 2" xfId="1774" xr:uid="{00000000-0005-0000-0000-00005B0D0000}"/>
    <cellStyle name="Data 2 2 8 8" xfId="1775" xr:uid="{00000000-0005-0000-0000-00005C0D0000}"/>
    <cellStyle name="Data 2 2 8 8 10" xfId="1776" xr:uid="{00000000-0005-0000-0000-00005D0D0000}"/>
    <cellStyle name="Data 2 2 8 8 2" xfId="1777" xr:uid="{00000000-0005-0000-0000-00005E0D0000}"/>
    <cellStyle name="Data 2 2 8 8 2 2" xfId="1778" xr:uid="{00000000-0005-0000-0000-00005F0D0000}"/>
    <cellStyle name="Data 2 2 8 8 3" xfId="1779" xr:uid="{00000000-0005-0000-0000-0000600D0000}"/>
    <cellStyle name="Data 2 2 8 8 3 2" xfId="1780" xr:uid="{00000000-0005-0000-0000-0000610D0000}"/>
    <cellStyle name="Data 2 2 8 8 4" xfId="1781" xr:uid="{00000000-0005-0000-0000-0000620D0000}"/>
    <cellStyle name="Data 2 2 8 8 4 2" xfId="1782" xr:uid="{00000000-0005-0000-0000-0000630D0000}"/>
    <cellStyle name="Data 2 2 8 8 5" xfId="1783" xr:uid="{00000000-0005-0000-0000-0000640D0000}"/>
    <cellStyle name="Data 2 2 8 8 5 2" xfId="1784" xr:uid="{00000000-0005-0000-0000-0000650D0000}"/>
    <cellStyle name="Data 2 2 8 8 6" xfId="1785" xr:uid="{00000000-0005-0000-0000-0000660D0000}"/>
    <cellStyle name="Data 2 2 8 8 6 2" xfId="1786" xr:uid="{00000000-0005-0000-0000-0000670D0000}"/>
    <cellStyle name="Data 2 2 8 8 7" xfId="1787" xr:uid="{00000000-0005-0000-0000-0000680D0000}"/>
    <cellStyle name="Data 2 2 8 8 7 2" xfId="1788" xr:uid="{00000000-0005-0000-0000-0000690D0000}"/>
    <cellStyle name="Data 2 2 8 8 8" xfId="1789" xr:uid="{00000000-0005-0000-0000-00006A0D0000}"/>
    <cellStyle name="Data 2 2 8 8 8 2" xfId="1790" xr:uid="{00000000-0005-0000-0000-00006B0D0000}"/>
    <cellStyle name="Data 2 2 8 8 9" xfId="1791" xr:uid="{00000000-0005-0000-0000-00006C0D0000}"/>
    <cellStyle name="Data 2 2 8 8 9 2" xfId="1792" xr:uid="{00000000-0005-0000-0000-00006D0D0000}"/>
    <cellStyle name="Data 2 2 8 9" xfId="1793" xr:uid="{00000000-0005-0000-0000-00006E0D0000}"/>
    <cellStyle name="Data 2 2 8 9 10" xfId="1794" xr:uid="{00000000-0005-0000-0000-00006F0D0000}"/>
    <cellStyle name="Data 2 2 8 9 2" xfId="1795" xr:uid="{00000000-0005-0000-0000-0000700D0000}"/>
    <cellStyle name="Data 2 2 8 9 2 2" xfId="1796" xr:uid="{00000000-0005-0000-0000-0000710D0000}"/>
    <cellStyle name="Data 2 2 8 9 3" xfId="1797" xr:uid="{00000000-0005-0000-0000-0000720D0000}"/>
    <cellStyle name="Data 2 2 8 9 3 2" xfId="1798" xr:uid="{00000000-0005-0000-0000-0000730D0000}"/>
    <cellStyle name="Data 2 2 8 9 4" xfId="1799" xr:uid="{00000000-0005-0000-0000-0000740D0000}"/>
    <cellStyle name="Data 2 2 8 9 4 2" xfId="1800" xr:uid="{00000000-0005-0000-0000-0000750D0000}"/>
    <cellStyle name="Data 2 2 8 9 5" xfId="1801" xr:uid="{00000000-0005-0000-0000-0000760D0000}"/>
    <cellStyle name="Data 2 2 8 9 5 2" xfId="1802" xr:uid="{00000000-0005-0000-0000-0000770D0000}"/>
    <cellStyle name="Data 2 2 8 9 6" xfId="1803" xr:uid="{00000000-0005-0000-0000-0000780D0000}"/>
    <cellStyle name="Data 2 2 8 9 6 2" xfId="1804" xr:uid="{00000000-0005-0000-0000-0000790D0000}"/>
    <cellStyle name="Data 2 2 8 9 7" xfId="1805" xr:uid="{00000000-0005-0000-0000-00007A0D0000}"/>
    <cellStyle name="Data 2 2 8 9 7 2" xfId="1806" xr:uid="{00000000-0005-0000-0000-00007B0D0000}"/>
    <cellStyle name="Data 2 2 8 9 8" xfId="1807" xr:uid="{00000000-0005-0000-0000-00007C0D0000}"/>
    <cellStyle name="Data 2 2 8 9 8 2" xfId="1808" xr:uid="{00000000-0005-0000-0000-00007D0D0000}"/>
    <cellStyle name="Data 2 2 8 9 9" xfId="1809" xr:uid="{00000000-0005-0000-0000-00007E0D0000}"/>
    <cellStyle name="Data 2 2 8 9 9 2" xfId="1810" xr:uid="{00000000-0005-0000-0000-00007F0D0000}"/>
    <cellStyle name="Data 2 3" xfId="156" xr:uid="{00000000-0005-0000-0000-0000800D0000}"/>
    <cellStyle name="Data 2 3 2" xfId="1811" xr:uid="{00000000-0005-0000-0000-0000810D0000}"/>
    <cellStyle name="Data 2 3 2 10" xfId="1812" xr:uid="{00000000-0005-0000-0000-0000820D0000}"/>
    <cellStyle name="Data 2 3 2 10 10" xfId="1813" xr:uid="{00000000-0005-0000-0000-0000830D0000}"/>
    <cellStyle name="Data 2 3 2 10 2" xfId="1814" xr:uid="{00000000-0005-0000-0000-0000840D0000}"/>
    <cellStyle name="Data 2 3 2 10 2 2" xfId="1815" xr:uid="{00000000-0005-0000-0000-0000850D0000}"/>
    <cellStyle name="Data 2 3 2 10 3" xfId="1816" xr:uid="{00000000-0005-0000-0000-0000860D0000}"/>
    <cellStyle name="Data 2 3 2 10 3 2" xfId="1817" xr:uid="{00000000-0005-0000-0000-0000870D0000}"/>
    <cellStyle name="Data 2 3 2 10 4" xfId="1818" xr:uid="{00000000-0005-0000-0000-0000880D0000}"/>
    <cellStyle name="Data 2 3 2 10 4 2" xfId="1819" xr:uid="{00000000-0005-0000-0000-0000890D0000}"/>
    <cellStyle name="Data 2 3 2 10 5" xfId="1820" xr:uid="{00000000-0005-0000-0000-00008A0D0000}"/>
    <cellStyle name="Data 2 3 2 10 5 2" xfId="1821" xr:uid="{00000000-0005-0000-0000-00008B0D0000}"/>
    <cellStyle name="Data 2 3 2 10 6" xfId="1822" xr:uid="{00000000-0005-0000-0000-00008C0D0000}"/>
    <cellStyle name="Data 2 3 2 10 6 2" xfId="1823" xr:uid="{00000000-0005-0000-0000-00008D0D0000}"/>
    <cellStyle name="Data 2 3 2 10 7" xfId="1824" xr:uid="{00000000-0005-0000-0000-00008E0D0000}"/>
    <cellStyle name="Data 2 3 2 10 7 2" xfId="1825" xr:uid="{00000000-0005-0000-0000-00008F0D0000}"/>
    <cellStyle name="Data 2 3 2 10 8" xfId="1826" xr:uid="{00000000-0005-0000-0000-0000900D0000}"/>
    <cellStyle name="Data 2 3 2 10 8 2" xfId="1827" xr:uid="{00000000-0005-0000-0000-0000910D0000}"/>
    <cellStyle name="Data 2 3 2 10 9" xfId="1828" xr:uid="{00000000-0005-0000-0000-0000920D0000}"/>
    <cellStyle name="Data 2 3 2 10 9 2" xfId="1829" xr:uid="{00000000-0005-0000-0000-0000930D0000}"/>
    <cellStyle name="Data 2 3 2 11" xfId="1830" xr:uid="{00000000-0005-0000-0000-0000940D0000}"/>
    <cellStyle name="Data 2 3 2 11 2" xfId="1831" xr:uid="{00000000-0005-0000-0000-0000950D0000}"/>
    <cellStyle name="Data 2 3 2 11 2 2" xfId="1832" xr:uid="{00000000-0005-0000-0000-0000960D0000}"/>
    <cellStyle name="Data 2 3 2 11 3" xfId="1833" xr:uid="{00000000-0005-0000-0000-0000970D0000}"/>
    <cellStyle name="Data 2 3 2 11 3 2" xfId="1834" xr:uid="{00000000-0005-0000-0000-0000980D0000}"/>
    <cellStyle name="Data 2 3 2 11 4" xfId="1835" xr:uid="{00000000-0005-0000-0000-0000990D0000}"/>
    <cellStyle name="Data 2 3 2 11 4 2" xfId="1836" xr:uid="{00000000-0005-0000-0000-00009A0D0000}"/>
    <cellStyle name="Data 2 3 2 11 5" xfId="1837" xr:uid="{00000000-0005-0000-0000-00009B0D0000}"/>
    <cellStyle name="Data 2 3 2 11 5 2" xfId="1838" xr:uid="{00000000-0005-0000-0000-00009C0D0000}"/>
    <cellStyle name="Data 2 3 2 11 6" xfId="1839" xr:uid="{00000000-0005-0000-0000-00009D0D0000}"/>
    <cellStyle name="Data 2 3 2 11 6 2" xfId="1840" xr:uid="{00000000-0005-0000-0000-00009E0D0000}"/>
    <cellStyle name="Data 2 3 2 11 7" xfId="1841" xr:uid="{00000000-0005-0000-0000-00009F0D0000}"/>
    <cellStyle name="Data 2 3 2 11 7 2" xfId="1842" xr:uid="{00000000-0005-0000-0000-0000A00D0000}"/>
    <cellStyle name="Data 2 3 2 11 8" xfId="1843" xr:uid="{00000000-0005-0000-0000-0000A10D0000}"/>
    <cellStyle name="Data 2 3 2 11 8 2" xfId="1844" xr:uid="{00000000-0005-0000-0000-0000A20D0000}"/>
    <cellStyle name="Data 2 3 2 11 9" xfId="1845" xr:uid="{00000000-0005-0000-0000-0000A30D0000}"/>
    <cellStyle name="Data 2 3 2 2" xfId="1846" xr:uid="{00000000-0005-0000-0000-0000A40D0000}"/>
    <cellStyle name="Data 2 3 2 2 10" xfId="1847" xr:uid="{00000000-0005-0000-0000-0000A50D0000}"/>
    <cellStyle name="Data 2 3 2 2 2" xfId="1848" xr:uid="{00000000-0005-0000-0000-0000A60D0000}"/>
    <cellStyle name="Data 2 3 2 2 2 2" xfId="1849" xr:uid="{00000000-0005-0000-0000-0000A70D0000}"/>
    <cellStyle name="Data 2 3 2 2 3" xfId="1850" xr:uid="{00000000-0005-0000-0000-0000A80D0000}"/>
    <cellStyle name="Data 2 3 2 2 3 2" xfId="1851" xr:uid="{00000000-0005-0000-0000-0000A90D0000}"/>
    <cellStyle name="Data 2 3 2 2 4" xfId="1852" xr:uid="{00000000-0005-0000-0000-0000AA0D0000}"/>
    <cellStyle name="Data 2 3 2 2 4 2" xfId="1853" xr:uid="{00000000-0005-0000-0000-0000AB0D0000}"/>
    <cellStyle name="Data 2 3 2 2 5" xfId="1854" xr:uid="{00000000-0005-0000-0000-0000AC0D0000}"/>
    <cellStyle name="Data 2 3 2 2 5 2" xfId="1855" xr:uid="{00000000-0005-0000-0000-0000AD0D0000}"/>
    <cellStyle name="Data 2 3 2 2 6" xfId="1856" xr:uid="{00000000-0005-0000-0000-0000AE0D0000}"/>
    <cellStyle name="Data 2 3 2 2 6 2" xfId="1857" xr:uid="{00000000-0005-0000-0000-0000AF0D0000}"/>
    <cellStyle name="Data 2 3 2 2 7" xfId="1858" xr:uid="{00000000-0005-0000-0000-0000B00D0000}"/>
    <cellStyle name="Data 2 3 2 2 7 2" xfId="1859" xr:uid="{00000000-0005-0000-0000-0000B10D0000}"/>
    <cellStyle name="Data 2 3 2 2 8" xfId="1860" xr:uid="{00000000-0005-0000-0000-0000B20D0000}"/>
    <cellStyle name="Data 2 3 2 2 8 2" xfId="1861" xr:uid="{00000000-0005-0000-0000-0000B30D0000}"/>
    <cellStyle name="Data 2 3 2 2 9" xfId="1862" xr:uid="{00000000-0005-0000-0000-0000B40D0000}"/>
    <cellStyle name="Data 2 3 2 2 9 2" xfId="1863" xr:uid="{00000000-0005-0000-0000-0000B50D0000}"/>
    <cellStyle name="Data 2 3 2 3" xfId="1864" xr:uid="{00000000-0005-0000-0000-0000B60D0000}"/>
    <cellStyle name="Data 2 3 2 3 10" xfId="1865" xr:uid="{00000000-0005-0000-0000-0000B70D0000}"/>
    <cellStyle name="Data 2 3 2 3 2" xfId="1866" xr:uid="{00000000-0005-0000-0000-0000B80D0000}"/>
    <cellStyle name="Data 2 3 2 3 2 2" xfId="1867" xr:uid="{00000000-0005-0000-0000-0000B90D0000}"/>
    <cellStyle name="Data 2 3 2 3 3" xfId="1868" xr:uid="{00000000-0005-0000-0000-0000BA0D0000}"/>
    <cellStyle name="Data 2 3 2 3 3 2" xfId="1869" xr:uid="{00000000-0005-0000-0000-0000BB0D0000}"/>
    <cellStyle name="Data 2 3 2 3 4" xfId="1870" xr:uid="{00000000-0005-0000-0000-0000BC0D0000}"/>
    <cellStyle name="Data 2 3 2 3 4 2" xfId="1871" xr:uid="{00000000-0005-0000-0000-0000BD0D0000}"/>
    <cellStyle name="Data 2 3 2 3 5" xfId="1872" xr:uid="{00000000-0005-0000-0000-0000BE0D0000}"/>
    <cellStyle name="Data 2 3 2 3 5 2" xfId="1873" xr:uid="{00000000-0005-0000-0000-0000BF0D0000}"/>
    <cellStyle name="Data 2 3 2 3 6" xfId="1874" xr:uid="{00000000-0005-0000-0000-0000C00D0000}"/>
    <cellStyle name="Data 2 3 2 3 6 2" xfId="1875" xr:uid="{00000000-0005-0000-0000-0000C10D0000}"/>
    <cellStyle name="Data 2 3 2 3 7" xfId="1876" xr:uid="{00000000-0005-0000-0000-0000C20D0000}"/>
    <cellStyle name="Data 2 3 2 3 7 2" xfId="1877" xr:uid="{00000000-0005-0000-0000-0000C30D0000}"/>
    <cellStyle name="Data 2 3 2 3 8" xfId="1878" xr:uid="{00000000-0005-0000-0000-0000C40D0000}"/>
    <cellStyle name="Data 2 3 2 3 8 2" xfId="1879" xr:uid="{00000000-0005-0000-0000-0000C50D0000}"/>
    <cellStyle name="Data 2 3 2 3 9" xfId="1880" xr:uid="{00000000-0005-0000-0000-0000C60D0000}"/>
    <cellStyle name="Data 2 3 2 3 9 2" xfId="1881" xr:uid="{00000000-0005-0000-0000-0000C70D0000}"/>
    <cellStyle name="Data 2 3 2 4" xfId="1882" xr:uid="{00000000-0005-0000-0000-0000C80D0000}"/>
    <cellStyle name="Data 2 3 2 4 10" xfId="1883" xr:uid="{00000000-0005-0000-0000-0000C90D0000}"/>
    <cellStyle name="Data 2 3 2 4 2" xfId="1884" xr:uid="{00000000-0005-0000-0000-0000CA0D0000}"/>
    <cellStyle name="Data 2 3 2 4 2 2" xfId="1885" xr:uid="{00000000-0005-0000-0000-0000CB0D0000}"/>
    <cellStyle name="Data 2 3 2 4 3" xfId="1886" xr:uid="{00000000-0005-0000-0000-0000CC0D0000}"/>
    <cellStyle name="Data 2 3 2 4 3 2" xfId="1887" xr:uid="{00000000-0005-0000-0000-0000CD0D0000}"/>
    <cellStyle name="Data 2 3 2 4 4" xfId="1888" xr:uid="{00000000-0005-0000-0000-0000CE0D0000}"/>
    <cellStyle name="Data 2 3 2 4 4 2" xfId="1889" xr:uid="{00000000-0005-0000-0000-0000CF0D0000}"/>
    <cellStyle name="Data 2 3 2 4 5" xfId="1890" xr:uid="{00000000-0005-0000-0000-0000D00D0000}"/>
    <cellStyle name="Data 2 3 2 4 5 2" xfId="1891" xr:uid="{00000000-0005-0000-0000-0000D10D0000}"/>
    <cellStyle name="Data 2 3 2 4 6" xfId="1892" xr:uid="{00000000-0005-0000-0000-0000D20D0000}"/>
    <cellStyle name="Data 2 3 2 4 6 2" xfId="1893" xr:uid="{00000000-0005-0000-0000-0000D30D0000}"/>
    <cellStyle name="Data 2 3 2 4 7" xfId="1894" xr:uid="{00000000-0005-0000-0000-0000D40D0000}"/>
    <cellStyle name="Data 2 3 2 4 7 2" xfId="1895" xr:uid="{00000000-0005-0000-0000-0000D50D0000}"/>
    <cellStyle name="Data 2 3 2 4 8" xfId="1896" xr:uid="{00000000-0005-0000-0000-0000D60D0000}"/>
    <cellStyle name="Data 2 3 2 4 8 2" xfId="1897" xr:uid="{00000000-0005-0000-0000-0000D70D0000}"/>
    <cellStyle name="Data 2 3 2 4 9" xfId="1898" xr:uid="{00000000-0005-0000-0000-0000D80D0000}"/>
    <cellStyle name="Data 2 3 2 4 9 2" xfId="1899" xr:uid="{00000000-0005-0000-0000-0000D90D0000}"/>
    <cellStyle name="Data 2 3 2 5" xfId="1900" xr:uid="{00000000-0005-0000-0000-0000DA0D0000}"/>
    <cellStyle name="Data 2 3 2 5 10" xfId="1901" xr:uid="{00000000-0005-0000-0000-0000DB0D0000}"/>
    <cellStyle name="Data 2 3 2 5 2" xfId="1902" xr:uid="{00000000-0005-0000-0000-0000DC0D0000}"/>
    <cellStyle name="Data 2 3 2 5 2 2" xfId="1903" xr:uid="{00000000-0005-0000-0000-0000DD0D0000}"/>
    <cellStyle name="Data 2 3 2 5 3" xfId="1904" xr:uid="{00000000-0005-0000-0000-0000DE0D0000}"/>
    <cellStyle name="Data 2 3 2 5 3 2" xfId="1905" xr:uid="{00000000-0005-0000-0000-0000DF0D0000}"/>
    <cellStyle name="Data 2 3 2 5 4" xfId="1906" xr:uid="{00000000-0005-0000-0000-0000E00D0000}"/>
    <cellStyle name="Data 2 3 2 5 4 2" xfId="1907" xr:uid="{00000000-0005-0000-0000-0000E10D0000}"/>
    <cellStyle name="Data 2 3 2 5 5" xfId="1908" xr:uid="{00000000-0005-0000-0000-0000E20D0000}"/>
    <cellStyle name="Data 2 3 2 5 5 2" xfId="1909" xr:uid="{00000000-0005-0000-0000-0000E30D0000}"/>
    <cellStyle name="Data 2 3 2 5 6" xfId="1910" xr:uid="{00000000-0005-0000-0000-0000E40D0000}"/>
    <cellStyle name="Data 2 3 2 5 6 2" xfId="1911" xr:uid="{00000000-0005-0000-0000-0000E50D0000}"/>
    <cellStyle name="Data 2 3 2 5 7" xfId="1912" xr:uid="{00000000-0005-0000-0000-0000E60D0000}"/>
    <cellStyle name="Data 2 3 2 5 7 2" xfId="1913" xr:uid="{00000000-0005-0000-0000-0000E70D0000}"/>
    <cellStyle name="Data 2 3 2 5 8" xfId="1914" xr:uid="{00000000-0005-0000-0000-0000E80D0000}"/>
    <cellStyle name="Data 2 3 2 5 8 2" xfId="1915" xr:uid="{00000000-0005-0000-0000-0000E90D0000}"/>
    <cellStyle name="Data 2 3 2 5 9" xfId="1916" xr:uid="{00000000-0005-0000-0000-0000EA0D0000}"/>
    <cellStyle name="Data 2 3 2 5 9 2" xfId="1917" xr:uid="{00000000-0005-0000-0000-0000EB0D0000}"/>
    <cellStyle name="Data 2 3 2 6" xfId="1918" xr:uid="{00000000-0005-0000-0000-0000EC0D0000}"/>
    <cellStyle name="Data 2 3 2 6 10" xfId="1919" xr:uid="{00000000-0005-0000-0000-0000ED0D0000}"/>
    <cellStyle name="Data 2 3 2 6 2" xfId="1920" xr:uid="{00000000-0005-0000-0000-0000EE0D0000}"/>
    <cellStyle name="Data 2 3 2 6 2 2" xfId="1921" xr:uid="{00000000-0005-0000-0000-0000EF0D0000}"/>
    <cellStyle name="Data 2 3 2 6 3" xfId="1922" xr:uid="{00000000-0005-0000-0000-0000F00D0000}"/>
    <cellStyle name="Data 2 3 2 6 3 2" xfId="1923" xr:uid="{00000000-0005-0000-0000-0000F10D0000}"/>
    <cellStyle name="Data 2 3 2 6 4" xfId="1924" xr:uid="{00000000-0005-0000-0000-0000F20D0000}"/>
    <cellStyle name="Data 2 3 2 6 4 2" xfId="1925" xr:uid="{00000000-0005-0000-0000-0000F30D0000}"/>
    <cellStyle name="Data 2 3 2 6 5" xfId="1926" xr:uid="{00000000-0005-0000-0000-0000F40D0000}"/>
    <cellStyle name="Data 2 3 2 6 5 2" xfId="1927" xr:uid="{00000000-0005-0000-0000-0000F50D0000}"/>
    <cellStyle name="Data 2 3 2 6 6" xfId="1928" xr:uid="{00000000-0005-0000-0000-0000F60D0000}"/>
    <cellStyle name="Data 2 3 2 6 6 2" xfId="1929" xr:uid="{00000000-0005-0000-0000-0000F70D0000}"/>
    <cellStyle name="Data 2 3 2 6 7" xfId="1930" xr:uid="{00000000-0005-0000-0000-0000F80D0000}"/>
    <cellStyle name="Data 2 3 2 6 7 2" xfId="1931" xr:uid="{00000000-0005-0000-0000-0000F90D0000}"/>
    <cellStyle name="Data 2 3 2 6 8" xfId="1932" xr:uid="{00000000-0005-0000-0000-0000FA0D0000}"/>
    <cellStyle name="Data 2 3 2 6 8 2" xfId="1933" xr:uid="{00000000-0005-0000-0000-0000FB0D0000}"/>
    <cellStyle name="Data 2 3 2 6 9" xfId="1934" xr:uid="{00000000-0005-0000-0000-0000FC0D0000}"/>
    <cellStyle name="Data 2 3 2 6 9 2" xfId="1935" xr:uid="{00000000-0005-0000-0000-0000FD0D0000}"/>
    <cellStyle name="Data 2 3 2 7" xfId="1936" xr:uid="{00000000-0005-0000-0000-0000FE0D0000}"/>
    <cellStyle name="Data 2 3 2 7 10" xfId="1937" xr:uid="{00000000-0005-0000-0000-0000FF0D0000}"/>
    <cellStyle name="Data 2 3 2 7 2" xfId="1938" xr:uid="{00000000-0005-0000-0000-0000000E0000}"/>
    <cellStyle name="Data 2 3 2 7 2 2" xfId="1939" xr:uid="{00000000-0005-0000-0000-0000010E0000}"/>
    <cellStyle name="Data 2 3 2 7 3" xfId="1940" xr:uid="{00000000-0005-0000-0000-0000020E0000}"/>
    <cellStyle name="Data 2 3 2 7 3 2" xfId="1941" xr:uid="{00000000-0005-0000-0000-0000030E0000}"/>
    <cellStyle name="Data 2 3 2 7 4" xfId="1942" xr:uid="{00000000-0005-0000-0000-0000040E0000}"/>
    <cellStyle name="Data 2 3 2 7 4 2" xfId="1943" xr:uid="{00000000-0005-0000-0000-0000050E0000}"/>
    <cellStyle name="Data 2 3 2 7 5" xfId="1944" xr:uid="{00000000-0005-0000-0000-0000060E0000}"/>
    <cellStyle name="Data 2 3 2 7 5 2" xfId="1945" xr:uid="{00000000-0005-0000-0000-0000070E0000}"/>
    <cellStyle name="Data 2 3 2 7 6" xfId="1946" xr:uid="{00000000-0005-0000-0000-0000080E0000}"/>
    <cellStyle name="Data 2 3 2 7 6 2" xfId="1947" xr:uid="{00000000-0005-0000-0000-0000090E0000}"/>
    <cellStyle name="Data 2 3 2 7 7" xfId="1948" xr:uid="{00000000-0005-0000-0000-00000A0E0000}"/>
    <cellStyle name="Data 2 3 2 7 7 2" xfId="1949" xr:uid="{00000000-0005-0000-0000-00000B0E0000}"/>
    <cellStyle name="Data 2 3 2 7 8" xfId="1950" xr:uid="{00000000-0005-0000-0000-00000C0E0000}"/>
    <cellStyle name="Data 2 3 2 7 8 2" xfId="1951" xr:uid="{00000000-0005-0000-0000-00000D0E0000}"/>
    <cellStyle name="Data 2 3 2 7 9" xfId="1952" xr:uid="{00000000-0005-0000-0000-00000E0E0000}"/>
    <cellStyle name="Data 2 3 2 7 9 2" xfId="1953" xr:uid="{00000000-0005-0000-0000-00000F0E0000}"/>
    <cellStyle name="Data 2 3 2 8" xfId="1954" xr:uid="{00000000-0005-0000-0000-0000100E0000}"/>
    <cellStyle name="Data 2 3 2 8 10" xfId="1955" xr:uid="{00000000-0005-0000-0000-0000110E0000}"/>
    <cellStyle name="Data 2 3 2 8 2" xfId="1956" xr:uid="{00000000-0005-0000-0000-0000120E0000}"/>
    <cellStyle name="Data 2 3 2 8 2 2" xfId="1957" xr:uid="{00000000-0005-0000-0000-0000130E0000}"/>
    <cellStyle name="Data 2 3 2 8 3" xfId="1958" xr:uid="{00000000-0005-0000-0000-0000140E0000}"/>
    <cellStyle name="Data 2 3 2 8 3 2" xfId="1959" xr:uid="{00000000-0005-0000-0000-0000150E0000}"/>
    <cellStyle name="Data 2 3 2 8 4" xfId="1960" xr:uid="{00000000-0005-0000-0000-0000160E0000}"/>
    <cellStyle name="Data 2 3 2 8 4 2" xfId="1961" xr:uid="{00000000-0005-0000-0000-0000170E0000}"/>
    <cellStyle name="Data 2 3 2 8 5" xfId="1962" xr:uid="{00000000-0005-0000-0000-0000180E0000}"/>
    <cellStyle name="Data 2 3 2 8 5 2" xfId="1963" xr:uid="{00000000-0005-0000-0000-0000190E0000}"/>
    <cellStyle name="Data 2 3 2 8 6" xfId="1964" xr:uid="{00000000-0005-0000-0000-00001A0E0000}"/>
    <cellStyle name="Data 2 3 2 8 6 2" xfId="1965" xr:uid="{00000000-0005-0000-0000-00001B0E0000}"/>
    <cellStyle name="Data 2 3 2 8 7" xfId="1966" xr:uid="{00000000-0005-0000-0000-00001C0E0000}"/>
    <cellStyle name="Data 2 3 2 8 7 2" xfId="1967" xr:uid="{00000000-0005-0000-0000-00001D0E0000}"/>
    <cellStyle name="Data 2 3 2 8 8" xfId="1968" xr:uid="{00000000-0005-0000-0000-00001E0E0000}"/>
    <cellStyle name="Data 2 3 2 8 8 2" xfId="1969" xr:uid="{00000000-0005-0000-0000-00001F0E0000}"/>
    <cellStyle name="Data 2 3 2 8 9" xfId="1970" xr:uid="{00000000-0005-0000-0000-0000200E0000}"/>
    <cellStyle name="Data 2 3 2 8 9 2" xfId="1971" xr:uid="{00000000-0005-0000-0000-0000210E0000}"/>
    <cellStyle name="Data 2 3 2 9" xfId="1972" xr:uid="{00000000-0005-0000-0000-0000220E0000}"/>
    <cellStyle name="Data 2 3 2 9 10" xfId="1973" xr:uid="{00000000-0005-0000-0000-0000230E0000}"/>
    <cellStyle name="Data 2 3 2 9 2" xfId="1974" xr:uid="{00000000-0005-0000-0000-0000240E0000}"/>
    <cellStyle name="Data 2 3 2 9 2 2" xfId="1975" xr:uid="{00000000-0005-0000-0000-0000250E0000}"/>
    <cellStyle name="Data 2 3 2 9 3" xfId="1976" xr:uid="{00000000-0005-0000-0000-0000260E0000}"/>
    <cellStyle name="Data 2 3 2 9 3 2" xfId="1977" xr:uid="{00000000-0005-0000-0000-0000270E0000}"/>
    <cellStyle name="Data 2 3 2 9 4" xfId="1978" xr:uid="{00000000-0005-0000-0000-0000280E0000}"/>
    <cellStyle name="Data 2 3 2 9 4 2" xfId="1979" xr:uid="{00000000-0005-0000-0000-0000290E0000}"/>
    <cellStyle name="Data 2 3 2 9 5" xfId="1980" xr:uid="{00000000-0005-0000-0000-00002A0E0000}"/>
    <cellStyle name="Data 2 3 2 9 5 2" xfId="1981" xr:uid="{00000000-0005-0000-0000-00002B0E0000}"/>
    <cellStyle name="Data 2 3 2 9 6" xfId="1982" xr:uid="{00000000-0005-0000-0000-00002C0E0000}"/>
    <cellStyle name="Data 2 3 2 9 6 2" xfId="1983" xr:uid="{00000000-0005-0000-0000-00002D0E0000}"/>
    <cellStyle name="Data 2 3 2 9 7" xfId="1984" xr:uid="{00000000-0005-0000-0000-00002E0E0000}"/>
    <cellStyle name="Data 2 3 2 9 7 2" xfId="1985" xr:uid="{00000000-0005-0000-0000-00002F0E0000}"/>
    <cellStyle name="Data 2 3 2 9 8" xfId="1986" xr:uid="{00000000-0005-0000-0000-0000300E0000}"/>
    <cellStyle name="Data 2 3 2 9 8 2" xfId="1987" xr:uid="{00000000-0005-0000-0000-0000310E0000}"/>
    <cellStyle name="Data 2 3 2 9 9" xfId="1988" xr:uid="{00000000-0005-0000-0000-0000320E0000}"/>
    <cellStyle name="Data 2 3 2 9 9 2" xfId="1989" xr:uid="{00000000-0005-0000-0000-0000330E0000}"/>
    <cellStyle name="Data 2 3 3" xfId="1990" xr:uid="{00000000-0005-0000-0000-0000340E0000}"/>
    <cellStyle name="Data 2 3 3 10" xfId="1991" xr:uid="{00000000-0005-0000-0000-0000350E0000}"/>
    <cellStyle name="Data 2 3 3 10 10" xfId="1992" xr:uid="{00000000-0005-0000-0000-0000360E0000}"/>
    <cellStyle name="Data 2 3 3 10 2" xfId="1993" xr:uid="{00000000-0005-0000-0000-0000370E0000}"/>
    <cellStyle name="Data 2 3 3 10 2 2" xfId="1994" xr:uid="{00000000-0005-0000-0000-0000380E0000}"/>
    <cellStyle name="Data 2 3 3 10 3" xfId="1995" xr:uid="{00000000-0005-0000-0000-0000390E0000}"/>
    <cellStyle name="Data 2 3 3 10 3 2" xfId="1996" xr:uid="{00000000-0005-0000-0000-00003A0E0000}"/>
    <cellStyle name="Data 2 3 3 10 4" xfId="1997" xr:uid="{00000000-0005-0000-0000-00003B0E0000}"/>
    <cellStyle name="Data 2 3 3 10 4 2" xfId="1998" xr:uid="{00000000-0005-0000-0000-00003C0E0000}"/>
    <cellStyle name="Data 2 3 3 10 5" xfId="1999" xr:uid="{00000000-0005-0000-0000-00003D0E0000}"/>
    <cellStyle name="Data 2 3 3 10 5 2" xfId="2000" xr:uid="{00000000-0005-0000-0000-00003E0E0000}"/>
    <cellStyle name="Data 2 3 3 10 6" xfId="2001" xr:uid="{00000000-0005-0000-0000-00003F0E0000}"/>
    <cellStyle name="Data 2 3 3 10 6 2" xfId="2002" xr:uid="{00000000-0005-0000-0000-0000400E0000}"/>
    <cellStyle name="Data 2 3 3 10 7" xfId="2003" xr:uid="{00000000-0005-0000-0000-0000410E0000}"/>
    <cellStyle name="Data 2 3 3 10 7 2" xfId="2004" xr:uid="{00000000-0005-0000-0000-0000420E0000}"/>
    <cellStyle name="Data 2 3 3 10 8" xfId="2005" xr:uid="{00000000-0005-0000-0000-0000430E0000}"/>
    <cellStyle name="Data 2 3 3 10 8 2" xfId="2006" xr:uid="{00000000-0005-0000-0000-0000440E0000}"/>
    <cellStyle name="Data 2 3 3 10 9" xfId="2007" xr:uid="{00000000-0005-0000-0000-0000450E0000}"/>
    <cellStyle name="Data 2 3 3 10 9 2" xfId="2008" xr:uid="{00000000-0005-0000-0000-0000460E0000}"/>
    <cellStyle name="Data 2 3 3 11" xfId="2009" xr:uid="{00000000-0005-0000-0000-0000470E0000}"/>
    <cellStyle name="Data 2 3 3 11 2" xfId="2010" xr:uid="{00000000-0005-0000-0000-0000480E0000}"/>
    <cellStyle name="Data 2 3 3 11 2 2" xfId="2011" xr:uid="{00000000-0005-0000-0000-0000490E0000}"/>
    <cellStyle name="Data 2 3 3 11 3" xfId="2012" xr:uid="{00000000-0005-0000-0000-00004A0E0000}"/>
    <cellStyle name="Data 2 3 3 11 3 2" xfId="2013" xr:uid="{00000000-0005-0000-0000-00004B0E0000}"/>
    <cellStyle name="Data 2 3 3 11 4" xfId="2014" xr:uid="{00000000-0005-0000-0000-00004C0E0000}"/>
    <cellStyle name="Data 2 3 3 11 4 2" xfId="2015" xr:uid="{00000000-0005-0000-0000-00004D0E0000}"/>
    <cellStyle name="Data 2 3 3 11 5" xfId="2016" xr:uid="{00000000-0005-0000-0000-00004E0E0000}"/>
    <cellStyle name="Data 2 3 3 11 5 2" xfId="2017" xr:uid="{00000000-0005-0000-0000-00004F0E0000}"/>
    <cellStyle name="Data 2 3 3 11 6" xfId="2018" xr:uid="{00000000-0005-0000-0000-0000500E0000}"/>
    <cellStyle name="Data 2 3 3 11 6 2" xfId="2019" xr:uid="{00000000-0005-0000-0000-0000510E0000}"/>
    <cellStyle name="Data 2 3 3 11 7" xfId="2020" xr:uid="{00000000-0005-0000-0000-0000520E0000}"/>
    <cellStyle name="Data 2 3 3 11 7 2" xfId="2021" xr:uid="{00000000-0005-0000-0000-0000530E0000}"/>
    <cellStyle name="Data 2 3 3 11 8" xfId="2022" xr:uid="{00000000-0005-0000-0000-0000540E0000}"/>
    <cellStyle name="Data 2 3 3 11 8 2" xfId="2023" xr:uid="{00000000-0005-0000-0000-0000550E0000}"/>
    <cellStyle name="Data 2 3 3 11 9" xfId="2024" xr:uid="{00000000-0005-0000-0000-0000560E0000}"/>
    <cellStyle name="Data 2 3 3 2" xfId="2025" xr:uid="{00000000-0005-0000-0000-0000570E0000}"/>
    <cellStyle name="Data 2 3 3 2 10" xfId="2026" xr:uid="{00000000-0005-0000-0000-0000580E0000}"/>
    <cellStyle name="Data 2 3 3 2 2" xfId="2027" xr:uid="{00000000-0005-0000-0000-0000590E0000}"/>
    <cellStyle name="Data 2 3 3 2 2 2" xfId="2028" xr:uid="{00000000-0005-0000-0000-00005A0E0000}"/>
    <cellStyle name="Data 2 3 3 2 3" xfId="2029" xr:uid="{00000000-0005-0000-0000-00005B0E0000}"/>
    <cellStyle name="Data 2 3 3 2 3 2" xfId="2030" xr:uid="{00000000-0005-0000-0000-00005C0E0000}"/>
    <cellStyle name="Data 2 3 3 2 4" xfId="2031" xr:uid="{00000000-0005-0000-0000-00005D0E0000}"/>
    <cellStyle name="Data 2 3 3 2 4 2" xfId="2032" xr:uid="{00000000-0005-0000-0000-00005E0E0000}"/>
    <cellStyle name="Data 2 3 3 2 5" xfId="2033" xr:uid="{00000000-0005-0000-0000-00005F0E0000}"/>
    <cellStyle name="Data 2 3 3 2 5 2" xfId="2034" xr:uid="{00000000-0005-0000-0000-0000600E0000}"/>
    <cellStyle name="Data 2 3 3 2 6" xfId="2035" xr:uid="{00000000-0005-0000-0000-0000610E0000}"/>
    <cellStyle name="Data 2 3 3 2 6 2" xfId="2036" xr:uid="{00000000-0005-0000-0000-0000620E0000}"/>
    <cellStyle name="Data 2 3 3 2 7" xfId="2037" xr:uid="{00000000-0005-0000-0000-0000630E0000}"/>
    <cellStyle name="Data 2 3 3 2 7 2" xfId="2038" xr:uid="{00000000-0005-0000-0000-0000640E0000}"/>
    <cellStyle name="Data 2 3 3 2 8" xfId="2039" xr:uid="{00000000-0005-0000-0000-0000650E0000}"/>
    <cellStyle name="Data 2 3 3 2 8 2" xfId="2040" xr:uid="{00000000-0005-0000-0000-0000660E0000}"/>
    <cellStyle name="Data 2 3 3 2 9" xfId="2041" xr:uid="{00000000-0005-0000-0000-0000670E0000}"/>
    <cellStyle name="Data 2 3 3 2 9 2" xfId="2042" xr:uid="{00000000-0005-0000-0000-0000680E0000}"/>
    <cellStyle name="Data 2 3 3 3" xfId="2043" xr:uid="{00000000-0005-0000-0000-0000690E0000}"/>
    <cellStyle name="Data 2 3 3 3 10" xfId="2044" xr:uid="{00000000-0005-0000-0000-00006A0E0000}"/>
    <cellStyle name="Data 2 3 3 3 2" xfId="2045" xr:uid="{00000000-0005-0000-0000-00006B0E0000}"/>
    <cellStyle name="Data 2 3 3 3 2 2" xfId="2046" xr:uid="{00000000-0005-0000-0000-00006C0E0000}"/>
    <cellStyle name="Data 2 3 3 3 3" xfId="2047" xr:uid="{00000000-0005-0000-0000-00006D0E0000}"/>
    <cellStyle name="Data 2 3 3 3 3 2" xfId="2048" xr:uid="{00000000-0005-0000-0000-00006E0E0000}"/>
    <cellStyle name="Data 2 3 3 3 4" xfId="2049" xr:uid="{00000000-0005-0000-0000-00006F0E0000}"/>
    <cellStyle name="Data 2 3 3 3 4 2" xfId="2050" xr:uid="{00000000-0005-0000-0000-0000700E0000}"/>
    <cellStyle name="Data 2 3 3 3 5" xfId="2051" xr:uid="{00000000-0005-0000-0000-0000710E0000}"/>
    <cellStyle name="Data 2 3 3 3 5 2" xfId="2052" xr:uid="{00000000-0005-0000-0000-0000720E0000}"/>
    <cellStyle name="Data 2 3 3 3 6" xfId="2053" xr:uid="{00000000-0005-0000-0000-0000730E0000}"/>
    <cellStyle name="Data 2 3 3 3 6 2" xfId="2054" xr:uid="{00000000-0005-0000-0000-0000740E0000}"/>
    <cellStyle name="Data 2 3 3 3 7" xfId="2055" xr:uid="{00000000-0005-0000-0000-0000750E0000}"/>
    <cellStyle name="Data 2 3 3 3 7 2" xfId="2056" xr:uid="{00000000-0005-0000-0000-0000760E0000}"/>
    <cellStyle name="Data 2 3 3 3 8" xfId="2057" xr:uid="{00000000-0005-0000-0000-0000770E0000}"/>
    <cellStyle name="Data 2 3 3 3 8 2" xfId="2058" xr:uid="{00000000-0005-0000-0000-0000780E0000}"/>
    <cellStyle name="Data 2 3 3 3 9" xfId="2059" xr:uid="{00000000-0005-0000-0000-0000790E0000}"/>
    <cellStyle name="Data 2 3 3 3 9 2" xfId="2060" xr:uid="{00000000-0005-0000-0000-00007A0E0000}"/>
    <cellStyle name="Data 2 3 3 4" xfId="2061" xr:uid="{00000000-0005-0000-0000-00007B0E0000}"/>
    <cellStyle name="Data 2 3 3 4 10" xfId="2062" xr:uid="{00000000-0005-0000-0000-00007C0E0000}"/>
    <cellStyle name="Data 2 3 3 4 2" xfId="2063" xr:uid="{00000000-0005-0000-0000-00007D0E0000}"/>
    <cellStyle name="Data 2 3 3 4 2 2" xfId="2064" xr:uid="{00000000-0005-0000-0000-00007E0E0000}"/>
    <cellStyle name="Data 2 3 3 4 3" xfId="2065" xr:uid="{00000000-0005-0000-0000-00007F0E0000}"/>
    <cellStyle name="Data 2 3 3 4 3 2" xfId="2066" xr:uid="{00000000-0005-0000-0000-0000800E0000}"/>
    <cellStyle name="Data 2 3 3 4 4" xfId="2067" xr:uid="{00000000-0005-0000-0000-0000810E0000}"/>
    <cellStyle name="Data 2 3 3 4 4 2" xfId="2068" xr:uid="{00000000-0005-0000-0000-0000820E0000}"/>
    <cellStyle name="Data 2 3 3 4 5" xfId="2069" xr:uid="{00000000-0005-0000-0000-0000830E0000}"/>
    <cellStyle name="Data 2 3 3 4 5 2" xfId="2070" xr:uid="{00000000-0005-0000-0000-0000840E0000}"/>
    <cellStyle name="Data 2 3 3 4 6" xfId="2071" xr:uid="{00000000-0005-0000-0000-0000850E0000}"/>
    <cellStyle name="Data 2 3 3 4 6 2" xfId="2072" xr:uid="{00000000-0005-0000-0000-0000860E0000}"/>
    <cellStyle name="Data 2 3 3 4 7" xfId="2073" xr:uid="{00000000-0005-0000-0000-0000870E0000}"/>
    <cellStyle name="Data 2 3 3 4 7 2" xfId="2074" xr:uid="{00000000-0005-0000-0000-0000880E0000}"/>
    <cellStyle name="Data 2 3 3 4 8" xfId="2075" xr:uid="{00000000-0005-0000-0000-0000890E0000}"/>
    <cellStyle name="Data 2 3 3 4 8 2" xfId="2076" xr:uid="{00000000-0005-0000-0000-00008A0E0000}"/>
    <cellStyle name="Data 2 3 3 4 9" xfId="2077" xr:uid="{00000000-0005-0000-0000-00008B0E0000}"/>
    <cellStyle name="Data 2 3 3 4 9 2" xfId="2078" xr:uid="{00000000-0005-0000-0000-00008C0E0000}"/>
    <cellStyle name="Data 2 3 3 5" xfId="2079" xr:uid="{00000000-0005-0000-0000-00008D0E0000}"/>
    <cellStyle name="Data 2 3 3 5 10" xfId="2080" xr:uid="{00000000-0005-0000-0000-00008E0E0000}"/>
    <cellStyle name="Data 2 3 3 5 2" xfId="2081" xr:uid="{00000000-0005-0000-0000-00008F0E0000}"/>
    <cellStyle name="Data 2 3 3 5 2 2" xfId="2082" xr:uid="{00000000-0005-0000-0000-0000900E0000}"/>
    <cellStyle name="Data 2 3 3 5 3" xfId="2083" xr:uid="{00000000-0005-0000-0000-0000910E0000}"/>
    <cellStyle name="Data 2 3 3 5 3 2" xfId="2084" xr:uid="{00000000-0005-0000-0000-0000920E0000}"/>
    <cellStyle name="Data 2 3 3 5 4" xfId="2085" xr:uid="{00000000-0005-0000-0000-0000930E0000}"/>
    <cellStyle name="Data 2 3 3 5 4 2" xfId="2086" xr:uid="{00000000-0005-0000-0000-0000940E0000}"/>
    <cellStyle name="Data 2 3 3 5 5" xfId="2087" xr:uid="{00000000-0005-0000-0000-0000950E0000}"/>
    <cellStyle name="Data 2 3 3 5 5 2" xfId="2088" xr:uid="{00000000-0005-0000-0000-0000960E0000}"/>
    <cellStyle name="Data 2 3 3 5 6" xfId="2089" xr:uid="{00000000-0005-0000-0000-0000970E0000}"/>
    <cellStyle name="Data 2 3 3 5 6 2" xfId="2090" xr:uid="{00000000-0005-0000-0000-0000980E0000}"/>
    <cellStyle name="Data 2 3 3 5 7" xfId="2091" xr:uid="{00000000-0005-0000-0000-0000990E0000}"/>
    <cellStyle name="Data 2 3 3 5 7 2" xfId="2092" xr:uid="{00000000-0005-0000-0000-00009A0E0000}"/>
    <cellStyle name="Data 2 3 3 5 8" xfId="2093" xr:uid="{00000000-0005-0000-0000-00009B0E0000}"/>
    <cellStyle name="Data 2 3 3 5 8 2" xfId="2094" xr:uid="{00000000-0005-0000-0000-00009C0E0000}"/>
    <cellStyle name="Data 2 3 3 5 9" xfId="2095" xr:uid="{00000000-0005-0000-0000-00009D0E0000}"/>
    <cellStyle name="Data 2 3 3 5 9 2" xfId="2096" xr:uid="{00000000-0005-0000-0000-00009E0E0000}"/>
    <cellStyle name="Data 2 3 3 6" xfId="2097" xr:uid="{00000000-0005-0000-0000-00009F0E0000}"/>
    <cellStyle name="Data 2 3 3 6 10" xfId="2098" xr:uid="{00000000-0005-0000-0000-0000A00E0000}"/>
    <cellStyle name="Data 2 3 3 6 2" xfId="2099" xr:uid="{00000000-0005-0000-0000-0000A10E0000}"/>
    <cellStyle name="Data 2 3 3 6 2 2" xfId="2100" xr:uid="{00000000-0005-0000-0000-0000A20E0000}"/>
    <cellStyle name="Data 2 3 3 6 3" xfId="2101" xr:uid="{00000000-0005-0000-0000-0000A30E0000}"/>
    <cellStyle name="Data 2 3 3 6 3 2" xfId="2102" xr:uid="{00000000-0005-0000-0000-0000A40E0000}"/>
    <cellStyle name="Data 2 3 3 6 4" xfId="2103" xr:uid="{00000000-0005-0000-0000-0000A50E0000}"/>
    <cellStyle name="Data 2 3 3 6 4 2" xfId="2104" xr:uid="{00000000-0005-0000-0000-0000A60E0000}"/>
    <cellStyle name="Data 2 3 3 6 5" xfId="2105" xr:uid="{00000000-0005-0000-0000-0000A70E0000}"/>
    <cellStyle name="Data 2 3 3 6 5 2" xfId="2106" xr:uid="{00000000-0005-0000-0000-0000A80E0000}"/>
    <cellStyle name="Data 2 3 3 6 6" xfId="2107" xr:uid="{00000000-0005-0000-0000-0000A90E0000}"/>
    <cellStyle name="Data 2 3 3 6 6 2" xfId="2108" xr:uid="{00000000-0005-0000-0000-0000AA0E0000}"/>
    <cellStyle name="Data 2 3 3 6 7" xfId="2109" xr:uid="{00000000-0005-0000-0000-0000AB0E0000}"/>
    <cellStyle name="Data 2 3 3 6 7 2" xfId="2110" xr:uid="{00000000-0005-0000-0000-0000AC0E0000}"/>
    <cellStyle name="Data 2 3 3 6 8" xfId="2111" xr:uid="{00000000-0005-0000-0000-0000AD0E0000}"/>
    <cellStyle name="Data 2 3 3 6 8 2" xfId="2112" xr:uid="{00000000-0005-0000-0000-0000AE0E0000}"/>
    <cellStyle name="Data 2 3 3 6 9" xfId="2113" xr:uid="{00000000-0005-0000-0000-0000AF0E0000}"/>
    <cellStyle name="Data 2 3 3 6 9 2" xfId="2114" xr:uid="{00000000-0005-0000-0000-0000B00E0000}"/>
    <cellStyle name="Data 2 3 3 7" xfId="2115" xr:uid="{00000000-0005-0000-0000-0000B10E0000}"/>
    <cellStyle name="Data 2 3 3 7 10" xfId="2116" xr:uid="{00000000-0005-0000-0000-0000B20E0000}"/>
    <cellStyle name="Data 2 3 3 7 2" xfId="2117" xr:uid="{00000000-0005-0000-0000-0000B30E0000}"/>
    <cellStyle name="Data 2 3 3 7 2 2" xfId="2118" xr:uid="{00000000-0005-0000-0000-0000B40E0000}"/>
    <cellStyle name="Data 2 3 3 7 3" xfId="2119" xr:uid="{00000000-0005-0000-0000-0000B50E0000}"/>
    <cellStyle name="Data 2 3 3 7 3 2" xfId="2120" xr:uid="{00000000-0005-0000-0000-0000B60E0000}"/>
    <cellStyle name="Data 2 3 3 7 4" xfId="2121" xr:uid="{00000000-0005-0000-0000-0000B70E0000}"/>
    <cellStyle name="Data 2 3 3 7 4 2" xfId="2122" xr:uid="{00000000-0005-0000-0000-0000B80E0000}"/>
    <cellStyle name="Data 2 3 3 7 5" xfId="2123" xr:uid="{00000000-0005-0000-0000-0000B90E0000}"/>
    <cellStyle name="Data 2 3 3 7 5 2" xfId="2124" xr:uid="{00000000-0005-0000-0000-0000BA0E0000}"/>
    <cellStyle name="Data 2 3 3 7 6" xfId="2125" xr:uid="{00000000-0005-0000-0000-0000BB0E0000}"/>
    <cellStyle name="Data 2 3 3 7 6 2" xfId="2126" xr:uid="{00000000-0005-0000-0000-0000BC0E0000}"/>
    <cellStyle name="Data 2 3 3 7 7" xfId="2127" xr:uid="{00000000-0005-0000-0000-0000BD0E0000}"/>
    <cellStyle name="Data 2 3 3 7 7 2" xfId="2128" xr:uid="{00000000-0005-0000-0000-0000BE0E0000}"/>
    <cellStyle name="Data 2 3 3 7 8" xfId="2129" xr:uid="{00000000-0005-0000-0000-0000BF0E0000}"/>
    <cellStyle name="Data 2 3 3 7 8 2" xfId="2130" xr:uid="{00000000-0005-0000-0000-0000C00E0000}"/>
    <cellStyle name="Data 2 3 3 7 9" xfId="2131" xr:uid="{00000000-0005-0000-0000-0000C10E0000}"/>
    <cellStyle name="Data 2 3 3 7 9 2" xfId="2132" xr:uid="{00000000-0005-0000-0000-0000C20E0000}"/>
    <cellStyle name="Data 2 3 3 8" xfId="2133" xr:uid="{00000000-0005-0000-0000-0000C30E0000}"/>
    <cellStyle name="Data 2 3 3 8 10" xfId="2134" xr:uid="{00000000-0005-0000-0000-0000C40E0000}"/>
    <cellStyle name="Data 2 3 3 8 2" xfId="2135" xr:uid="{00000000-0005-0000-0000-0000C50E0000}"/>
    <cellStyle name="Data 2 3 3 8 2 2" xfId="2136" xr:uid="{00000000-0005-0000-0000-0000C60E0000}"/>
    <cellStyle name="Data 2 3 3 8 3" xfId="2137" xr:uid="{00000000-0005-0000-0000-0000C70E0000}"/>
    <cellStyle name="Data 2 3 3 8 3 2" xfId="2138" xr:uid="{00000000-0005-0000-0000-0000C80E0000}"/>
    <cellStyle name="Data 2 3 3 8 4" xfId="2139" xr:uid="{00000000-0005-0000-0000-0000C90E0000}"/>
    <cellStyle name="Data 2 3 3 8 4 2" xfId="2140" xr:uid="{00000000-0005-0000-0000-0000CA0E0000}"/>
    <cellStyle name="Data 2 3 3 8 5" xfId="2141" xr:uid="{00000000-0005-0000-0000-0000CB0E0000}"/>
    <cellStyle name="Data 2 3 3 8 5 2" xfId="2142" xr:uid="{00000000-0005-0000-0000-0000CC0E0000}"/>
    <cellStyle name="Data 2 3 3 8 6" xfId="2143" xr:uid="{00000000-0005-0000-0000-0000CD0E0000}"/>
    <cellStyle name="Data 2 3 3 8 6 2" xfId="2144" xr:uid="{00000000-0005-0000-0000-0000CE0E0000}"/>
    <cellStyle name="Data 2 3 3 8 7" xfId="2145" xr:uid="{00000000-0005-0000-0000-0000CF0E0000}"/>
    <cellStyle name="Data 2 3 3 8 7 2" xfId="2146" xr:uid="{00000000-0005-0000-0000-0000D00E0000}"/>
    <cellStyle name="Data 2 3 3 8 8" xfId="2147" xr:uid="{00000000-0005-0000-0000-0000D10E0000}"/>
    <cellStyle name="Data 2 3 3 8 8 2" xfId="2148" xr:uid="{00000000-0005-0000-0000-0000D20E0000}"/>
    <cellStyle name="Data 2 3 3 8 9" xfId="2149" xr:uid="{00000000-0005-0000-0000-0000D30E0000}"/>
    <cellStyle name="Data 2 3 3 8 9 2" xfId="2150" xr:uid="{00000000-0005-0000-0000-0000D40E0000}"/>
    <cellStyle name="Data 2 3 3 9" xfId="2151" xr:uid="{00000000-0005-0000-0000-0000D50E0000}"/>
    <cellStyle name="Data 2 3 3 9 10" xfId="2152" xr:uid="{00000000-0005-0000-0000-0000D60E0000}"/>
    <cellStyle name="Data 2 3 3 9 2" xfId="2153" xr:uid="{00000000-0005-0000-0000-0000D70E0000}"/>
    <cellStyle name="Data 2 3 3 9 2 2" xfId="2154" xr:uid="{00000000-0005-0000-0000-0000D80E0000}"/>
    <cellStyle name="Data 2 3 3 9 3" xfId="2155" xr:uid="{00000000-0005-0000-0000-0000D90E0000}"/>
    <cellStyle name="Data 2 3 3 9 3 2" xfId="2156" xr:uid="{00000000-0005-0000-0000-0000DA0E0000}"/>
    <cellStyle name="Data 2 3 3 9 4" xfId="2157" xr:uid="{00000000-0005-0000-0000-0000DB0E0000}"/>
    <cellStyle name="Data 2 3 3 9 4 2" xfId="2158" xr:uid="{00000000-0005-0000-0000-0000DC0E0000}"/>
    <cellStyle name="Data 2 3 3 9 5" xfId="2159" xr:uid="{00000000-0005-0000-0000-0000DD0E0000}"/>
    <cellStyle name="Data 2 3 3 9 5 2" xfId="2160" xr:uid="{00000000-0005-0000-0000-0000DE0E0000}"/>
    <cellStyle name="Data 2 3 3 9 6" xfId="2161" xr:uid="{00000000-0005-0000-0000-0000DF0E0000}"/>
    <cellStyle name="Data 2 3 3 9 6 2" xfId="2162" xr:uid="{00000000-0005-0000-0000-0000E00E0000}"/>
    <cellStyle name="Data 2 3 3 9 7" xfId="2163" xr:uid="{00000000-0005-0000-0000-0000E10E0000}"/>
    <cellStyle name="Data 2 3 3 9 7 2" xfId="2164" xr:uid="{00000000-0005-0000-0000-0000E20E0000}"/>
    <cellStyle name="Data 2 3 3 9 8" xfId="2165" xr:uid="{00000000-0005-0000-0000-0000E30E0000}"/>
    <cellStyle name="Data 2 3 3 9 8 2" xfId="2166" xr:uid="{00000000-0005-0000-0000-0000E40E0000}"/>
    <cellStyle name="Data 2 3 3 9 9" xfId="2167" xr:uid="{00000000-0005-0000-0000-0000E50E0000}"/>
    <cellStyle name="Data 2 3 3 9 9 2" xfId="2168" xr:uid="{00000000-0005-0000-0000-0000E60E0000}"/>
    <cellStyle name="Data 2 3 4" xfId="2169" xr:uid="{00000000-0005-0000-0000-0000E70E0000}"/>
    <cellStyle name="Data 2 3 4 10" xfId="2170" xr:uid="{00000000-0005-0000-0000-0000E80E0000}"/>
    <cellStyle name="Data 2 3 4 10 2" xfId="2171" xr:uid="{00000000-0005-0000-0000-0000E90E0000}"/>
    <cellStyle name="Data 2 3 4 10 2 2" xfId="2172" xr:uid="{00000000-0005-0000-0000-0000EA0E0000}"/>
    <cellStyle name="Data 2 3 4 10 3" xfId="2173" xr:uid="{00000000-0005-0000-0000-0000EB0E0000}"/>
    <cellStyle name="Data 2 3 4 10 3 2" xfId="2174" xr:uid="{00000000-0005-0000-0000-0000EC0E0000}"/>
    <cellStyle name="Data 2 3 4 10 4" xfId="2175" xr:uid="{00000000-0005-0000-0000-0000ED0E0000}"/>
    <cellStyle name="Data 2 3 4 10 4 2" xfId="2176" xr:uid="{00000000-0005-0000-0000-0000EE0E0000}"/>
    <cellStyle name="Data 2 3 4 10 5" xfId="2177" xr:uid="{00000000-0005-0000-0000-0000EF0E0000}"/>
    <cellStyle name="Data 2 3 4 10 5 2" xfId="2178" xr:uid="{00000000-0005-0000-0000-0000F00E0000}"/>
    <cellStyle name="Data 2 3 4 10 6" xfId="2179" xr:uid="{00000000-0005-0000-0000-0000F10E0000}"/>
    <cellStyle name="Data 2 3 4 10 6 2" xfId="2180" xr:uid="{00000000-0005-0000-0000-0000F20E0000}"/>
    <cellStyle name="Data 2 3 4 10 7" xfId="2181" xr:uid="{00000000-0005-0000-0000-0000F30E0000}"/>
    <cellStyle name="Data 2 3 4 10 7 2" xfId="2182" xr:uid="{00000000-0005-0000-0000-0000F40E0000}"/>
    <cellStyle name="Data 2 3 4 10 8" xfId="2183" xr:uid="{00000000-0005-0000-0000-0000F50E0000}"/>
    <cellStyle name="Data 2 3 4 10 8 2" xfId="2184" xr:uid="{00000000-0005-0000-0000-0000F60E0000}"/>
    <cellStyle name="Data 2 3 4 10 9" xfId="2185" xr:uid="{00000000-0005-0000-0000-0000F70E0000}"/>
    <cellStyle name="Data 2 3 4 11" xfId="2186" xr:uid="{00000000-0005-0000-0000-0000F80E0000}"/>
    <cellStyle name="Data 2 3 4 11 2" xfId="2187" xr:uid="{00000000-0005-0000-0000-0000F90E0000}"/>
    <cellStyle name="Data 2 3 4 12" xfId="2188" xr:uid="{00000000-0005-0000-0000-0000FA0E0000}"/>
    <cellStyle name="Data 2 3 4 12 2" xfId="2189" xr:uid="{00000000-0005-0000-0000-0000FB0E0000}"/>
    <cellStyle name="Data 2 3 4 13" xfId="2190" xr:uid="{00000000-0005-0000-0000-0000FC0E0000}"/>
    <cellStyle name="Data 2 3 4 13 2" xfId="2191" xr:uid="{00000000-0005-0000-0000-0000FD0E0000}"/>
    <cellStyle name="Data 2 3 4 14" xfId="2192" xr:uid="{00000000-0005-0000-0000-0000FE0E0000}"/>
    <cellStyle name="Data 2 3 4 14 2" xfId="2193" xr:uid="{00000000-0005-0000-0000-0000FF0E0000}"/>
    <cellStyle name="Data 2 3 4 15" xfId="2194" xr:uid="{00000000-0005-0000-0000-0000000F0000}"/>
    <cellStyle name="Data 2 3 4 15 2" xfId="2195" xr:uid="{00000000-0005-0000-0000-0000010F0000}"/>
    <cellStyle name="Data 2 3 4 16" xfId="2196" xr:uid="{00000000-0005-0000-0000-0000020F0000}"/>
    <cellStyle name="Data 2 3 4 16 2" xfId="2197" xr:uid="{00000000-0005-0000-0000-0000030F0000}"/>
    <cellStyle name="Data 2 3 4 17" xfId="2198" xr:uid="{00000000-0005-0000-0000-0000040F0000}"/>
    <cellStyle name="Data 2 3 4 17 2" xfId="2199" xr:uid="{00000000-0005-0000-0000-0000050F0000}"/>
    <cellStyle name="Data 2 3 4 18" xfId="2200" xr:uid="{00000000-0005-0000-0000-0000060F0000}"/>
    <cellStyle name="Data 2 3 4 2" xfId="2201" xr:uid="{00000000-0005-0000-0000-0000070F0000}"/>
    <cellStyle name="Data 2 3 4 2 10" xfId="2202" xr:uid="{00000000-0005-0000-0000-0000080F0000}"/>
    <cellStyle name="Data 2 3 4 2 2" xfId="2203" xr:uid="{00000000-0005-0000-0000-0000090F0000}"/>
    <cellStyle name="Data 2 3 4 2 2 2" xfId="2204" xr:uid="{00000000-0005-0000-0000-00000A0F0000}"/>
    <cellStyle name="Data 2 3 4 2 3" xfId="2205" xr:uid="{00000000-0005-0000-0000-00000B0F0000}"/>
    <cellStyle name="Data 2 3 4 2 3 2" xfId="2206" xr:uid="{00000000-0005-0000-0000-00000C0F0000}"/>
    <cellStyle name="Data 2 3 4 2 4" xfId="2207" xr:uid="{00000000-0005-0000-0000-00000D0F0000}"/>
    <cellStyle name="Data 2 3 4 2 4 2" xfId="2208" xr:uid="{00000000-0005-0000-0000-00000E0F0000}"/>
    <cellStyle name="Data 2 3 4 2 5" xfId="2209" xr:uid="{00000000-0005-0000-0000-00000F0F0000}"/>
    <cellStyle name="Data 2 3 4 2 5 2" xfId="2210" xr:uid="{00000000-0005-0000-0000-0000100F0000}"/>
    <cellStyle name="Data 2 3 4 2 6" xfId="2211" xr:uid="{00000000-0005-0000-0000-0000110F0000}"/>
    <cellStyle name="Data 2 3 4 2 6 2" xfId="2212" xr:uid="{00000000-0005-0000-0000-0000120F0000}"/>
    <cellStyle name="Data 2 3 4 2 7" xfId="2213" xr:uid="{00000000-0005-0000-0000-0000130F0000}"/>
    <cellStyle name="Data 2 3 4 2 7 2" xfId="2214" xr:uid="{00000000-0005-0000-0000-0000140F0000}"/>
    <cellStyle name="Data 2 3 4 2 8" xfId="2215" xr:uid="{00000000-0005-0000-0000-0000150F0000}"/>
    <cellStyle name="Data 2 3 4 2 8 2" xfId="2216" xr:uid="{00000000-0005-0000-0000-0000160F0000}"/>
    <cellStyle name="Data 2 3 4 2 9" xfId="2217" xr:uid="{00000000-0005-0000-0000-0000170F0000}"/>
    <cellStyle name="Data 2 3 4 2 9 2" xfId="2218" xr:uid="{00000000-0005-0000-0000-0000180F0000}"/>
    <cellStyle name="Data 2 3 4 3" xfId="2219" xr:uid="{00000000-0005-0000-0000-0000190F0000}"/>
    <cellStyle name="Data 2 3 4 3 10" xfId="2220" xr:uid="{00000000-0005-0000-0000-00001A0F0000}"/>
    <cellStyle name="Data 2 3 4 3 2" xfId="2221" xr:uid="{00000000-0005-0000-0000-00001B0F0000}"/>
    <cellStyle name="Data 2 3 4 3 2 2" xfId="2222" xr:uid="{00000000-0005-0000-0000-00001C0F0000}"/>
    <cellStyle name="Data 2 3 4 3 3" xfId="2223" xr:uid="{00000000-0005-0000-0000-00001D0F0000}"/>
    <cellStyle name="Data 2 3 4 3 3 2" xfId="2224" xr:uid="{00000000-0005-0000-0000-00001E0F0000}"/>
    <cellStyle name="Data 2 3 4 3 4" xfId="2225" xr:uid="{00000000-0005-0000-0000-00001F0F0000}"/>
    <cellStyle name="Data 2 3 4 3 4 2" xfId="2226" xr:uid="{00000000-0005-0000-0000-0000200F0000}"/>
    <cellStyle name="Data 2 3 4 3 5" xfId="2227" xr:uid="{00000000-0005-0000-0000-0000210F0000}"/>
    <cellStyle name="Data 2 3 4 3 5 2" xfId="2228" xr:uid="{00000000-0005-0000-0000-0000220F0000}"/>
    <cellStyle name="Data 2 3 4 3 6" xfId="2229" xr:uid="{00000000-0005-0000-0000-0000230F0000}"/>
    <cellStyle name="Data 2 3 4 3 6 2" xfId="2230" xr:uid="{00000000-0005-0000-0000-0000240F0000}"/>
    <cellStyle name="Data 2 3 4 3 7" xfId="2231" xr:uid="{00000000-0005-0000-0000-0000250F0000}"/>
    <cellStyle name="Data 2 3 4 3 7 2" xfId="2232" xr:uid="{00000000-0005-0000-0000-0000260F0000}"/>
    <cellStyle name="Data 2 3 4 3 8" xfId="2233" xr:uid="{00000000-0005-0000-0000-0000270F0000}"/>
    <cellStyle name="Data 2 3 4 3 8 2" xfId="2234" xr:uid="{00000000-0005-0000-0000-0000280F0000}"/>
    <cellStyle name="Data 2 3 4 3 9" xfId="2235" xr:uid="{00000000-0005-0000-0000-0000290F0000}"/>
    <cellStyle name="Data 2 3 4 3 9 2" xfId="2236" xr:uid="{00000000-0005-0000-0000-00002A0F0000}"/>
    <cellStyle name="Data 2 3 4 4" xfId="2237" xr:uid="{00000000-0005-0000-0000-00002B0F0000}"/>
    <cellStyle name="Data 2 3 4 4 10" xfId="2238" xr:uid="{00000000-0005-0000-0000-00002C0F0000}"/>
    <cellStyle name="Data 2 3 4 4 2" xfId="2239" xr:uid="{00000000-0005-0000-0000-00002D0F0000}"/>
    <cellStyle name="Data 2 3 4 4 2 2" xfId="2240" xr:uid="{00000000-0005-0000-0000-00002E0F0000}"/>
    <cellStyle name="Data 2 3 4 4 3" xfId="2241" xr:uid="{00000000-0005-0000-0000-00002F0F0000}"/>
    <cellStyle name="Data 2 3 4 4 3 2" xfId="2242" xr:uid="{00000000-0005-0000-0000-0000300F0000}"/>
    <cellStyle name="Data 2 3 4 4 4" xfId="2243" xr:uid="{00000000-0005-0000-0000-0000310F0000}"/>
    <cellStyle name="Data 2 3 4 4 4 2" xfId="2244" xr:uid="{00000000-0005-0000-0000-0000320F0000}"/>
    <cellStyle name="Data 2 3 4 4 5" xfId="2245" xr:uid="{00000000-0005-0000-0000-0000330F0000}"/>
    <cellStyle name="Data 2 3 4 4 5 2" xfId="2246" xr:uid="{00000000-0005-0000-0000-0000340F0000}"/>
    <cellStyle name="Data 2 3 4 4 6" xfId="2247" xr:uid="{00000000-0005-0000-0000-0000350F0000}"/>
    <cellStyle name="Data 2 3 4 4 6 2" xfId="2248" xr:uid="{00000000-0005-0000-0000-0000360F0000}"/>
    <cellStyle name="Data 2 3 4 4 7" xfId="2249" xr:uid="{00000000-0005-0000-0000-0000370F0000}"/>
    <cellStyle name="Data 2 3 4 4 7 2" xfId="2250" xr:uid="{00000000-0005-0000-0000-0000380F0000}"/>
    <cellStyle name="Data 2 3 4 4 8" xfId="2251" xr:uid="{00000000-0005-0000-0000-0000390F0000}"/>
    <cellStyle name="Data 2 3 4 4 8 2" xfId="2252" xr:uid="{00000000-0005-0000-0000-00003A0F0000}"/>
    <cellStyle name="Data 2 3 4 4 9" xfId="2253" xr:uid="{00000000-0005-0000-0000-00003B0F0000}"/>
    <cellStyle name="Data 2 3 4 4 9 2" xfId="2254" xr:uid="{00000000-0005-0000-0000-00003C0F0000}"/>
    <cellStyle name="Data 2 3 4 5" xfId="2255" xr:uid="{00000000-0005-0000-0000-00003D0F0000}"/>
    <cellStyle name="Data 2 3 4 5 10" xfId="2256" xr:uid="{00000000-0005-0000-0000-00003E0F0000}"/>
    <cellStyle name="Data 2 3 4 5 2" xfId="2257" xr:uid="{00000000-0005-0000-0000-00003F0F0000}"/>
    <cellStyle name="Data 2 3 4 5 2 2" xfId="2258" xr:uid="{00000000-0005-0000-0000-0000400F0000}"/>
    <cellStyle name="Data 2 3 4 5 3" xfId="2259" xr:uid="{00000000-0005-0000-0000-0000410F0000}"/>
    <cellStyle name="Data 2 3 4 5 3 2" xfId="2260" xr:uid="{00000000-0005-0000-0000-0000420F0000}"/>
    <cellStyle name="Data 2 3 4 5 4" xfId="2261" xr:uid="{00000000-0005-0000-0000-0000430F0000}"/>
    <cellStyle name="Data 2 3 4 5 4 2" xfId="2262" xr:uid="{00000000-0005-0000-0000-0000440F0000}"/>
    <cellStyle name="Data 2 3 4 5 5" xfId="2263" xr:uid="{00000000-0005-0000-0000-0000450F0000}"/>
    <cellStyle name="Data 2 3 4 5 5 2" xfId="2264" xr:uid="{00000000-0005-0000-0000-0000460F0000}"/>
    <cellStyle name="Data 2 3 4 5 6" xfId="2265" xr:uid="{00000000-0005-0000-0000-0000470F0000}"/>
    <cellStyle name="Data 2 3 4 5 6 2" xfId="2266" xr:uid="{00000000-0005-0000-0000-0000480F0000}"/>
    <cellStyle name="Data 2 3 4 5 7" xfId="2267" xr:uid="{00000000-0005-0000-0000-0000490F0000}"/>
    <cellStyle name="Data 2 3 4 5 7 2" xfId="2268" xr:uid="{00000000-0005-0000-0000-00004A0F0000}"/>
    <cellStyle name="Data 2 3 4 5 8" xfId="2269" xr:uid="{00000000-0005-0000-0000-00004B0F0000}"/>
    <cellStyle name="Data 2 3 4 5 8 2" xfId="2270" xr:uid="{00000000-0005-0000-0000-00004C0F0000}"/>
    <cellStyle name="Data 2 3 4 5 9" xfId="2271" xr:uid="{00000000-0005-0000-0000-00004D0F0000}"/>
    <cellStyle name="Data 2 3 4 5 9 2" xfId="2272" xr:uid="{00000000-0005-0000-0000-00004E0F0000}"/>
    <cellStyle name="Data 2 3 4 6" xfId="2273" xr:uid="{00000000-0005-0000-0000-00004F0F0000}"/>
    <cellStyle name="Data 2 3 4 6 10" xfId="2274" xr:uid="{00000000-0005-0000-0000-0000500F0000}"/>
    <cellStyle name="Data 2 3 4 6 2" xfId="2275" xr:uid="{00000000-0005-0000-0000-0000510F0000}"/>
    <cellStyle name="Data 2 3 4 6 2 2" xfId="2276" xr:uid="{00000000-0005-0000-0000-0000520F0000}"/>
    <cellStyle name="Data 2 3 4 6 3" xfId="2277" xr:uid="{00000000-0005-0000-0000-0000530F0000}"/>
    <cellStyle name="Data 2 3 4 6 3 2" xfId="2278" xr:uid="{00000000-0005-0000-0000-0000540F0000}"/>
    <cellStyle name="Data 2 3 4 6 4" xfId="2279" xr:uid="{00000000-0005-0000-0000-0000550F0000}"/>
    <cellStyle name="Data 2 3 4 6 4 2" xfId="2280" xr:uid="{00000000-0005-0000-0000-0000560F0000}"/>
    <cellStyle name="Data 2 3 4 6 5" xfId="2281" xr:uid="{00000000-0005-0000-0000-0000570F0000}"/>
    <cellStyle name="Data 2 3 4 6 5 2" xfId="2282" xr:uid="{00000000-0005-0000-0000-0000580F0000}"/>
    <cellStyle name="Data 2 3 4 6 6" xfId="2283" xr:uid="{00000000-0005-0000-0000-0000590F0000}"/>
    <cellStyle name="Data 2 3 4 6 6 2" xfId="2284" xr:uid="{00000000-0005-0000-0000-00005A0F0000}"/>
    <cellStyle name="Data 2 3 4 6 7" xfId="2285" xr:uid="{00000000-0005-0000-0000-00005B0F0000}"/>
    <cellStyle name="Data 2 3 4 6 7 2" xfId="2286" xr:uid="{00000000-0005-0000-0000-00005C0F0000}"/>
    <cellStyle name="Data 2 3 4 6 8" xfId="2287" xr:uid="{00000000-0005-0000-0000-00005D0F0000}"/>
    <cellStyle name="Data 2 3 4 6 8 2" xfId="2288" xr:uid="{00000000-0005-0000-0000-00005E0F0000}"/>
    <cellStyle name="Data 2 3 4 6 9" xfId="2289" xr:uid="{00000000-0005-0000-0000-00005F0F0000}"/>
    <cellStyle name="Data 2 3 4 6 9 2" xfId="2290" xr:uid="{00000000-0005-0000-0000-0000600F0000}"/>
    <cellStyle name="Data 2 3 4 7" xfId="2291" xr:uid="{00000000-0005-0000-0000-0000610F0000}"/>
    <cellStyle name="Data 2 3 4 7 10" xfId="2292" xr:uid="{00000000-0005-0000-0000-0000620F0000}"/>
    <cellStyle name="Data 2 3 4 7 2" xfId="2293" xr:uid="{00000000-0005-0000-0000-0000630F0000}"/>
    <cellStyle name="Data 2 3 4 7 2 2" xfId="2294" xr:uid="{00000000-0005-0000-0000-0000640F0000}"/>
    <cellStyle name="Data 2 3 4 7 3" xfId="2295" xr:uid="{00000000-0005-0000-0000-0000650F0000}"/>
    <cellStyle name="Data 2 3 4 7 3 2" xfId="2296" xr:uid="{00000000-0005-0000-0000-0000660F0000}"/>
    <cellStyle name="Data 2 3 4 7 4" xfId="2297" xr:uid="{00000000-0005-0000-0000-0000670F0000}"/>
    <cellStyle name="Data 2 3 4 7 4 2" xfId="2298" xr:uid="{00000000-0005-0000-0000-0000680F0000}"/>
    <cellStyle name="Data 2 3 4 7 5" xfId="2299" xr:uid="{00000000-0005-0000-0000-0000690F0000}"/>
    <cellStyle name="Data 2 3 4 7 5 2" xfId="2300" xr:uid="{00000000-0005-0000-0000-00006A0F0000}"/>
    <cellStyle name="Data 2 3 4 7 6" xfId="2301" xr:uid="{00000000-0005-0000-0000-00006B0F0000}"/>
    <cellStyle name="Data 2 3 4 7 6 2" xfId="2302" xr:uid="{00000000-0005-0000-0000-00006C0F0000}"/>
    <cellStyle name="Data 2 3 4 7 7" xfId="2303" xr:uid="{00000000-0005-0000-0000-00006D0F0000}"/>
    <cellStyle name="Data 2 3 4 7 7 2" xfId="2304" xr:uid="{00000000-0005-0000-0000-00006E0F0000}"/>
    <cellStyle name="Data 2 3 4 7 8" xfId="2305" xr:uid="{00000000-0005-0000-0000-00006F0F0000}"/>
    <cellStyle name="Data 2 3 4 7 8 2" xfId="2306" xr:uid="{00000000-0005-0000-0000-0000700F0000}"/>
    <cellStyle name="Data 2 3 4 7 9" xfId="2307" xr:uid="{00000000-0005-0000-0000-0000710F0000}"/>
    <cellStyle name="Data 2 3 4 7 9 2" xfId="2308" xr:uid="{00000000-0005-0000-0000-0000720F0000}"/>
    <cellStyle name="Data 2 3 4 8" xfId="2309" xr:uid="{00000000-0005-0000-0000-0000730F0000}"/>
    <cellStyle name="Data 2 3 4 8 10" xfId="2310" xr:uid="{00000000-0005-0000-0000-0000740F0000}"/>
    <cellStyle name="Data 2 3 4 8 2" xfId="2311" xr:uid="{00000000-0005-0000-0000-0000750F0000}"/>
    <cellStyle name="Data 2 3 4 8 2 2" xfId="2312" xr:uid="{00000000-0005-0000-0000-0000760F0000}"/>
    <cellStyle name="Data 2 3 4 8 3" xfId="2313" xr:uid="{00000000-0005-0000-0000-0000770F0000}"/>
    <cellStyle name="Data 2 3 4 8 3 2" xfId="2314" xr:uid="{00000000-0005-0000-0000-0000780F0000}"/>
    <cellStyle name="Data 2 3 4 8 4" xfId="2315" xr:uid="{00000000-0005-0000-0000-0000790F0000}"/>
    <cellStyle name="Data 2 3 4 8 4 2" xfId="2316" xr:uid="{00000000-0005-0000-0000-00007A0F0000}"/>
    <cellStyle name="Data 2 3 4 8 5" xfId="2317" xr:uid="{00000000-0005-0000-0000-00007B0F0000}"/>
    <cellStyle name="Data 2 3 4 8 5 2" xfId="2318" xr:uid="{00000000-0005-0000-0000-00007C0F0000}"/>
    <cellStyle name="Data 2 3 4 8 6" xfId="2319" xr:uid="{00000000-0005-0000-0000-00007D0F0000}"/>
    <cellStyle name="Data 2 3 4 8 6 2" xfId="2320" xr:uid="{00000000-0005-0000-0000-00007E0F0000}"/>
    <cellStyle name="Data 2 3 4 8 7" xfId="2321" xr:uid="{00000000-0005-0000-0000-00007F0F0000}"/>
    <cellStyle name="Data 2 3 4 8 7 2" xfId="2322" xr:uid="{00000000-0005-0000-0000-0000800F0000}"/>
    <cellStyle name="Data 2 3 4 8 8" xfId="2323" xr:uid="{00000000-0005-0000-0000-0000810F0000}"/>
    <cellStyle name="Data 2 3 4 8 8 2" xfId="2324" xr:uid="{00000000-0005-0000-0000-0000820F0000}"/>
    <cellStyle name="Data 2 3 4 8 9" xfId="2325" xr:uid="{00000000-0005-0000-0000-0000830F0000}"/>
    <cellStyle name="Data 2 3 4 8 9 2" xfId="2326" xr:uid="{00000000-0005-0000-0000-0000840F0000}"/>
    <cellStyle name="Data 2 3 4 9" xfId="2327" xr:uid="{00000000-0005-0000-0000-0000850F0000}"/>
    <cellStyle name="Data 2 3 4 9 10" xfId="2328" xr:uid="{00000000-0005-0000-0000-0000860F0000}"/>
    <cellStyle name="Data 2 3 4 9 2" xfId="2329" xr:uid="{00000000-0005-0000-0000-0000870F0000}"/>
    <cellStyle name="Data 2 3 4 9 2 2" xfId="2330" xr:uid="{00000000-0005-0000-0000-0000880F0000}"/>
    <cellStyle name="Data 2 3 4 9 3" xfId="2331" xr:uid="{00000000-0005-0000-0000-0000890F0000}"/>
    <cellStyle name="Data 2 3 4 9 3 2" xfId="2332" xr:uid="{00000000-0005-0000-0000-00008A0F0000}"/>
    <cellStyle name="Data 2 3 4 9 4" xfId="2333" xr:uid="{00000000-0005-0000-0000-00008B0F0000}"/>
    <cellStyle name="Data 2 3 4 9 4 2" xfId="2334" xr:uid="{00000000-0005-0000-0000-00008C0F0000}"/>
    <cellStyle name="Data 2 3 4 9 5" xfId="2335" xr:uid="{00000000-0005-0000-0000-00008D0F0000}"/>
    <cellStyle name="Data 2 3 4 9 5 2" xfId="2336" xr:uid="{00000000-0005-0000-0000-00008E0F0000}"/>
    <cellStyle name="Data 2 3 4 9 6" xfId="2337" xr:uid="{00000000-0005-0000-0000-00008F0F0000}"/>
    <cellStyle name="Data 2 3 4 9 6 2" xfId="2338" xr:uid="{00000000-0005-0000-0000-0000900F0000}"/>
    <cellStyle name="Data 2 3 4 9 7" xfId="2339" xr:uid="{00000000-0005-0000-0000-0000910F0000}"/>
    <cellStyle name="Data 2 3 4 9 7 2" xfId="2340" xr:uid="{00000000-0005-0000-0000-0000920F0000}"/>
    <cellStyle name="Data 2 3 4 9 8" xfId="2341" xr:uid="{00000000-0005-0000-0000-0000930F0000}"/>
    <cellStyle name="Data 2 3 4 9 8 2" xfId="2342" xr:uid="{00000000-0005-0000-0000-0000940F0000}"/>
    <cellStyle name="Data 2 3 4 9 9" xfId="2343" xr:uid="{00000000-0005-0000-0000-0000950F0000}"/>
    <cellStyle name="Data 2 3 4 9 9 2" xfId="2344" xr:uid="{00000000-0005-0000-0000-0000960F0000}"/>
    <cellStyle name="Data 2 3 5" xfId="2345" xr:uid="{00000000-0005-0000-0000-0000970F0000}"/>
    <cellStyle name="Data 2 3 5 10" xfId="2346" xr:uid="{00000000-0005-0000-0000-0000980F0000}"/>
    <cellStyle name="Data 2 3 5 10 2" xfId="2347" xr:uid="{00000000-0005-0000-0000-0000990F0000}"/>
    <cellStyle name="Data 2 3 5 10 2 2" xfId="2348" xr:uid="{00000000-0005-0000-0000-00009A0F0000}"/>
    <cellStyle name="Data 2 3 5 10 3" xfId="2349" xr:uid="{00000000-0005-0000-0000-00009B0F0000}"/>
    <cellStyle name="Data 2 3 5 10 3 2" xfId="2350" xr:uid="{00000000-0005-0000-0000-00009C0F0000}"/>
    <cellStyle name="Data 2 3 5 10 4" xfId="2351" xr:uid="{00000000-0005-0000-0000-00009D0F0000}"/>
    <cellStyle name="Data 2 3 5 10 4 2" xfId="2352" xr:uid="{00000000-0005-0000-0000-00009E0F0000}"/>
    <cellStyle name="Data 2 3 5 10 5" xfId="2353" xr:uid="{00000000-0005-0000-0000-00009F0F0000}"/>
    <cellStyle name="Data 2 3 5 10 5 2" xfId="2354" xr:uid="{00000000-0005-0000-0000-0000A00F0000}"/>
    <cellStyle name="Data 2 3 5 10 6" xfId="2355" xr:uid="{00000000-0005-0000-0000-0000A10F0000}"/>
    <cellStyle name="Data 2 3 5 10 6 2" xfId="2356" xr:uid="{00000000-0005-0000-0000-0000A20F0000}"/>
    <cellStyle name="Data 2 3 5 10 7" xfId="2357" xr:uid="{00000000-0005-0000-0000-0000A30F0000}"/>
    <cellStyle name="Data 2 3 5 10 7 2" xfId="2358" xr:uid="{00000000-0005-0000-0000-0000A40F0000}"/>
    <cellStyle name="Data 2 3 5 10 8" xfId="2359" xr:uid="{00000000-0005-0000-0000-0000A50F0000}"/>
    <cellStyle name="Data 2 3 5 10 8 2" xfId="2360" xr:uid="{00000000-0005-0000-0000-0000A60F0000}"/>
    <cellStyle name="Data 2 3 5 10 9" xfId="2361" xr:uid="{00000000-0005-0000-0000-0000A70F0000}"/>
    <cellStyle name="Data 2 3 5 11" xfId="2362" xr:uid="{00000000-0005-0000-0000-0000A80F0000}"/>
    <cellStyle name="Data 2 3 5 11 2" xfId="2363" xr:uid="{00000000-0005-0000-0000-0000A90F0000}"/>
    <cellStyle name="Data 2 3 5 12" xfId="2364" xr:uid="{00000000-0005-0000-0000-0000AA0F0000}"/>
    <cellStyle name="Data 2 3 5 12 2" xfId="2365" xr:uid="{00000000-0005-0000-0000-0000AB0F0000}"/>
    <cellStyle name="Data 2 3 5 13" xfId="2366" xr:uid="{00000000-0005-0000-0000-0000AC0F0000}"/>
    <cellStyle name="Data 2 3 5 13 2" xfId="2367" xr:uid="{00000000-0005-0000-0000-0000AD0F0000}"/>
    <cellStyle name="Data 2 3 5 14" xfId="2368" xr:uid="{00000000-0005-0000-0000-0000AE0F0000}"/>
    <cellStyle name="Data 2 3 5 14 2" xfId="2369" xr:uid="{00000000-0005-0000-0000-0000AF0F0000}"/>
    <cellStyle name="Data 2 3 5 15" xfId="2370" xr:uid="{00000000-0005-0000-0000-0000B00F0000}"/>
    <cellStyle name="Data 2 3 5 15 2" xfId="2371" xr:uid="{00000000-0005-0000-0000-0000B10F0000}"/>
    <cellStyle name="Data 2 3 5 16" xfId="2372" xr:uid="{00000000-0005-0000-0000-0000B20F0000}"/>
    <cellStyle name="Data 2 3 5 16 2" xfId="2373" xr:uid="{00000000-0005-0000-0000-0000B30F0000}"/>
    <cellStyle name="Data 2 3 5 17" xfId="2374" xr:uid="{00000000-0005-0000-0000-0000B40F0000}"/>
    <cellStyle name="Data 2 3 5 17 2" xfId="2375" xr:uid="{00000000-0005-0000-0000-0000B50F0000}"/>
    <cellStyle name="Data 2 3 5 18" xfId="2376" xr:uid="{00000000-0005-0000-0000-0000B60F0000}"/>
    <cellStyle name="Data 2 3 5 2" xfId="2377" xr:uid="{00000000-0005-0000-0000-0000B70F0000}"/>
    <cellStyle name="Data 2 3 5 2 10" xfId="2378" xr:uid="{00000000-0005-0000-0000-0000B80F0000}"/>
    <cellStyle name="Data 2 3 5 2 2" xfId="2379" xr:uid="{00000000-0005-0000-0000-0000B90F0000}"/>
    <cellStyle name="Data 2 3 5 2 2 2" xfId="2380" xr:uid="{00000000-0005-0000-0000-0000BA0F0000}"/>
    <cellStyle name="Data 2 3 5 2 3" xfId="2381" xr:uid="{00000000-0005-0000-0000-0000BB0F0000}"/>
    <cellStyle name="Data 2 3 5 2 3 2" xfId="2382" xr:uid="{00000000-0005-0000-0000-0000BC0F0000}"/>
    <cellStyle name="Data 2 3 5 2 4" xfId="2383" xr:uid="{00000000-0005-0000-0000-0000BD0F0000}"/>
    <cellStyle name="Data 2 3 5 2 4 2" xfId="2384" xr:uid="{00000000-0005-0000-0000-0000BE0F0000}"/>
    <cellStyle name="Data 2 3 5 2 5" xfId="2385" xr:uid="{00000000-0005-0000-0000-0000BF0F0000}"/>
    <cellStyle name="Data 2 3 5 2 5 2" xfId="2386" xr:uid="{00000000-0005-0000-0000-0000C00F0000}"/>
    <cellStyle name="Data 2 3 5 2 6" xfId="2387" xr:uid="{00000000-0005-0000-0000-0000C10F0000}"/>
    <cellStyle name="Data 2 3 5 2 6 2" xfId="2388" xr:uid="{00000000-0005-0000-0000-0000C20F0000}"/>
    <cellStyle name="Data 2 3 5 2 7" xfId="2389" xr:uid="{00000000-0005-0000-0000-0000C30F0000}"/>
    <cellStyle name="Data 2 3 5 2 7 2" xfId="2390" xr:uid="{00000000-0005-0000-0000-0000C40F0000}"/>
    <cellStyle name="Data 2 3 5 2 8" xfId="2391" xr:uid="{00000000-0005-0000-0000-0000C50F0000}"/>
    <cellStyle name="Data 2 3 5 2 8 2" xfId="2392" xr:uid="{00000000-0005-0000-0000-0000C60F0000}"/>
    <cellStyle name="Data 2 3 5 2 9" xfId="2393" xr:uid="{00000000-0005-0000-0000-0000C70F0000}"/>
    <cellStyle name="Data 2 3 5 2 9 2" xfId="2394" xr:uid="{00000000-0005-0000-0000-0000C80F0000}"/>
    <cellStyle name="Data 2 3 5 3" xfId="2395" xr:uid="{00000000-0005-0000-0000-0000C90F0000}"/>
    <cellStyle name="Data 2 3 5 3 10" xfId="2396" xr:uid="{00000000-0005-0000-0000-0000CA0F0000}"/>
    <cellStyle name="Data 2 3 5 3 2" xfId="2397" xr:uid="{00000000-0005-0000-0000-0000CB0F0000}"/>
    <cellStyle name="Data 2 3 5 3 2 2" xfId="2398" xr:uid="{00000000-0005-0000-0000-0000CC0F0000}"/>
    <cellStyle name="Data 2 3 5 3 3" xfId="2399" xr:uid="{00000000-0005-0000-0000-0000CD0F0000}"/>
    <cellStyle name="Data 2 3 5 3 3 2" xfId="2400" xr:uid="{00000000-0005-0000-0000-0000CE0F0000}"/>
    <cellStyle name="Data 2 3 5 3 4" xfId="2401" xr:uid="{00000000-0005-0000-0000-0000CF0F0000}"/>
    <cellStyle name="Data 2 3 5 3 4 2" xfId="2402" xr:uid="{00000000-0005-0000-0000-0000D00F0000}"/>
    <cellStyle name="Data 2 3 5 3 5" xfId="2403" xr:uid="{00000000-0005-0000-0000-0000D10F0000}"/>
    <cellStyle name="Data 2 3 5 3 5 2" xfId="2404" xr:uid="{00000000-0005-0000-0000-0000D20F0000}"/>
    <cellStyle name="Data 2 3 5 3 6" xfId="2405" xr:uid="{00000000-0005-0000-0000-0000D30F0000}"/>
    <cellStyle name="Data 2 3 5 3 6 2" xfId="2406" xr:uid="{00000000-0005-0000-0000-0000D40F0000}"/>
    <cellStyle name="Data 2 3 5 3 7" xfId="2407" xr:uid="{00000000-0005-0000-0000-0000D50F0000}"/>
    <cellStyle name="Data 2 3 5 3 7 2" xfId="2408" xr:uid="{00000000-0005-0000-0000-0000D60F0000}"/>
    <cellStyle name="Data 2 3 5 3 8" xfId="2409" xr:uid="{00000000-0005-0000-0000-0000D70F0000}"/>
    <cellStyle name="Data 2 3 5 3 8 2" xfId="2410" xr:uid="{00000000-0005-0000-0000-0000D80F0000}"/>
    <cellStyle name="Data 2 3 5 3 9" xfId="2411" xr:uid="{00000000-0005-0000-0000-0000D90F0000}"/>
    <cellStyle name="Data 2 3 5 3 9 2" xfId="2412" xr:uid="{00000000-0005-0000-0000-0000DA0F0000}"/>
    <cellStyle name="Data 2 3 5 4" xfId="2413" xr:uid="{00000000-0005-0000-0000-0000DB0F0000}"/>
    <cellStyle name="Data 2 3 5 4 10" xfId="2414" xr:uid="{00000000-0005-0000-0000-0000DC0F0000}"/>
    <cellStyle name="Data 2 3 5 4 2" xfId="2415" xr:uid="{00000000-0005-0000-0000-0000DD0F0000}"/>
    <cellStyle name="Data 2 3 5 4 2 2" xfId="2416" xr:uid="{00000000-0005-0000-0000-0000DE0F0000}"/>
    <cellStyle name="Data 2 3 5 4 3" xfId="2417" xr:uid="{00000000-0005-0000-0000-0000DF0F0000}"/>
    <cellStyle name="Data 2 3 5 4 3 2" xfId="2418" xr:uid="{00000000-0005-0000-0000-0000E00F0000}"/>
    <cellStyle name="Data 2 3 5 4 4" xfId="2419" xr:uid="{00000000-0005-0000-0000-0000E10F0000}"/>
    <cellStyle name="Data 2 3 5 4 4 2" xfId="2420" xr:uid="{00000000-0005-0000-0000-0000E20F0000}"/>
    <cellStyle name="Data 2 3 5 4 5" xfId="2421" xr:uid="{00000000-0005-0000-0000-0000E30F0000}"/>
    <cellStyle name="Data 2 3 5 4 5 2" xfId="2422" xr:uid="{00000000-0005-0000-0000-0000E40F0000}"/>
    <cellStyle name="Data 2 3 5 4 6" xfId="2423" xr:uid="{00000000-0005-0000-0000-0000E50F0000}"/>
    <cellStyle name="Data 2 3 5 4 6 2" xfId="2424" xr:uid="{00000000-0005-0000-0000-0000E60F0000}"/>
    <cellStyle name="Data 2 3 5 4 7" xfId="2425" xr:uid="{00000000-0005-0000-0000-0000E70F0000}"/>
    <cellStyle name="Data 2 3 5 4 7 2" xfId="2426" xr:uid="{00000000-0005-0000-0000-0000E80F0000}"/>
    <cellStyle name="Data 2 3 5 4 8" xfId="2427" xr:uid="{00000000-0005-0000-0000-0000E90F0000}"/>
    <cellStyle name="Data 2 3 5 4 8 2" xfId="2428" xr:uid="{00000000-0005-0000-0000-0000EA0F0000}"/>
    <cellStyle name="Data 2 3 5 4 9" xfId="2429" xr:uid="{00000000-0005-0000-0000-0000EB0F0000}"/>
    <cellStyle name="Data 2 3 5 4 9 2" xfId="2430" xr:uid="{00000000-0005-0000-0000-0000EC0F0000}"/>
    <cellStyle name="Data 2 3 5 5" xfId="2431" xr:uid="{00000000-0005-0000-0000-0000ED0F0000}"/>
    <cellStyle name="Data 2 3 5 5 10" xfId="2432" xr:uid="{00000000-0005-0000-0000-0000EE0F0000}"/>
    <cellStyle name="Data 2 3 5 5 2" xfId="2433" xr:uid="{00000000-0005-0000-0000-0000EF0F0000}"/>
    <cellStyle name="Data 2 3 5 5 2 2" xfId="2434" xr:uid="{00000000-0005-0000-0000-0000F00F0000}"/>
    <cellStyle name="Data 2 3 5 5 3" xfId="2435" xr:uid="{00000000-0005-0000-0000-0000F10F0000}"/>
    <cellStyle name="Data 2 3 5 5 3 2" xfId="2436" xr:uid="{00000000-0005-0000-0000-0000F20F0000}"/>
    <cellStyle name="Data 2 3 5 5 4" xfId="2437" xr:uid="{00000000-0005-0000-0000-0000F30F0000}"/>
    <cellStyle name="Data 2 3 5 5 4 2" xfId="2438" xr:uid="{00000000-0005-0000-0000-0000F40F0000}"/>
    <cellStyle name="Data 2 3 5 5 5" xfId="2439" xr:uid="{00000000-0005-0000-0000-0000F50F0000}"/>
    <cellStyle name="Data 2 3 5 5 5 2" xfId="2440" xr:uid="{00000000-0005-0000-0000-0000F60F0000}"/>
    <cellStyle name="Data 2 3 5 5 6" xfId="2441" xr:uid="{00000000-0005-0000-0000-0000F70F0000}"/>
    <cellStyle name="Data 2 3 5 5 6 2" xfId="2442" xr:uid="{00000000-0005-0000-0000-0000F80F0000}"/>
    <cellStyle name="Data 2 3 5 5 7" xfId="2443" xr:uid="{00000000-0005-0000-0000-0000F90F0000}"/>
    <cellStyle name="Data 2 3 5 5 7 2" xfId="2444" xr:uid="{00000000-0005-0000-0000-0000FA0F0000}"/>
    <cellStyle name="Data 2 3 5 5 8" xfId="2445" xr:uid="{00000000-0005-0000-0000-0000FB0F0000}"/>
    <cellStyle name="Data 2 3 5 5 8 2" xfId="2446" xr:uid="{00000000-0005-0000-0000-0000FC0F0000}"/>
    <cellStyle name="Data 2 3 5 5 9" xfId="2447" xr:uid="{00000000-0005-0000-0000-0000FD0F0000}"/>
    <cellStyle name="Data 2 3 5 5 9 2" xfId="2448" xr:uid="{00000000-0005-0000-0000-0000FE0F0000}"/>
    <cellStyle name="Data 2 3 5 6" xfId="2449" xr:uid="{00000000-0005-0000-0000-0000FF0F0000}"/>
    <cellStyle name="Data 2 3 5 6 10" xfId="2450" xr:uid="{00000000-0005-0000-0000-000000100000}"/>
    <cellStyle name="Data 2 3 5 6 2" xfId="2451" xr:uid="{00000000-0005-0000-0000-000001100000}"/>
    <cellStyle name="Data 2 3 5 6 2 2" xfId="2452" xr:uid="{00000000-0005-0000-0000-000002100000}"/>
    <cellStyle name="Data 2 3 5 6 3" xfId="2453" xr:uid="{00000000-0005-0000-0000-000003100000}"/>
    <cellStyle name="Data 2 3 5 6 3 2" xfId="2454" xr:uid="{00000000-0005-0000-0000-000004100000}"/>
    <cellStyle name="Data 2 3 5 6 4" xfId="2455" xr:uid="{00000000-0005-0000-0000-000005100000}"/>
    <cellStyle name="Data 2 3 5 6 4 2" xfId="2456" xr:uid="{00000000-0005-0000-0000-000006100000}"/>
    <cellStyle name="Data 2 3 5 6 5" xfId="2457" xr:uid="{00000000-0005-0000-0000-000007100000}"/>
    <cellStyle name="Data 2 3 5 6 5 2" xfId="2458" xr:uid="{00000000-0005-0000-0000-000008100000}"/>
    <cellStyle name="Data 2 3 5 6 6" xfId="2459" xr:uid="{00000000-0005-0000-0000-000009100000}"/>
    <cellStyle name="Data 2 3 5 6 6 2" xfId="2460" xr:uid="{00000000-0005-0000-0000-00000A100000}"/>
    <cellStyle name="Data 2 3 5 6 7" xfId="2461" xr:uid="{00000000-0005-0000-0000-00000B100000}"/>
    <cellStyle name="Data 2 3 5 6 7 2" xfId="2462" xr:uid="{00000000-0005-0000-0000-00000C100000}"/>
    <cellStyle name="Data 2 3 5 6 8" xfId="2463" xr:uid="{00000000-0005-0000-0000-00000D100000}"/>
    <cellStyle name="Data 2 3 5 6 8 2" xfId="2464" xr:uid="{00000000-0005-0000-0000-00000E100000}"/>
    <cellStyle name="Data 2 3 5 6 9" xfId="2465" xr:uid="{00000000-0005-0000-0000-00000F100000}"/>
    <cellStyle name="Data 2 3 5 6 9 2" xfId="2466" xr:uid="{00000000-0005-0000-0000-000010100000}"/>
    <cellStyle name="Data 2 3 5 7" xfId="2467" xr:uid="{00000000-0005-0000-0000-000011100000}"/>
    <cellStyle name="Data 2 3 5 7 10" xfId="2468" xr:uid="{00000000-0005-0000-0000-000012100000}"/>
    <cellStyle name="Data 2 3 5 7 2" xfId="2469" xr:uid="{00000000-0005-0000-0000-000013100000}"/>
    <cellStyle name="Data 2 3 5 7 2 2" xfId="2470" xr:uid="{00000000-0005-0000-0000-000014100000}"/>
    <cellStyle name="Data 2 3 5 7 3" xfId="2471" xr:uid="{00000000-0005-0000-0000-000015100000}"/>
    <cellStyle name="Data 2 3 5 7 3 2" xfId="2472" xr:uid="{00000000-0005-0000-0000-000016100000}"/>
    <cellStyle name="Data 2 3 5 7 4" xfId="2473" xr:uid="{00000000-0005-0000-0000-000017100000}"/>
    <cellStyle name="Data 2 3 5 7 4 2" xfId="2474" xr:uid="{00000000-0005-0000-0000-000018100000}"/>
    <cellStyle name="Data 2 3 5 7 5" xfId="2475" xr:uid="{00000000-0005-0000-0000-000019100000}"/>
    <cellStyle name="Data 2 3 5 7 5 2" xfId="2476" xr:uid="{00000000-0005-0000-0000-00001A100000}"/>
    <cellStyle name="Data 2 3 5 7 6" xfId="2477" xr:uid="{00000000-0005-0000-0000-00001B100000}"/>
    <cellStyle name="Data 2 3 5 7 6 2" xfId="2478" xr:uid="{00000000-0005-0000-0000-00001C100000}"/>
    <cellStyle name="Data 2 3 5 7 7" xfId="2479" xr:uid="{00000000-0005-0000-0000-00001D100000}"/>
    <cellStyle name="Data 2 3 5 7 7 2" xfId="2480" xr:uid="{00000000-0005-0000-0000-00001E100000}"/>
    <cellStyle name="Data 2 3 5 7 8" xfId="2481" xr:uid="{00000000-0005-0000-0000-00001F100000}"/>
    <cellStyle name="Data 2 3 5 7 8 2" xfId="2482" xr:uid="{00000000-0005-0000-0000-000020100000}"/>
    <cellStyle name="Data 2 3 5 7 9" xfId="2483" xr:uid="{00000000-0005-0000-0000-000021100000}"/>
    <cellStyle name="Data 2 3 5 7 9 2" xfId="2484" xr:uid="{00000000-0005-0000-0000-000022100000}"/>
    <cellStyle name="Data 2 3 5 8" xfId="2485" xr:uid="{00000000-0005-0000-0000-000023100000}"/>
    <cellStyle name="Data 2 3 5 8 10" xfId="2486" xr:uid="{00000000-0005-0000-0000-000024100000}"/>
    <cellStyle name="Data 2 3 5 8 2" xfId="2487" xr:uid="{00000000-0005-0000-0000-000025100000}"/>
    <cellStyle name="Data 2 3 5 8 2 2" xfId="2488" xr:uid="{00000000-0005-0000-0000-000026100000}"/>
    <cellStyle name="Data 2 3 5 8 3" xfId="2489" xr:uid="{00000000-0005-0000-0000-000027100000}"/>
    <cellStyle name="Data 2 3 5 8 3 2" xfId="2490" xr:uid="{00000000-0005-0000-0000-000028100000}"/>
    <cellStyle name="Data 2 3 5 8 4" xfId="2491" xr:uid="{00000000-0005-0000-0000-000029100000}"/>
    <cellStyle name="Data 2 3 5 8 4 2" xfId="2492" xr:uid="{00000000-0005-0000-0000-00002A100000}"/>
    <cellStyle name="Data 2 3 5 8 5" xfId="2493" xr:uid="{00000000-0005-0000-0000-00002B100000}"/>
    <cellStyle name="Data 2 3 5 8 5 2" xfId="2494" xr:uid="{00000000-0005-0000-0000-00002C100000}"/>
    <cellStyle name="Data 2 3 5 8 6" xfId="2495" xr:uid="{00000000-0005-0000-0000-00002D100000}"/>
    <cellStyle name="Data 2 3 5 8 6 2" xfId="2496" xr:uid="{00000000-0005-0000-0000-00002E100000}"/>
    <cellStyle name="Data 2 3 5 8 7" xfId="2497" xr:uid="{00000000-0005-0000-0000-00002F100000}"/>
    <cellStyle name="Data 2 3 5 8 7 2" xfId="2498" xr:uid="{00000000-0005-0000-0000-000030100000}"/>
    <cellStyle name="Data 2 3 5 8 8" xfId="2499" xr:uid="{00000000-0005-0000-0000-000031100000}"/>
    <cellStyle name="Data 2 3 5 8 8 2" xfId="2500" xr:uid="{00000000-0005-0000-0000-000032100000}"/>
    <cellStyle name="Data 2 3 5 8 9" xfId="2501" xr:uid="{00000000-0005-0000-0000-000033100000}"/>
    <cellStyle name="Data 2 3 5 8 9 2" xfId="2502" xr:uid="{00000000-0005-0000-0000-000034100000}"/>
    <cellStyle name="Data 2 3 5 9" xfId="2503" xr:uid="{00000000-0005-0000-0000-000035100000}"/>
    <cellStyle name="Data 2 3 5 9 10" xfId="2504" xr:uid="{00000000-0005-0000-0000-000036100000}"/>
    <cellStyle name="Data 2 3 5 9 2" xfId="2505" xr:uid="{00000000-0005-0000-0000-000037100000}"/>
    <cellStyle name="Data 2 3 5 9 2 2" xfId="2506" xr:uid="{00000000-0005-0000-0000-000038100000}"/>
    <cellStyle name="Data 2 3 5 9 3" xfId="2507" xr:uid="{00000000-0005-0000-0000-000039100000}"/>
    <cellStyle name="Data 2 3 5 9 3 2" xfId="2508" xr:uid="{00000000-0005-0000-0000-00003A100000}"/>
    <cellStyle name="Data 2 3 5 9 4" xfId="2509" xr:uid="{00000000-0005-0000-0000-00003B100000}"/>
    <cellStyle name="Data 2 3 5 9 4 2" xfId="2510" xr:uid="{00000000-0005-0000-0000-00003C100000}"/>
    <cellStyle name="Data 2 3 5 9 5" xfId="2511" xr:uid="{00000000-0005-0000-0000-00003D100000}"/>
    <cellStyle name="Data 2 3 5 9 5 2" xfId="2512" xr:uid="{00000000-0005-0000-0000-00003E100000}"/>
    <cellStyle name="Data 2 3 5 9 6" xfId="2513" xr:uid="{00000000-0005-0000-0000-00003F100000}"/>
    <cellStyle name="Data 2 3 5 9 6 2" xfId="2514" xr:uid="{00000000-0005-0000-0000-000040100000}"/>
    <cellStyle name="Data 2 3 5 9 7" xfId="2515" xr:uid="{00000000-0005-0000-0000-000041100000}"/>
    <cellStyle name="Data 2 3 5 9 7 2" xfId="2516" xr:uid="{00000000-0005-0000-0000-000042100000}"/>
    <cellStyle name="Data 2 3 5 9 8" xfId="2517" xr:uid="{00000000-0005-0000-0000-000043100000}"/>
    <cellStyle name="Data 2 3 5 9 8 2" xfId="2518" xr:uid="{00000000-0005-0000-0000-000044100000}"/>
    <cellStyle name="Data 2 3 5 9 9" xfId="2519" xr:uid="{00000000-0005-0000-0000-000045100000}"/>
    <cellStyle name="Data 2 3 5 9 9 2" xfId="2520" xr:uid="{00000000-0005-0000-0000-000046100000}"/>
    <cellStyle name="Data 2 3 6" xfId="2521" xr:uid="{00000000-0005-0000-0000-000047100000}"/>
    <cellStyle name="Data 2 3 6 10" xfId="2522" xr:uid="{00000000-0005-0000-0000-000048100000}"/>
    <cellStyle name="Data 2 3 6 10 2" xfId="2523" xr:uid="{00000000-0005-0000-0000-000049100000}"/>
    <cellStyle name="Data 2 3 6 10 2 2" xfId="2524" xr:uid="{00000000-0005-0000-0000-00004A100000}"/>
    <cellStyle name="Data 2 3 6 10 3" xfId="2525" xr:uid="{00000000-0005-0000-0000-00004B100000}"/>
    <cellStyle name="Data 2 3 6 10 3 2" xfId="2526" xr:uid="{00000000-0005-0000-0000-00004C100000}"/>
    <cellStyle name="Data 2 3 6 10 4" xfId="2527" xr:uid="{00000000-0005-0000-0000-00004D100000}"/>
    <cellStyle name="Data 2 3 6 10 4 2" xfId="2528" xr:uid="{00000000-0005-0000-0000-00004E100000}"/>
    <cellStyle name="Data 2 3 6 10 5" xfId="2529" xr:uid="{00000000-0005-0000-0000-00004F100000}"/>
    <cellStyle name="Data 2 3 6 10 5 2" xfId="2530" xr:uid="{00000000-0005-0000-0000-000050100000}"/>
    <cellStyle name="Data 2 3 6 10 6" xfId="2531" xr:uid="{00000000-0005-0000-0000-000051100000}"/>
    <cellStyle name="Data 2 3 6 10 6 2" xfId="2532" xr:uid="{00000000-0005-0000-0000-000052100000}"/>
    <cellStyle name="Data 2 3 6 10 7" xfId="2533" xr:uid="{00000000-0005-0000-0000-000053100000}"/>
    <cellStyle name="Data 2 3 6 10 7 2" xfId="2534" xr:uid="{00000000-0005-0000-0000-000054100000}"/>
    <cellStyle name="Data 2 3 6 10 8" xfId="2535" xr:uid="{00000000-0005-0000-0000-000055100000}"/>
    <cellStyle name="Data 2 3 6 10 8 2" xfId="2536" xr:uid="{00000000-0005-0000-0000-000056100000}"/>
    <cellStyle name="Data 2 3 6 10 9" xfId="2537" xr:uid="{00000000-0005-0000-0000-000057100000}"/>
    <cellStyle name="Data 2 3 6 11" xfId="2538" xr:uid="{00000000-0005-0000-0000-000058100000}"/>
    <cellStyle name="Data 2 3 6 11 2" xfId="2539" xr:uid="{00000000-0005-0000-0000-000059100000}"/>
    <cellStyle name="Data 2 3 6 12" xfId="2540" xr:uid="{00000000-0005-0000-0000-00005A100000}"/>
    <cellStyle name="Data 2 3 6 12 2" xfId="2541" xr:uid="{00000000-0005-0000-0000-00005B100000}"/>
    <cellStyle name="Data 2 3 6 13" xfId="2542" xr:uid="{00000000-0005-0000-0000-00005C100000}"/>
    <cellStyle name="Data 2 3 6 13 2" xfId="2543" xr:uid="{00000000-0005-0000-0000-00005D100000}"/>
    <cellStyle name="Data 2 3 6 14" xfId="2544" xr:uid="{00000000-0005-0000-0000-00005E100000}"/>
    <cellStyle name="Data 2 3 6 14 2" xfId="2545" xr:uid="{00000000-0005-0000-0000-00005F100000}"/>
    <cellStyle name="Data 2 3 6 15" xfId="2546" xr:uid="{00000000-0005-0000-0000-000060100000}"/>
    <cellStyle name="Data 2 3 6 15 2" xfId="2547" xr:uid="{00000000-0005-0000-0000-000061100000}"/>
    <cellStyle name="Data 2 3 6 16" xfId="2548" xr:uid="{00000000-0005-0000-0000-000062100000}"/>
    <cellStyle name="Data 2 3 6 16 2" xfId="2549" xr:uid="{00000000-0005-0000-0000-000063100000}"/>
    <cellStyle name="Data 2 3 6 17" xfId="2550" xr:uid="{00000000-0005-0000-0000-000064100000}"/>
    <cellStyle name="Data 2 3 6 17 2" xfId="2551" xr:uid="{00000000-0005-0000-0000-000065100000}"/>
    <cellStyle name="Data 2 3 6 18" xfId="2552" xr:uid="{00000000-0005-0000-0000-000066100000}"/>
    <cellStyle name="Data 2 3 6 2" xfId="2553" xr:uid="{00000000-0005-0000-0000-000067100000}"/>
    <cellStyle name="Data 2 3 6 2 10" xfId="2554" xr:uid="{00000000-0005-0000-0000-000068100000}"/>
    <cellStyle name="Data 2 3 6 2 2" xfId="2555" xr:uid="{00000000-0005-0000-0000-000069100000}"/>
    <cellStyle name="Data 2 3 6 2 2 2" xfId="2556" xr:uid="{00000000-0005-0000-0000-00006A100000}"/>
    <cellStyle name="Data 2 3 6 2 3" xfId="2557" xr:uid="{00000000-0005-0000-0000-00006B100000}"/>
    <cellStyle name="Data 2 3 6 2 3 2" xfId="2558" xr:uid="{00000000-0005-0000-0000-00006C100000}"/>
    <cellStyle name="Data 2 3 6 2 4" xfId="2559" xr:uid="{00000000-0005-0000-0000-00006D100000}"/>
    <cellStyle name="Data 2 3 6 2 4 2" xfId="2560" xr:uid="{00000000-0005-0000-0000-00006E100000}"/>
    <cellStyle name="Data 2 3 6 2 5" xfId="2561" xr:uid="{00000000-0005-0000-0000-00006F100000}"/>
    <cellStyle name="Data 2 3 6 2 5 2" xfId="2562" xr:uid="{00000000-0005-0000-0000-000070100000}"/>
    <cellStyle name="Data 2 3 6 2 6" xfId="2563" xr:uid="{00000000-0005-0000-0000-000071100000}"/>
    <cellStyle name="Data 2 3 6 2 6 2" xfId="2564" xr:uid="{00000000-0005-0000-0000-000072100000}"/>
    <cellStyle name="Data 2 3 6 2 7" xfId="2565" xr:uid="{00000000-0005-0000-0000-000073100000}"/>
    <cellStyle name="Data 2 3 6 2 7 2" xfId="2566" xr:uid="{00000000-0005-0000-0000-000074100000}"/>
    <cellStyle name="Data 2 3 6 2 8" xfId="2567" xr:uid="{00000000-0005-0000-0000-000075100000}"/>
    <cellStyle name="Data 2 3 6 2 8 2" xfId="2568" xr:uid="{00000000-0005-0000-0000-000076100000}"/>
    <cellStyle name="Data 2 3 6 2 9" xfId="2569" xr:uid="{00000000-0005-0000-0000-000077100000}"/>
    <cellStyle name="Data 2 3 6 2 9 2" xfId="2570" xr:uid="{00000000-0005-0000-0000-000078100000}"/>
    <cellStyle name="Data 2 3 6 3" xfId="2571" xr:uid="{00000000-0005-0000-0000-000079100000}"/>
    <cellStyle name="Data 2 3 6 3 10" xfId="2572" xr:uid="{00000000-0005-0000-0000-00007A100000}"/>
    <cellStyle name="Data 2 3 6 3 2" xfId="2573" xr:uid="{00000000-0005-0000-0000-00007B100000}"/>
    <cellStyle name="Data 2 3 6 3 2 2" xfId="2574" xr:uid="{00000000-0005-0000-0000-00007C100000}"/>
    <cellStyle name="Data 2 3 6 3 3" xfId="2575" xr:uid="{00000000-0005-0000-0000-00007D100000}"/>
    <cellStyle name="Data 2 3 6 3 3 2" xfId="2576" xr:uid="{00000000-0005-0000-0000-00007E100000}"/>
    <cellStyle name="Data 2 3 6 3 4" xfId="2577" xr:uid="{00000000-0005-0000-0000-00007F100000}"/>
    <cellStyle name="Data 2 3 6 3 4 2" xfId="2578" xr:uid="{00000000-0005-0000-0000-000080100000}"/>
    <cellStyle name="Data 2 3 6 3 5" xfId="2579" xr:uid="{00000000-0005-0000-0000-000081100000}"/>
    <cellStyle name="Data 2 3 6 3 5 2" xfId="2580" xr:uid="{00000000-0005-0000-0000-000082100000}"/>
    <cellStyle name="Data 2 3 6 3 6" xfId="2581" xr:uid="{00000000-0005-0000-0000-000083100000}"/>
    <cellStyle name="Data 2 3 6 3 6 2" xfId="2582" xr:uid="{00000000-0005-0000-0000-000084100000}"/>
    <cellStyle name="Data 2 3 6 3 7" xfId="2583" xr:uid="{00000000-0005-0000-0000-000085100000}"/>
    <cellStyle name="Data 2 3 6 3 7 2" xfId="2584" xr:uid="{00000000-0005-0000-0000-000086100000}"/>
    <cellStyle name="Data 2 3 6 3 8" xfId="2585" xr:uid="{00000000-0005-0000-0000-000087100000}"/>
    <cellStyle name="Data 2 3 6 3 8 2" xfId="2586" xr:uid="{00000000-0005-0000-0000-000088100000}"/>
    <cellStyle name="Data 2 3 6 3 9" xfId="2587" xr:uid="{00000000-0005-0000-0000-000089100000}"/>
    <cellStyle name="Data 2 3 6 3 9 2" xfId="2588" xr:uid="{00000000-0005-0000-0000-00008A100000}"/>
    <cellStyle name="Data 2 3 6 4" xfId="2589" xr:uid="{00000000-0005-0000-0000-00008B100000}"/>
    <cellStyle name="Data 2 3 6 4 10" xfId="2590" xr:uid="{00000000-0005-0000-0000-00008C100000}"/>
    <cellStyle name="Data 2 3 6 4 2" xfId="2591" xr:uid="{00000000-0005-0000-0000-00008D100000}"/>
    <cellStyle name="Data 2 3 6 4 2 2" xfId="2592" xr:uid="{00000000-0005-0000-0000-00008E100000}"/>
    <cellStyle name="Data 2 3 6 4 3" xfId="2593" xr:uid="{00000000-0005-0000-0000-00008F100000}"/>
    <cellStyle name="Data 2 3 6 4 3 2" xfId="2594" xr:uid="{00000000-0005-0000-0000-000090100000}"/>
    <cellStyle name="Data 2 3 6 4 4" xfId="2595" xr:uid="{00000000-0005-0000-0000-000091100000}"/>
    <cellStyle name="Data 2 3 6 4 4 2" xfId="2596" xr:uid="{00000000-0005-0000-0000-000092100000}"/>
    <cellStyle name="Data 2 3 6 4 5" xfId="2597" xr:uid="{00000000-0005-0000-0000-000093100000}"/>
    <cellStyle name="Data 2 3 6 4 5 2" xfId="2598" xr:uid="{00000000-0005-0000-0000-000094100000}"/>
    <cellStyle name="Data 2 3 6 4 6" xfId="2599" xr:uid="{00000000-0005-0000-0000-000095100000}"/>
    <cellStyle name="Data 2 3 6 4 6 2" xfId="2600" xr:uid="{00000000-0005-0000-0000-000096100000}"/>
    <cellStyle name="Data 2 3 6 4 7" xfId="2601" xr:uid="{00000000-0005-0000-0000-000097100000}"/>
    <cellStyle name="Data 2 3 6 4 7 2" xfId="2602" xr:uid="{00000000-0005-0000-0000-000098100000}"/>
    <cellStyle name="Data 2 3 6 4 8" xfId="2603" xr:uid="{00000000-0005-0000-0000-000099100000}"/>
    <cellStyle name="Data 2 3 6 4 8 2" xfId="2604" xr:uid="{00000000-0005-0000-0000-00009A100000}"/>
    <cellStyle name="Data 2 3 6 4 9" xfId="2605" xr:uid="{00000000-0005-0000-0000-00009B100000}"/>
    <cellStyle name="Data 2 3 6 4 9 2" xfId="2606" xr:uid="{00000000-0005-0000-0000-00009C100000}"/>
    <cellStyle name="Data 2 3 6 5" xfId="2607" xr:uid="{00000000-0005-0000-0000-00009D100000}"/>
    <cellStyle name="Data 2 3 6 5 10" xfId="2608" xr:uid="{00000000-0005-0000-0000-00009E100000}"/>
    <cellStyle name="Data 2 3 6 5 2" xfId="2609" xr:uid="{00000000-0005-0000-0000-00009F100000}"/>
    <cellStyle name="Data 2 3 6 5 2 2" xfId="2610" xr:uid="{00000000-0005-0000-0000-0000A0100000}"/>
    <cellStyle name="Data 2 3 6 5 3" xfId="2611" xr:uid="{00000000-0005-0000-0000-0000A1100000}"/>
    <cellStyle name="Data 2 3 6 5 3 2" xfId="2612" xr:uid="{00000000-0005-0000-0000-0000A2100000}"/>
    <cellStyle name="Data 2 3 6 5 4" xfId="2613" xr:uid="{00000000-0005-0000-0000-0000A3100000}"/>
    <cellStyle name="Data 2 3 6 5 4 2" xfId="2614" xr:uid="{00000000-0005-0000-0000-0000A4100000}"/>
    <cellStyle name="Data 2 3 6 5 5" xfId="2615" xr:uid="{00000000-0005-0000-0000-0000A5100000}"/>
    <cellStyle name="Data 2 3 6 5 5 2" xfId="2616" xr:uid="{00000000-0005-0000-0000-0000A6100000}"/>
    <cellStyle name="Data 2 3 6 5 6" xfId="2617" xr:uid="{00000000-0005-0000-0000-0000A7100000}"/>
    <cellStyle name="Data 2 3 6 5 6 2" xfId="2618" xr:uid="{00000000-0005-0000-0000-0000A8100000}"/>
    <cellStyle name="Data 2 3 6 5 7" xfId="2619" xr:uid="{00000000-0005-0000-0000-0000A9100000}"/>
    <cellStyle name="Data 2 3 6 5 7 2" xfId="2620" xr:uid="{00000000-0005-0000-0000-0000AA100000}"/>
    <cellStyle name="Data 2 3 6 5 8" xfId="2621" xr:uid="{00000000-0005-0000-0000-0000AB100000}"/>
    <cellStyle name="Data 2 3 6 5 8 2" xfId="2622" xr:uid="{00000000-0005-0000-0000-0000AC100000}"/>
    <cellStyle name="Data 2 3 6 5 9" xfId="2623" xr:uid="{00000000-0005-0000-0000-0000AD100000}"/>
    <cellStyle name="Data 2 3 6 5 9 2" xfId="2624" xr:uid="{00000000-0005-0000-0000-0000AE100000}"/>
    <cellStyle name="Data 2 3 6 6" xfId="2625" xr:uid="{00000000-0005-0000-0000-0000AF100000}"/>
    <cellStyle name="Data 2 3 6 6 10" xfId="2626" xr:uid="{00000000-0005-0000-0000-0000B0100000}"/>
    <cellStyle name="Data 2 3 6 6 2" xfId="2627" xr:uid="{00000000-0005-0000-0000-0000B1100000}"/>
    <cellStyle name="Data 2 3 6 6 2 2" xfId="2628" xr:uid="{00000000-0005-0000-0000-0000B2100000}"/>
    <cellStyle name="Data 2 3 6 6 3" xfId="2629" xr:uid="{00000000-0005-0000-0000-0000B3100000}"/>
    <cellStyle name="Data 2 3 6 6 3 2" xfId="2630" xr:uid="{00000000-0005-0000-0000-0000B4100000}"/>
    <cellStyle name="Data 2 3 6 6 4" xfId="2631" xr:uid="{00000000-0005-0000-0000-0000B5100000}"/>
    <cellStyle name="Data 2 3 6 6 4 2" xfId="2632" xr:uid="{00000000-0005-0000-0000-0000B6100000}"/>
    <cellStyle name="Data 2 3 6 6 5" xfId="2633" xr:uid="{00000000-0005-0000-0000-0000B7100000}"/>
    <cellStyle name="Data 2 3 6 6 5 2" xfId="2634" xr:uid="{00000000-0005-0000-0000-0000B8100000}"/>
    <cellStyle name="Data 2 3 6 6 6" xfId="2635" xr:uid="{00000000-0005-0000-0000-0000B9100000}"/>
    <cellStyle name="Data 2 3 6 6 6 2" xfId="2636" xr:uid="{00000000-0005-0000-0000-0000BA100000}"/>
    <cellStyle name="Data 2 3 6 6 7" xfId="2637" xr:uid="{00000000-0005-0000-0000-0000BB100000}"/>
    <cellStyle name="Data 2 3 6 6 7 2" xfId="2638" xr:uid="{00000000-0005-0000-0000-0000BC100000}"/>
    <cellStyle name="Data 2 3 6 6 8" xfId="2639" xr:uid="{00000000-0005-0000-0000-0000BD100000}"/>
    <cellStyle name="Data 2 3 6 6 8 2" xfId="2640" xr:uid="{00000000-0005-0000-0000-0000BE100000}"/>
    <cellStyle name="Data 2 3 6 6 9" xfId="2641" xr:uid="{00000000-0005-0000-0000-0000BF100000}"/>
    <cellStyle name="Data 2 3 6 6 9 2" xfId="2642" xr:uid="{00000000-0005-0000-0000-0000C0100000}"/>
    <cellStyle name="Data 2 3 6 7" xfId="2643" xr:uid="{00000000-0005-0000-0000-0000C1100000}"/>
    <cellStyle name="Data 2 3 6 7 10" xfId="2644" xr:uid="{00000000-0005-0000-0000-0000C2100000}"/>
    <cellStyle name="Data 2 3 6 7 2" xfId="2645" xr:uid="{00000000-0005-0000-0000-0000C3100000}"/>
    <cellStyle name="Data 2 3 6 7 2 2" xfId="2646" xr:uid="{00000000-0005-0000-0000-0000C4100000}"/>
    <cellStyle name="Data 2 3 6 7 3" xfId="2647" xr:uid="{00000000-0005-0000-0000-0000C5100000}"/>
    <cellStyle name="Data 2 3 6 7 3 2" xfId="2648" xr:uid="{00000000-0005-0000-0000-0000C6100000}"/>
    <cellStyle name="Data 2 3 6 7 4" xfId="2649" xr:uid="{00000000-0005-0000-0000-0000C7100000}"/>
    <cellStyle name="Data 2 3 6 7 4 2" xfId="2650" xr:uid="{00000000-0005-0000-0000-0000C8100000}"/>
    <cellStyle name="Data 2 3 6 7 5" xfId="2651" xr:uid="{00000000-0005-0000-0000-0000C9100000}"/>
    <cellStyle name="Data 2 3 6 7 5 2" xfId="2652" xr:uid="{00000000-0005-0000-0000-0000CA100000}"/>
    <cellStyle name="Data 2 3 6 7 6" xfId="2653" xr:uid="{00000000-0005-0000-0000-0000CB100000}"/>
    <cellStyle name="Data 2 3 6 7 6 2" xfId="2654" xr:uid="{00000000-0005-0000-0000-0000CC100000}"/>
    <cellStyle name="Data 2 3 6 7 7" xfId="2655" xr:uid="{00000000-0005-0000-0000-0000CD100000}"/>
    <cellStyle name="Data 2 3 6 7 7 2" xfId="2656" xr:uid="{00000000-0005-0000-0000-0000CE100000}"/>
    <cellStyle name="Data 2 3 6 7 8" xfId="2657" xr:uid="{00000000-0005-0000-0000-0000CF100000}"/>
    <cellStyle name="Data 2 3 6 7 8 2" xfId="2658" xr:uid="{00000000-0005-0000-0000-0000D0100000}"/>
    <cellStyle name="Data 2 3 6 7 9" xfId="2659" xr:uid="{00000000-0005-0000-0000-0000D1100000}"/>
    <cellStyle name="Data 2 3 6 7 9 2" xfId="2660" xr:uid="{00000000-0005-0000-0000-0000D2100000}"/>
    <cellStyle name="Data 2 3 6 8" xfId="2661" xr:uid="{00000000-0005-0000-0000-0000D3100000}"/>
    <cellStyle name="Data 2 3 6 8 10" xfId="2662" xr:uid="{00000000-0005-0000-0000-0000D4100000}"/>
    <cellStyle name="Data 2 3 6 8 2" xfId="2663" xr:uid="{00000000-0005-0000-0000-0000D5100000}"/>
    <cellStyle name="Data 2 3 6 8 2 2" xfId="2664" xr:uid="{00000000-0005-0000-0000-0000D6100000}"/>
    <cellStyle name="Data 2 3 6 8 3" xfId="2665" xr:uid="{00000000-0005-0000-0000-0000D7100000}"/>
    <cellStyle name="Data 2 3 6 8 3 2" xfId="2666" xr:uid="{00000000-0005-0000-0000-0000D8100000}"/>
    <cellStyle name="Data 2 3 6 8 4" xfId="2667" xr:uid="{00000000-0005-0000-0000-0000D9100000}"/>
    <cellStyle name="Data 2 3 6 8 4 2" xfId="2668" xr:uid="{00000000-0005-0000-0000-0000DA100000}"/>
    <cellStyle name="Data 2 3 6 8 5" xfId="2669" xr:uid="{00000000-0005-0000-0000-0000DB100000}"/>
    <cellStyle name="Data 2 3 6 8 5 2" xfId="2670" xr:uid="{00000000-0005-0000-0000-0000DC100000}"/>
    <cellStyle name="Data 2 3 6 8 6" xfId="2671" xr:uid="{00000000-0005-0000-0000-0000DD100000}"/>
    <cellStyle name="Data 2 3 6 8 6 2" xfId="2672" xr:uid="{00000000-0005-0000-0000-0000DE100000}"/>
    <cellStyle name="Data 2 3 6 8 7" xfId="2673" xr:uid="{00000000-0005-0000-0000-0000DF100000}"/>
    <cellStyle name="Data 2 3 6 8 7 2" xfId="2674" xr:uid="{00000000-0005-0000-0000-0000E0100000}"/>
    <cellStyle name="Data 2 3 6 8 8" xfId="2675" xr:uid="{00000000-0005-0000-0000-0000E1100000}"/>
    <cellStyle name="Data 2 3 6 8 8 2" xfId="2676" xr:uid="{00000000-0005-0000-0000-0000E2100000}"/>
    <cellStyle name="Data 2 3 6 8 9" xfId="2677" xr:uid="{00000000-0005-0000-0000-0000E3100000}"/>
    <cellStyle name="Data 2 3 6 8 9 2" xfId="2678" xr:uid="{00000000-0005-0000-0000-0000E4100000}"/>
    <cellStyle name="Data 2 3 6 9" xfId="2679" xr:uid="{00000000-0005-0000-0000-0000E5100000}"/>
    <cellStyle name="Data 2 3 6 9 10" xfId="2680" xr:uid="{00000000-0005-0000-0000-0000E6100000}"/>
    <cellStyle name="Data 2 3 6 9 2" xfId="2681" xr:uid="{00000000-0005-0000-0000-0000E7100000}"/>
    <cellStyle name="Data 2 3 6 9 2 2" xfId="2682" xr:uid="{00000000-0005-0000-0000-0000E8100000}"/>
    <cellStyle name="Data 2 3 6 9 3" xfId="2683" xr:uid="{00000000-0005-0000-0000-0000E9100000}"/>
    <cellStyle name="Data 2 3 6 9 3 2" xfId="2684" xr:uid="{00000000-0005-0000-0000-0000EA100000}"/>
    <cellStyle name="Data 2 3 6 9 4" xfId="2685" xr:uid="{00000000-0005-0000-0000-0000EB100000}"/>
    <cellStyle name="Data 2 3 6 9 4 2" xfId="2686" xr:uid="{00000000-0005-0000-0000-0000EC100000}"/>
    <cellStyle name="Data 2 3 6 9 5" xfId="2687" xr:uid="{00000000-0005-0000-0000-0000ED100000}"/>
    <cellStyle name="Data 2 3 6 9 5 2" xfId="2688" xr:uid="{00000000-0005-0000-0000-0000EE100000}"/>
    <cellStyle name="Data 2 3 6 9 6" xfId="2689" xr:uid="{00000000-0005-0000-0000-0000EF100000}"/>
    <cellStyle name="Data 2 3 6 9 6 2" xfId="2690" xr:uid="{00000000-0005-0000-0000-0000F0100000}"/>
    <cellStyle name="Data 2 3 6 9 7" xfId="2691" xr:uid="{00000000-0005-0000-0000-0000F1100000}"/>
    <cellStyle name="Data 2 3 6 9 7 2" xfId="2692" xr:uid="{00000000-0005-0000-0000-0000F2100000}"/>
    <cellStyle name="Data 2 3 6 9 8" xfId="2693" xr:uid="{00000000-0005-0000-0000-0000F3100000}"/>
    <cellStyle name="Data 2 3 6 9 8 2" xfId="2694" xr:uid="{00000000-0005-0000-0000-0000F4100000}"/>
    <cellStyle name="Data 2 3 6 9 9" xfId="2695" xr:uid="{00000000-0005-0000-0000-0000F5100000}"/>
    <cellStyle name="Data 2 3 6 9 9 2" xfId="2696" xr:uid="{00000000-0005-0000-0000-0000F6100000}"/>
    <cellStyle name="Data 2 3 7" xfId="2697" xr:uid="{00000000-0005-0000-0000-0000F7100000}"/>
    <cellStyle name="Data 2 3 7 10" xfId="2698" xr:uid="{00000000-0005-0000-0000-0000F8100000}"/>
    <cellStyle name="Data 2 3 7 10 2" xfId="2699" xr:uid="{00000000-0005-0000-0000-0000F9100000}"/>
    <cellStyle name="Data 2 3 7 10 2 2" xfId="2700" xr:uid="{00000000-0005-0000-0000-0000FA100000}"/>
    <cellStyle name="Data 2 3 7 10 3" xfId="2701" xr:uid="{00000000-0005-0000-0000-0000FB100000}"/>
    <cellStyle name="Data 2 3 7 10 3 2" xfId="2702" xr:uid="{00000000-0005-0000-0000-0000FC100000}"/>
    <cellStyle name="Data 2 3 7 10 4" xfId="2703" xr:uid="{00000000-0005-0000-0000-0000FD100000}"/>
    <cellStyle name="Data 2 3 7 10 4 2" xfId="2704" xr:uid="{00000000-0005-0000-0000-0000FE100000}"/>
    <cellStyle name="Data 2 3 7 10 5" xfId="2705" xr:uid="{00000000-0005-0000-0000-0000FF100000}"/>
    <cellStyle name="Data 2 3 7 10 5 2" xfId="2706" xr:uid="{00000000-0005-0000-0000-000000110000}"/>
    <cellStyle name="Data 2 3 7 10 6" xfId="2707" xr:uid="{00000000-0005-0000-0000-000001110000}"/>
    <cellStyle name="Data 2 3 7 10 6 2" xfId="2708" xr:uid="{00000000-0005-0000-0000-000002110000}"/>
    <cellStyle name="Data 2 3 7 10 7" xfId="2709" xr:uid="{00000000-0005-0000-0000-000003110000}"/>
    <cellStyle name="Data 2 3 7 10 7 2" xfId="2710" xr:uid="{00000000-0005-0000-0000-000004110000}"/>
    <cellStyle name="Data 2 3 7 10 8" xfId="2711" xr:uid="{00000000-0005-0000-0000-000005110000}"/>
    <cellStyle name="Data 2 3 7 10 8 2" xfId="2712" xr:uid="{00000000-0005-0000-0000-000006110000}"/>
    <cellStyle name="Data 2 3 7 10 9" xfId="2713" xr:uid="{00000000-0005-0000-0000-000007110000}"/>
    <cellStyle name="Data 2 3 7 11" xfId="2714" xr:uid="{00000000-0005-0000-0000-000008110000}"/>
    <cellStyle name="Data 2 3 7 11 2" xfId="2715" xr:uid="{00000000-0005-0000-0000-000009110000}"/>
    <cellStyle name="Data 2 3 7 12" xfId="2716" xr:uid="{00000000-0005-0000-0000-00000A110000}"/>
    <cellStyle name="Data 2 3 7 12 2" xfId="2717" xr:uid="{00000000-0005-0000-0000-00000B110000}"/>
    <cellStyle name="Data 2 3 7 13" xfId="2718" xr:uid="{00000000-0005-0000-0000-00000C110000}"/>
    <cellStyle name="Data 2 3 7 13 2" xfId="2719" xr:uid="{00000000-0005-0000-0000-00000D110000}"/>
    <cellStyle name="Data 2 3 7 14" xfId="2720" xr:uid="{00000000-0005-0000-0000-00000E110000}"/>
    <cellStyle name="Data 2 3 7 14 2" xfId="2721" xr:uid="{00000000-0005-0000-0000-00000F110000}"/>
    <cellStyle name="Data 2 3 7 15" xfId="2722" xr:uid="{00000000-0005-0000-0000-000010110000}"/>
    <cellStyle name="Data 2 3 7 15 2" xfId="2723" xr:uid="{00000000-0005-0000-0000-000011110000}"/>
    <cellStyle name="Data 2 3 7 16" xfId="2724" xr:uid="{00000000-0005-0000-0000-000012110000}"/>
    <cellStyle name="Data 2 3 7 16 2" xfId="2725" xr:uid="{00000000-0005-0000-0000-000013110000}"/>
    <cellStyle name="Data 2 3 7 17" xfId="2726" xr:uid="{00000000-0005-0000-0000-000014110000}"/>
    <cellStyle name="Data 2 3 7 17 2" xfId="2727" xr:uid="{00000000-0005-0000-0000-000015110000}"/>
    <cellStyle name="Data 2 3 7 18" xfId="2728" xr:uid="{00000000-0005-0000-0000-000016110000}"/>
    <cellStyle name="Data 2 3 7 2" xfId="2729" xr:uid="{00000000-0005-0000-0000-000017110000}"/>
    <cellStyle name="Data 2 3 7 2 10" xfId="2730" xr:uid="{00000000-0005-0000-0000-000018110000}"/>
    <cellStyle name="Data 2 3 7 2 2" xfId="2731" xr:uid="{00000000-0005-0000-0000-000019110000}"/>
    <cellStyle name="Data 2 3 7 2 2 2" xfId="2732" xr:uid="{00000000-0005-0000-0000-00001A110000}"/>
    <cellStyle name="Data 2 3 7 2 3" xfId="2733" xr:uid="{00000000-0005-0000-0000-00001B110000}"/>
    <cellStyle name="Data 2 3 7 2 3 2" xfId="2734" xr:uid="{00000000-0005-0000-0000-00001C110000}"/>
    <cellStyle name="Data 2 3 7 2 4" xfId="2735" xr:uid="{00000000-0005-0000-0000-00001D110000}"/>
    <cellStyle name="Data 2 3 7 2 4 2" xfId="2736" xr:uid="{00000000-0005-0000-0000-00001E110000}"/>
    <cellStyle name="Data 2 3 7 2 5" xfId="2737" xr:uid="{00000000-0005-0000-0000-00001F110000}"/>
    <cellStyle name="Data 2 3 7 2 5 2" xfId="2738" xr:uid="{00000000-0005-0000-0000-000020110000}"/>
    <cellStyle name="Data 2 3 7 2 6" xfId="2739" xr:uid="{00000000-0005-0000-0000-000021110000}"/>
    <cellStyle name="Data 2 3 7 2 6 2" xfId="2740" xr:uid="{00000000-0005-0000-0000-000022110000}"/>
    <cellStyle name="Data 2 3 7 2 7" xfId="2741" xr:uid="{00000000-0005-0000-0000-000023110000}"/>
    <cellStyle name="Data 2 3 7 2 7 2" xfId="2742" xr:uid="{00000000-0005-0000-0000-000024110000}"/>
    <cellStyle name="Data 2 3 7 2 8" xfId="2743" xr:uid="{00000000-0005-0000-0000-000025110000}"/>
    <cellStyle name="Data 2 3 7 2 8 2" xfId="2744" xr:uid="{00000000-0005-0000-0000-000026110000}"/>
    <cellStyle name="Data 2 3 7 2 9" xfId="2745" xr:uid="{00000000-0005-0000-0000-000027110000}"/>
    <cellStyle name="Data 2 3 7 2 9 2" xfId="2746" xr:uid="{00000000-0005-0000-0000-000028110000}"/>
    <cellStyle name="Data 2 3 7 3" xfId="2747" xr:uid="{00000000-0005-0000-0000-000029110000}"/>
    <cellStyle name="Data 2 3 7 3 10" xfId="2748" xr:uid="{00000000-0005-0000-0000-00002A110000}"/>
    <cellStyle name="Data 2 3 7 3 2" xfId="2749" xr:uid="{00000000-0005-0000-0000-00002B110000}"/>
    <cellStyle name="Data 2 3 7 3 2 2" xfId="2750" xr:uid="{00000000-0005-0000-0000-00002C110000}"/>
    <cellStyle name="Data 2 3 7 3 3" xfId="2751" xr:uid="{00000000-0005-0000-0000-00002D110000}"/>
    <cellStyle name="Data 2 3 7 3 3 2" xfId="2752" xr:uid="{00000000-0005-0000-0000-00002E110000}"/>
    <cellStyle name="Data 2 3 7 3 4" xfId="2753" xr:uid="{00000000-0005-0000-0000-00002F110000}"/>
    <cellStyle name="Data 2 3 7 3 4 2" xfId="2754" xr:uid="{00000000-0005-0000-0000-000030110000}"/>
    <cellStyle name="Data 2 3 7 3 5" xfId="2755" xr:uid="{00000000-0005-0000-0000-000031110000}"/>
    <cellStyle name="Data 2 3 7 3 5 2" xfId="2756" xr:uid="{00000000-0005-0000-0000-000032110000}"/>
    <cellStyle name="Data 2 3 7 3 6" xfId="2757" xr:uid="{00000000-0005-0000-0000-000033110000}"/>
    <cellStyle name="Data 2 3 7 3 6 2" xfId="2758" xr:uid="{00000000-0005-0000-0000-000034110000}"/>
    <cellStyle name="Data 2 3 7 3 7" xfId="2759" xr:uid="{00000000-0005-0000-0000-000035110000}"/>
    <cellStyle name="Data 2 3 7 3 7 2" xfId="2760" xr:uid="{00000000-0005-0000-0000-000036110000}"/>
    <cellStyle name="Data 2 3 7 3 8" xfId="2761" xr:uid="{00000000-0005-0000-0000-000037110000}"/>
    <cellStyle name="Data 2 3 7 3 8 2" xfId="2762" xr:uid="{00000000-0005-0000-0000-000038110000}"/>
    <cellStyle name="Data 2 3 7 3 9" xfId="2763" xr:uid="{00000000-0005-0000-0000-000039110000}"/>
    <cellStyle name="Data 2 3 7 3 9 2" xfId="2764" xr:uid="{00000000-0005-0000-0000-00003A110000}"/>
    <cellStyle name="Data 2 3 7 4" xfId="2765" xr:uid="{00000000-0005-0000-0000-00003B110000}"/>
    <cellStyle name="Data 2 3 7 4 10" xfId="2766" xr:uid="{00000000-0005-0000-0000-00003C110000}"/>
    <cellStyle name="Data 2 3 7 4 2" xfId="2767" xr:uid="{00000000-0005-0000-0000-00003D110000}"/>
    <cellStyle name="Data 2 3 7 4 2 2" xfId="2768" xr:uid="{00000000-0005-0000-0000-00003E110000}"/>
    <cellStyle name="Data 2 3 7 4 3" xfId="2769" xr:uid="{00000000-0005-0000-0000-00003F110000}"/>
    <cellStyle name="Data 2 3 7 4 3 2" xfId="2770" xr:uid="{00000000-0005-0000-0000-000040110000}"/>
    <cellStyle name="Data 2 3 7 4 4" xfId="2771" xr:uid="{00000000-0005-0000-0000-000041110000}"/>
    <cellStyle name="Data 2 3 7 4 4 2" xfId="2772" xr:uid="{00000000-0005-0000-0000-000042110000}"/>
    <cellStyle name="Data 2 3 7 4 5" xfId="2773" xr:uid="{00000000-0005-0000-0000-000043110000}"/>
    <cellStyle name="Data 2 3 7 4 5 2" xfId="2774" xr:uid="{00000000-0005-0000-0000-000044110000}"/>
    <cellStyle name="Data 2 3 7 4 6" xfId="2775" xr:uid="{00000000-0005-0000-0000-000045110000}"/>
    <cellStyle name="Data 2 3 7 4 6 2" xfId="2776" xr:uid="{00000000-0005-0000-0000-000046110000}"/>
    <cellStyle name="Data 2 3 7 4 7" xfId="2777" xr:uid="{00000000-0005-0000-0000-000047110000}"/>
    <cellStyle name="Data 2 3 7 4 7 2" xfId="2778" xr:uid="{00000000-0005-0000-0000-000048110000}"/>
    <cellStyle name="Data 2 3 7 4 8" xfId="2779" xr:uid="{00000000-0005-0000-0000-000049110000}"/>
    <cellStyle name="Data 2 3 7 4 8 2" xfId="2780" xr:uid="{00000000-0005-0000-0000-00004A110000}"/>
    <cellStyle name="Data 2 3 7 4 9" xfId="2781" xr:uid="{00000000-0005-0000-0000-00004B110000}"/>
    <cellStyle name="Data 2 3 7 4 9 2" xfId="2782" xr:uid="{00000000-0005-0000-0000-00004C110000}"/>
    <cellStyle name="Data 2 3 7 5" xfId="2783" xr:uid="{00000000-0005-0000-0000-00004D110000}"/>
    <cellStyle name="Data 2 3 7 5 10" xfId="2784" xr:uid="{00000000-0005-0000-0000-00004E110000}"/>
    <cellStyle name="Data 2 3 7 5 2" xfId="2785" xr:uid="{00000000-0005-0000-0000-00004F110000}"/>
    <cellStyle name="Data 2 3 7 5 2 2" xfId="2786" xr:uid="{00000000-0005-0000-0000-000050110000}"/>
    <cellStyle name="Data 2 3 7 5 3" xfId="2787" xr:uid="{00000000-0005-0000-0000-000051110000}"/>
    <cellStyle name="Data 2 3 7 5 3 2" xfId="2788" xr:uid="{00000000-0005-0000-0000-000052110000}"/>
    <cellStyle name="Data 2 3 7 5 4" xfId="2789" xr:uid="{00000000-0005-0000-0000-000053110000}"/>
    <cellStyle name="Data 2 3 7 5 4 2" xfId="2790" xr:uid="{00000000-0005-0000-0000-000054110000}"/>
    <cellStyle name="Data 2 3 7 5 5" xfId="2791" xr:uid="{00000000-0005-0000-0000-000055110000}"/>
    <cellStyle name="Data 2 3 7 5 5 2" xfId="2792" xr:uid="{00000000-0005-0000-0000-000056110000}"/>
    <cellStyle name="Data 2 3 7 5 6" xfId="2793" xr:uid="{00000000-0005-0000-0000-000057110000}"/>
    <cellStyle name="Data 2 3 7 5 6 2" xfId="2794" xr:uid="{00000000-0005-0000-0000-000058110000}"/>
    <cellStyle name="Data 2 3 7 5 7" xfId="2795" xr:uid="{00000000-0005-0000-0000-000059110000}"/>
    <cellStyle name="Data 2 3 7 5 7 2" xfId="2796" xr:uid="{00000000-0005-0000-0000-00005A110000}"/>
    <cellStyle name="Data 2 3 7 5 8" xfId="2797" xr:uid="{00000000-0005-0000-0000-00005B110000}"/>
    <cellStyle name="Data 2 3 7 5 8 2" xfId="2798" xr:uid="{00000000-0005-0000-0000-00005C110000}"/>
    <cellStyle name="Data 2 3 7 5 9" xfId="2799" xr:uid="{00000000-0005-0000-0000-00005D110000}"/>
    <cellStyle name="Data 2 3 7 5 9 2" xfId="2800" xr:uid="{00000000-0005-0000-0000-00005E110000}"/>
    <cellStyle name="Data 2 3 7 6" xfId="2801" xr:uid="{00000000-0005-0000-0000-00005F110000}"/>
    <cellStyle name="Data 2 3 7 6 10" xfId="2802" xr:uid="{00000000-0005-0000-0000-000060110000}"/>
    <cellStyle name="Data 2 3 7 6 2" xfId="2803" xr:uid="{00000000-0005-0000-0000-000061110000}"/>
    <cellStyle name="Data 2 3 7 6 2 2" xfId="2804" xr:uid="{00000000-0005-0000-0000-000062110000}"/>
    <cellStyle name="Data 2 3 7 6 3" xfId="2805" xr:uid="{00000000-0005-0000-0000-000063110000}"/>
    <cellStyle name="Data 2 3 7 6 3 2" xfId="2806" xr:uid="{00000000-0005-0000-0000-000064110000}"/>
    <cellStyle name="Data 2 3 7 6 4" xfId="2807" xr:uid="{00000000-0005-0000-0000-000065110000}"/>
    <cellStyle name="Data 2 3 7 6 4 2" xfId="2808" xr:uid="{00000000-0005-0000-0000-000066110000}"/>
    <cellStyle name="Data 2 3 7 6 5" xfId="2809" xr:uid="{00000000-0005-0000-0000-000067110000}"/>
    <cellStyle name="Data 2 3 7 6 5 2" xfId="2810" xr:uid="{00000000-0005-0000-0000-000068110000}"/>
    <cellStyle name="Data 2 3 7 6 6" xfId="2811" xr:uid="{00000000-0005-0000-0000-000069110000}"/>
    <cellStyle name="Data 2 3 7 6 6 2" xfId="2812" xr:uid="{00000000-0005-0000-0000-00006A110000}"/>
    <cellStyle name="Data 2 3 7 6 7" xfId="2813" xr:uid="{00000000-0005-0000-0000-00006B110000}"/>
    <cellStyle name="Data 2 3 7 6 7 2" xfId="2814" xr:uid="{00000000-0005-0000-0000-00006C110000}"/>
    <cellStyle name="Data 2 3 7 6 8" xfId="2815" xr:uid="{00000000-0005-0000-0000-00006D110000}"/>
    <cellStyle name="Data 2 3 7 6 8 2" xfId="2816" xr:uid="{00000000-0005-0000-0000-00006E110000}"/>
    <cellStyle name="Data 2 3 7 6 9" xfId="2817" xr:uid="{00000000-0005-0000-0000-00006F110000}"/>
    <cellStyle name="Data 2 3 7 6 9 2" xfId="2818" xr:uid="{00000000-0005-0000-0000-000070110000}"/>
    <cellStyle name="Data 2 3 7 7" xfId="2819" xr:uid="{00000000-0005-0000-0000-000071110000}"/>
    <cellStyle name="Data 2 3 7 7 10" xfId="2820" xr:uid="{00000000-0005-0000-0000-000072110000}"/>
    <cellStyle name="Data 2 3 7 7 2" xfId="2821" xr:uid="{00000000-0005-0000-0000-000073110000}"/>
    <cellStyle name="Data 2 3 7 7 2 2" xfId="2822" xr:uid="{00000000-0005-0000-0000-000074110000}"/>
    <cellStyle name="Data 2 3 7 7 3" xfId="2823" xr:uid="{00000000-0005-0000-0000-000075110000}"/>
    <cellStyle name="Data 2 3 7 7 3 2" xfId="2824" xr:uid="{00000000-0005-0000-0000-000076110000}"/>
    <cellStyle name="Data 2 3 7 7 4" xfId="2825" xr:uid="{00000000-0005-0000-0000-000077110000}"/>
    <cellStyle name="Data 2 3 7 7 4 2" xfId="2826" xr:uid="{00000000-0005-0000-0000-000078110000}"/>
    <cellStyle name="Data 2 3 7 7 5" xfId="2827" xr:uid="{00000000-0005-0000-0000-000079110000}"/>
    <cellStyle name="Data 2 3 7 7 5 2" xfId="2828" xr:uid="{00000000-0005-0000-0000-00007A110000}"/>
    <cellStyle name="Data 2 3 7 7 6" xfId="2829" xr:uid="{00000000-0005-0000-0000-00007B110000}"/>
    <cellStyle name="Data 2 3 7 7 6 2" xfId="2830" xr:uid="{00000000-0005-0000-0000-00007C110000}"/>
    <cellStyle name="Data 2 3 7 7 7" xfId="2831" xr:uid="{00000000-0005-0000-0000-00007D110000}"/>
    <cellStyle name="Data 2 3 7 7 7 2" xfId="2832" xr:uid="{00000000-0005-0000-0000-00007E110000}"/>
    <cellStyle name="Data 2 3 7 7 8" xfId="2833" xr:uid="{00000000-0005-0000-0000-00007F110000}"/>
    <cellStyle name="Data 2 3 7 7 8 2" xfId="2834" xr:uid="{00000000-0005-0000-0000-000080110000}"/>
    <cellStyle name="Data 2 3 7 7 9" xfId="2835" xr:uid="{00000000-0005-0000-0000-000081110000}"/>
    <cellStyle name="Data 2 3 7 7 9 2" xfId="2836" xr:uid="{00000000-0005-0000-0000-000082110000}"/>
    <cellStyle name="Data 2 3 7 8" xfId="2837" xr:uid="{00000000-0005-0000-0000-000083110000}"/>
    <cellStyle name="Data 2 3 7 8 10" xfId="2838" xr:uid="{00000000-0005-0000-0000-000084110000}"/>
    <cellStyle name="Data 2 3 7 8 2" xfId="2839" xr:uid="{00000000-0005-0000-0000-000085110000}"/>
    <cellStyle name="Data 2 3 7 8 2 2" xfId="2840" xr:uid="{00000000-0005-0000-0000-000086110000}"/>
    <cellStyle name="Data 2 3 7 8 3" xfId="2841" xr:uid="{00000000-0005-0000-0000-000087110000}"/>
    <cellStyle name="Data 2 3 7 8 3 2" xfId="2842" xr:uid="{00000000-0005-0000-0000-000088110000}"/>
    <cellStyle name="Data 2 3 7 8 4" xfId="2843" xr:uid="{00000000-0005-0000-0000-000089110000}"/>
    <cellStyle name="Data 2 3 7 8 4 2" xfId="2844" xr:uid="{00000000-0005-0000-0000-00008A110000}"/>
    <cellStyle name="Data 2 3 7 8 5" xfId="2845" xr:uid="{00000000-0005-0000-0000-00008B110000}"/>
    <cellStyle name="Data 2 3 7 8 5 2" xfId="2846" xr:uid="{00000000-0005-0000-0000-00008C110000}"/>
    <cellStyle name="Data 2 3 7 8 6" xfId="2847" xr:uid="{00000000-0005-0000-0000-00008D110000}"/>
    <cellStyle name="Data 2 3 7 8 6 2" xfId="2848" xr:uid="{00000000-0005-0000-0000-00008E110000}"/>
    <cellStyle name="Data 2 3 7 8 7" xfId="2849" xr:uid="{00000000-0005-0000-0000-00008F110000}"/>
    <cellStyle name="Data 2 3 7 8 7 2" xfId="2850" xr:uid="{00000000-0005-0000-0000-000090110000}"/>
    <cellStyle name="Data 2 3 7 8 8" xfId="2851" xr:uid="{00000000-0005-0000-0000-000091110000}"/>
    <cellStyle name="Data 2 3 7 8 8 2" xfId="2852" xr:uid="{00000000-0005-0000-0000-000092110000}"/>
    <cellStyle name="Data 2 3 7 8 9" xfId="2853" xr:uid="{00000000-0005-0000-0000-000093110000}"/>
    <cellStyle name="Data 2 3 7 8 9 2" xfId="2854" xr:uid="{00000000-0005-0000-0000-000094110000}"/>
    <cellStyle name="Data 2 3 7 9" xfId="2855" xr:uid="{00000000-0005-0000-0000-000095110000}"/>
    <cellStyle name="Data 2 3 7 9 10" xfId="2856" xr:uid="{00000000-0005-0000-0000-000096110000}"/>
    <cellStyle name="Data 2 3 7 9 2" xfId="2857" xr:uid="{00000000-0005-0000-0000-000097110000}"/>
    <cellStyle name="Data 2 3 7 9 2 2" xfId="2858" xr:uid="{00000000-0005-0000-0000-000098110000}"/>
    <cellStyle name="Data 2 3 7 9 3" xfId="2859" xr:uid="{00000000-0005-0000-0000-000099110000}"/>
    <cellStyle name="Data 2 3 7 9 3 2" xfId="2860" xr:uid="{00000000-0005-0000-0000-00009A110000}"/>
    <cellStyle name="Data 2 3 7 9 4" xfId="2861" xr:uid="{00000000-0005-0000-0000-00009B110000}"/>
    <cellStyle name="Data 2 3 7 9 4 2" xfId="2862" xr:uid="{00000000-0005-0000-0000-00009C110000}"/>
    <cellStyle name="Data 2 3 7 9 5" xfId="2863" xr:uid="{00000000-0005-0000-0000-00009D110000}"/>
    <cellStyle name="Data 2 3 7 9 5 2" xfId="2864" xr:uid="{00000000-0005-0000-0000-00009E110000}"/>
    <cellStyle name="Data 2 3 7 9 6" xfId="2865" xr:uid="{00000000-0005-0000-0000-00009F110000}"/>
    <cellStyle name="Data 2 3 7 9 6 2" xfId="2866" xr:uid="{00000000-0005-0000-0000-0000A0110000}"/>
    <cellStyle name="Data 2 3 7 9 7" xfId="2867" xr:uid="{00000000-0005-0000-0000-0000A1110000}"/>
    <cellStyle name="Data 2 3 7 9 7 2" xfId="2868" xr:uid="{00000000-0005-0000-0000-0000A2110000}"/>
    <cellStyle name="Data 2 3 7 9 8" xfId="2869" xr:uid="{00000000-0005-0000-0000-0000A3110000}"/>
    <cellStyle name="Data 2 3 7 9 8 2" xfId="2870" xr:uid="{00000000-0005-0000-0000-0000A4110000}"/>
    <cellStyle name="Data 2 3 7 9 9" xfId="2871" xr:uid="{00000000-0005-0000-0000-0000A5110000}"/>
    <cellStyle name="Data 2 3 7 9 9 2" xfId="2872" xr:uid="{00000000-0005-0000-0000-0000A6110000}"/>
    <cellStyle name="Data 2 3 8" xfId="2873" xr:uid="{00000000-0005-0000-0000-0000A7110000}"/>
    <cellStyle name="Data 2 3 8 10" xfId="2874" xr:uid="{00000000-0005-0000-0000-0000A8110000}"/>
    <cellStyle name="Data 2 3 8 10 2" xfId="2875" xr:uid="{00000000-0005-0000-0000-0000A9110000}"/>
    <cellStyle name="Data 2 3 8 10 2 2" xfId="2876" xr:uid="{00000000-0005-0000-0000-0000AA110000}"/>
    <cellStyle name="Data 2 3 8 10 3" xfId="2877" xr:uid="{00000000-0005-0000-0000-0000AB110000}"/>
    <cellStyle name="Data 2 3 8 10 3 2" xfId="2878" xr:uid="{00000000-0005-0000-0000-0000AC110000}"/>
    <cellStyle name="Data 2 3 8 10 4" xfId="2879" xr:uid="{00000000-0005-0000-0000-0000AD110000}"/>
    <cellStyle name="Data 2 3 8 10 4 2" xfId="2880" xr:uid="{00000000-0005-0000-0000-0000AE110000}"/>
    <cellStyle name="Data 2 3 8 10 5" xfId="2881" xr:uid="{00000000-0005-0000-0000-0000AF110000}"/>
    <cellStyle name="Data 2 3 8 10 5 2" xfId="2882" xr:uid="{00000000-0005-0000-0000-0000B0110000}"/>
    <cellStyle name="Data 2 3 8 10 6" xfId="2883" xr:uid="{00000000-0005-0000-0000-0000B1110000}"/>
    <cellStyle name="Data 2 3 8 10 6 2" xfId="2884" xr:uid="{00000000-0005-0000-0000-0000B2110000}"/>
    <cellStyle name="Data 2 3 8 10 7" xfId="2885" xr:uid="{00000000-0005-0000-0000-0000B3110000}"/>
    <cellStyle name="Data 2 3 8 10 7 2" xfId="2886" xr:uid="{00000000-0005-0000-0000-0000B4110000}"/>
    <cellStyle name="Data 2 3 8 10 8" xfId="2887" xr:uid="{00000000-0005-0000-0000-0000B5110000}"/>
    <cellStyle name="Data 2 3 8 10 8 2" xfId="2888" xr:uid="{00000000-0005-0000-0000-0000B6110000}"/>
    <cellStyle name="Data 2 3 8 10 9" xfId="2889" xr:uid="{00000000-0005-0000-0000-0000B7110000}"/>
    <cellStyle name="Data 2 3 8 11" xfId="2890" xr:uid="{00000000-0005-0000-0000-0000B8110000}"/>
    <cellStyle name="Data 2 3 8 11 2" xfId="2891" xr:uid="{00000000-0005-0000-0000-0000B9110000}"/>
    <cellStyle name="Data 2 3 8 12" xfId="2892" xr:uid="{00000000-0005-0000-0000-0000BA110000}"/>
    <cellStyle name="Data 2 3 8 12 2" xfId="2893" xr:uid="{00000000-0005-0000-0000-0000BB110000}"/>
    <cellStyle name="Data 2 3 8 13" xfId="2894" xr:uid="{00000000-0005-0000-0000-0000BC110000}"/>
    <cellStyle name="Data 2 3 8 13 2" xfId="2895" xr:uid="{00000000-0005-0000-0000-0000BD110000}"/>
    <cellStyle name="Data 2 3 8 14" xfId="2896" xr:uid="{00000000-0005-0000-0000-0000BE110000}"/>
    <cellStyle name="Data 2 3 8 14 2" xfId="2897" xr:uid="{00000000-0005-0000-0000-0000BF110000}"/>
    <cellStyle name="Data 2 3 8 15" xfId="2898" xr:uid="{00000000-0005-0000-0000-0000C0110000}"/>
    <cellStyle name="Data 2 3 8 15 2" xfId="2899" xr:uid="{00000000-0005-0000-0000-0000C1110000}"/>
    <cellStyle name="Data 2 3 8 16" xfId="2900" xr:uid="{00000000-0005-0000-0000-0000C2110000}"/>
    <cellStyle name="Data 2 3 8 16 2" xfId="2901" xr:uid="{00000000-0005-0000-0000-0000C3110000}"/>
    <cellStyle name="Data 2 3 8 17" xfId="2902" xr:uid="{00000000-0005-0000-0000-0000C4110000}"/>
    <cellStyle name="Data 2 3 8 17 2" xfId="2903" xr:uid="{00000000-0005-0000-0000-0000C5110000}"/>
    <cellStyle name="Data 2 3 8 18" xfId="2904" xr:uid="{00000000-0005-0000-0000-0000C6110000}"/>
    <cellStyle name="Data 2 3 8 2" xfId="2905" xr:uid="{00000000-0005-0000-0000-0000C7110000}"/>
    <cellStyle name="Data 2 3 8 2 10" xfId="2906" xr:uid="{00000000-0005-0000-0000-0000C8110000}"/>
    <cellStyle name="Data 2 3 8 2 2" xfId="2907" xr:uid="{00000000-0005-0000-0000-0000C9110000}"/>
    <cellStyle name="Data 2 3 8 2 2 2" xfId="2908" xr:uid="{00000000-0005-0000-0000-0000CA110000}"/>
    <cellStyle name="Data 2 3 8 2 3" xfId="2909" xr:uid="{00000000-0005-0000-0000-0000CB110000}"/>
    <cellStyle name="Data 2 3 8 2 3 2" xfId="2910" xr:uid="{00000000-0005-0000-0000-0000CC110000}"/>
    <cellStyle name="Data 2 3 8 2 4" xfId="2911" xr:uid="{00000000-0005-0000-0000-0000CD110000}"/>
    <cellStyle name="Data 2 3 8 2 4 2" xfId="2912" xr:uid="{00000000-0005-0000-0000-0000CE110000}"/>
    <cellStyle name="Data 2 3 8 2 5" xfId="2913" xr:uid="{00000000-0005-0000-0000-0000CF110000}"/>
    <cellStyle name="Data 2 3 8 2 5 2" xfId="2914" xr:uid="{00000000-0005-0000-0000-0000D0110000}"/>
    <cellStyle name="Data 2 3 8 2 6" xfId="2915" xr:uid="{00000000-0005-0000-0000-0000D1110000}"/>
    <cellStyle name="Data 2 3 8 2 6 2" xfId="2916" xr:uid="{00000000-0005-0000-0000-0000D2110000}"/>
    <cellStyle name="Data 2 3 8 2 7" xfId="2917" xr:uid="{00000000-0005-0000-0000-0000D3110000}"/>
    <cellStyle name="Data 2 3 8 2 7 2" xfId="2918" xr:uid="{00000000-0005-0000-0000-0000D4110000}"/>
    <cellStyle name="Data 2 3 8 2 8" xfId="2919" xr:uid="{00000000-0005-0000-0000-0000D5110000}"/>
    <cellStyle name="Data 2 3 8 2 8 2" xfId="2920" xr:uid="{00000000-0005-0000-0000-0000D6110000}"/>
    <cellStyle name="Data 2 3 8 2 9" xfId="2921" xr:uid="{00000000-0005-0000-0000-0000D7110000}"/>
    <cellStyle name="Data 2 3 8 2 9 2" xfId="2922" xr:uid="{00000000-0005-0000-0000-0000D8110000}"/>
    <cellStyle name="Data 2 3 8 3" xfId="2923" xr:uid="{00000000-0005-0000-0000-0000D9110000}"/>
    <cellStyle name="Data 2 3 8 3 10" xfId="2924" xr:uid="{00000000-0005-0000-0000-0000DA110000}"/>
    <cellStyle name="Data 2 3 8 3 2" xfId="2925" xr:uid="{00000000-0005-0000-0000-0000DB110000}"/>
    <cellStyle name="Data 2 3 8 3 2 2" xfId="2926" xr:uid="{00000000-0005-0000-0000-0000DC110000}"/>
    <cellStyle name="Data 2 3 8 3 3" xfId="2927" xr:uid="{00000000-0005-0000-0000-0000DD110000}"/>
    <cellStyle name="Data 2 3 8 3 3 2" xfId="2928" xr:uid="{00000000-0005-0000-0000-0000DE110000}"/>
    <cellStyle name="Data 2 3 8 3 4" xfId="2929" xr:uid="{00000000-0005-0000-0000-0000DF110000}"/>
    <cellStyle name="Data 2 3 8 3 4 2" xfId="2930" xr:uid="{00000000-0005-0000-0000-0000E0110000}"/>
    <cellStyle name="Data 2 3 8 3 5" xfId="2931" xr:uid="{00000000-0005-0000-0000-0000E1110000}"/>
    <cellStyle name="Data 2 3 8 3 5 2" xfId="2932" xr:uid="{00000000-0005-0000-0000-0000E2110000}"/>
    <cellStyle name="Data 2 3 8 3 6" xfId="2933" xr:uid="{00000000-0005-0000-0000-0000E3110000}"/>
    <cellStyle name="Data 2 3 8 3 6 2" xfId="2934" xr:uid="{00000000-0005-0000-0000-0000E4110000}"/>
    <cellStyle name="Data 2 3 8 3 7" xfId="2935" xr:uid="{00000000-0005-0000-0000-0000E5110000}"/>
    <cellStyle name="Data 2 3 8 3 7 2" xfId="2936" xr:uid="{00000000-0005-0000-0000-0000E6110000}"/>
    <cellStyle name="Data 2 3 8 3 8" xfId="2937" xr:uid="{00000000-0005-0000-0000-0000E7110000}"/>
    <cellStyle name="Data 2 3 8 3 8 2" xfId="2938" xr:uid="{00000000-0005-0000-0000-0000E8110000}"/>
    <cellStyle name="Data 2 3 8 3 9" xfId="2939" xr:uid="{00000000-0005-0000-0000-0000E9110000}"/>
    <cellStyle name="Data 2 3 8 3 9 2" xfId="2940" xr:uid="{00000000-0005-0000-0000-0000EA110000}"/>
    <cellStyle name="Data 2 3 8 4" xfId="2941" xr:uid="{00000000-0005-0000-0000-0000EB110000}"/>
    <cellStyle name="Data 2 3 8 4 10" xfId="2942" xr:uid="{00000000-0005-0000-0000-0000EC110000}"/>
    <cellStyle name="Data 2 3 8 4 2" xfId="2943" xr:uid="{00000000-0005-0000-0000-0000ED110000}"/>
    <cellStyle name="Data 2 3 8 4 2 2" xfId="2944" xr:uid="{00000000-0005-0000-0000-0000EE110000}"/>
    <cellStyle name="Data 2 3 8 4 3" xfId="2945" xr:uid="{00000000-0005-0000-0000-0000EF110000}"/>
    <cellStyle name="Data 2 3 8 4 3 2" xfId="2946" xr:uid="{00000000-0005-0000-0000-0000F0110000}"/>
    <cellStyle name="Data 2 3 8 4 4" xfId="2947" xr:uid="{00000000-0005-0000-0000-0000F1110000}"/>
    <cellStyle name="Data 2 3 8 4 4 2" xfId="2948" xr:uid="{00000000-0005-0000-0000-0000F2110000}"/>
    <cellStyle name="Data 2 3 8 4 5" xfId="2949" xr:uid="{00000000-0005-0000-0000-0000F3110000}"/>
    <cellStyle name="Data 2 3 8 4 5 2" xfId="2950" xr:uid="{00000000-0005-0000-0000-0000F4110000}"/>
    <cellStyle name="Data 2 3 8 4 6" xfId="2951" xr:uid="{00000000-0005-0000-0000-0000F5110000}"/>
    <cellStyle name="Data 2 3 8 4 6 2" xfId="2952" xr:uid="{00000000-0005-0000-0000-0000F6110000}"/>
    <cellStyle name="Data 2 3 8 4 7" xfId="2953" xr:uid="{00000000-0005-0000-0000-0000F7110000}"/>
    <cellStyle name="Data 2 3 8 4 7 2" xfId="2954" xr:uid="{00000000-0005-0000-0000-0000F8110000}"/>
    <cellStyle name="Data 2 3 8 4 8" xfId="2955" xr:uid="{00000000-0005-0000-0000-0000F9110000}"/>
    <cellStyle name="Data 2 3 8 4 8 2" xfId="2956" xr:uid="{00000000-0005-0000-0000-0000FA110000}"/>
    <cellStyle name="Data 2 3 8 4 9" xfId="2957" xr:uid="{00000000-0005-0000-0000-0000FB110000}"/>
    <cellStyle name="Data 2 3 8 4 9 2" xfId="2958" xr:uid="{00000000-0005-0000-0000-0000FC110000}"/>
    <cellStyle name="Data 2 3 8 5" xfId="2959" xr:uid="{00000000-0005-0000-0000-0000FD110000}"/>
    <cellStyle name="Data 2 3 8 5 10" xfId="2960" xr:uid="{00000000-0005-0000-0000-0000FE110000}"/>
    <cellStyle name="Data 2 3 8 5 2" xfId="2961" xr:uid="{00000000-0005-0000-0000-0000FF110000}"/>
    <cellStyle name="Data 2 3 8 5 2 2" xfId="2962" xr:uid="{00000000-0005-0000-0000-000000120000}"/>
    <cellStyle name="Data 2 3 8 5 3" xfId="2963" xr:uid="{00000000-0005-0000-0000-000001120000}"/>
    <cellStyle name="Data 2 3 8 5 3 2" xfId="2964" xr:uid="{00000000-0005-0000-0000-000002120000}"/>
    <cellStyle name="Data 2 3 8 5 4" xfId="2965" xr:uid="{00000000-0005-0000-0000-000003120000}"/>
    <cellStyle name="Data 2 3 8 5 4 2" xfId="2966" xr:uid="{00000000-0005-0000-0000-000004120000}"/>
    <cellStyle name="Data 2 3 8 5 5" xfId="2967" xr:uid="{00000000-0005-0000-0000-000005120000}"/>
    <cellStyle name="Data 2 3 8 5 5 2" xfId="2968" xr:uid="{00000000-0005-0000-0000-000006120000}"/>
    <cellStyle name="Data 2 3 8 5 6" xfId="2969" xr:uid="{00000000-0005-0000-0000-000007120000}"/>
    <cellStyle name="Data 2 3 8 5 6 2" xfId="2970" xr:uid="{00000000-0005-0000-0000-000008120000}"/>
    <cellStyle name="Data 2 3 8 5 7" xfId="2971" xr:uid="{00000000-0005-0000-0000-000009120000}"/>
    <cellStyle name="Data 2 3 8 5 7 2" xfId="2972" xr:uid="{00000000-0005-0000-0000-00000A120000}"/>
    <cellStyle name="Data 2 3 8 5 8" xfId="2973" xr:uid="{00000000-0005-0000-0000-00000B120000}"/>
    <cellStyle name="Data 2 3 8 5 8 2" xfId="2974" xr:uid="{00000000-0005-0000-0000-00000C120000}"/>
    <cellStyle name="Data 2 3 8 5 9" xfId="2975" xr:uid="{00000000-0005-0000-0000-00000D120000}"/>
    <cellStyle name="Data 2 3 8 5 9 2" xfId="2976" xr:uid="{00000000-0005-0000-0000-00000E120000}"/>
    <cellStyle name="Data 2 3 8 6" xfId="2977" xr:uid="{00000000-0005-0000-0000-00000F120000}"/>
    <cellStyle name="Data 2 3 8 6 10" xfId="2978" xr:uid="{00000000-0005-0000-0000-000010120000}"/>
    <cellStyle name="Data 2 3 8 6 2" xfId="2979" xr:uid="{00000000-0005-0000-0000-000011120000}"/>
    <cellStyle name="Data 2 3 8 6 2 2" xfId="2980" xr:uid="{00000000-0005-0000-0000-000012120000}"/>
    <cellStyle name="Data 2 3 8 6 3" xfId="2981" xr:uid="{00000000-0005-0000-0000-000013120000}"/>
    <cellStyle name="Data 2 3 8 6 3 2" xfId="2982" xr:uid="{00000000-0005-0000-0000-000014120000}"/>
    <cellStyle name="Data 2 3 8 6 4" xfId="2983" xr:uid="{00000000-0005-0000-0000-000015120000}"/>
    <cellStyle name="Data 2 3 8 6 4 2" xfId="2984" xr:uid="{00000000-0005-0000-0000-000016120000}"/>
    <cellStyle name="Data 2 3 8 6 5" xfId="2985" xr:uid="{00000000-0005-0000-0000-000017120000}"/>
    <cellStyle name="Data 2 3 8 6 5 2" xfId="2986" xr:uid="{00000000-0005-0000-0000-000018120000}"/>
    <cellStyle name="Data 2 3 8 6 6" xfId="2987" xr:uid="{00000000-0005-0000-0000-000019120000}"/>
    <cellStyle name="Data 2 3 8 6 6 2" xfId="2988" xr:uid="{00000000-0005-0000-0000-00001A120000}"/>
    <cellStyle name="Data 2 3 8 6 7" xfId="2989" xr:uid="{00000000-0005-0000-0000-00001B120000}"/>
    <cellStyle name="Data 2 3 8 6 7 2" xfId="2990" xr:uid="{00000000-0005-0000-0000-00001C120000}"/>
    <cellStyle name="Data 2 3 8 6 8" xfId="2991" xr:uid="{00000000-0005-0000-0000-00001D120000}"/>
    <cellStyle name="Data 2 3 8 6 8 2" xfId="2992" xr:uid="{00000000-0005-0000-0000-00001E120000}"/>
    <cellStyle name="Data 2 3 8 6 9" xfId="2993" xr:uid="{00000000-0005-0000-0000-00001F120000}"/>
    <cellStyle name="Data 2 3 8 6 9 2" xfId="2994" xr:uid="{00000000-0005-0000-0000-000020120000}"/>
    <cellStyle name="Data 2 3 8 7" xfId="2995" xr:uid="{00000000-0005-0000-0000-000021120000}"/>
    <cellStyle name="Data 2 3 8 7 10" xfId="2996" xr:uid="{00000000-0005-0000-0000-000022120000}"/>
    <cellStyle name="Data 2 3 8 7 2" xfId="2997" xr:uid="{00000000-0005-0000-0000-000023120000}"/>
    <cellStyle name="Data 2 3 8 7 2 2" xfId="2998" xr:uid="{00000000-0005-0000-0000-000024120000}"/>
    <cellStyle name="Data 2 3 8 7 3" xfId="2999" xr:uid="{00000000-0005-0000-0000-000025120000}"/>
    <cellStyle name="Data 2 3 8 7 3 2" xfId="3000" xr:uid="{00000000-0005-0000-0000-000026120000}"/>
    <cellStyle name="Data 2 3 8 7 4" xfId="3001" xr:uid="{00000000-0005-0000-0000-000027120000}"/>
    <cellStyle name="Data 2 3 8 7 4 2" xfId="3002" xr:uid="{00000000-0005-0000-0000-000028120000}"/>
    <cellStyle name="Data 2 3 8 7 5" xfId="3003" xr:uid="{00000000-0005-0000-0000-000029120000}"/>
    <cellStyle name="Data 2 3 8 7 5 2" xfId="3004" xr:uid="{00000000-0005-0000-0000-00002A120000}"/>
    <cellStyle name="Data 2 3 8 7 6" xfId="3005" xr:uid="{00000000-0005-0000-0000-00002B120000}"/>
    <cellStyle name="Data 2 3 8 7 6 2" xfId="3006" xr:uid="{00000000-0005-0000-0000-00002C120000}"/>
    <cellStyle name="Data 2 3 8 7 7" xfId="3007" xr:uid="{00000000-0005-0000-0000-00002D120000}"/>
    <cellStyle name="Data 2 3 8 7 7 2" xfId="3008" xr:uid="{00000000-0005-0000-0000-00002E120000}"/>
    <cellStyle name="Data 2 3 8 7 8" xfId="3009" xr:uid="{00000000-0005-0000-0000-00002F120000}"/>
    <cellStyle name="Data 2 3 8 7 8 2" xfId="3010" xr:uid="{00000000-0005-0000-0000-000030120000}"/>
    <cellStyle name="Data 2 3 8 7 9" xfId="3011" xr:uid="{00000000-0005-0000-0000-000031120000}"/>
    <cellStyle name="Data 2 3 8 7 9 2" xfId="3012" xr:uid="{00000000-0005-0000-0000-000032120000}"/>
    <cellStyle name="Data 2 3 8 8" xfId="3013" xr:uid="{00000000-0005-0000-0000-000033120000}"/>
    <cellStyle name="Data 2 3 8 8 10" xfId="3014" xr:uid="{00000000-0005-0000-0000-000034120000}"/>
    <cellStyle name="Data 2 3 8 8 2" xfId="3015" xr:uid="{00000000-0005-0000-0000-000035120000}"/>
    <cellStyle name="Data 2 3 8 8 2 2" xfId="3016" xr:uid="{00000000-0005-0000-0000-000036120000}"/>
    <cellStyle name="Data 2 3 8 8 3" xfId="3017" xr:uid="{00000000-0005-0000-0000-000037120000}"/>
    <cellStyle name="Data 2 3 8 8 3 2" xfId="3018" xr:uid="{00000000-0005-0000-0000-000038120000}"/>
    <cellStyle name="Data 2 3 8 8 4" xfId="3019" xr:uid="{00000000-0005-0000-0000-000039120000}"/>
    <cellStyle name="Data 2 3 8 8 4 2" xfId="3020" xr:uid="{00000000-0005-0000-0000-00003A120000}"/>
    <cellStyle name="Data 2 3 8 8 5" xfId="3021" xr:uid="{00000000-0005-0000-0000-00003B120000}"/>
    <cellStyle name="Data 2 3 8 8 5 2" xfId="3022" xr:uid="{00000000-0005-0000-0000-00003C120000}"/>
    <cellStyle name="Data 2 3 8 8 6" xfId="3023" xr:uid="{00000000-0005-0000-0000-00003D120000}"/>
    <cellStyle name="Data 2 3 8 8 6 2" xfId="3024" xr:uid="{00000000-0005-0000-0000-00003E120000}"/>
    <cellStyle name="Data 2 3 8 8 7" xfId="3025" xr:uid="{00000000-0005-0000-0000-00003F120000}"/>
    <cellStyle name="Data 2 3 8 8 7 2" xfId="3026" xr:uid="{00000000-0005-0000-0000-000040120000}"/>
    <cellStyle name="Data 2 3 8 8 8" xfId="3027" xr:uid="{00000000-0005-0000-0000-000041120000}"/>
    <cellStyle name="Data 2 3 8 8 8 2" xfId="3028" xr:uid="{00000000-0005-0000-0000-000042120000}"/>
    <cellStyle name="Data 2 3 8 8 9" xfId="3029" xr:uid="{00000000-0005-0000-0000-000043120000}"/>
    <cellStyle name="Data 2 3 8 8 9 2" xfId="3030" xr:uid="{00000000-0005-0000-0000-000044120000}"/>
    <cellStyle name="Data 2 3 8 9" xfId="3031" xr:uid="{00000000-0005-0000-0000-000045120000}"/>
    <cellStyle name="Data 2 3 8 9 10" xfId="3032" xr:uid="{00000000-0005-0000-0000-000046120000}"/>
    <cellStyle name="Data 2 3 8 9 2" xfId="3033" xr:uid="{00000000-0005-0000-0000-000047120000}"/>
    <cellStyle name="Data 2 3 8 9 2 2" xfId="3034" xr:uid="{00000000-0005-0000-0000-000048120000}"/>
    <cellStyle name="Data 2 3 8 9 3" xfId="3035" xr:uid="{00000000-0005-0000-0000-000049120000}"/>
    <cellStyle name="Data 2 3 8 9 3 2" xfId="3036" xr:uid="{00000000-0005-0000-0000-00004A120000}"/>
    <cellStyle name="Data 2 3 8 9 4" xfId="3037" xr:uid="{00000000-0005-0000-0000-00004B120000}"/>
    <cellStyle name="Data 2 3 8 9 4 2" xfId="3038" xr:uid="{00000000-0005-0000-0000-00004C120000}"/>
    <cellStyle name="Data 2 3 8 9 5" xfId="3039" xr:uid="{00000000-0005-0000-0000-00004D120000}"/>
    <cellStyle name="Data 2 3 8 9 5 2" xfId="3040" xr:uid="{00000000-0005-0000-0000-00004E120000}"/>
    <cellStyle name="Data 2 3 8 9 6" xfId="3041" xr:uid="{00000000-0005-0000-0000-00004F120000}"/>
    <cellStyle name="Data 2 3 8 9 6 2" xfId="3042" xr:uid="{00000000-0005-0000-0000-000050120000}"/>
    <cellStyle name="Data 2 3 8 9 7" xfId="3043" xr:uid="{00000000-0005-0000-0000-000051120000}"/>
    <cellStyle name="Data 2 3 8 9 7 2" xfId="3044" xr:uid="{00000000-0005-0000-0000-000052120000}"/>
    <cellStyle name="Data 2 3 8 9 8" xfId="3045" xr:uid="{00000000-0005-0000-0000-000053120000}"/>
    <cellStyle name="Data 2 3 8 9 8 2" xfId="3046" xr:uid="{00000000-0005-0000-0000-000054120000}"/>
    <cellStyle name="Data 2 3 8 9 9" xfId="3047" xr:uid="{00000000-0005-0000-0000-000055120000}"/>
    <cellStyle name="Data 2 3 8 9 9 2" xfId="3048" xr:uid="{00000000-0005-0000-0000-000056120000}"/>
    <cellStyle name="Data 2 4" xfId="214" xr:uid="{00000000-0005-0000-0000-000057120000}"/>
    <cellStyle name="Data 2 4 2" xfId="3049" xr:uid="{00000000-0005-0000-0000-000058120000}"/>
    <cellStyle name="Data 2 4 2 10" xfId="3050" xr:uid="{00000000-0005-0000-0000-000059120000}"/>
    <cellStyle name="Data 2 4 2 10 10" xfId="3051" xr:uid="{00000000-0005-0000-0000-00005A120000}"/>
    <cellStyle name="Data 2 4 2 10 2" xfId="3052" xr:uid="{00000000-0005-0000-0000-00005B120000}"/>
    <cellStyle name="Data 2 4 2 10 2 2" xfId="3053" xr:uid="{00000000-0005-0000-0000-00005C120000}"/>
    <cellStyle name="Data 2 4 2 10 3" xfId="3054" xr:uid="{00000000-0005-0000-0000-00005D120000}"/>
    <cellStyle name="Data 2 4 2 10 3 2" xfId="3055" xr:uid="{00000000-0005-0000-0000-00005E120000}"/>
    <cellStyle name="Data 2 4 2 10 4" xfId="3056" xr:uid="{00000000-0005-0000-0000-00005F120000}"/>
    <cellStyle name="Data 2 4 2 10 4 2" xfId="3057" xr:uid="{00000000-0005-0000-0000-000060120000}"/>
    <cellStyle name="Data 2 4 2 10 5" xfId="3058" xr:uid="{00000000-0005-0000-0000-000061120000}"/>
    <cellStyle name="Data 2 4 2 10 5 2" xfId="3059" xr:uid="{00000000-0005-0000-0000-000062120000}"/>
    <cellStyle name="Data 2 4 2 10 6" xfId="3060" xr:uid="{00000000-0005-0000-0000-000063120000}"/>
    <cellStyle name="Data 2 4 2 10 6 2" xfId="3061" xr:uid="{00000000-0005-0000-0000-000064120000}"/>
    <cellStyle name="Data 2 4 2 10 7" xfId="3062" xr:uid="{00000000-0005-0000-0000-000065120000}"/>
    <cellStyle name="Data 2 4 2 10 7 2" xfId="3063" xr:uid="{00000000-0005-0000-0000-000066120000}"/>
    <cellStyle name="Data 2 4 2 10 8" xfId="3064" xr:uid="{00000000-0005-0000-0000-000067120000}"/>
    <cellStyle name="Data 2 4 2 10 8 2" xfId="3065" xr:uid="{00000000-0005-0000-0000-000068120000}"/>
    <cellStyle name="Data 2 4 2 10 9" xfId="3066" xr:uid="{00000000-0005-0000-0000-000069120000}"/>
    <cellStyle name="Data 2 4 2 10 9 2" xfId="3067" xr:uid="{00000000-0005-0000-0000-00006A120000}"/>
    <cellStyle name="Data 2 4 2 11" xfId="3068" xr:uid="{00000000-0005-0000-0000-00006B120000}"/>
    <cellStyle name="Data 2 4 2 11 2" xfId="3069" xr:uid="{00000000-0005-0000-0000-00006C120000}"/>
    <cellStyle name="Data 2 4 2 11 2 2" xfId="3070" xr:uid="{00000000-0005-0000-0000-00006D120000}"/>
    <cellStyle name="Data 2 4 2 11 3" xfId="3071" xr:uid="{00000000-0005-0000-0000-00006E120000}"/>
    <cellStyle name="Data 2 4 2 11 3 2" xfId="3072" xr:uid="{00000000-0005-0000-0000-00006F120000}"/>
    <cellStyle name="Data 2 4 2 11 4" xfId="3073" xr:uid="{00000000-0005-0000-0000-000070120000}"/>
    <cellStyle name="Data 2 4 2 11 4 2" xfId="3074" xr:uid="{00000000-0005-0000-0000-000071120000}"/>
    <cellStyle name="Data 2 4 2 11 5" xfId="3075" xr:uid="{00000000-0005-0000-0000-000072120000}"/>
    <cellStyle name="Data 2 4 2 11 5 2" xfId="3076" xr:uid="{00000000-0005-0000-0000-000073120000}"/>
    <cellStyle name="Data 2 4 2 11 6" xfId="3077" xr:uid="{00000000-0005-0000-0000-000074120000}"/>
    <cellStyle name="Data 2 4 2 11 6 2" xfId="3078" xr:uid="{00000000-0005-0000-0000-000075120000}"/>
    <cellStyle name="Data 2 4 2 11 7" xfId="3079" xr:uid="{00000000-0005-0000-0000-000076120000}"/>
    <cellStyle name="Data 2 4 2 11 7 2" xfId="3080" xr:uid="{00000000-0005-0000-0000-000077120000}"/>
    <cellStyle name="Data 2 4 2 11 8" xfId="3081" xr:uid="{00000000-0005-0000-0000-000078120000}"/>
    <cellStyle name="Data 2 4 2 11 8 2" xfId="3082" xr:uid="{00000000-0005-0000-0000-000079120000}"/>
    <cellStyle name="Data 2 4 2 11 9" xfId="3083" xr:uid="{00000000-0005-0000-0000-00007A120000}"/>
    <cellStyle name="Data 2 4 2 2" xfId="3084" xr:uid="{00000000-0005-0000-0000-00007B120000}"/>
    <cellStyle name="Data 2 4 2 2 10" xfId="3085" xr:uid="{00000000-0005-0000-0000-00007C120000}"/>
    <cellStyle name="Data 2 4 2 2 2" xfId="3086" xr:uid="{00000000-0005-0000-0000-00007D120000}"/>
    <cellStyle name="Data 2 4 2 2 2 2" xfId="3087" xr:uid="{00000000-0005-0000-0000-00007E120000}"/>
    <cellStyle name="Data 2 4 2 2 3" xfId="3088" xr:uid="{00000000-0005-0000-0000-00007F120000}"/>
    <cellStyle name="Data 2 4 2 2 3 2" xfId="3089" xr:uid="{00000000-0005-0000-0000-000080120000}"/>
    <cellStyle name="Data 2 4 2 2 4" xfId="3090" xr:uid="{00000000-0005-0000-0000-000081120000}"/>
    <cellStyle name="Data 2 4 2 2 4 2" xfId="3091" xr:uid="{00000000-0005-0000-0000-000082120000}"/>
    <cellStyle name="Data 2 4 2 2 5" xfId="3092" xr:uid="{00000000-0005-0000-0000-000083120000}"/>
    <cellStyle name="Data 2 4 2 2 5 2" xfId="3093" xr:uid="{00000000-0005-0000-0000-000084120000}"/>
    <cellStyle name="Data 2 4 2 2 6" xfId="3094" xr:uid="{00000000-0005-0000-0000-000085120000}"/>
    <cellStyle name="Data 2 4 2 2 6 2" xfId="3095" xr:uid="{00000000-0005-0000-0000-000086120000}"/>
    <cellStyle name="Data 2 4 2 2 7" xfId="3096" xr:uid="{00000000-0005-0000-0000-000087120000}"/>
    <cellStyle name="Data 2 4 2 2 7 2" xfId="3097" xr:uid="{00000000-0005-0000-0000-000088120000}"/>
    <cellStyle name="Data 2 4 2 2 8" xfId="3098" xr:uid="{00000000-0005-0000-0000-000089120000}"/>
    <cellStyle name="Data 2 4 2 2 8 2" xfId="3099" xr:uid="{00000000-0005-0000-0000-00008A120000}"/>
    <cellStyle name="Data 2 4 2 2 9" xfId="3100" xr:uid="{00000000-0005-0000-0000-00008B120000}"/>
    <cellStyle name="Data 2 4 2 2 9 2" xfId="3101" xr:uid="{00000000-0005-0000-0000-00008C120000}"/>
    <cellStyle name="Data 2 4 2 3" xfId="3102" xr:uid="{00000000-0005-0000-0000-00008D120000}"/>
    <cellStyle name="Data 2 4 2 3 10" xfId="3103" xr:uid="{00000000-0005-0000-0000-00008E120000}"/>
    <cellStyle name="Data 2 4 2 3 2" xfId="3104" xr:uid="{00000000-0005-0000-0000-00008F120000}"/>
    <cellStyle name="Data 2 4 2 3 2 2" xfId="3105" xr:uid="{00000000-0005-0000-0000-000090120000}"/>
    <cellStyle name="Data 2 4 2 3 3" xfId="3106" xr:uid="{00000000-0005-0000-0000-000091120000}"/>
    <cellStyle name="Data 2 4 2 3 3 2" xfId="3107" xr:uid="{00000000-0005-0000-0000-000092120000}"/>
    <cellStyle name="Data 2 4 2 3 4" xfId="3108" xr:uid="{00000000-0005-0000-0000-000093120000}"/>
    <cellStyle name="Data 2 4 2 3 4 2" xfId="3109" xr:uid="{00000000-0005-0000-0000-000094120000}"/>
    <cellStyle name="Data 2 4 2 3 5" xfId="3110" xr:uid="{00000000-0005-0000-0000-000095120000}"/>
    <cellStyle name="Data 2 4 2 3 5 2" xfId="3111" xr:uid="{00000000-0005-0000-0000-000096120000}"/>
    <cellStyle name="Data 2 4 2 3 6" xfId="3112" xr:uid="{00000000-0005-0000-0000-000097120000}"/>
    <cellStyle name="Data 2 4 2 3 6 2" xfId="3113" xr:uid="{00000000-0005-0000-0000-000098120000}"/>
    <cellStyle name="Data 2 4 2 3 7" xfId="3114" xr:uid="{00000000-0005-0000-0000-000099120000}"/>
    <cellStyle name="Data 2 4 2 3 7 2" xfId="3115" xr:uid="{00000000-0005-0000-0000-00009A120000}"/>
    <cellStyle name="Data 2 4 2 3 8" xfId="3116" xr:uid="{00000000-0005-0000-0000-00009B120000}"/>
    <cellStyle name="Data 2 4 2 3 8 2" xfId="3117" xr:uid="{00000000-0005-0000-0000-00009C120000}"/>
    <cellStyle name="Data 2 4 2 3 9" xfId="3118" xr:uid="{00000000-0005-0000-0000-00009D120000}"/>
    <cellStyle name="Data 2 4 2 3 9 2" xfId="3119" xr:uid="{00000000-0005-0000-0000-00009E120000}"/>
    <cellStyle name="Data 2 4 2 4" xfId="3120" xr:uid="{00000000-0005-0000-0000-00009F120000}"/>
    <cellStyle name="Data 2 4 2 4 10" xfId="3121" xr:uid="{00000000-0005-0000-0000-0000A0120000}"/>
    <cellStyle name="Data 2 4 2 4 2" xfId="3122" xr:uid="{00000000-0005-0000-0000-0000A1120000}"/>
    <cellStyle name="Data 2 4 2 4 2 2" xfId="3123" xr:uid="{00000000-0005-0000-0000-0000A2120000}"/>
    <cellStyle name="Data 2 4 2 4 3" xfId="3124" xr:uid="{00000000-0005-0000-0000-0000A3120000}"/>
    <cellStyle name="Data 2 4 2 4 3 2" xfId="3125" xr:uid="{00000000-0005-0000-0000-0000A4120000}"/>
    <cellStyle name="Data 2 4 2 4 4" xfId="3126" xr:uid="{00000000-0005-0000-0000-0000A5120000}"/>
    <cellStyle name="Data 2 4 2 4 4 2" xfId="3127" xr:uid="{00000000-0005-0000-0000-0000A6120000}"/>
    <cellStyle name="Data 2 4 2 4 5" xfId="3128" xr:uid="{00000000-0005-0000-0000-0000A7120000}"/>
    <cellStyle name="Data 2 4 2 4 5 2" xfId="3129" xr:uid="{00000000-0005-0000-0000-0000A8120000}"/>
    <cellStyle name="Data 2 4 2 4 6" xfId="3130" xr:uid="{00000000-0005-0000-0000-0000A9120000}"/>
    <cellStyle name="Data 2 4 2 4 6 2" xfId="3131" xr:uid="{00000000-0005-0000-0000-0000AA120000}"/>
    <cellStyle name="Data 2 4 2 4 7" xfId="3132" xr:uid="{00000000-0005-0000-0000-0000AB120000}"/>
    <cellStyle name="Data 2 4 2 4 7 2" xfId="3133" xr:uid="{00000000-0005-0000-0000-0000AC120000}"/>
    <cellStyle name="Data 2 4 2 4 8" xfId="3134" xr:uid="{00000000-0005-0000-0000-0000AD120000}"/>
    <cellStyle name="Data 2 4 2 4 8 2" xfId="3135" xr:uid="{00000000-0005-0000-0000-0000AE120000}"/>
    <cellStyle name="Data 2 4 2 4 9" xfId="3136" xr:uid="{00000000-0005-0000-0000-0000AF120000}"/>
    <cellStyle name="Data 2 4 2 4 9 2" xfId="3137" xr:uid="{00000000-0005-0000-0000-0000B0120000}"/>
    <cellStyle name="Data 2 4 2 5" xfId="3138" xr:uid="{00000000-0005-0000-0000-0000B1120000}"/>
    <cellStyle name="Data 2 4 2 5 10" xfId="3139" xr:uid="{00000000-0005-0000-0000-0000B2120000}"/>
    <cellStyle name="Data 2 4 2 5 2" xfId="3140" xr:uid="{00000000-0005-0000-0000-0000B3120000}"/>
    <cellStyle name="Data 2 4 2 5 2 2" xfId="3141" xr:uid="{00000000-0005-0000-0000-0000B4120000}"/>
    <cellStyle name="Data 2 4 2 5 3" xfId="3142" xr:uid="{00000000-0005-0000-0000-0000B5120000}"/>
    <cellStyle name="Data 2 4 2 5 3 2" xfId="3143" xr:uid="{00000000-0005-0000-0000-0000B6120000}"/>
    <cellStyle name="Data 2 4 2 5 4" xfId="3144" xr:uid="{00000000-0005-0000-0000-0000B7120000}"/>
    <cellStyle name="Data 2 4 2 5 4 2" xfId="3145" xr:uid="{00000000-0005-0000-0000-0000B8120000}"/>
    <cellStyle name="Data 2 4 2 5 5" xfId="3146" xr:uid="{00000000-0005-0000-0000-0000B9120000}"/>
    <cellStyle name="Data 2 4 2 5 5 2" xfId="3147" xr:uid="{00000000-0005-0000-0000-0000BA120000}"/>
    <cellStyle name="Data 2 4 2 5 6" xfId="3148" xr:uid="{00000000-0005-0000-0000-0000BB120000}"/>
    <cellStyle name="Data 2 4 2 5 6 2" xfId="3149" xr:uid="{00000000-0005-0000-0000-0000BC120000}"/>
    <cellStyle name="Data 2 4 2 5 7" xfId="3150" xr:uid="{00000000-0005-0000-0000-0000BD120000}"/>
    <cellStyle name="Data 2 4 2 5 7 2" xfId="3151" xr:uid="{00000000-0005-0000-0000-0000BE120000}"/>
    <cellStyle name="Data 2 4 2 5 8" xfId="3152" xr:uid="{00000000-0005-0000-0000-0000BF120000}"/>
    <cellStyle name="Data 2 4 2 5 8 2" xfId="3153" xr:uid="{00000000-0005-0000-0000-0000C0120000}"/>
    <cellStyle name="Data 2 4 2 5 9" xfId="3154" xr:uid="{00000000-0005-0000-0000-0000C1120000}"/>
    <cellStyle name="Data 2 4 2 5 9 2" xfId="3155" xr:uid="{00000000-0005-0000-0000-0000C2120000}"/>
    <cellStyle name="Data 2 4 2 6" xfId="3156" xr:uid="{00000000-0005-0000-0000-0000C3120000}"/>
    <cellStyle name="Data 2 4 2 6 10" xfId="3157" xr:uid="{00000000-0005-0000-0000-0000C4120000}"/>
    <cellStyle name="Data 2 4 2 6 2" xfId="3158" xr:uid="{00000000-0005-0000-0000-0000C5120000}"/>
    <cellStyle name="Data 2 4 2 6 2 2" xfId="3159" xr:uid="{00000000-0005-0000-0000-0000C6120000}"/>
    <cellStyle name="Data 2 4 2 6 3" xfId="3160" xr:uid="{00000000-0005-0000-0000-0000C7120000}"/>
    <cellStyle name="Data 2 4 2 6 3 2" xfId="3161" xr:uid="{00000000-0005-0000-0000-0000C8120000}"/>
    <cellStyle name="Data 2 4 2 6 4" xfId="3162" xr:uid="{00000000-0005-0000-0000-0000C9120000}"/>
    <cellStyle name="Data 2 4 2 6 4 2" xfId="3163" xr:uid="{00000000-0005-0000-0000-0000CA120000}"/>
    <cellStyle name="Data 2 4 2 6 5" xfId="3164" xr:uid="{00000000-0005-0000-0000-0000CB120000}"/>
    <cellStyle name="Data 2 4 2 6 5 2" xfId="3165" xr:uid="{00000000-0005-0000-0000-0000CC120000}"/>
    <cellStyle name="Data 2 4 2 6 6" xfId="3166" xr:uid="{00000000-0005-0000-0000-0000CD120000}"/>
    <cellStyle name="Data 2 4 2 6 6 2" xfId="3167" xr:uid="{00000000-0005-0000-0000-0000CE120000}"/>
    <cellStyle name="Data 2 4 2 6 7" xfId="3168" xr:uid="{00000000-0005-0000-0000-0000CF120000}"/>
    <cellStyle name="Data 2 4 2 6 7 2" xfId="3169" xr:uid="{00000000-0005-0000-0000-0000D0120000}"/>
    <cellStyle name="Data 2 4 2 6 8" xfId="3170" xr:uid="{00000000-0005-0000-0000-0000D1120000}"/>
    <cellStyle name="Data 2 4 2 6 8 2" xfId="3171" xr:uid="{00000000-0005-0000-0000-0000D2120000}"/>
    <cellStyle name="Data 2 4 2 6 9" xfId="3172" xr:uid="{00000000-0005-0000-0000-0000D3120000}"/>
    <cellStyle name="Data 2 4 2 6 9 2" xfId="3173" xr:uid="{00000000-0005-0000-0000-0000D4120000}"/>
    <cellStyle name="Data 2 4 2 7" xfId="3174" xr:uid="{00000000-0005-0000-0000-0000D5120000}"/>
    <cellStyle name="Data 2 4 2 7 10" xfId="3175" xr:uid="{00000000-0005-0000-0000-0000D6120000}"/>
    <cellStyle name="Data 2 4 2 7 2" xfId="3176" xr:uid="{00000000-0005-0000-0000-0000D7120000}"/>
    <cellStyle name="Data 2 4 2 7 2 2" xfId="3177" xr:uid="{00000000-0005-0000-0000-0000D8120000}"/>
    <cellStyle name="Data 2 4 2 7 3" xfId="3178" xr:uid="{00000000-0005-0000-0000-0000D9120000}"/>
    <cellStyle name="Data 2 4 2 7 3 2" xfId="3179" xr:uid="{00000000-0005-0000-0000-0000DA120000}"/>
    <cellStyle name="Data 2 4 2 7 4" xfId="3180" xr:uid="{00000000-0005-0000-0000-0000DB120000}"/>
    <cellStyle name="Data 2 4 2 7 4 2" xfId="3181" xr:uid="{00000000-0005-0000-0000-0000DC120000}"/>
    <cellStyle name="Data 2 4 2 7 5" xfId="3182" xr:uid="{00000000-0005-0000-0000-0000DD120000}"/>
    <cellStyle name="Data 2 4 2 7 5 2" xfId="3183" xr:uid="{00000000-0005-0000-0000-0000DE120000}"/>
    <cellStyle name="Data 2 4 2 7 6" xfId="3184" xr:uid="{00000000-0005-0000-0000-0000DF120000}"/>
    <cellStyle name="Data 2 4 2 7 6 2" xfId="3185" xr:uid="{00000000-0005-0000-0000-0000E0120000}"/>
    <cellStyle name="Data 2 4 2 7 7" xfId="3186" xr:uid="{00000000-0005-0000-0000-0000E1120000}"/>
    <cellStyle name="Data 2 4 2 7 7 2" xfId="3187" xr:uid="{00000000-0005-0000-0000-0000E2120000}"/>
    <cellStyle name="Data 2 4 2 7 8" xfId="3188" xr:uid="{00000000-0005-0000-0000-0000E3120000}"/>
    <cellStyle name="Data 2 4 2 7 8 2" xfId="3189" xr:uid="{00000000-0005-0000-0000-0000E4120000}"/>
    <cellStyle name="Data 2 4 2 7 9" xfId="3190" xr:uid="{00000000-0005-0000-0000-0000E5120000}"/>
    <cellStyle name="Data 2 4 2 7 9 2" xfId="3191" xr:uid="{00000000-0005-0000-0000-0000E6120000}"/>
    <cellStyle name="Data 2 4 2 8" xfId="3192" xr:uid="{00000000-0005-0000-0000-0000E7120000}"/>
    <cellStyle name="Data 2 4 2 8 10" xfId="3193" xr:uid="{00000000-0005-0000-0000-0000E8120000}"/>
    <cellStyle name="Data 2 4 2 8 2" xfId="3194" xr:uid="{00000000-0005-0000-0000-0000E9120000}"/>
    <cellStyle name="Data 2 4 2 8 2 2" xfId="3195" xr:uid="{00000000-0005-0000-0000-0000EA120000}"/>
    <cellStyle name="Data 2 4 2 8 3" xfId="3196" xr:uid="{00000000-0005-0000-0000-0000EB120000}"/>
    <cellStyle name="Data 2 4 2 8 3 2" xfId="3197" xr:uid="{00000000-0005-0000-0000-0000EC120000}"/>
    <cellStyle name="Data 2 4 2 8 4" xfId="3198" xr:uid="{00000000-0005-0000-0000-0000ED120000}"/>
    <cellStyle name="Data 2 4 2 8 4 2" xfId="3199" xr:uid="{00000000-0005-0000-0000-0000EE120000}"/>
    <cellStyle name="Data 2 4 2 8 5" xfId="3200" xr:uid="{00000000-0005-0000-0000-0000EF120000}"/>
    <cellStyle name="Data 2 4 2 8 5 2" xfId="3201" xr:uid="{00000000-0005-0000-0000-0000F0120000}"/>
    <cellStyle name="Data 2 4 2 8 6" xfId="3202" xr:uid="{00000000-0005-0000-0000-0000F1120000}"/>
    <cellStyle name="Data 2 4 2 8 6 2" xfId="3203" xr:uid="{00000000-0005-0000-0000-0000F2120000}"/>
    <cellStyle name="Data 2 4 2 8 7" xfId="3204" xr:uid="{00000000-0005-0000-0000-0000F3120000}"/>
    <cellStyle name="Data 2 4 2 8 7 2" xfId="3205" xr:uid="{00000000-0005-0000-0000-0000F4120000}"/>
    <cellStyle name="Data 2 4 2 8 8" xfId="3206" xr:uid="{00000000-0005-0000-0000-0000F5120000}"/>
    <cellStyle name="Data 2 4 2 8 8 2" xfId="3207" xr:uid="{00000000-0005-0000-0000-0000F6120000}"/>
    <cellStyle name="Data 2 4 2 8 9" xfId="3208" xr:uid="{00000000-0005-0000-0000-0000F7120000}"/>
    <cellStyle name="Data 2 4 2 8 9 2" xfId="3209" xr:uid="{00000000-0005-0000-0000-0000F8120000}"/>
    <cellStyle name="Data 2 4 2 9" xfId="3210" xr:uid="{00000000-0005-0000-0000-0000F9120000}"/>
    <cellStyle name="Data 2 4 2 9 10" xfId="3211" xr:uid="{00000000-0005-0000-0000-0000FA120000}"/>
    <cellStyle name="Data 2 4 2 9 2" xfId="3212" xr:uid="{00000000-0005-0000-0000-0000FB120000}"/>
    <cellStyle name="Data 2 4 2 9 2 2" xfId="3213" xr:uid="{00000000-0005-0000-0000-0000FC120000}"/>
    <cellStyle name="Data 2 4 2 9 3" xfId="3214" xr:uid="{00000000-0005-0000-0000-0000FD120000}"/>
    <cellStyle name="Data 2 4 2 9 3 2" xfId="3215" xr:uid="{00000000-0005-0000-0000-0000FE120000}"/>
    <cellStyle name="Data 2 4 2 9 4" xfId="3216" xr:uid="{00000000-0005-0000-0000-0000FF120000}"/>
    <cellStyle name="Data 2 4 2 9 4 2" xfId="3217" xr:uid="{00000000-0005-0000-0000-000000130000}"/>
    <cellStyle name="Data 2 4 2 9 5" xfId="3218" xr:uid="{00000000-0005-0000-0000-000001130000}"/>
    <cellStyle name="Data 2 4 2 9 5 2" xfId="3219" xr:uid="{00000000-0005-0000-0000-000002130000}"/>
    <cellStyle name="Data 2 4 2 9 6" xfId="3220" xr:uid="{00000000-0005-0000-0000-000003130000}"/>
    <cellStyle name="Data 2 4 2 9 6 2" xfId="3221" xr:uid="{00000000-0005-0000-0000-000004130000}"/>
    <cellStyle name="Data 2 4 2 9 7" xfId="3222" xr:uid="{00000000-0005-0000-0000-000005130000}"/>
    <cellStyle name="Data 2 4 2 9 7 2" xfId="3223" xr:uid="{00000000-0005-0000-0000-000006130000}"/>
    <cellStyle name="Data 2 4 2 9 8" xfId="3224" xr:uid="{00000000-0005-0000-0000-000007130000}"/>
    <cellStyle name="Data 2 4 2 9 8 2" xfId="3225" xr:uid="{00000000-0005-0000-0000-000008130000}"/>
    <cellStyle name="Data 2 4 2 9 9" xfId="3226" xr:uid="{00000000-0005-0000-0000-000009130000}"/>
    <cellStyle name="Data 2 4 2 9 9 2" xfId="3227" xr:uid="{00000000-0005-0000-0000-00000A130000}"/>
    <cellStyle name="Data 2 4 3" xfId="3228" xr:uid="{00000000-0005-0000-0000-00000B130000}"/>
    <cellStyle name="Data 2 4 3 10" xfId="3229" xr:uid="{00000000-0005-0000-0000-00000C130000}"/>
    <cellStyle name="Data 2 4 3 10 10" xfId="3230" xr:uid="{00000000-0005-0000-0000-00000D130000}"/>
    <cellStyle name="Data 2 4 3 10 2" xfId="3231" xr:uid="{00000000-0005-0000-0000-00000E130000}"/>
    <cellStyle name="Data 2 4 3 10 2 2" xfId="3232" xr:uid="{00000000-0005-0000-0000-00000F130000}"/>
    <cellStyle name="Data 2 4 3 10 3" xfId="3233" xr:uid="{00000000-0005-0000-0000-000010130000}"/>
    <cellStyle name="Data 2 4 3 10 3 2" xfId="3234" xr:uid="{00000000-0005-0000-0000-000011130000}"/>
    <cellStyle name="Data 2 4 3 10 4" xfId="3235" xr:uid="{00000000-0005-0000-0000-000012130000}"/>
    <cellStyle name="Data 2 4 3 10 4 2" xfId="3236" xr:uid="{00000000-0005-0000-0000-000013130000}"/>
    <cellStyle name="Data 2 4 3 10 5" xfId="3237" xr:uid="{00000000-0005-0000-0000-000014130000}"/>
    <cellStyle name="Data 2 4 3 10 5 2" xfId="3238" xr:uid="{00000000-0005-0000-0000-000015130000}"/>
    <cellStyle name="Data 2 4 3 10 6" xfId="3239" xr:uid="{00000000-0005-0000-0000-000016130000}"/>
    <cellStyle name="Data 2 4 3 10 6 2" xfId="3240" xr:uid="{00000000-0005-0000-0000-000017130000}"/>
    <cellStyle name="Data 2 4 3 10 7" xfId="3241" xr:uid="{00000000-0005-0000-0000-000018130000}"/>
    <cellStyle name="Data 2 4 3 10 7 2" xfId="3242" xr:uid="{00000000-0005-0000-0000-000019130000}"/>
    <cellStyle name="Data 2 4 3 10 8" xfId="3243" xr:uid="{00000000-0005-0000-0000-00001A130000}"/>
    <cellStyle name="Data 2 4 3 10 8 2" xfId="3244" xr:uid="{00000000-0005-0000-0000-00001B130000}"/>
    <cellStyle name="Data 2 4 3 10 9" xfId="3245" xr:uid="{00000000-0005-0000-0000-00001C130000}"/>
    <cellStyle name="Data 2 4 3 10 9 2" xfId="3246" xr:uid="{00000000-0005-0000-0000-00001D130000}"/>
    <cellStyle name="Data 2 4 3 11" xfId="3247" xr:uid="{00000000-0005-0000-0000-00001E130000}"/>
    <cellStyle name="Data 2 4 3 11 2" xfId="3248" xr:uid="{00000000-0005-0000-0000-00001F130000}"/>
    <cellStyle name="Data 2 4 3 11 2 2" xfId="3249" xr:uid="{00000000-0005-0000-0000-000020130000}"/>
    <cellStyle name="Data 2 4 3 11 3" xfId="3250" xr:uid="{00000000-0005-0000-0000-000021130000}"/>
    <cellStyle name="Data 2 4 3 11 3 2" xfId="3251" xr:uid="{00000000-0005-0000-0000-000022130000}"/>
    <cellStyle name="Data 2 4 3 11 4" xfId="3252" xr:uid="{00000000-0005-0000-0000-000023130000}"/>
    <cellStyle name="Data 2 4 3 11 4 2" xfId="3253" xr:uid="{00000000-0005-0000-0000-000024130000}"/>
    <cellStyle name="Data 2 4 3 11 5" xfId="3254" xr:uid="{00000000-0005-0000-0000-000025130000}"/>
    <cellStyle name="Data 2 4 3 11 5 2" xfId="3255" xr:uid="{00000000-0005-0000-0000-000026130000}"/>
    <cellStyle name="Data 2 4 3 11 6" xfId="3256" xr:uid="{00000000-0005-0000-0000-000027130000}"/>
    <cellStyle name="Data 2 4 3 11 6 2" xfId="3257" xr:uid="{00000000-0005-0000-0000-000028130000}"/>
    <cellStyle name="Data 2 4 3 11 7" xfId="3258" xr:uid="{00000000-0005-0000-0000-000029130000}"/>
    <cellStyle name="Data 2 4 3 11 7 2" xfId="3259" xr:uid="{00000000-0005-0000-0000-00002A130000}"/>
    <cellStyle name="Data 2 4 3 11 8" xfId="3260" xr:uid="{00000000-0005-0000-0000-00002B130000}"/>
    <cellStyle name="Data 2 4 3 11 8 2" xfId="3261" xr:uid="{00000000-0005-0000-0000-00002C130000}"/>
    <cellStyle name="Data 2 4 3 11 9" xfId="3262" xr:uid="{00000000-0005-0000-0000-00002D130000}"/>
    <cellStyle name="Data 2 4 3 2" xfId="3263" xr:uid="{00000000-0005-0000-0000-00002E130000}"/>
    <cellStyle name="Data 2 4 3 2 10" xfId="3264" xr:uid="{00000000-0005-0000-0000-00002F130000}"/>
    <cellStyle name="Data 2 4 3 2 2" xfId="3265" xr:uid="{00000000-0005-0000-0000-000030130000}"/>
    <cellStyle name="Data 2 4 3 2 2 2" xfId="3266" xr:uid="{00000000-0005-0000-0000-000031130000}"/>
    <cellStyle name="Data 2 4 3 2 3" xfId="3267" xr:uid="{00000000-0005-0000-0000-000032130000}"/>
    <cellStyle name="Data 2 4 3 2 3 2" xfId="3268" xr:uid="{00000000-0005-0000-0000-000033130000}"/>
    <cellStyle name="Data 2 4 3 2 4" xfId="3269" xr:uid="{00000000-0005-0000-0000-000034130000}"/>
    <cellStyle name="Data 2 4 3 2 4 2" xfId="3270" xr:uid="{00000000-0005-0000-0000-000035130000}"/>
    <cellStyle name="Data 2 4 3 2 5" xfId="3271" xr:uid="{00000000-0005-0000-0000-000036130000}"/>
    <cellStyle name="Data 2 4 3 2 5 2" xfId="3272" xr:uid="{00000000-0005-0000-0000-000037130000}"/>
    <cellStyle name="Data 2 4 3 2 6" xfId="3273" xr:uid="{00000000-0005-0000-0000-000038130000}"/>
    <cellStyle name="Data 2 4 3 2 6 2" xfId="3274" xr:uid="{00000000-0005-0000-0000-000039130000}"/>
    <cellStyle name="Data 2 4 3 2 7" xfId="3275" xr:uid="{00000000-0005-0000-0000-00003A130000}"/>
    <cellStyle name="Data 2 4 3 2 7 2" xfId="3276" xr:uid="{00000000-0005-0000-0000-00003B130000}"/>
    <cellStyle name="Data 2 4 3 2 8" xfId="3277" xr:uid="{00000000-0005-0000-0000-00003C130000}"/>
    <cellStyle name="Data 2 4 3 2 8 2" xfId="3278" xr:uid="{00000000-0005-0000-0000-00003D130000}"/>
    <cellStyle name="Data 2 4 3 2 9" xfId="3279" xr:uid="{00000000-0005-0000-0000-00003E130000}"/>
    <cellStyle name="Data 2 4 3 2 9 2" xfId="3280" xr:uid="{00000000-0005-0000-0000-00003F130000}"/>
    <cellStyle name="Data 2 4 3 3" xfId="3281" xr:uid="{00000000-0005-0000-0000-000040130000}"/>
    <cellStyle name="Data 2 4 3 3 10" xfId="3282" xr:uid="{00000000-0005-0000-0000-000041130000}"/>
    <cellStyle name="Data 2 4 3 3 2" xfId="3283" xr:uid="{00000000-0005-0000-0000-000042130000}"/>
    <cellStyle name="Data 2 4 3 3 2 2" xfId="3284" xr:uid="{00000000-0005-0000-0000-000043130000}"/>
    <cellStyle name="Data 2 4 3 3 3" xfId="3285" xr:uid="{00000000-0005-0000-0000-000044130000}"/>
    <cellStyle name="Data 2 4 3 3 3 2" xfId="3286" xr:uid="{00000000-0005-0000-0000-000045130000}"/>
    <cellStyle name="Data 2 4 3 3 4" xfId="3287" xr:uid="{00000000-0005-0000-0000-000046130000}"/>
    <cellStyle name="Data 2 4 3 3 4 2" xfId="3288" xr:uid="{00000000-0005-0000-0000-000047130000}"/>
    <cellStyle name="Data 2 4 3 3 5" xfId="3289" xr:uid="{00000000-0005-0000-0000-000048130000}"/>
    <cellStyle name="Data 2 4 3 3 5 2" xfId="3290" xr:uid="{00000000-0005-0000-0000-000049130000}"/>
    <cellStyle name="Data 2 4 3 3 6" xfId="3291" xr:uid="{00000000-0005-0000-0000-00004A130000}"/>
    <cellStyle name="Data 2 4 3 3 6 2" xfId="3292" xr:uid="{00000000-0005-0000-0000-00004B130000}"/>
    <cellStyle name="Data 2 4 3 3 7" xfId="3293" xr:uid="{00000000-0005-0000-0000-00004C130000}"/>
    <cellStyle name="Data 2 4 3 3 7 2" xfId="3294" xr:uid="{00000000-0005-0000-0000-00004D130000}"/>
    <cellStyle name="Data 2 4 3 3 8" xfId="3295" xr:uid="{00000000-0005-0000-0000-00004E130000}"/>
    <cellStyle name="Data 2 4 3 3 8 2" xfId="3296" xr:uid="{00000000-0005-0000-0000-00004F130000}"/>
    <cellStyle name="Data 2 4 3 3 9" xfId="3297" xr:uid="{00000000-0005-0000-0000-000050130000}"/>
    <cellStyle name="Data 2 4 3 3 9 2" xfId="3298" xr:uid="{00000000-0005-0000-0000-000051130000}"/>
    <cellStyle name="Data 2 4 3 4" xfId="3299" xr:uid="{00000000-0005-0000-0000-000052130000}"/>
    <cellStyle name="Data 2 4 3 4 10" xfId="3300" xr:uid="{00000000-0005-0000-0000-000053130000}"/>
    <cellStyle name="Data 2 4 3 4 2" xfId="3301" xr:uid="{00000000-0005-0000-0000-000054130000}"/>
    <cellStyle name="Data 2 4 3 4 2 2" xfId="3302" xr:uid="{00000000-0005-0000-0000-000055130000}"/>
    <cellStyle name="Data 2 4 3 4 3" xfId="3303" xr:uid="{00000000-0005-0000-0000-000056130000}"/>
    <cellStyle name="Data 2 4 3 4 3 2" xfId="3304" xr:uid="{00000000-0005-0000-0000-000057130000}"/>
    <cellStyle name="Data 2 4 3 4 4" xfId="3305" xr:uid="{00000000-0005-0000-0000-000058130000}"/>
    <cellStyle name="Data 2 4 3 4 4 2" xfId="3306" xr:uid="{00000000-0005-0000-0000-000059130000}"/>
    <cellStyle name="Data 2 4 3 4 5" xfId="3307" xr:uid="{00000000-0005-0000-0000-00005A130000}"/>
    <cellStyle name="Data 2 4 3 4 5 2" xfId="3308" xr:uid="{00000000-0005-0000-0000-00005B130000}"/>
    <cellStyle name="Data 2 4 3 4 6" xfId="3309" xr:uid="{00000000-0005-0000-0000-00005C130000}"/>
    <cellStyle name="Data 2 4 3 4 6 2" xfId="3310" xr:uid="{00000000-0005-0000-0000-00005D130000}"/>
    <cellStyle name="Data 2 4 3 4 7" xfId="3311" xr:uid="{00000000-0005-0000-0000-00005E130000}"/>
    <cellStyle name="Data 2 4 3 4 7 2" xfId="3312" xr:uid="{00000000-0005-0000-0000-00005F130000}"/>
    <cellStyle name="Data 2 4 3 4 8" xfId="3313" xr:uid="{00000000-0005-0000-0000-000060130000}"/>
    <cellStyle name="Data 2 4 3 4 8 2" xfId="3314" xr:uid="{00000000-0005-0000-0000-000061130000}"/>
    <cellStyle name="Data 2 4 3 4 9" xfId="3315" xr:uid="{00000000-0005-0000-0000-000062130000}"/>
    <cellStyle name="Data 2 4 3 4 9 2" xfId="3316" xr:uid="{00000000-0005-0000-0000-000063130000}"/>
    <cellStyle name="Data 2 4 3 5" xfId="3317" xr:uid="{00000000-0005-0000-0000-000064130000}"/>
    <cellStyle name="Data 2 4 3 5 10" xfId="3318" xr:uid="{00000000-0005-0000-0000-000065130000}"/>
    <cellStyle name="Data 2 4 3 5 2" xfId="3319" xr:uid="{00000000-0005-0000-0000-000066130000}"/>
    <cellStyle name="Data 2 4 3 5 2 2" xfId="3320" xr:uid="{00000000-0005-0000-0000-000067130000}"/>
    <cellStyle name="Data 2 4 3 5 3" xfId="3321" xr:uid="{00000000-0005-0000-0000-000068130000}"/>
    <cellStyle name="Data 2 4 3 5 3 2" xfId="3322" xr:uid="{00000000-0005-0000-0000-000069130000}"/>
    <cellStyle name="Data 2 4 3 5 4" xfId="3323" xr:uid="{00000000-0005-0000-0000-00006A130000}"/>
    <cellStyle name="Data 2 4 3 5 4 2" xfId="3324" xr:uid="{00000000-0005-0000-0000-00006B130000}"/>
    <cellStyle name="Data 2 4 3 5 5" xfId="3325" xr:uid="{00000000-0005-0000-0000-00006C130000}"/>
    <cellStyle name="Data 2 4 3 5 5 2" xfId="3326" xr:uid="{00000000-0005-0000-0000-00006D130000}"/>
    <cellStyle name="Data 2 4 3 5 6" xfId="3327" xr:uid="{00000000-0005-0000-0000-00006E130000}"/>
    <cellStyle name="Data 2 4 3 5 6 2" xfId="3328" xr:uid="{00000000-0005-0000-0000-00006F130000}"/>
    <cellStyle name="Data 2 4 3 5 7" xfId="3329" xr:uid="{00000000-0005-0000-0000-000070130000}"/>
    <cellStyle name="Data 2 4 3 5 7 2" xfId="3330" xr:uid="{00000000-0005-0000-0000-000071130000}"/>
    <cellStyle name="Data 2 4 3 5 8" xfId="3331" xr:uid="{00000000-0005-0000-0000-000072130000}"/>
    <cellStyle name="Data 2 4 3 5 8 2" xfId="3332" xr:uid="{00000000-0005-0000-0000-000073130000}"/>
    <cellStyle name="Data 2 4 3 5 9" xfId="3333" xr:uid="{00000000-0005-0000-0000-000074130000}"/>
    <cellStyle name="Data 2 4 3 5 9 2" xfId="3334" xr:uid="{00000000-0005-0000-0000-000075130000}"/>
    <cellStyle name="Data 2 4 3 6" xfId="3335" xr:uid="{00000000-0005-0000-0000-000076130000}"/>
    <cellStyle name="Data 2 4 3 6 10" xfId="3336" xr:uid="{00000000-0005-0000-0000-000077130000}"/>
    <cellStyle name="Data 2 4 3 6 2" xfId="3337" xr:uid="{00000000-0005-0000-0000-000078130000}"/>
    <cellStyle name="Data 2 4 3 6 2 2" xfId="3338" xr:uid="{00000000-0005-0000-0000-000079130000}"/>
    <cellStyle name="Data 2 4 3 6 3" xfId="3339" xr:uid="{00000000-0005-0000-0000-00007A130000}"/>
    <cellStyle name="Data 2 4 3 6 3 2" xfId="3340" xr:uid="{00000000-0005-0000-0000-00007B130000}"/>
    <cellStyle name="Data 2 4 3 6 4" xfId="3341" xr:uid="{00000000-0005-0000-0000-00007C130000}"/>
    <cellStyle name="Data 2 4 3 6 4 2" xfId="3342" xr:uid="{00000000-0005-0000-0000-00007D130000}"/>
    <cellStyle name="Data 2 4 3 6 5" xfId="3343" xr:uid="{00000000-0005-0000-0000-00007E130000}"/>
    <cellStyle name="Data 2 4 3 6 5 2" xfId="3344" xr:uid="{00000000-0005-0000-0000-00007F130000}"/>
    <cellStyle name="Data 2 4 3 6 6" xfId="3345" xr:uid="{00000000-0005-0000-0000-000080130000}"/>
    <cellStyle name="Data 2 4 3 6 6 2" xfId="3346" xr:uid="{00000000-0005-0000-0000-000081130000}"/>
    <cellStyle name="Data 2 4 3 6 7" xfId="3347" xr:uid="{00000000-0005-0000-0000-000082130000}"/>
    <cellStyle name="Data 2 4 3 6 7 2" xfId="3348" xr:uid="{00000000-0005-0000-0000-000083130000}"/>
    <cellStyle name="Data 2 4 3 6 8" xfId="3349" xr:uid="{00000000-0005-0000-0000-000084130000}"/>
    <cellStyle name="Data 2 4 3 6 8 2" xfId="3350" xr:uid="{00000000-0005-0000-0000-000085130000}"/>
    <cellStyle name="Data 2 4 3 6 9" xfId="3351" xr:uid="{00000000-0005-0000-0000-000086130000}"/>
    <cellStyle name="Data 2 4 3 6 9 2" xfId="3352" xr:uid="{00000000-0005-0000-0000-000087130000}"/>
    <cellStyle name="Data 2 4 3 7" xfId="3353" xr:uid="{00000000-0005-0000-0000-000088130000}"/>
    <cellStyle name="Data 2 4 3 7 10" xfId="3354" xr:uid="{00000000-0005-0000-0000-000089130000}"/>
    <cellStyle name="Data 2 4 3 7 2" xfId="3355" xr:uid="{00000000-0005-0000-0000-00008A130000}"/>
    <cellStyle name="Data 2 4 3 7 2 2" xfId="3356" xr:uid="{00000000-0005-0000-0000-00008B130000}"/>
    <cellStyle name="Data 2 4 3 7 3" xfId="3357" xr:uid="{00000000-0005-0000-0000-00008C130000}"/>
    <cellStyle name="Data 2 4 3 7 3 2" xfId="3358" xr:uid="{00000000-0005-0000-0000-00008D130000}"/>
    <cellStyle name="Data 2 4 3 7 4" xfId="3359" xr:uid="{00000000-0005-0000-0000-00008E130000}"/>
    <cellStyle name="Data 2 4 3 7 4 2" xfId="3360" xr:uid="{00000000-0005-0000-0000-00008F130000}"/>
    <cellStyle name="Data 2 4 3 7 5" xfId="3361" xr:uid="{00000000-0005-0000-0000-000090130000}"/>
    <cellStyle name="Data 2 4 3 7 5 2" xfId="3362" xr:uid="{00000000-0005-0000-0000-000091130000}"/>
    <cellStyle name="Data 2 4 3 7 6" xfId="3363" xr:uid="{00000000-0005-0000-0000-000092130000}"/>
    <cellStyle name="Data 2 4 3 7 6 2" xfId="3364" xr:uid="{00000000-0005-0000-0000-000093130000}"/>
    <cellStyle name="Data 2 4 3 7 7" xfId="3365" xr:uid="{00000000-0005-0000-0000-000094130000}"/>
    <cellStyle name="Data 2 4 3 7 7 2" xfId="3366" xr:uid="{00000000-0005-0000-0000-000095130000}"/>
    <cellStyle name="Data 2 4 3 7 8" xfId="3367" xr:uid="{00000000-0005-0000-0000-000096130000}"/>
    <cellStyle name="Data 2 4 3 7 8 2" xfId="3368" xr:uid="{00000000-0005-0000-0000-000097130000}"/>
    <cellStyle name="Data 2 4 3 7 9" xfId="3369" xr:uid="{00000000-0005-0000-0000-000098130000}"/>
    <cellStyle name="Data 2 4 3 7 9 2" xfId="3370" xr:uid="{00000000-0005-0000-0000-000099130000}"/>
    <cellStyle name="Data 2 4 3 8" xfId="3371" xr:uid="{00000000-0005-0000-0000-00009A130000}"/>
    <cellStyle name="Data 2 4 3 8 10" xfId="3372" xr:uid="{00000000-0005-0000-0000-00009B130000}"/>
    <cellStyle name="Data 2 4 3 8 2" xfId="3373" xr:uid="{00000000-0005-0000-0000-00009C130000}"/>
    <cellStyle name="Data 2 4 3 8 2 2" xfId="3374" xr:uid="{00000000-0005-0000-0000-00009D130000}"/>
    <cellStyle name="Data 2 4 3 8 3" xfId="3375" xr:uid="{00000000-0005-0000-0000-00009E130000}"/>
    <cellStyle name="Data 2 4 3 8 3 2" xfId="3376" xr:uid="{00000000-0005-0000-0000-00009F130000}"/>
    <cellStyle name="Data 2 4 3 8 4" xfId="3377" xr:uid="{00000000-0005-0000-0000-0000A0130000}"/>
    <cellStyle name="Data 2 4 3 8 4 2" xfId="3378" xr:uid="{00000000-0005-0000-0000-0000A1130000}"/>
    <cellStyle name="Data 2 4 3 8 5" xfId="3379" xr:uid="{00000000-0005-0000-0000-0000A2130000}"/>
    <cellStyle name="Data 2 4 3 8 5 2" xfId="3380" xr:uid="{00000000-0005-0000-0000-0000A3130000}"/>
    <cellStyle name="Data 2 4 3 8 6" xfId="3381" xr:uid="{00000000-0005-0000-0000-0000A4130000}"/>
    <cellStyle name="Data 2 4 3 8 6 2" xfId="3382" xr:uid="{00000000-0005-0000-0000-0000A5130000}"/>
    <cellStyle name="Data 2 4 3 8 7" xfId="3383" xr:uid="{00000000-0005-0000-0000-0000A6130000}"/>
    <cellStyle name="Data 2 4 3 8 7 2" xfId="3384" xr:uid="{00000000-0005-0000-0000-0000A7130000}"/>
    <cellStyle name="Data 2 4 3 8 8" xfId="3385" xr:uid="{00000000-0005-0000-0000-0000A8130000}"/>
    <cellStyle name="Data 2 4 3 8 8 2" xfId="3386" xr:uid="{00000000-0005-0000-0000-0000A9130000}"/>
    <cellStyle name="Data 2 4 3 8 9" xfId="3387" xr:uid="{00000000-0005-0000-0000-0000AA130000}"/>
    <cellStyle name="Data 2 4 3 8 9 2" xfId="3388" xr:uid="{00000000-0005-0000-0000-0000AB130000}"/>
    <cellStyle name="Data 2 4 3 9" xfId="3389" xr:uid="{00000000-0005-0000-0000-0000AC130000}"/>
    <cellStyle name="Data 2 4 3 9 10" xfId="3390" xr:uid="{00000000-0005-0000-0000-0000AD130000}"/>
    <cellStyle name="Data 2 4 3 9 2" xfId="3391" xr:uid="{00000000-0005-0000-0000-0000AE130000}"/>
    <cellStyle name="Data 2 4 3 9 2 2" xfId="3392" xr:uid="{00000000-0005-0000-0000-0000AF130000}"/>
    <cellStyle name="Data 2 4 3 9 3" xfId="3393" xr:uid="{00000000-0005-0000-0000-0000B0130000}"/>
    <cellStyle name="Data 2 4 3 9 3 2" xfId="3394" xr:uid="{00000000-0005-0000-0000-0000B1130000}"/>
    <cellStyle name="Data 2 4 3 9 4" xfId="3395" xr:uid="{00000000-0005-0000-0000-0000B2130000}"/>
    <cellStyle name="Data 2 4 3 9 4 2" xfId="3396" xr:uid="{00000000-0005-0000-0000-0000B3130000}"/>
    <cellStyle name="Data 2 4 3 9 5" xfId="3397" xr:uid="{00000000-0005-0000-0000-0000B4130000}"/>
    <cellStyle name="Data 2 4 3 9 5 2" xfId="3398" xr:uid="{00000000-0005-0000-0000-0000B5130000}"/>
    <cellStyle name="Data 2 4 3 9 6" xfId="3399" xr:uid="{00000000-0005-0000-0000-0000B6130000}"/>
    <cellStyle name="Data 2 4 3 9 6 2" xfId="3400" xr:uid="{00000000-0005-0000-0000-0000B7130000}"/>
    <cellStyle name="Data 2 4 3 9 7" xfId="3401" xr:uid="{00000000-0005-0000-0000-0000B8130000}"/>
    <cellStyle name="Data 2 4 3 9 7 2" xfId="3402" xr:uid="{00000000-0005-0000-0000-0000B9130000}"/>
    <cellStyle name="Data 2 4 3 9 8" xfId="3403" xr:uid="{00000000-0005-0000-0000-0000BA130000}"/>
    <cellStyle name="Data 2 4 3 9 8 2" xfId="3404" xr:uid="{00000000-0005-0000-0000-0000BB130000}"/>
    <cellStyle name="Data 2 4 3 9 9" xfId="3405" xr:uid="{00000000-0005-0000-0000-0000BC130000}"/>
    <cellStyle name="Data 2 4 3 9 9 2" xfId="3406" xr:uid="{00000000-0005-0000-0000-0000BD130000}"/>
    <cellStyle name="Data 2 4 4" xfId="3407" xr:uid="{00000000-0005-0000-0000-0000BE130000}"/>
    <cellStyle name="Data 2 4 4 10" xfId="3408" xr:uid="{00000000-0005-0000-0000-0000BF130000}"/>
    <cellStyle name="Data 2 4 4 10 2" xfId="3409" xr:uid="{00000000-0005-0000-0000-0000C0130000}"/>
    <cellStyle name="Data 2 4 4 10 2 2" xfId="3410" xr:uid="{00000000-0005-0000-0000-0000C1130000}"/>
    <cellStyle name="Data 2 4 4 10 3" xfId="3411" xr:uid="{00000000-0005-0000-0000-0000C2130000}"/>
    <cellStyle name="Data 2 4 4 10 3 2" xfId="3412" xr:uid="{00000000-0005-0000-0000-0000C3130000}"/>
    <cellStyle name="Data 2 4 4 10 4" xfId="3413" xr:uid="{00000000-0005-0000-0000-0000C4130000}"/>
    <cellStyle name="Data 2 4 4 10 4 2" xfId="3414" xr:uid="{00000000-0005-0000-0000-0000C5130000}"/>
    <cellStyle name="Data 2 4 4 10 5" xfId="3415" xr:uid="{00000000-0005-0000-0000-0000C6130000}"/>
    <cellStyle name="Data 2 4 4 10 5 2" xfId="3416" xr:uid="{00000000-0005-0000-0000-0000C7130000}"/>
    <cellStyle name="Data 2 4 4 10 6" xfId="3417" xr:uid="{00000000-0005-0000-0000-0000C8130000}"/>
    <cellStyle name="Data 2 4 4 10 6 2" xfId="3418" xr:uid="{00000000-0005-0000-0000-0000C9130000}"/>
    <cellStyle name="Data 2 4 4 10 7" xfId="3419" xr:uid="{00000000-0005-0000-0000-0000CA130000}"/>
    <cellStyle name="Data 2 4 4 10 7 2" xfId="3420" xr:uid="{00000000-0005-0000-0000-0000CB130000}"/>
    <cellStyle name="Data 2 4 4 10 8" xfId="3421" xr:uid="{00000000-0005-0000-0000-0000CC130000}"/>
    <cellStyle name="Data 2 4 4 10 8 2" xfId="3422" xr:uid="{00000000-0005-0000-0000-0000CD130000}"/>
    <cellStyle name="Data 2 4 4 10 9" xfId="3423" xr:uid="{00000000-0005-0000-0000-0000CE130000}"/>
    <cellStyle name="Data 2 4 4 11" xfId="3424" xr:uid="{00000000-0005-0000-0000-0000CF130000}"/>
    <cellStyle name="Data 2 4 4 11 2" xfId="3425" xr:uid="{00000000-0005-0000-0000-0000D0130000}"/>
    <cellStyle name="Data 2 4 4 12" xfId="3426" xr:uid="{00000000-0005-0000-0000-0000D1130000}"/>
    <cellStyle name="Data 2 4 4 12 2" xfId="3427" xr:uid="{00000000-0005-0000-0000-0000D2130000}"/>
    <cellStyle name="Data 2 4 4 13" xfId="3428" xr:uid="{00000000-0005-0000-0000-0000D3130000}"/>
    <cellStyle name="Data 2 4 4 13 2" xfId="3429" xr:uid="{00000000-0005-0000-0000-0000D4130000}"/>
    <cellStyle name="Data 2 4 4 14" xfId="3430" xr:uid="{00000000-0005-0000-0000-0000D5130000}"/>
    <cellStyle name="Data 2 4 4 14 2" xfId="3431" xr:uid="{00000000-0005-0000-0000-0000D6130000}"/>
    <cellStyle name="Data 2 4 4 15" xfId="3432" xr:uid="{00000000-0005-0000-0000-0000D7130000}"/>
    <cellStyle name="Data 2 4 4 15 2" xfId="3433" xr:uid="{00000000-0005-0000-0000-0000D8130000}"/>
    <cellStyle name="Data 2 4 4 16" xfId="3434" xr:uid="{00000000-0005-0000-0000-0000D9130000}"/>
    <cellStyle name="Data 2 4 4 16 2" xfId="3435" xr:uid="{00000000-0005-0000-0000-0000DA130000}"/>
    <cellStyle name="Data 2 4 4 17" xfId="3436" xr:uid="{00000000-0005-0000-0000-0000DB130000}"/>
    <cellStyle name="Data 2 4 4 17 2" xfId="3437" xr:uid="{00000000-0005-0000-0000-0000DC130000}"/>
    <cellStyle name="Data 2 4 4 18" xfId="3438" xr:uid="{00000000-0005-0000-0000-0000DD130000}"/>
    <cellStyle name="Data 2 4 4 2" xfId="3439" xr:uid="{00000000-0005-0000-0000-0000DE130000}"/>
    <cellStyle name="Data 2 4 4 2 10" xfId="3440" xr:uid="{00000000-0005-0000-0000-0000DF130000}"/>
    <cellStyle name="Data 2 4 4 2 2" xfId="3441" xr:uid="{00000000-0005-0000-0000-0000E0130000}"/>
    <cellStyle name="Data 2 4 4 2 2 2" xfId="3442" xr:uid="{00000000-0005-0000-0000-0000E1130000}"/>
    <cellStyle name="Data 2 4 4 2 3" xfId="3443" xr:uid="{00000000-0005-0000-0000-0000E2130000}"/>
    <cellStyle name="Data 2 4 4 2 3 2" xfId="3444" xr:uid="{00000000-0005-0000-0000-0000E3130000}"/>
    <cellStyle name="Data 2 4 4 2 4" xfId="3445" xr:uid="{00000000-0005-0000-0000-0000E4130000}"/>
    <cellStyle name="Data 2 4 4 2 4 2" xfId="3446" xr:uid="{00000000-0005-0000-0000-0000E5130000}"/>
    <cellStyle name="Data 2 4 4 2 5" xfId="3447" xr:uid="{00000000-0005-0000-0000-0000E6130000}"/>
    <cellStyle name="Data 2 4 4 2 5 2" xfId="3448" xr:uid="{00000000-0005-0000-0000-0000E7130000}"/>
    <cellStyle name="Data 2 4 4 2 6" xfId="3449" xr:uid="{00000000-0005-0000-0000-0000E8130000}"/>
    <cellStyle name="Data 2 4 4 2 6 2" xfId="3450" xr:uid="{00000000-0005-0000-0000-0000E9130000}"/>
    <cellStyle name="Data 2 4 4 2 7" xfId="3451" xr:uid="{00000000-0005-0000-0000-0000EA130000}"/>
    <cellStyle name="Data 2 4 4 2 7 2" xfId="3452" xr:uid="{00000000-0005-0000-0000-0000EB130000}"/>
    <cellStyle name="Data 2 4 4 2 8" xfId="3453" xr:uid="{00000000-0005-0000-0000-0000EC130000}"/>
    <cellStyle name="Data 2 4 4 2 8 2" xfId="3454" xr:uid="{00000000-0005-0000-0000-0000ED130000}"/>
    <cellStyle name="Data 2 4 4 2 9" xfId="3455" xr:uid="{00000000-0005-0000-0000-0000EE130000}"/>
    <cellStyle name="Data 2 4 4 2 9 2" xfId="3456" xr:uid="{00000000-0005-0000-0000-0000EF130000}"/>
    <cellStyle name="Data 2 4 4 3" xfId="3457" xr:uid="{00000000-0005-0000-0000-0000F0130000}"/>
    <cellStyle name="Data 2 4 4 3 10" xfId="3458" xr:uid="{00000000-0005-0000-0000-0000F1130000}"/>
    <cellStyle name="Data 2 4 4 3 2" xfId="3459" xr:uid="{00000000-0005-0000-0000-0000F2130000}"/>
    <cellStyle name="Data 2 4 4 3 2 2" xfId="3460" xr:uid="{00000000-0005-0000-0000-0000F3130000}"/>
    <cellStyle name="Data 2 4 4 3 3" xfId="3461" xr:uid="{00000000-0005-0000-0000-0000F4130000}"/>
    <cellStyle name="Data 2 4 4 3 3 2" xfId="3462" xr:uid="{00000000-0005-0000-0000-0000F5130000}"/>
    <cellStyle name="Data 2 4 4 3 4" xfId="3463" xr:uid="{00000000-0005-0000-0000-0000F6130000}"/>
    <cellStyle name="Data 2 4 4 3 4 2" xfId="3464" xr:uid="{00000000-0005-0000-0000-0000F7130000}"/>
    <cellStyle name="Data 2 4 4 3 5" xfId="3465" xr:uid="{00000000-0005-0000-0000-0000F8130000}"/>
    <cellStyle name="Data 2 4 4 3 5 2" xfId="3466" xr:uid="{00000000-0005-0000-0000-0000F9130000}"/>
    <cellStyle name="Data 2 4 4 3 6" xfId="3467" xr:uid="{00000000-0005-0000-0000-0000FA130000}"/>
    <cellStyle name="Data 2 4 4 3 6 2" xfId="3468" xr:uid="{00000000-0005-0000-0000-0000FB130000}"/>
    <cellStyle name="Data 2 4 4 3 7" xfId="3469" xr:uid="{00000000-0005-0000-0000-0000FC130000}"/>
    <cellStyle name="Data 2 4 4 3 7 2" xfId="3470" xr:uid="{00000000-0005-0000-0000-0000FD130000}"/>
    <cellStyle name="Data 2 4 4 3 8" xfId="3471" xr:uid="{00000000-0005-0000-0000-0000FE130000}"/>
    <cellStyle name="Data 2 4 4 3 8 2" xfId="3472" xr:uid="{00000000-0005-0000-0000-0000FF130000}"/>
    <cellStyle name="Data 2 4 4 3 9" xfId="3473" xr:uid="{00000000-0005-0000-0000-000000140000}"/>
    <cellStyle name="Data 2 4 4 3 9 2" xfId="3474" xr:uid="{00000000-0005-0000-0000-000001140000}"/>
    <cellStyle name="Data 2 4 4 4" xfId="3475" xr:uid="{00000000-0005-0000-0000-000002140000}"/>
    <cellStyle name="Data 2 4 4 4 10" xfId="3476" xr:uid="{00000000-0005-0000-0000-000003140000}"/>
    <cellStyle name="Data 2 4 4 4 2" xfId="3477" xr:uid="{00000000-0005-0000-0000-000004140000}"/>
    <cellStyle name="Data 2 4 4 4 2 2" xfId="3478" xr:uid="{00000000-0005-0000-0000-000005140000}"/>
    <cellStyle name="Data 2 4 4 4 3" xfId="3479" xr:uid="{00000000-0005-0000-0000-000006140000}"/>
    <cellStyle name="Data 2 4 4 4 3 2" xfId="3480" xr:uid="{00000000-0005-0000-0000-000007140000}"/>
    <cellStyle name="Data 2 4 4 4 4" xfId="3481" xr:uid="{00000000-0005-0000-0000-000008140000}"/>
    <cellStyle name="Data 2 4 4 4 4 2" xfId="3482" xr:uid="{00000000-0005-0000-0000-000009140000}"/>
    <cellStyle name="Data 2 4 4 4 5" xfId="3483" xr:uid="{00000000-0005-0000-0000-00000A140000}"/>
    <cellStyle name="Data 2 4 4 4 5 2" xfId="3484" xr:uid="{00000000-0005-0000-0000-00000B140000}"/>
    <cellStyle name="Data 2 4 4 4 6" xfId="3485" xr:uid="{00000000-0005-0000-0000-00000C140000}"/>
    <cellStyle name="Data 2 4 4 4 6 2" xfId="3486" xr:uid="{00000000-0005-0000-0000-00000D140000}"/>
    <cellStyle name="Data 2 4 4 4 7" xfId="3487" xr:uid="{00000000-0005-0000-0000-00000E140000}"/>
    <cellStyle name="Data 2 4 4 4 7 2" xfId="3488" xr:uid="{00000000-0005-0000-0000-00000F140000}"/>
    <cellStyle name="Data 2 4 4 4 8" xfId="3489" xr:uid="{00000000-0005-0000-0000-000010140000}"/>
    <cellStyle name="Data 2 4 4 4 8 2" xfId="3490" xr:uid="{00000000-0005-0000-0000-000011140000}"/>
    <cellStyle name="Data 2 4 4 4 9" xfId="3491" xr:uid="{00000000-0005-0000-0000-000012140000}"/>
    <cellStyle name="Data 2 4 4 4 9 2" xfId="3492" xr:uid="{00000000-0005-0000-0000-000013140000}"/>
    <cellStyle name="Data 2 4 4 5" xfId="3493" xr:uid="{00000000-0005-0000-0000-000014140000}"/>
    <cellStyle name="Data 2 4 4 5 10" xfId="3494" xr:uid="{00000000-0005-0000-0000-000015140000}"/>
    <cellStyle name="Data 2 4 4 5 2" xfId="3495" xr:uid="{00000000-0005-0000-0000-000016140000}"/>
    <cellStyle name="Data 2 4 4 5 2 2" xfId="3496" xr:uid="{00000000-0005-0000-0000-000017140000}"/>
    <cellStyle name="Data 2 4 4 5 3" xfId="3497" xr:uid="{00000000-0005-0000-0000-000018140000}"/>
    <cellStyle name="Data 2 4 4 5 3 2" xfId="3498" xr:uid="{00000000-0005-0000-0000-000019140000}"/>
    <cellStyle name="Data 2 4 4 5 4" xfId="3499" xr:uid="{00000000-0005-0000-0000-00001A140000}"/>
    <cellStyle name="Data 2 4 4 5 4 2" xfId="3500" xr:uid="{00000000-0005-0000-0000-00001B140000}"/>
    <cellStyle name="Data 2 4 4 5 5" xfId="3501" xr:uid="{00000000-0005-0000-0000-00001C140000}"/>
    <cellStyle name="Data 2 4 4 5 5 2" xfId="3502" xr:uid="{00000000-0005-0000-0000-00001D140000}"/>
    <cellStyle name="Data 2 4 4 5 6" xfId="3503" xr:uid="{00000000-0005-0000-0000-00001E140000}"/>
    <cellStyle name="Data 2 4 4 5 6 2" xfId="3504" xr:uid="{00000000-0005-0000-0000-00001F140000}"/>
    <cellStyle name="Data 2 4 4 5 7" xfId="3505" xr:uid="{00000000-0005-0000-0000-000020140000}"/>
    <cellStyle name="Data 2 4 4 5 7 2" xfId="3506" xr:uid="{00000000-0005-0000-0000-000021140000}"/>
    <cellStyle name="Data 2 4 4 5 8" xfId="3507" xr:uid="{00000000-0005-0000-0000-000022140000}"/>
    <cellStyle name="Data 2 4 4 5 8 2" xfId="3508" xr:uid="{00000000-0005-0000-0000-000023140000}"/>
    <cellStyle name="Data 2 4 4 5 9" xfId="3509" xr:uid="{00000000-0005-0000-0000-000024140000}"/>
    <cellStyle name="Data 2 4 4 5 9 2" xfId="3510" xr:uid="{00000000-0005-0000-0000-000025140000}"/>
    <cellStyle name="Data 2 4 4 6" xfId="3511" xr:uid="{00000000-0005-0000-0000-000026140000}"/>
    <cellStyle name="Data 2 4 4 6 10" xfId="3512" xr:uid="{00000000-0005-0000-0000-000027140000}"/>
    <cellStyle name="Data 2 4 4 6 2" xfId="3513" xr:uid="{00000000-0005-0000-0000-000028140000}"/>
    <cellStyle name="Data 2 4 4 6 2 2" xfId="3514" xr:uid="{00000000-0005-0000-0000-000029140000}"/>
    <cellStyle name="Data 2 4 4 6 3" xfId="3515" xr:uid="{00000000-0005-0000-0000-00002A140000}"/>
    <cellStyle name="Data 2 4 4 6 3 2" xfId="3516" xr:uid="{00000000-0005-0000-0000-00002B140000}"/>
    <cellStyle name="Data 2 4 4 6 4" xfId="3517" xr:uid="{00000000-0005-0000-0000-00002C140000}"/>
    <cellStyle name="Data 2 4 4 6 4 2" xfId="3518" xr:uid="{00000000-0005-0000-0000-00002D140000}"/>
    <cellStyle name="Data 2 4 4 6 5" xfId="3519" xr:uid="{00000000-0005-0000-0000-00002E140000}"/>
    <cellStyle name="Data 2 4 4 6 5 2" xfId="3520" xr:uid="{00000000-0005-0000-0000-00002F140000}"/>
    <cellStyle name="Data 2 4 4 6 6" xfId="3521" xr:uid="{00000000-0005-0000-0000-000030140000}"/>
    <cellStyle name="Data 2 4 4 6 6 2" xfId="3522" xr:uid="{00000000-0005-0000-0000-000031140000}"/>
    <cellStyle name="Data 2 4 4 6 7" xfId="3523" xr:uid="{00000000-0005-0000-0000-000032140000}"/>
    <cellStyle name="Data 2 4 4 6 7 2" xfId="3524" xr:uid="{00000000-0005-0000-0000-000033140000}"/>
    <cellStyle name="Data 2 4 4 6 8" xfId="3525" xr:uid="{00000000-0005-0000-0000-000034140000}"/>
    <cellStyle name="Data 2 4 4 6 8 2" xfId="3526" xr:uid="{00000000-0005-0000-0000-000035140000}"/>
    <cellStyle name="Data 2 4 4 6 9" xfId="3527" xr:uid="{00000000-0005-0000-0000-000036140000}"/>
    <cellStyle name="Data 2 4 4 6 9 2" xfId="3528" xr:uid="{00000000-0005-0000-0000-000037140000}"/>
    <cellStyle name="Data 2 4 4 7" xfId="3529" xr:uid="{00000000-0005-0000-0000-000038140000}"/>
    <cellStyle name="Data 2 4 4 7 10" xfId="3530" xr:uid="{00000000-0005-0000-0000-000039140000}"/>
    <cellStyle name="Data 2 4 4 7 2" xfId="3531" xr:uid="{00000000-0005-0000-0000-00003A140000}"/>
    <cellStyle name="Data 2 4 4 7 2 2" xfId="3532" xr:uid="{00000000-0005-0000-0000-00003B140000}"/>
    <cellStyle name="Data 2 4 4 7 3" xfId="3533" xr:uid="{00000000-0005-0000-0000-00003C140000}"/>
    <cellStyle name="Data 2 4 4 7 3 2" xfId="3534" xr:uid="{00000000-0005-0000-0000-00003D140000}"/>
    <cellStyle name="Data 2 4 4 7 4" xfId="3535" xr:uid="{00000000-0005-0000-0000-00003E140000}"/>
    <cellStyle name="Data 2 4 4 7 4 2" xfId="3536" xr:uid="{00000000-0005-0000-0000-00003F140000}"/>
    <cellStyle name="Data 2 4 4 7 5" xfId="3537" xr:uid="{00000000-0005-0000-0000-000040140000}"/>
    <cellStyle name="Data 2 4 4 7 5 2" xfId="3538" xr:uid="{00000000-0005-0000-0000-000041140000}"/>
    <cellStyle name="Data 2 4 4 7 6" xfId="3539" xr:uid="{00000000-0005-0000-0000-000042140000}"/>
    <cellStyle name="Data 2 4 4 7 6 2" xfId="3540" xr:uid="{00000000-0005-0000-0000-000043140000}"/>
    <cellStyle name="Data 2 4 4 7 7" xfId="3541" xr:uid="{00000000-0005-0000-0000-000044140000}"/>
    <cellStyle name="Data 2 4 4 7 7 2" xfId="3542" xr:uid="{00000000-0005-0000-0000-000045140000}"/>
    <cellStyle name="Data 2 4 4 7 8" xfId="3543" xr:uid="{00000000-0005-0000-0000-000046140000}"/>
    <cellStyle name="Data 2 4 4 7 8 2" xfId="3544" xr:uid="{00000000-0005-0000-0000-000047140000}"/>
    <cellStyle name="Data 2 4 4 7 9" xfId="3545" xr:uid="{00000000-0005-0000-0000-000048140000}"/>
    <cellStyle name="Data 2 4 4 7 9 2" xfId="3546" xr:uid="{00000000-0005-0000-0000-000049140000}"/>
    <cellStyle name="Data 2 4 4 8" xfId="3547" xr:uid="{00000000-0005-0000-0000-00004A140000}"/>
    <cellStyle name="Data 2 4 4 8 10" xfId="3548" xr:uid="{00000000-0005-0000-0000-00004B140000}"/>
    <cellStyle name="Data 2 4 4 8 2" xfId="3549" xr:uid="{00000000-0005-0000-0000-00004C140000}"/>
    <cellStyle name="Data 2 4 4 8 2 2" xfId="3550" xr:uid="{00000000-0005-0000-0000-00004D140000}"/>
    <cellStyle name="Data 2 4 4 8 3" xfId="3551" xr:uid="{00000000-0005-0000-0000-00004E140000}"/>
    <cellStyle name="Data 2 4 4 8 3 2" xfId="3552" xr:uid="{00000000-0005-0000-0000-00004F140000}"/>
    <cellStyle name="Data 2 4 4 8 4" xfId="3553" xr:uid="{00000000-0005-0000-0000-000050140000}"/>
    <cellStyle name="Data 2 4 4 8 4 2" xfId="3554" xr:uid="{00000000-0005-0000-0000-000051140000}"/>
    <cellStyle name="Data 2 4 4 8 5" xfId="3555" xr:uid="{00000000-0005-0000-0000-000052140000}"/>
    <cellStyle name="Data 2 4 4 8 5 2" xfId="3556" xr:uid="{00000000-0005-0000-0000-000053140000}"/>
    <cellStyle name="Data 2 4 4 8 6" xfId="3557" xr:uid="{00000000-0005-0000-0000-000054140000}"/>
    <cellStyle name="Data 2 4 4 8 6 2" xfId="3558" xr:uid="{00000000-0005-0000-0000-000055140000}"/>
    <cellStyle name="Data 2 4 4 8 7" xfId="3559" xr:uid="{00000000-0005-0000-0000-000056140000}"/>
    <cellStyle name="Data 2 4 4 8 7 2" xfId="3560" xr:uid="{00000000-0005-0000-0000-000057140000}"/>
    <cellStyle name="Data 2 4 4 8 8" xfId="3561" xr:uid="{00000000-0005-0000-0000-000058140000}"/>
    <cellStyle name="Data 2 4 4 8 8 2" xfId="3562" xr:uid="{00000000-0005-0000-0000-000059140000}"/>
    <cellStyle name="Data 2 4 4 8 9" xfId="3563" xr:uid="{00000000-0005-0000-0000-00005A140000}"/>
    <cellStyle name="Data 2 4 4 8 9 2" xfId="3564" xr:uid="{00000000-0005-0000-0000-00005B140000}"/>
    <cellStyle name="Data 2 4 4 9" xfId="3565" xr:uid="{00000000-0005-0000-0000-00005C140000}"/>
    <cellStyle name="Data 2 4 4 9 10" xfId="3566" xr:uid="{00000000-0005-0000-0000-00005D140000}"/>
    <cellStyle name="Data 2 4 4 9 2" xfId="3567" xr:uid="{00000000-0005-0000-0000-00005E140000}"/>
    <cellStyle name="Data 2 4 4 9 2 2" xfId="3568" xr:uid="{00000000-0005-0000-0000-00005F140000}"/>
    <cellStyle name="Data 2 4 4 9 3" xfId="3569" xr:uid="{00000000-0005-0000-0000-000060140000}"/>
    <cellStyle name="Data 2 4 4 9 3 2" xfId="3570" xr:uid="{00000000-0005-0000-0000-000061140000}"/>
    <cellStyle name="Data 2 4 4 9 4" xfId="3571" xr:uid="{00000000-0005-0000-0000-000062140000}"/>
    <cellStyle name="Data 2 4 4 9 4 2" xfId="3572" xr:uid="{00000000-0005-0000-0000-000063140000}"/>
    <cellStyle name="Data 2 4 4 9 5" xfId="3573" xr:uid="{00000000-0005-0000-0000-000064140000}"/>
    <cellStyle name="Data 2 4 4 9 5 2" xfId="3574" xr:uid="{00000000-0005-0000-0000-000065140000}"/>
    <cellStyle name="Data 2 4 4 9 6" xfId="3575" xr:uid="{00000000-0005-0000-0000-000066140000}"/>
    <cellStyle name="Data 2 4 4 9 6 2" xfId="3576" xr:uid="{00000000-0005-0000-0000-000067140000}"/>
    <cellStyle name="Data 2 4 4 9 7" xfId="3577" xr:uid="{00000000-0005-0000-0000-000068140000}"/>
    <cellStyle name="Data 2 4 4 9 7 2" xfId="3578" xr:uid="{00000000-0005-0000-0000-000069140000}"/>
    <cellStyle name="Data 2 4 4 9 8" xfId="3579" xr:uid="{00000000-0005-0000-0000-00006A140000}"/>
    <cellStyle name="Data 2 4 4 9 8 2" xfId="3580" xr:uid="{00000000-0005-0000-0000-00006B140000}"/>
    <cellStyle name="Data 2 4 4 9 9" xfId="3581" xr:uid="{00000000-0005-0000-0000-00006C140000}"/>
    <cellStyle name="Data 2 4 4 9 9 2" xfId="3582" xr:uid="{00000000-0005-0000-0000-00006D140000}"/>
    <cellStyle name="Data 2 4 5" xfId="3583" xr:uid="{00000000-0005-0000-0000-00006E140000}"/>
    <cellStyle name="Data 2 4 5 10" xfId="3584" xr:uid="{00000000-0005-0000-0000-00006F140000}"/>
    <cellStyle name="Data 2 4 5 10 2" xfId="3585" xr:uid="{00000000-0005-0000-0000-000070140000}"/>
    <cellStyle name="Data 2 4 5 10 2 2" xfId="3586" xr:uid="{00000000-0005-0000-0000-000071140000}"/>
    <cellStyle name="Data 2 4 5 10 3" xfId="3587" xr:uid="{00000000-0005-0000-0000-000072140000}"/>
    <cellStyle name="Data 2 4 5 10 3 2" xfId="3588" xr:uid="{00000000-0005-0000-0000-000073140000}"/>
    <cellStyle name="Data 2 4 5 10 4" xfId="3589" xr:uid="{00000000-0005-0000-0000-000074140000}"/>
    <cellStyle name="Data 2 4 5 10 4 2" xfId="3590" xr:uid="{00000000-0005-0000-0000-000075140000}"/>
    <cellStyle name="Data 2 4 5 10 5" xfId="3591" xr:uid="{00000000-0005-0000-0000-000076140000}"/>
    <cellStyle name="Data 2 4 5 10 5 2" xfId="3592" xr:uid="{00000000-0005-0000-0000-000077140000}"/>
    <cellStyle name="Data 2 4 5 10 6" xfId="3593" xr:uid="{00000000-0005-0000-0000-000078140000}"/>
    <cellStyle name="Data 2 4 5 10 6 2" xfId="3594" xr:uid="{00000000-0005-0000-0000-000079140000}"/>
    <cellStyle name="Data 2 4 5 10 7" xfId="3595" xr:uid="{00000000-0005-0000-0000-00007A140000}"/>
    <cellStyle name="Data 2 4 5 10 7 2" xfId="3596" xr:uid="{00000000-0005-0000-0000-00007B140000}"/>
    <cellStyle name="Data 2 4 5 10 8" xfId="3597" xr:uid="{00000000-0005-0000-0000-00007C140000}"/>
    <cellStyle name="Data 2 4 5 10 8 2" xfId="3598" xr:uid="{00000000-0005-0000-0000-00007D140000}"/>
    <cellStyle name="Data 2 4 5 10 9" xfId="3599" xr:uid="{00000000-0005-0000-0000-00007E140000}"/>
    <cellStyle name="Data 2 4 5 11" xfId="3600" xr:uid="{00000000-0005-0000-0000-00007F140000}"/>
    <cellStyle name="Data 2 4 5 11 2" xfId="3601" xr:uid="{00000000-0005-0000-0000-000080140000}"/>
    <cellStyle name="Data 2 4 5 12" xfId="3602" xr:uid="{00000000-0005-0000-0000-000081140000}"/>
    <cellStyle name="Data 2 4 5 12 2" xfId="3603" xr:uid="{00000000-0005-0000-0000-000082140000}"/>
    <cellStyle name="Data 2 4 5 13" xfId="3604" xr:uid="{00000000-0005-0000-0000-000083140000}"/>
    <cellStyle name="Data 2 4 5 13 2" xfId="3605" xr:uid="{00000000-0005-0000-0000-000084140000}"/>
    <cellStyle name="Data 2 4 5 14" xfId="3606" xr:uid="{00000000-0005-0000-0000-000085140000}"/>
    <cellStyle name="Data 2 4 5 14 2" xfId="3607" xr:uid="{00000000-0005-0000-0000-000086140000}"/>
    <cellStyle name="Data 2 4 5 15" xfId="3608" xr:uid="{00000000-0005-0000-0000-000087140000}"/>
    <cellStyle name="Data 2 4 5 15 2" xfId="3609" xr:uid="{00000000-0005-0000-0000-000088140000}"/>
    <cellStyle name="Data 2 4 5 16" xfId="3610" xr:uid="{00000000-0005-0000-0000-000089140000}"/>
    <cellStyle name="Data 2 4 5 16 2" xfId="3611" xr:uid="{00000000-0005-0000-0000-00008A140000}"/>
    <cellStyle name="Data 2 4 5 17" xfId="3612" xr:uid="{00000000-0005-0000-0000-00008B140000}"/>
    <cellStyle name="Data 2 4 5 17 2" xfId="3613" xr:uid="{00000000-0005-0000-0000-00008C140000}"/>
    <cellStyle name="Data 2 4 5 18" xfId="3614" xr:uid="{00000000-0005-0000-0000-00008D140000}"/>
    <cellStyle name="Data 2 4 5 2" xfId="3615" xr:uid="{00000000-0005-0000-0000-00008E140000}"/>
    <cellStyle name="Data 2 4 5 2 10" xfId="3616" xr:uid="{00000000-0005-0000-0000-00008F140000}"/>
    <cellStyle name="Data 2 4 5 2 2" xfId="3617" xr:uid="{00000000-0005-0000-0000-000090140000}"/>
    <cellStyle name="Data 2 4 5 2 2 2" xfId="3618" xr:uid="{00000000-0005-0000-0000-000091140000}"/>
    <cellStyle name="Data 2 4 5 2 3" xfId="3619" xr:uid="{00000000-0005-0000-0000-000092140000}"/>
    <cellStyle name="Data 2 4 5 2 3 2" xfId="3620" xr:uid="{00000000-0005-0000-0000-000093140000}"/>
    <cellStyle name="Data 2 4 5 2 4" xfId="3621" xr:uid="{00000000-0005-0000-0000-000094140000}"/>
    <cellStyle name="Data 2 4 5 2 4 2" xfId="3622" xr:uid="{00000000-0005-0000-0000-000095140000}"/>
    <cellStyle name="Data 2 4 5 2 5" xfId="3623" xr:uid="{00000000-0005-0000-0000-000096140000}"/>
    <cellStyle name="Data 2 4 5 2 5 2" xfId="3624" xr:uid="{00000000-0005-0000-0000-000097140000}"/>
    <cellStyle name="Data 2 4 5 2 6" xfId="3625" xr:uid="{00000000-0005-0000-0000-000098140000}"/>
    <cellStyle name="Data 2 4 5 2 6 2" xfId="3626" xr:uid="{00000000-0005-0000-0000-000099140000}"/>
    <cellStyle name="Data 2 4 5 2 7" xfId="3627" xr:uid="{00000000-0005-0000-0000-00009A140000}"/>
    <cellStyle name="Data 2 4 5 2 7 2" xfId="3628" xr:uid="{00000000-0005-0000-0000-00009B140000}"/>
    <cellStyle name="Data 2 4 5 2 8" xfId="3629" xr:uid="{00000000-0005-0000-0000-00009C140000}"/>
    <cellStyle name="Data 2 4 5 2 8 2" xfId="3630" xr:uid="{00000000-0005-0000-0000-00009D140000}"/>
    <cellStyle name="Data 2 4 5 2 9" xfId="3631" xr:uid="{00000000-0005-0000-0000-00009E140000}"/>
    <cellStyle name="Data 2 4 5 2 9 2" xfId="3632" xr:uid="{00000000-0005-0000-0000-00009F140000}"/>
    <cellStyle name="Data 2 4 5 3" xfId="3633" xr:uid="{00000000-0005-0000-0000-0000A0140000}"/>
    <cellStyle name="Data 2 4 5 3 10" xfId="3634" xr:uid="{00000000-0005-0000-0000-0000A1140000}"/>
    <cellStyle name="Data 2 4 5 3 2" xfId="3635" xr:uid="{00000000-0005-0000-0000-0000A2140000}"/>
    <cellStyle name="Data 2 4 5 3 2 2" xfId="3636" xr:uid="{00000000-0005-0000-0000-0000A3140000}"/>
    <cellStyle name="Data 2 4 5 3 3" xfId="3637" xr:uid="{00000000-0005-0000-0000-0000A4140000}"/>
    <cellStyle name="Data 2 4 5 3 3 2" xfId="3638" xr:uid="{00000000-0005-0000-0000-0000A5140000}"/>
    <cellStyle name="Data 2 4 5 3 4" xfId="3639" xr:uid="{00000000-0005-0000-0000-0000A6140000}"/>
    <cellStyle name="Data 2 4 5 3 4 2" xfId="3640" xr:uid="{00000000-0005-0000-0000-0000A7140000}"/>
    <cellStyle name="Data 2 4 5 3 5" xfId="3641" xr:uid="{00000000-0005-0000-0000-0000A8140000}"/>
    <cellStyle name="Data 2 4 5 3 5 2" xfId="3642" xr:uid="{00000000-0005-0000-0000-0000A9140000}"/>
    <cellStyle name="Data 2 4 5 3 6" xfId="3643" xr:uid="{00000000-0005-0000-0000-0000AA140000}"/>
    <cellStyle name="Data 2 4 5 3 6 2" xfId="3644" xr:uid="{00000000-0005-0000-0000-0000AB140000}"/>
    <cellStyle name="Data 2 4 5 3 7" xfId="3645" xr:uid="{00000000-0005-0000-0000-0000AC140000}"/>
    <cellStyle name="Data 2 4 5 3 7 2" xfId="3646" xr:uid="{00000000-0005-0000-0000-0000AD140000}"/>
    <cellStyle name="Data 2 4 5 3 8" xfId="3647" xr:uid="{00000000-0005-0000-0000-0000AE140000}"/>
    <cellStyle name="Data 2 4 5 3 8 2" xfId="3648" xr:uid="{00000000-0005-0000-0000-0000AF140000}"/>
    <cellStyle name="Data 2 4 5 3 9" xfId="3649" xr:uid="{00000000-0005-0000-0000-0000B0140000}"/>
    <cellStyle name="Data 2 4 5 3 9 2" xfId="3650" xr:uid="{00000000-0005-0000-0000-0000B1140000}"/>
    <cellStyle name="Data 2 4 5 4" xfId="3651" xr:uid="{00000000-0005-0000-0000-0000B2140000}"/>
    <cellStyle name="Data 2 4 5 4 10" xfId="3652" xr:uid="{00000000-0005-0000-0000-0000B3140000}"/>
    <cellStyle name="Data 2 4 5 4 2" xfId="3653" xr:uid="{00000000-0005-0000-0000-0000B4140000}"/>
    <cellStyle name="Data 2 4 5 4 2 2" xfId="3654" xr:uid="{00000000-0005-0000-0000-0000B5140000}"/>
    <cellStyle name="Data 2 4 5 4 3" xfId="3655" xr:uid="{00000000-0005-0000-0000-0000B6140000}"/>
    <cellStyle name="Data 2 4 5 4 3 2" xfId="3656" xr:uid="{00000000-0005-0000-0000-0000B7140000}"/>
    <cellStyle name="Data 2 4 5 4 4" xfId="3657" xr:uid="{00000000-0005-0000-0000-0000B8140000}"/>
    <cellStyle name="Data 2 4 5 4 4 2" xfId="3658" xr:uid="{00000000-0005-0000-0000-0000B9140000}"/>
    <cellStyle name="Data 2 4 5 4 5" xfId="3659" xr:uid="{00000000-0005-0000-0000-0000BA140000}"/>
    <cellStyle name="Data 2 4 5 4 5 2" xfId="3660" xr:uid="{00000000-0005-0000-0000-0000BB140000}"/>
    <cellStyle name="Data 2 4 5 4 6" xfId="3661" xr:uid="{00000000-0005-0000-0000-0000BC140000}"/>
    <cellStyle name="Data 2 4 5 4 6 2" xfId="3662" xr:uid="{00000000-0005-0000-0000-0000BD140000}"/>
    <cellStyle name="Data 2 4 5 4 7" xfId="3663" xr:uid="{00000000-0005-0000-0000-0000BE140000}"/>
    <cellStyle name="Data 2 4 5 4 7 2" xfId="3664" xr:uid="{00000000-0005-0000-0000-0000BF140000}"/>
    <cellStyle name="Data 2 4 5 4 8" xfId="3665" xr:uid="{00000000-0005-0000-0000-0000C0140000}"/>
    <cellStyle name="Data 2 4 5 4 8 2" xfId="3666" xr:uid="{00000000-0005-0000-0000-0000C1140000}"/>
    <cellStyle name="Data 2 4 5 4 9" xfId="3667" xr:uid="{00000000-0005-0000-0000-0000C2140000}"/>
    <cellStyle name="Data 2 4 5 4 9 2" xfId="3668" xr:uid="{00000000-0005-0000-0000-0000C3140000}"/>
    <cellStyle name="Data 2 4 5 5" xfId="3669" xr:uid="{00000000-0005-0000-0000-0000C4140000}"/>
    <cellStyle name="Data 2 4 5 5 10" xfId="3670" xr:uid="{00000000-0005-0000-0000-0000C5140000}"/>
    <cellStyle name="Data 2 4 5 5 2" xfId="3671" xr:uid="{00000000-0005-0000-0000-0000C6140000}"/>
    <cellStyle name="Data 2 4 5 5 2 2" xfId="3672" xr:uid="{00000000-0005-0000-0000-0000C7140000}"/>
    <cellStyle name="Data 2 4 5 5 3" xfId="3673" xr:uid="{00000000-0005-0000-0000-0000C8140000}"/>
    <cellStyle name="Data 2 4 5 5 3 2" xfId="3674" xr:uid="{00000000-0005-0000-0000-0000C9140000}"/>
    <cellStyle name="Data 2 4 5 5 4" xfId="3675" xr:uid="{00000000-0005-0000-0000-0000CA140000}"/>
    <cellStyle name="Data 2 4 5 5 4 2" xfId="3676" xr:uid="{00000000-0005-0000-0000-0000CB140000}"/>
    <cellStyle name="Data 2 4 5 5 5" xfId="3677" xr:uid="{00000000-0005-0000-0000-0000CC140000}"/>
    <cellStyle name="Data 2 4 5 5 5 2" xfId="3678" xr:uid="{00000000-0005-0000-0000-0000CD140000}"/>
    <cellStyle name="Data 2 4 5 5 6" xfId="3679" xr:uid="{00000000-0005-0000-0000-0000CE140000}"/>
    <cellStyle name="Data 2 4 5 5 6 2" xfId="3680" xr:uid="{00000000-0005-0000-0000-0000CF140000}"/>
    <cellStyle name="Data 2 4 5 5 7" xfId="3681" xr:uid="{00000000-0005-0000-0000-0000D0140000}"/>
    <cellStyle name="Data 2 4 5 5 7 2" xfId="3682" xr:uid="{00000000-0005-0000-0000-0000D1140000}"/>
    <cellStyle name="Data 2 4 5 5 8" xfId="3683" xr:uid="{00000000-0005-0000-0000-0000D2140000}"/>
    <cellStyle name="Data 2 4 5 5 8 2" xfId="3684" xr:uid="{00000000-0005-0000-0000-0000D3140000}"/>
    <cellStyle name="Data 2 4 5 5 9" xfId="3685" xr:uid="{00000000-0005-0000-0000-0000D4140000}"/>
    <cellStyle name="Data 2 4 5 5 9 2" xfId="3686" xr:uid="{00000000-0005-0000-0000-0000D5140000}"/>
    <cellStyle name="Data 2 4 5 6" xfId="3687" xr:uid="{00000000-0005-0000-0000-0000D6140000}"/>
    <cellStyle name="Data 2 4 5 6 10" xfId="3688" xr:uid="{00000000-0005-0000-0000-0000D7140000}"/>
    <cellStyle name="Data 2 4 5 6 2" xfId="3689" xr:uid="{00000000-0005-0000-0000-0000D8140000}"/>
    <cellStyle name="Data 2 4 5 6 2 2" xfId="3690" xr:uid="{00000000-0005-0000-0000-0000D9140000}"/>
    <cellStyle name="Data 2 4 5 6 3" xfId="3691" xr:uid="{00000000-0005-0000-0000-0000DA140000}"/>
    <cellStyle name="Data 2 4 5 6 3 2" xfId="3692" xr:uid="{00000000-0005-0000-0000-0000DB140000}"/>
    <cellStyle name="Data 2 4 5 6 4" xfId="3693" xr:uid="{00000000-0005-0000-0000-0000DC140000}"/>
    <cellStyle name="Data 2 4 5 6 4 2" xfId="3694" xr:uid="{00000000-0005-0000-0000-0000DD140000}"/>
    <cellStyle name="Data 2 4 5 6 5" xfId="3695" xr:uid="{00000000-0005-0000-0000-0000DE140000}"/>
    <cellStyle name="Data 2 4 5 6 5 2" xfId="3696" xr:uid="{00000000-0005-0000-0000-0000DF140000}"/>
    <cellStyle name="Data 2 4 5 6 6" xfId="3697" xr:uid="{00000000-0005-0000-0000-0000E0140000}"/>
    <cellStyle name="Data 2 4 5 6 6 2" xfId="3698" xr:uid="{00000000-0005-0000-0000-0000E1140000}"/>
    <cellStyle name="Data 2 4 5 6 7" xfId="3699" xr:uid="{00000000-0005-0000-0000-0000E2140000}"/>
    <cellStyle name="Data 2 4 5 6 7 2" xfId="3700" xr:uid="{00000000-0005-0000-0000-0000E3140000}"/>
    <cellStyle name="Data 2 4 5 6 8" xfId="3701" xr:uid="{00000000-0005-0000-0000-0000E4140000}"/>
    <cellStyle name="Data 2 4 5 6 8 2" xfId="3702" xr:uid="{00000000-0005-0000-0000-0000E5140000}"/>
    <cellStyle name="Data 2 4 5 6 9" xfId="3703" xr:uid="{00000000-0005-0000-0000-0000E6140000}"/>
    <cellStyle name="Data 2 4 5 6 9 2" xfId="3704" xr:uid="{00000000-0005-0000-0000-0000E7140000}"/>
    <cellStyle name="Data 2 4 5 7" xfId="3705" xr:uid="{00000000-0005-0000-0000-0000E8140000}"/>
    <cellStyle name="Data 2 4 5 7 10" xfId="3706" xr:uid="{00000000-0005-0000-0000-0000E9140000}"/>
    <cellStyle name="Data 2 4 5 7 2" xfId="3707" xr:uid="{00000000-0005-0000-0000-0000EA140000}"/>
    <cellStyle name="Data 2 4 5 7 2 2" xfId="3708" xr:uid="{00000000-0005-0000-0000-0000EB140000}"/>
    <cellStyle name="Data 2 4 5 7 3" xfId="3709" xr:uid="{00000000-0005-0000-0000-0000EC140000}"/>
    <cellStyle name="Data 2 4 5 7 3 2" xfId="3710" xr:uid="{00000000-0005-0000-0000-0000ED140000}"/>
    <cellStyle name="Data 2 4 5 7 4" xfId="3711" xr:uid="{00000000-0005-0000-0000-0000EE140000}"/>
    <cellStyle name="Data 2 4 5 7 4 2" xfId="3712" xr:uid="{00000000-0005-0000-0000-0000EF140000}"/>
    <cellStyle name="Data 2 4 5 7 5" xfId="3713" xr:uid="{00000000-0005-0000-0000-0000F0140000}"/>
    <cellStyle name="Data 2 4 5 7 5 2" xfId="3714" xr:uid="{00000000-0005-0000-0000-0000F1140000}"/>
    <cellStyle name="Data 2 4 5 7 6" xfId="3715" xr:uid="{00000000-0005-0000-0000-0000F2140000}"/>
    <cellStyle name="Data 2 4 5 7 6 2" xfId="3716" xr:uid="{00000000-0005-0000-0000-0000F3140000}"/>
    <cellStyle name="Data 2 4 5 7 7" xfId="3717" xr:uid="{00000000-0005-0000-0000-0000F4140000}"/>
    <cellStyle name="Data 2 4 5 7 7 2" xfId="3718" xr:uid="{00000000-0005-0000-0000-0000F5140000}"/>
    <cellStyle name="Data 2 4 5 7 8" xfId="3719" xr:uid="{00000000-0005-0000-0000-0000F6140000}"/>
    <cellStyle name="Data 2 4 5 7 8 2" xfId="3720" xr:uid="{00000000-0005-0000-0000-0000F7140000}"/>
    <cellStyle name="Data 2 4 5 7 9" xfId="3721" xr:uid="{00000000-0005-0000-0000-0000F8140000}"/>
    <cellStyle name="Data 2 4 5 7 9 2" xfId="3722" xr:uid="{00000000-0005-0000-0000-0000F9140000}"/>
    <cellStyle name="Data 2 4 5 8" xfId="3723" xr:uid="{00000000-0005-0000-0000-0000FA140000}"/>
    <cellStyle name="Data 2 4 5 8 10" xfId="3724" xr:uid="{00000000-0005-0000-0000-0000FB140000}"/>
    <cellStyle name="Data 2 4 5 8 2" xfId="3725" xr:uid="{00000000-0005-0000-0000-0000FC140000}"/>
    <cellStyle name="Data 2 4 5 8 2 2" xfId="3726" xr:uid="{00000000-0005-0000-0000-0000FD140000}"/>
    <cellStyle name="Data 2 4 5 8 3" xfId="3727" xr:uid="{00000000-0005-0000-0000-0000FE140000}"/>
    <cellStyle name="Data 2 4 5 8 3 2" xfId="3728" xr:uid="{00000000-0005-0000-0000-0000FF140000}"/>
    <cellStyle name="Data 2 4 5 8 4" xfId="3729" xr:uid="{00000000-0005-0000-0000-000000150000}"/>
    <cellStyle name="Data 2 4 5 8 4 2" xfId="3730" xr:uid="{00000000-0005-0000-0000-000001150000}"/>
    <cellStyle name="Data 2 4 5 8 5" xfId="3731" xr:uid="{00000000-0005-0000-0000-000002150000}"/>
    <cellStyle name="Data 2 4 5 8 5 2" xfId="3732" xr:uid="{00000000-0005-0000-0000-000003150000}"/>
    <cellStyle name="Data 2 4 5 8 6" xfId="3733" xr:uid="{00000000-0005-0000-0000-000004150000}"/>
    <cellStyle name="Data 2 4 5 8 6 2" xfId="3734" xr:uid="{00000000-0005-0000-0000-000005150000}"/>
    <cellStyle name="Data 2 4 5 8 7" xfId="3735" xr:uid="{00000000-0005-0000-0000-000006150000}"/>
    <cellStyle name="Data 2 4 5 8 7 2" xfId="3736" xr:uid="{00000000-0005-0000-0000-000007150000}"/>
    <cellStyle name="Data 2 4 5 8 8" xfId="3737" xr:uid="{00000000-0005-0000-0000-000008150000}"/>
    <cellStyle name="Data 2 4 5 8 8 2" xfId="3738" xr:uid="{00000000-0005-0000-0000-000009150000}"/>
    <cellStyle name="Data 2 4 5 8 9" xfId="3739" xr:uid="{00000000-0005-0000-0000-00000A150000}"/>
    <cellStyle name="Data 2 4 5 8 9 2" xfId="3740" xr:uid="{00000000-0005-0000-0000-00000B150000}"/>
    <cellStyle name="Data 2 4 5 9" xfId="3741" xr:uid="{00000000-0005-0000-0000-00000C150000}"/>
    <cellStyle name="Data 2 4 5 9 10" xfId="3742" xr:uid="{00000000-0005-0000-0000-00000D150000}"/>
    <cellStyle name="Data 2 4 5 9 2" xfId="3743" xr:uid="{00000000-0005-0000-0000-00000E150000}"/>
    <cellStyle name="Data 2 4 5 9 2 2" xfId="3744" xr:uid="{00000000-0005-0000-0000-00000F150000}"/>
    <cellStyle name="Data 2 4 5 9 3" xfId="3745" xr:uid="{00000000-0005-0000-0000-000010150000}"/>
    <cellStyle name="Data 2 4 5 9 3 2" xfId="3746" xr:uid="{00000000-0005-0000-0000-000011150000}"/>
    <cellStyle name="Data 2 4 5 9 4" xfId="3747" xr:uid="{00000000-0005-0000-0000-000012150000}"/>
    <cellStyle name="Data 2 4 5 9 4 2" xfId="3748" xr:uid="{00000000-0005-0000-0000-000013150000}"/>
    <cellStyle name="Data 2 4 5 9 5" xfId="3749" xr:uid="{00000000-0005-0000-0000-000014150000}"/>
    <cellStyle name="Data 2 4 5 9 5 2" xfId="3750" xr:uid="{00000000-0005-0000-0000-000015150000}"/>
    <cellStyle name="Data 2 4 5 9 6" xfId="3751" xr:uid="{00000000-0005-0000-0000-000016150000}"/>
    <cellStyle name="Data 2 4 5 9 6 2" xfId="3752" xr:uid="{00000000-0005-0000-0000-000017150000}"/>
    <cellStyle name="Data 2 4 5 9 7" xfId="3753" xr:uid="{00000000-0005-0000-0000-000018150000}"/>
    <cellStyle name="Data 2 4 5 9 7 2" xfId="3754" xr:uid="{00000000-0005-0000-0000-000019150000}"/>
    <cellStyle name="Data 2 4 5 9 8" xfId="3755" xr:uid="{00000000-0005-0000-0000-00001A150000}"/>
    <cellStyle name="Data 2 4 5 9 8 2" xfId="3756" xr:uid="{00000000-0005-0000-0000-00001B150000}"/>
    <cellStyle name="Data 2 4 5 9 9" xfId="3757" xr:uid="{00000000-0005-0000-0000-00001C150000}"/>
    <cellStyle name="Data 2 4 5 9 9 2" xfId="3758" xr:uid="{00000000-0005-0000-0000-00001D150000}"/>
    <cellStyle name="Data 2 4 6" xfId="3759" xr:uid="{00000000-0005-0000-0000-00001E150000}"/>
    <cellStyle name="Data 2 4 6 10" xfId="3760" xr:uid="{00000000-0005-0000-0000-00001F150000}"/>
    <cellStyle name="Data 2 4 6 10 2" xfId="3761" xr:uid="{00000000-0005-0000-0000-000020150000}"/>
    <cellStyle name="Data 2 4 6 10 2 2" xfId="3762" xr:uid="{00000000-0005-0000-0000-000021150000}"/>
    <cellStyle name="Data 2 4 6 10 3" xfId="3763" xr:uid="{00000000-0005-0000-0000-000022150000}"/>
    <cellStyle name="Data 2 4 6 10 3 2" xfId="3764" xr:uid="{00000000-0005-0000-0000-000023150000}"/>
    <cellStyle name="Data 2 4 6 10 4" xfId="3765" xr:uid="{00000000-0005-0000-0000-000024150000}"/>
    <cellStyle name="Data 2 4 6 10 4 2" xfId="3766" xr:uid="{00000000-0005-0000-0000-000025150000}"/>
    <cellStyle name="Data 2 4 6 10 5" xfId="3767" xr:uid="{00000000-0005-0000-0000-000026150000}"/>
    <cellStyle name="Data 2 4 6 10 5 2" xfId="3768" xr:uid="{00000000-0005-0000-0000-000027150000}"/>
    <cellStyle name="Data 2 4 6 10 6" xfId="3769" xr:uid="{00000000-0005-0000-0000-000028150000}"/>
    <cellStyle name="Data 2 4 6 10 6 2" xfId="3770" xr:uid="{00000000-0005-0000-0000-000029150000}"/>
    <cellStyle name="Data 2 4 6 10 7" xfId="3771" xr:uid="{00000000-0005-0000-0000-00002A150000}"/>
    <cellStyle name="Data 2 4 6 10 7 2" xfId="3772" xr:uid="{00000000-0005-0000-0000-00002B150000}"/>
    <cellStyle name="Data 2 4 6 10 8" xfId="3773" xr:uid="{00000000-0005-0000-0000-00002C150000}"/>
    <cellStyle name="Data 2 4 6 10 8 2" xfId="3774" xr:uid="{00000000-0005-0000-0000-00002D150000}"/>
    <cellStyle name="Data 2 4 6 10 9" xfId="3775" xr:uid="{00000000-0005-0000-0000-00002E150000}"/>
    <cellStyle name="Data 2 4 6 11" xfId="3776" xr:uid="{00000000-0005-0000-0000-00002F150000}"/>
    <cellStyle name="Data 2 4 6 11 2" xfId="3777" xr:uid="{00000000-0005-0000-0000-000030150000}"/>
    <cellStyle name="Data 2 4 6 12" xfId="3778" xr:uid="{00000000-0005-0000-0000-000031150000}"/>
    <cellStyle name="Data 2 4 6 12 2" xfId="3779" xr:uid="{00000000-0005-0000-0000-000032150000}"/>
    <cellStyle name="Data 2 4 6 13" xfId="3780" xr:uid="{00000000-0005-0000-0000-000033150000}"/>
    <cellStyle name="Data 2 4 6 13 2" xfId="3781" xr:uid="{00000000-0005-0000-0000-000034150000}"/>
    <cellStyle name="Data 2 4 6 14" xfId="3782" xr:uid="{00000000-0005-0000-0000-000035150000}"/>
    <cellStyle name="Data 2 4 6 14 2" xfId="3783" xr:uid="{00000000-0005-0000-0000-000036150000}"/>
    <cellStyle name="Data 2 4 6 15" xfId="3784" xr:uid="{00000000-0005-0000-0000-000037150000}"/>
    <cellStyle name="Data 2 4 6 15 2" xfId="3785" xr:uid="{00000000-0005-0000-0000-000038150000}"/>
    <cellStyle name="Data 2 4 6 16" xfId="3786" xr:uid="{00000000-0005-0000-0000-000039150000}"/>
    <cellStyle name="Data 2 4 6 16 2" xfId="3787" xr:uid="{00000000-0005-0000-0000-00003A150000}"/>
    <cellStyle name="Data 2 4 6 17" xfId="3788" xr:uid="{00000000-0005-0000-0000-00003B150000}"/>
    <cellStyle name="Data 2 4 6 17 2" xfId="3789" xr:uid="{00000000-0005-0000-0000-00003C150000}"/>
    <cellStyle name="Data 2 4 6 18" xfId="3790" xr:uid="{00000000-0005-0000-0000-00003D150000}"/>
    <cellStyle name="Data 2 4 6 2" xfId="3791" xr:uid="{00000000-0005-0000-0000-00003E150000}"/>
    <cellStyle name="Data 2 4 6 2 10" xfId="3792" xr:uid="{00000000-0005-0000-0000-00003F150000}"/>
    <cellStyle name="Data 2 4 6 2 2" xfId="3793" xr:uid="{00000000-0005-0000-0000-000040150000}"/>
    <cellStyle name="Data 2 4 6 2 2 2" xfId="3794" xr:uid="{00000000-0005-0000-0000-000041150000}"/>
    <cellStyle name="Data 2 4 6 2 3" xfId="3795" xr:uid="{00000000-0005-0000-0000-000042150000}"/>
    <cellStyle name="Data 2 4 6 2 3 2" xfId="3796" xr:uid="{00000000-0005-0000-0000-000043150000}"/>
    <cellStyle name="Data 2 4 6 2 4" xfId="3797" xr:uid="{00000000-0005-0000-0000-000044150000}"/>
    <cellStyle name="Data 2 4 6 2 4 2" xfId="3798" xr:uid="{00000000-0005-0000-0000-000045150000}"/>
    <cellStyle name="Data 2 4 6 2 5" xfId="3799" xr:uid="{00000000-0005-0000-0000-000046150000}"/>
    <cellStyle name="Data 2 4 6 2 5 2" xfId="3800" xr:uid="{00000000-0005-0000-0000-000047150000}"/>
    <cellStyle name="Data 2 4 6 2 6" xfId="3801" xr:uid="{00000000-0005-0000-0000-000048150000}"/>
    <cellStyle name="Data 2 4 6 2 6 2" xfId="3802" xr:uid="{00000000-0005-0000-0000-000049150000}"/>
    <cellStyle name="Data 2 4 6 2 7" xfId="3803" xr:uid="{00000000-0005-0000-0000-00004A150000}"/>
    <cellStyle name="Data 2 4 6 2 7 2" xfId="3804" xr:uid="{00000000-0005-0000-0000-00004B150000}"/>
    <cellStyle name="Data 2 4 6 2 8" xfId="3805" xr:uid="{00000000-0005-0000-0000-00004C150000}"/>
    <cellStyle name="Data 2 4 6 2 8 2" xfId="3806" xr:uid="{00000000-0005-0000-0000-00004D150000}"/>
    <cellStyle name="Data 2 4 6 2 9" xfId="3807" xr:uid="{00000000-0005-0000-0000-00004E150000}"/>
    <cellStyle name="Data 2 4 6 2 9 2" xfId="3808" xr:uid="{00000000-0005-0000-0000-00004F150000}"/>
    <cellStyle name="Data 2 4 6 3" xfId="3809" xr:uid="{00000000-0005-0000-0000-000050150000}"/>
    <cellStyle name="Data 2 4 6 3 10" xfId="3810" xr:uid="{00000000-0005-0000-0000-000051150000}"/>
    <cellStyle name="Data 2 4 6 3 2" xfId="3811" xr:uid="{00000000-0005-0000-0000-000052150000}"/>
    <cellStyle name="Data 2 4 6 3 2 2" xfId="3812" xr:uid="{00000000-0005-0000-0000-000053150000}"/>
    <cellStyle name="Data 2 4 6 3 3" xfId="3813" xr:uid="{00000000-0005-0000-0000-000054150000}"/>
    <cellStyle name="Data 2 4 6 3 3 2" xfId="3814" xr:uid="{00000000-0005-0000-0000-000055150000}"/>
    <cellStyle name="Data 2 4 6 3 4" xfId="3815" xr:uid="{00000000-0005-0000-0000-000056150000}"/>
    <cellStyle name="Data 2 4 6 3 4 2" xfId="3816" xr:uid="{00000000-0005-0000-0000-000057150000}"/>
    <cellStyle name="Data 2 4 6 3 5" xfId="3817" xr:uid="{00000000-0005-0000-0000-000058150000}"/>
    <cellStyle name="Data 2 4 6 3 5 2" xfId="3818" xr:uid="{00000000-0005-0000-0000-000059150000}"/>
    <cellStyle name="Data 2 4 6 3 6" xfId="3819" xr:uid="{00000000-0005-0000-0000-00005A150000}"/>
    <cellStyle name="Data 2 4 6 3 6 2" xfId="3820" xr:uid="{00000000-0005-0000-0000-00005B150000}"/>
    <cellStyle name="Data 2 4 6 3 7" xfId="3821" xr:uid="{00000000-0005-0000-0000-00005C150000}"/>
    <cellStyle name="Data 2 4 6 3 7 2" xfId="3822" xr:uid="{00000000-0005-0000-0000-00005D150000}"/>
    <cellStyle name="Data 2 4 6 3 8" xfId="3823" xr:uid="{00000000-0005-0000-0000-00005E150000}"/>
    <cellStyle name="Data 2 4 6 3 8 2" xfId="3824" xr:uid="{00000000-0005-0000-0000-00005F150000}"/>
    <cellStyle name="Data 2 4 6 3 9" xfId="3825" xr:uid="{00000000-0005-0000-0000-000060150000}"/>
    <cellStyle name="Data 2 4 6 3 9 2" xfId="3826" xr:uid="{00000000-0005-0000-0000-000061150000}"/>
    <cellStyle name="Data 2 4 6 4" xfId="3827" xr:uid="{00000000-0005-0000-0000-000062150000}"/>
    <cellStyle name="Data 2 4 6 4 10" xfId="3828" xr:uid="{00000000-0005-0000-0000-000063150000}"/>
    <cellStyle name="Data 2 4 6 4 2" xfId="3829" xr:uid="{00000000-0005-0000-0000-000064150000}"/>
    <cellStyle name="Data 2 4 6 4 2 2" xfId="3830" xr:uid="{00000000-0005-0000-0000-000065150000}"/>
    <cellStyle name="Data 2 4 6 4 3" xfId="3831" xr:uid="{00000000-0005-0000-0000-000066150000}"/>
    <cellStyle name="Data 2 4 6 4 3 2" xfId="3832" xr:uid="{00000000-0005-0000-0000-000067150000}"/>
    <cellStyle name="Data 2 4 6 4 4" xfId="3833" xr:uid="{00000000-0005-0000-0000-000068150000}"/>
    <cellStyle name="Data 2 4 6 4 4 2" xfId="3834" xr:uid="{00000000-0005-0000-0000-000069150000}"/>
    <cellStyle name="Data 2 4 6 4 5" xfId="3835" xr:uid="{00000000-0005-0000-0000-00006A150000}"/>
    <cellStyle name="Data 2 4 6 4 5 2" xfId="3836" xr:uid="{00000000-0005-0000-0000-00006B150000}"/>
    <cellStyle name="Data 2 4 6 4 6" xfId="3837" xr:uid="{00000000-0005-0000-0000-00006C150000}"/>
    <cellStyle name="Data 2 4 6 4 6 2" xfId="3838" xr:uid="{00000000-0005-0000-0000-00006D150000}"/>
    <cellStyle name="Data 2 4 6 4 7" xfId="3839" xr:uid="{00000000-0005-0000-0000-00006E150000}"/>
    <cellStyle name="Data 2 4 6 4 7 2" xfId="3840" xr:uid="{00000000-0005-0000-0000-00006F150000}"/>
    <cellStyle name="Data 2 4 6 4 8" xfId="3841" xr:uid="{00000000-0005-0000-0000-000070150000}"/>
    <cellStyle name="Data 2 4 6 4 8 2" xfId="3842" xr:uid="{00000000-0005-0000-0000-000071150000}"/>
    <cellStyle name="Data 2 4 6 4 9" xfId="3843" xr:uid="{00000000-0005-0000-0000-000072150000}"/>
    <cellStyle name="Data 2 4 6 4 9 2" xfId="3844" xr:uid="{00000000-0005-0000-0000-000073150000}"/>
    <cellStyle name="Data 2 4 6 5" xfId="3845" xr:uid="{00000000-0005-0000-0000-000074150000}"/>
    <cellStyle name="Data 2 4 6 5 10" xfId="3846" xr:uid="{00000000-0005-0000-0000-000075150000}"/>
    <cellStyle name="Data 2 4 6 5 2" xfId="3847" xr:uid="{00000000-0005-0000-0000-000076150000}"/>
    <cellStyle name="Data 2 4 6 5 2 2" xfId="3848" xr:uid="{00000000-0005-0000-0000-000077150000}"/>
    <cellStyle name="Data 2 4 6 5 3" xfId="3849" xr:uid="{00000000-0005-0000-0000-000078150000}"/>
    <cellStyle name="Data 2 4 6 5 3 2" xfId="3850" xr:uid="{00000000-0005-0000-0000-000079150000}"/>
    <cellStyle name="Data 2 4 6 5 4" xfId="3851" xr:uid="{00000000-0005-0000-0000-00007A150000}"/>
    <cellStyle name="Data 2 4 6 5 4 2" xfId="3852" xr:uid="{00000000-0005-0000-0000-00007B150000}"/>
    <cellStyle name="Data 2 4 6 5 5" xfId="3853" xr:uid="{00000000-0005-0000-0000-00007C150000}"/>
    <cellStyle name="Data 2 4 6 5 5 2" xfId="3854" xr:uid="{00000000-0005-0000-0000-00007D150000}"/>
    <cellStyle name="Data 2 4 6 5 6" xfId="3855" xr:uid="{00000000-0005-0000-0000-00007E150000}"/>
    <cellStyle name="Data 2 4 6 5 6 2" xfId="3856" xr:uid="{00000000-0005-0000-0000-00007F150000}"/>
    <cellStyle name="Data 2 4 6 5 7" xfId="3857" xr:uid="{00000000-0005-0000-0000-000080150000}"/>
    <cellStyle name="Data 2 4 6 5 7 2" xfId="3858" xr:uid="{00000000-0005-0000-0000-000081150000}"/>
    <cellStyle name="Data 2 4 6 5 8" xfId="3859" xr:uid="{00000000-0005-0000-0000-000082150000}"/>
    <cellStyle name="Data 2 4 6 5 8 2" xfId="3860" xr:uid="{00000000-0005-0000-0000-000083150000}"/>
    <cellStyle name="Data 2 4 6 5 9" xfId="3861" xr:uid="{00000000-0005-0000-0000-000084150000}"/>
    <cellStyle name="Data 2 4 6 5 9 2" xfId="3862" xr:uid="{00000000-0005-0000-0000-000085150000}"/>
    <cellStyle name="Data 2 4 6 6" xfId="3863" xr:uid="{00000000-0005-0000-0000-000086150000}"/>
    <cellStyle name="Data 2 4 6 6 10" xfId="3864" xr:uid="{00000000-0005-0000-0000-000087150000}"/>
    <cellStyle name="Data 2 4 6 6 2" xfId="3865" xr:uid="{00000000-0005-0000-0000-000088150000}"/>
    <cellStyle name="Data 2 4 6 6 2 2" xfId="3866" xr:uid="{00000000-0005-0000-0000-000089150000}"/>
    <cellStyle name="Data 2 4 6 6 3" xfId="3867" xr:uid="{00000000-0005-0000-0000-00008A150000}"/>
    <cellStyle name="Data 2 4 6 6 3 2" xfId="3868" xr:uid="{00000000-0005-0000-0000-00008B150000}"/>
    <cellStyle name="Data 2 4 6 6 4" xfId="3869" xr:uid="{00000000-0005-0000-0000-00008C150000}"/>
    <cellStyle name="Data 2 4 6 6 4 2" xfId="3870" xr:uid="{00000000-0005-0000-0000-00008D150000}"/>
    <cellStyle name="Data 2 4 6 6 5" xfId="3871" xr:uid="{00000000-0005-0000-0000-00008E150000}"/>
    <cellStyle name="Data 2 4 6 6 5 2" xfId="3872" xr:uid="{00000000-0005-0000-0000-00008F150000}"/>
    <cellStyle name="Data 2 4 6 6 6" xfId="3873" xr:uid="{00000000-0005-0000-0000-000090150000}"/>
    <cellStyle name="Data 2 4 6 6 6 2" xfId="3874" xr:uid="{00000000-0005-0000-0000-000091150000}"/>
    <cellStyle name="Data 2 4 6 6 7" xfId="3875" xr:uid="{00000000-0005-0000-0000-000092150000}"/>
    <cellStyle name="Data 2 4 6 6 7 2" xfId="3876" xr:uid="{00000000-0005-0000-0000-000093150000}"/>
    <cellStyle name="Data 2 4 6 6 8" xfId="3877" xr:uid="{00000000-0005-0000-0000-000094150000}"/>
    <cellStyle name="Data 2 4 6 6 8 2" xfId="3878" xr:uid="{00000000-0005-0000-0000-000095150000}"/>
    <cellStyle name="Data 2 4 6 6 9" xfId="3879" xr:uid="{00000000-0005-0000-0000-000096150000}"/>
    <cellStyle name="Data 2 4 6 6 9 2" xfId="3880" xr:uid="{00000000-0005-0000-0000-000097150000}"/>
    <cellStyle name="Data 2 4 6 7" xfId="3881" xr:uid="{00000000-0005-0000-0000-000098150000}"/>
    <cellStyle name="Data 2 4 6 7 10" xfId="3882" xr:uid="{00000000-0005-0000-0000-000099150000}"/>
    <cellStyle name="Data 2 4 6 7 2" xfId="3883" xr:uid="{00000000-0005-0000-0000-00009A150000}"/>
    <cellStyle name="Data 2 4 6 7 2 2" xfId="3884" xr:uid="{00000000-0005-0000-0000-00009B150000}"/>
    <cellStyle name="Data 2 4 6 7 3" xfId="3885" xr:uid="{00000000-0005-0000-0000-00009C150000}"/>
    <cellStyle name="Data 2 4 6 7 3 2" xfId="3886" xr:uid="{00000000-0005-0000-0000-00009D150000}"/>
    <cellStyle name="Data 2 4 6 7 4" xfId="3887" xr:uid="{00000000-0005-0000-0000-00009E150000}"/>
    <cellStyle name="Data 2 4 6 7 4 2" xfId="3888" xr:uid="{00000000-0005-0000-0000-00009F150000}"/>
    <cellStyle name="Data 2 4 6 7 5" xfId="3889" xr:uid="{00000000-0005-0000-0000-0000A0150000}"/>
    <cellStyle name="Data 2 4 6 7 5 2" xfId="3890" xr:uid="{00000000-0005-0000-0000-0000A1150000}"/>
    <cellStyle name="Data 2 4 6 7 6" xfId="3891" xr:uid="{00000000-0005-0000-0000-0000A2150000}"/>
    <cellStyle name="Data 2 4 6 7 6 2" xfId="3892" xr:uid="{00000000-0005-0000-0000-0000A3150000}"/>
    <cellStyle name="Data 2 4 6 7 7" xfId="3893" xr:uid="{00000000-0005-0000-0000-0000A4150000}"/>
    <cellStyle name="Data 2 4 6 7 7 2" xfId="3894" xr:uid="{00000000-0005-0000-0000-0000A5150000}"/>
    <cellStyle name="Data 2 4 6 7 8" xfId="3895" xr:uid="{00000000-0005-0000-0000-0000A6150000}"/>
    <cellStyle name="Data 2 4 6 7 8 2" xfId="3896" xr:uid="{00000000-0005-0000-0000-0000A7150000}"/>
    <cellStyle name="Data 2 4 6 7 9" xfId="3897" xr:uid="{00000000-0005-0000-0000-0000A8150000}"/>
    <cellStyle name="Data 2 4 6 7 9 2" xfId="3898" xr:uid="{00000000-0005-0000-0000-0000A9150000}"/>
    <cellStyle name="Data 2 4 6 8" xfId="3899" xr:uid="{00000000-0005-0000-0000-0000AA150000}"/>
    <cellStyle name="Data 2 4 6 8 10" xfId="3900" xr:uid="{00000000-0005-0000-0000-0000AB150000}"/>
    <cellStyle name="Data 2 4 6 8 2" xfId="3901" xr:uid="{00000000-0005-0000-0000-0000AC150000}"/>
    <cellStyle name="Data 2 4 6 8 2 2" xfId="3902" xr:uid="{00000000-0005-0000-0000-0000AD150000}"/>
    <cellStyle name="Data 2 4 6 8 3" xfId="3903" xr:uid="{00000000-0005-0000-0000-0000AE150000}"/>
    <cellStyle name="Data 2 4 6 8 3 2" xfId="3904" xr:uid="{00000000-0005-0000-0000-0000AF150000}"/>
    <cellStyle name="Data 2 4 6 8 4" xfId="3905" xr:uid="{00000000-0005-0000-0000-0000B0150000}"/>
    <cellStyle name="Data 2 4 6 8 4 2" xfId="3906" xr:uid="{00000000-0005-0000-0000-0000B1150000}"/>
    <cellStyle name="Data 2 4 6 8 5" xfId="3907" xr:uid="{00000000-0005-0000-0000-0000B2150000}"/>
    <cellStyle name="Data 2 4 6 8 5 2" xfId="3908" xr:uid="{00000000-0005-0000-0000-0000B3150000}"/>
    <cellStyle name="Data 2 4 6 8 6" xfId="3909" xr:uid="{00000000-0005-0000-0000-0000B4150000}"/>
    <cellStyle name="Data 2 4 6 8 6 2" xfId="3910" xr:uid="{00000000-0005-0000-0000-0000B5150000}"/>
    <cellStyle name="Data 2 4 6 8 7" xfId="3911" xr:uid="{00000000-0005-0000-0000-0000B6150000}"/>
    <cellStyle name="Data 2 4 6 8 7 2" xfId="3912" xr:uid="{00000000-0005-0000-0000-0000B7150000}"/>
    <cellStyle name="Data 2 4 6 8 8" xfId="3913" xr:uid="{00000000-0005-0000-0000-0000B8150000}"/>
    <cellStyle name="Data 2 4 6 8 8 2" xfId="3914" xr:uid="{00000000-0005-0000-0000-0000B9150000}"/>
    <cellStyle name="Data 2 4 6 8 9" xfId="3915" xr:uid="{00000000-0005-0000-0000-0000BA150000}"/>
    <cellStyle name="Data 2 4 6 8 9 2" xfId="3916" xr:uid="{00000000-0005-0000-0000-0000BB150000}"/>
    <cellStyle name="Data 2 4 6 9" xfId="3917" xr:uid="{00000000-0005-0000-0000-0000BC150000}"/>
    <cellStyle name="Data 2 4 6 9 10" xfId="3918" xr:uid="{00000000-0005-0000-0000-0000BD150000}"/>
    <cellStyle name="Data 2 4 6 9 2" xfId="3919" xr:uid="{00000000-0005-0000-0000-0000BE150000}"/>
    <cellStyle name="Data 2 4 6 9 2 2" xfId="3920" xr:uid="{00000000-0005-0000-0000-0000BF150000}"/>
    <cellStyle name="Data 2 4 6 9 3" xfId="3921" xr:uid="{00000000-0005-0000-0000-0000C0150000}"/>
    <cellStyle name="Data 2 4 6 9 3 2" xfId="3922" xr:uid="{00000000-0005-0000-0000-0000C1150000}"/>
    <cellStyle name="Data 2 4 6 9 4" xfId="3923" xr:uid="{00000000-0005-0000-0000-0000C2150000}"/>
    <cellStyle name="Data 2 4 6 9 4 2" xfId="3924" xr:uid="{00000000-0005-0000-0000-0000C3150000}"/>
    <cellStyle name="Data 2 4 6 9 5" xfId="3925" xr:uid="{00000000-0005-0000-0000-0000C4150000}"/>
    <cellStyle name="Data 2 4 6 9 5 2" xfId="3926" xr:uid="{00000000-0005-0000-0000-0000C5150000}"/>
    <cellStyle name="Data 2 4 6 9 6" xfId="3927" xr:uid="{00000000-0005-0000-0000-0000C6150000}"/>
    <cellStyle name="Data 2 4 6 9 6 2" xfId="3928" xr:uid="{00000000-0005-0000-0000-0000C7150000}"/>
    <cellStyle name="Data 2 4 6 9 7" xfId="3929" xr:uid="{00000000-0005-0000-0000-0000C8150000}"/>
    <cellStyle name="Data 2 4 6 9 7 2" xfId="3930" xr:uid="{00000000-0005-0000-0000-0000C9150000}"/>
    <cellStyle name="Data 2 4 6 9 8" xfId="3931" xr:uid="{00000000-0005-0000-0000-0000CA150000}"/>
    <cellStyle name="Data 2 4 6 9 8 2" xfId="3932" xr:uid="{00000000-0005-0000-0000-0000CB150000}"/>
    <cellStyle name="Data 2 4 6 9 9" xfId="3933" xr:uid="{00000000-0005-0000-0000-0000CC150000}"/>
    <cellStyle name="Data 2 4 6 9 9 2" xfId="3934" xr:uid="{00000000-0005-0000-0000-0000CD150000}"/>
    <cellStyle name="Data 2 4 7" xfId="3935" xr:uid="{00000000-0005-0000-0000-0000CE150000}"/>
    <cellStyle name="Data 2 4 7 10" xfId="3936" xr:uid="{00000000-0005-0000-0000-0000CF150000}"/>
    <cellStyle name="Data 2 4 7 10 2" xfId="3937" xr:uid="{00000000-0005-0000-0000-0000D0150000}"/>
    <cellStyle name="Data 2 4 7 10 2 2" xfId="3938" xr:uid="{00000000-0005-0000-0000-0000D1150000}"/>
    <cellStyle name="Data 2 4 7 10 3" xfId="3939" xr:uid="{00000000-0005-0000-0000-0000D2150000}"/>
    <cellStyle name="Data 2 4 7 10 3 2" xfId="3940" xr:uid="{00000000-0005-0000-0000-0000D3150000}"/>
    <cellStyle name="Data 2 4 7 10 4" xfId="3941" xr:uid="{00000000-0005-0000-0000-0000D4150000}"/>
    <cellStyle name="Data 2 4 7 10 4 2" xfId="3942" xr:uid="{00000000-0005-0000-0000-0000D5150000}"/>
    <cellStyle name="Data 2 4 7 10 5" xfId="3943" xr:uid="{00000000-0005-0000-0000-0000D6150000}"/>
    <cellStyle name="Data 2 4 7 10 5 2" xfId="3944" xr:uid="{00000000-0005-0000-0000-0000D7150000}"/>
    <cellStyle name="Data 2 4 7 10 6" xfId="3945" xr:uid="{00000000-0005-0000-0000-0000D8150000}"/>
    <cellStyle name="Data 2 4 7 10 6 2" xfId="3946" xr:uid="{00000000-0005-0000-0000-0000D9150000}"/>
    <cellStyle name="Data 2 4 7 10 7" xfId="3947" xr:uid="{00000000-0005-0000-0000-0000DA150000}"/>
    <cellStyle name="Data 2 4 7 10 7 2" xfId="3948" xr:uid="{00000000-0005-0000-0000-0000DB150000}"/>
    <cellStyle name="Data 2 4 7 10 8" xfId="3949" xr:uid="{00000000-0005-0000-0000-0000DC150000}"/>
    <cellStyle name="Data 2 4 7 10 8 2" xfId="3950" xr:uid="{00000000-0005-0000-0000-0000DD150000}"/>
    <cellStyle name="Data 2 4 7 10 9" xfId="3951" xr:uid="{00000000-0005-0000-0000-0000DE150000}"/>
    <cellStyle name="Data 2 4 7 11" xfId="3952" xr:uid="{00000000-0005-0000-0000-0000DF150000}"/>
    <cellStyle name="Data 2 4 7 11 2" xfId="3953" xr:uid="{00000000-0005-0000-0000-0000E0150000}"/>
    <cellStyle name="Data 2 4 7 12" xfId="3954" xr:uid="{00000000-0005-0000-0000-0000E1150000}"/>
    <cellStyle name="Data 2 4 7 12 2" xfId="3955" xr:uid="{00000000-0005-0000-0000-0000E2150000}"/>
    <cellStyle name="Data 2 4 7 13" xfId="3956" xr:uid="{00000000-0005-0000-0000-0000E3150000}"/>
    <cellStyle name="Data 2 4 7 13 2" xfId="3957" xr:uid="{00000000-0005-0000-0000-0000E4150000}"/>
    <cellStyle name="Data 2 4 7 14" xfId="3958" xr:uid="{00000000-0005-0000-0000-0000E5150000}"/>
    <cellStyle name="Data 2 4 7 14 2" xfId="3959" xr:uid="{00000000-0005-0000-0000-0000E6150000}"/>
    <cellStyle name="Data 2 4 7 15" xfId="3960" xr:uid="{00000000-0005-0000-0000-0000E7150000}"/>
    <cellStyle name="Data 2 4 7 15 2" xfId="3961" xr:uid="{00000000-0005-0000-0000-0000E8150000}"/>
    <cellStyle name="Data 2 4 7 16" xfId="3962" xr:uid="{00000000-0005-0000-0000-0000E9150000}"/>
    <cellStyle name="Data 2 4 7 16 2" xfId="3963" xr:uid="{00000000-0005-0000-0000-0000EA150000}"/>
    <cellStyle name="Data 2 4 7 17" xfId="3964" xr:uid="{00000000-0005-0000-0000-0000EB150000}"/>
    <cellStyle name="Data 2 4 7 17 2" xfId="3965" xr:uid="{00000000-0005-0000-0000-0000EC150000}"/>
    <cellStyle name="Data 2 4 7 18" xfId="3966" xr:uid="{00000000-0005-0000-0000-0000ED150000}"/>
    <cellStyle name="Data 2 4 7 2" xfId="3967" xr:uid="{00000000-0005-0000-0000-0000EE150000}"/>
    <cellStyle name="Data 2 4 7 2 10" xfId="3968" xr:uid="{00000000-0005-0000-0000-0000EF150000}"/>
    <cellStyle name="Data 2 4 7 2 2" xfId="3969" xr:uid="{00000000-0005-0000-0000-0000F0150000}"/>
    <cellStyle name="Data 2 4 7 2 2 2" xfId="3970" xr:uid="{00000000-0005-0000-0000-0000F1150000}"/>
    <cellStyle name="Data 2 4 7 2 3" xfId="3971" xr:uid="{00000000-0005-0000-0000-0000F2150000}"/>
    <cellStyle name="Data 2 4 7 2 3 2" xfId="3972" xr:uid="{00000000-0005-0000-0000-0000F3150000}"/>
    <cellStyle name="Data 2 4 7 2 4" xfId="3973" xr:uid="{00000000-0005-0000-0000-0000F4150000}"/>
    <cellStyle name="Data 2 4 7 2 4 2" xfId="3974" xr:uid="{00000000-0005-0000-0000-0000F5150000}"/>
    <cellStyle name="Data 2 4 7 2 5" xfId="3975" xr:uid="{00000000-0005-0000-0000-0000F6150000}"/>
    <cellStyle name="Data 2 4 7 2 5 2" xfId="3976" xr:uid="{00000000-0005-0000-0000-0000F7150000}"/>
    <cellStyle name="Data 2 4 7 2 6" xfId="3977" xr:uid="{00000000-0005-0000-0000-0000F8150000}"/>
    <cellStyle name="Data 2 4 7 2 6 2" xfId="3978" xr:uid="{00000000-0005-0000-0000-0000F9150000}"/>
    <cellStyle name="Data 2 4 7 2 7" xfId="3979" xr:uid="{00000000-0005-0000-0000-0000FA150000}"/>
    <cellStyle name="Data 2 4 7 2 7 2" xfId="3980" xr:uid="{00000000-0005-0000-0000-0000FB150000}"/>
    <cellStyle name="Data 2 4 7 2 8" xfId="3981" xr:uid="{00000000-0005-0000-0000-0000FC150000}"/>
    <cellStyle name="Data 2 4 7 2 8 2" xfId="3982" xr:uid="{00000000-0005-0000-0000-0000FD150000}"/>
    <cellStyle name="Data 2 4 7 2 9" xfId="3983" xr:uid="{00000000-0005-0000-0000-0000FE150000}"/>
    <cellStyle name="Data 2 4 7 2 9 2" xfId="3984" xr:uid="{00000000-0005-0000-0000-0000FF150000}"/>
    <cellStyle name="Data 2 4 7 3" xfId="3985" xr:uid="{00000000-0005-0000-0000-000000160000}"/>
    <cellStyle name="Data 2 4 7 3 10" xfId="3986" xr:uid="{00000000-0005-0000-0000-000001160000}"/>
    <cellStyle name="Data 2 4 7 3 2" xfId="3987" xr:uid="{00000000-0005-0000-0000-000002160000}"/>
    <cellStyle name="Data 2 4 7 3 2 2" xfId="3988" xr:uid="{00000000-0005-0000-0000-000003160000}"/>
    <cellStyle name="Data 2 4 7 3 3" xfId="3989" xr:uid="{00000000-0005-0000-0000-000004160000}"/>
    <cellStyle name="Data 2 4 7 3 3 2" xfId="3990" xr:uid="{00000000-0005-0000-0000-000005160000}"/>
    <cellStyle name="Data 2 4 7 3 4" xfId="3991" xr:uid="{00000000-0005-0000-0000-000006160000}"/>
    <cellStyle name="Data 2 4 7 3 4 2" xfId="3992" xr:uid="{00000000-0005-0000-0000-000007160000}"/>
    <cellStyle name="Data 2 4 7 3 5" xfId="3993" xr:uid="{00000000-0005-0000-0000-000008160000}"/>
    <cellStyle name="Data 2 4 7 3 5 2" xfId="3994" xr:uid="{00000000-0005-0000-0000-000009160000}"/>
    <cellStyle name="Data 2 4 7 3 6" xfId="3995" xr:uid="{00000000-0005-0000-0000-00000A160000}"/>
    <cellStyle name="Data 2 4 7 3 6 2" xfId="3996" xr:uid="{00000000-0005-0000-0000-00000B160000}"/>
    <cellStyle name="Data 2 4 7 3 7" xfId="3997" xr:uid="{00000000-0005-0000-0000-00000C160000}"/>
    <cellStyle name="Data 2 4 7 3 7 2" xfId="3998" xr:uid="{00000000-0005-0000-0000-00000D160000}"/>
    <cellStyle name="Data 2 4 7 3 8" xfId="3999" xr:uid="{00000000-0005-0000-0000-00000E160000}"/>
    <cellStyle name="Data 2 4 7 3 8 2" xfId="4000" xr:uid="{00000000-0005-0000-0000-00000F160000}"/>
    <cellStyle name="Data 2 4 7 3 9" xfId="4001" xr:uid="{00000000-0005-0000-0000-000010160000}"/>
    <cellStyle name="Data 2 4 7 3 9 2" xfId="4002" xr:uid="{00000000-0005-0000-0000-000011160000}"/>
    <cellStyle name="Data 2 4 7 4" xfId="4003" xr:uid="{00000000-0005-0000-0000-000012160000}"/>
    <cellStyle name="Data 2 4 7 4 10" xfId="4004" xr:uid="{00000000-0005-0000-0000-000013160000}"/>
    <cellStyle name="Data 2 4 7 4 2" xfId="4005" xr:uid="{00000000-0005-0000-0000-000014160000}"/>
    <cellStyle name="Data 2 4 7 4 2 2" xfId="4006" xr:uid="{00000000-0005-0000-0000-000015160000}"/>
    <cellStyle name="Data 2 4 7 4 3" xfId="4007" xr:uid="{00000000-0005-0000-0000-000016160000}"/>
    <cellStyle name="Data 2 4 7 4 3 2" xfId="4008" xr:uid="{00000000-0005-0000-0000-000017160000}"/>
    <cellStyle name="Data 2 4 7 4 4" xfId="4009" xr:uid="{00000000-0005-0000-0000-000018160000}"/>
    <cellStyle name="Data 2 4 7 4 4 2" xfId="4010" xr:uid="{00000000-0005-0000-0000-000019160000}"/>
    <cellStyle name="Data 2 4 7 4 5" xfId="4011" xr:uid="{00000000-0005-0000-0000-00001A160000}"/>
    <cellStyle name="Data 2 4 7 4 5 2" xfId="4012" xr:uid="{00000000-0005-0000-0000-00001B160000}"/>
    <cellStyle name="Data 2 4 7 4 6" xfId="4013" xr:uid="{00000000-0005-0000-0000-00001C160000}"/>
    <cellStyle name="Data 2 4 7 4 6 2" xfId="4014" xr:uid="{00000000-0005-0000-0000-00001D160000}"/>
    <cellStyle name="Data 2 4 7 4 7" xfId="4015" xr:uid="{00000000-0005-0000-0000-00001E160000}"/>
    <cellStyle name="Data 2 4 7 4 7 2" xfId="4016" xr:uid="{00000000-0005-0000-0000-00001F160000}"/>
    <cellStyle name="Data 2 4 7 4 8" xfId="4017" xr:uid="{00000000-0005-0000-0000-000020160000}"/>
    <cellStyle name="Data 2 4 7 4 8 2" xfId="4018" xr:uid="{00000000-0005-0000-0000-000021160000}"/>
    <cellStyle name="Data 2 4 7 4 9" xfId="4019" xr:uid="{00000000-0005-0000-0000-000022160000}"/>
    <cellStyle name="Data 2 4 7 4 9 2" xfId="4020" xr:uid="{00000000-0005-0000-0000-000023160000}"/>
    <cellStyle name="Data 2 4 7 5" xfId="4021" xr:uid="{00000000-0005-0000-0000-000024160000}"/>
    <cellStyle name="Data 2 4 7 5 10" xfId="4022" xr:uid="{00000000-0005-0000-0000-000025160000}"/>
    <cellStyle name="Data 2 4 7 5 2" xfId="4023" xr:uid="{00000000-0005-0000-0000-000026160000}"/>
    <cellStyle name="Data 2 4 7 5 2 2" xfId="4024" xr:uid="{00000000-0005-0000-0000-000027160000}"/>
    <cellStyle name="Data 2 4 7 5 3" xfId="4025" xr:uid="{00000000-0005-0000-0000-000028160000}"/>
    <cellStyle name="Data 2 4 7 5 3 2" xfId="4026" xr:uid="{00000000-0005-0000-0000-000029160000}"/>
    <cellStyle name="Data 2 4 7 5 4" xfId="4027" xr:uid="{00000000-0005-0000-0000-00002A160000}"/>
    <cellStyle name="Data 2 4 7 5 4 2" xfId="4028" xr:uid="{00000000-0005-0000-0000-00002B160000}"/>
    <cellStyle name="Data 2 4 7 5 5" xfId="4029" xr:uid="{00000000-0005-0000-0000-00002C160000}"/>
    <cellStyle name="Data 2 4 7 5 5 2" xfId="4030" xr:uid="{00000000-0005-0000-0000-00002D160000}"/>
    <cellStyle name="Data 2 4 7 5 6" xfId="4031" xr:uid="{00000000-0005-0000-0000-00002E160000}"/>
    <cellStyle name="Data 2 4 7 5 6 2" xfId="4032" xr:uid="{00000000-0005-0000-0000-00002F160000}"/>
    <cellStyle name="Data 2 4 7 5 7" xfId="4033" xr:uid="{00000000-0005-0000-0000-000030160000}"/>
    <cellStyle name="Data 2 4 7 5 7 2" xfId="4034" xr:uid="{00000000-0005-0000-0000-000031160000}"/>
    <cellStyle name="Data 2 4 7 5 8" xfId="4035" xr:uid="{00000000-0005-0000-0000-000032160000}"/>
    <cellStyle name="Data 2 4 7 5 8 2" xfId="4036" xr:uid="{00000000-0005-0000-0000-000033160000}"/>
    <cellStyle name="Data 2 4 7 5 9" xfId="4037" xr:uid="{00000000-0005-0000-0000-000034160000}"/>
    <cellStyle name="Data 2 4 7 5 9 2" xfId="4038" xr:uid="{00000000-0005-0000-0000-000035160000}"/>
    <cellStyle name="Data 2 4 7 6" xfId="4039" xr:uid="{00000000-0005-0000-0000-000036160000}"/>
    <cellStyle name="Data 2 4 7 6 10" xfId="4040" xr:uid="{00000000-0005-0000-0000-000037160000}"/>
    <cellStyle name="Data 2 4 7 6 2" xfId="4041" xr:uid="{00000000-0005-0000-0000-000038160000}"/>
    <cellStyle name="Data 2 4 7 6 2 2" xfId="4042" xr:uid="{00000000-0005-0000-0000-000039160000}"/>
    <cellStyle name="Data 2 4 7 6 3" xfId="4043" xr:uid="{00000000-0005-0000-0000-00003A160000}"/>
    <cellStyle name="Data 2 4 7 6 3 2" xfId="4044" xr:uid="{00000000-0005-0000-0000-00003B160000}"/>
    <cellStyle name="Data 2 4 7 6 4" xfId="4045" xr:uid="{00000000-0005-0000-0000-00003C160000}"/>
    <cellStyle name="Data 2 4 7 6 4 2" xfId="4046" xr:uid="{00000000-0005-0000-0000-00003D160000}"/>
    <cellStyle name="Data 2 4 7 6 5" xfId="4047" xr:uid="{00000000-0005-0000-0000-00003E160000}"/>
    <cellStyle name="Data 2 4 7 6 5 2" xfId="4048" xr:uid="{00000000-0005-0000-0000-00003F160000}"/>
    <cellStyle name="Data 2 4 7 6 6" xfId="4049" xr:uid="{00000000-0005-0000-0000-000040160000}"/>
    <cellStyle name="Data 2 4 7 6 6 2" xfId="4050" xr:uid="{00000000-0005-0000-0000-000041160000}"/>
    <cellStyle name="Data 2 4 7 6 7" xfId="4051" xr:uid="{00000000-0005-0000-0000-000042160000}"/>
    <cellStyle name="Data 2 4 7 6 7 2" xfId="4052" xr:uid="{00000000-0005-0000-0000-000043160000}"/>
    <cellStyle name="Data 2 4 7 6 8" xfId="4053" xr:uid="{00000000-0005-0000-0000-000044160000}"/>
    <cellStyle name="Data 2 4 7 6 8 2" xfId="4054" xr:uid="{00000000-0005-0000-0000-000045160000}"/>
    <cellStyle name="Data 2 4 7 6 9" xfId="4055" xr:uid="{00000000-0005-0000-0000-000046160000}"/>
    <cellStyle name="Data 2 4 7 6 9 2" xfId="4056" xr:uid="{00000000-0005-0000-0000-000047160000}"/>
    <cellStyle name="Data 2 4 7 7" xfId="4057" xr:uid="{00000000-0005-0000-0000-000048160000}"/>
    <cellStyle name="Data 2 4 7 7 10" xfId="4058" xr:uid="{00000000-0005-0000-0000-000049160000}"/>
    <cellStyle name="Data 2 4 7 7 2" xfId="4059" xr:uid="{00000000-0005-0000-0000-00004A160000}"/>
    <cellStyle name="Data 2 4 7 7 2 2" xfId="4060" xr:uid="{00000000-0005-0000-0000-00004B160000}"/>
    <cellStyle name="Data 2 4 7 7 3" xfId="4061" xr:uid="{00000000-0005-0000-0000-00004C160000}"/>
    <cellStyle name="Data 2 4 7 7 3 2" xfId="4062" xr:uid="{00000000-0005-0000-0000-00004D160000}"/>
    <cellStyle name="Data 2 4 7 7 4" xfId="4063" xr:uid="{00000000-0005-0000-0000-00004E160000}"/>
    <cellStyle name="Data 2 4 7 7 4 2" xfId="4064" xr:uid="{00000000-0005-0000-0000-00004F160000}"/>
    <cellStyle name="Data 2 4 7 7 5" xfId="4065" xr:uid="{00000000-0005-0000-0000-000050160000}"/>
    <cellStyle name="Data 2 4 7 7 5 2" xfId="4066" xr:uid="{00000000-0005-0000-0000-000051160000}"/>
    <cellStyle name="Data 2 4 7 7 6" xfId="4067" xr:uid="{00000000-0005-0000-0000-000052160000}"/>
    <cellStyle name="Data 2 4 7 7 6 2" xfId="4068" xr:uid="{00000000-0005-0000-0000-000053160000}"/>
    <cellStyle name="Data 2 4 7 7 7" xfId="4069" xr:uid="{00000000-0005-0000-0000-000054160000}"/>
    <cellStyle name="Data 2 4 7 7 7 2" xfId="4070" xr:uid="{00000000-0005-0000-0000-000055160000}"/>
    <cellStyle name="Data 2 4 7 7 8" xfId="4071" xr:uid="{00000000-0005-0000-0000-000056160000}"/>
    <cellStyle name="Data 2 4 7 7 8 2" xfId="4072" xr:uid="{00000000-0005-0000-0000-000057160000}"/>
    <cellStyle name="Data 2 4 7 7 9" xfId="4073" xr:uid="{00000000-0005-0000-0000-000058160000}"/>
    <cellStyle name="Data 2 4 7 7 9 2" xfId="4074" xr:uid="{00000000-0005-0000-0000-000059160000}"/>
    <cellStyle name="Data 2 4 7 8" xfId="4075" xr:uid="{00000000-0005-0000-0000-00005A160000}"/>
    <cellStyle name="Data 2 4 7 8 10" xfId="4076" xr:uid="{00000000-0005-0000-0000-00005B160000}"/>
    <cellStyle name="Data 2 4 7 8 2" xfId="4077" xr:uid="{00000000-0005-0000-0000-00005C160000}"/>
    <cellStyle name="Data 2 4 7 8 2 2" xfId="4078" xr:uid="{00000000-0005-0000-0000-00005D160000}"/>
    <cellStyle name="Data 2 4 7 8 3" xfId="4079" xr:uid="{00000000-0005-0000-0000-00005E160000}"/>
    <cellStyle name="Data 2 4 7 8 3 2" xfId="4080" xr:uid="{00000000-0005-0000-0000-00005F160000}"/>
    <cellStyle name="Data 2 4 7 8 4" xfId="4081" xr:uid="{00000000-0005-0000-0000-000060160000}"/>
    <cellStyle name="Data 2 4 7 8 4 2" xfId="4082" xr:uid="{00000000-0005-0000-0000-000061160000}"/>
    <cellStyle name="Data 2 4 7 8 5" xfId="4083" xr:uid="{00000000-0005-0000-0000-000062160000}"/>
    <cellStyle name="Data 2 4 7 8 5 2" xfId="4084" xr:uid="{00000000-0005-0000-0000-000063160000}"/>
    <cellStyle name="Data 2 4 7 8 6" xfId="4085" xr:uid="{00000000-0005-0000-0000-000064160000}"/>
    <cellStyle name="Data 2 4 7 8 6 2" xfId="4086" xr:uid="{00000000-0005-0000-0000-000065160000}"/>
    <cellStyle name="Data 2 4 7 8 7" xfId="4087" xr:uid="{00000000-0005-0000-0000-000066160000}"/>
    <cellStyle name="Data 2 4 7 8 7 2" xfId="4088" xr:uid="{00000000-0005-0000-0000-000067160000}"/>
    <cellStyle name="Data 2 4 7 8 8" xfId="4089" xr:uid="{00000000-0005-0000-0000-000068160000}"/>
    <cellStyle name="Data 2 4 7 8 8 2" xfId="4090" xr:uid="{00000000-0005-0000-0000-000069160000}"/>
    <cellStyle name="Data 2 4 7 8 9" xfId="4091" xr:uid="{00000000-0005-0000-0000-00006A160000}"/>
    <cellStyle name="Data 2 4 7 8 9 2" xfId="4092" xr:uid="{00000000-0005-0000-0000-00006B160000}"/>
    <cellStyle name="Data 2 4 7 9" xfId="4093" xr:uid="{00000000-0005-0000-0000-00006C160000}"/>
    <cellStyle name="Data 2 4 7 9 10" xfId="4094" xr:uid="{00000000-0005-0000-0000-00006D160000}"/>
    <cellStyle name="Data 2 4 7 9 2" xfId="4095" xr:uid="{00000000-0005-0000-0000-00006E160000}"/>
    <cellStyle name="Data 2 4 7 9 2 2" xfId="4096" xr:uid="{00000000-0005-0000-0000-00006F160000}"/>
    <cellStyle name="Data 2 4 7 9 3" xfId="4097" xr:uid="{00000000-0005-0000-0000-000070160000}"/>
    <cellStyle name="Data 2 4 7 9 3 2" xfId="4098" xr:uid="{00000000-0005-0000-0000-000071160000}"/>
    <cellStyle name="Data 2 4 7 9 4" xfId="4099" xr:uid="{00000000-0005-0000-0000-000072160000}"/>
    <cellStyle name="Data 2 4 7 9 4 2" xfId="4100" xr:uid="{00000000-0005-0000-0000-000073160000}"/>
    <cellStyle name="Data 2 4 7 9 5" xfId="4101" xr:uid="{00000000-0005-0000-0000-000074160000}"/>
    <cellStyle name="Data 2 4 7 9 5 2" xfId="4102" xr:uid="{00000000-0005-0000-0000-000075160000}"/>
    <cellStyle name="Data 2 4 7 9 6" xfId="4103" xr:uid="{00000000-0005-0000-0000-000076160000}"/>
    <cellStyle name="Data 2 4 7 9 6 2" xfId="4104" xr:uid="{00000000-0005-0000-0000-000077160000}"/>
    <cellStyle name="Data 2 4 7 9 7" xfId="4105" xr:uid="{00000000-0005-0000-0000-000078160000}"/>
    <cellStyle name="Data 2 4 7 9 7 2" xfId="4106" xr:uid="{00000000-0005-0000-0000-000079160000}"/>
    <cellStyle name="Data 2 4 7 9 8" xfId="4107" xr:uid="{00000000-0005-0000-0000-00007A160000}"/>
    <cellStyle name="Data 2 4 7 9 8 2" xfId="4108" xr:uid="{00000000-0005-0000-0000-00007B160000}"/>
    <cellStyle name="Data 2 4 7 9 9" xfId="4109" xr:uid="{00000000-0005-0000-0000-00007C160000}"/>
    <cellStyle name="Data 2 4 7 9 9 2" xfId="4110" xr:uid="{00000000-0005-0000-0000-00007D160000}"/>
    <cellStyle name="Data 2 4 8" xfId="4111" xr:uid="{00000000-0005-0000-0000-00007E160000}"/>
    <cellStyle name="Data 2 4 8 10" xfId="4112" xr:uid="{00000000-0005-0000-0000-00007F160000}"/>
    <cellStyle name="Data 2 4 8 10 2" xfId="4113" xr:uid="{00000000-0005-0000-0000-000080160000}"/>
    <cellStyle name="Data 2 4 8 10 2 2" xfId="4114" xr:uid="{00000000-0005-0000-0000-000081160000}"/>
    <cellStyle name="Data 2 4 8 10 3" xfId="4115" xr:uid="{00000000-0005-0000-0000-000082160000}"/>
    <cellStyle name="Data 2 4 8 10 3 2" xfId="4116" xr:uid="{00000000-0005-0000-0000-000083160000}"/>
    <cellStyle name="Data 2 4 8 10 4" xfId="4117" xr:uid="{00000000-0005-0000-0000-000084160000}"/>
    <cellStyle name="Data 2 4 8 10 4 2" xfId="4118" xr:uid="{00000000-0005-0000-0000-000085160000}"/>
    <cellStyle name="Data 2 4 8 10 5" xfId="4119" xr:uid="{00000000-0005-0000-0000-000086160000}"/>
    <cellStyle name="Data 2 4 8 10 5 2" xfId="4120" xr:uid="{00000000-0005-0000-0000-000087160000}"/>
    <cellStyle name="Data 2 4 8 10 6" xfId="4121" xr:uid="{00000000-0005-0000-0000-000088160000}"/>
    <cellStyle name="Data 2 4 8 10 6 2" xfId="4122" xr:uid="{00000000-0005-0000-0000-000089160000}"/>
    <cellStyle name="Data 2 4 8 10 7" xfId="4123" xr:uid="{00000000-0005-0000-0000-00008A160000}"/>
    <cellStyle name="Data 2 4 8 10 7 2" xfId="4124" xr:uid="{00000000-0005-0000-0000-00008B160000}"/>
    <cellStyle name="Data 2 4 8 10 8" xfId="4125" xr:uid="{00000000-0005-0000-0000-00008C160000}"/>
    <cellStyle name="Data 2 4 8 10 8 2" xfId="4126" xr:uid="{00000000-0005-0000-0000-00008D160000}"/>
    <cellStyle name="Data 2 4 8 10 9" xfId="4127" xr:uid="{00000000-0005-0000-0000-00008E160000}"/>
    <cellStyle name="Data 2 4 8 11" xfId="4128" xr:uid="{00000000-0005-0000-0000-00008F160000}"/>
    <cellStyle name="Data 2 4 8 11 2" xfId="4129" xr:uid="{00000000-0005-0000-0000-000090160000}"/>
    <cellStyle name="Data 2 4 8 12" xfId="4130" xr:uid="{00000000-0005-0000-0000-000091160000}"/>
    <cellStyle name="Data 2 4 8 12 2" xfId="4131" xr:uid="{00000000-0005-0000-0000-000092160000}"/>
    <cellStyle name="Data 2 4 8 13" xfId="4132" xr:uid="{00000000-0005-0000-0000-000093160000}"/>
    <cellStyle name="Data 2 4 8 13 2" xfId="4133" xr:uid="{00000000-0005-0000-0000-000094160000}"/>
    <cellStyle name="Data 2 4 8 14" xfId="4134" xr:uid="{00000000-0005-0000-0000-000095160000}"/>
    <cellStyle name="Data 2 4 8 14 2" xfId="4135" xr:uid="{00000000-0005-0000-0000-000096160000}"/>
    <cellStyle name="Data 2 4 8 15" xfId="4136" xr:uid="{00000000-0005-0000-0000-000097160000}"/>
    <cellStyle name="Data 2 4 8 15 2" xfId="4137" xr:uid="{00000000-0005-0000-0000-000098160000}"/>
    <cellStyle name="Data 2 4 8 16" xfId="4138" xr:uid="{00000000-0005-0000-0000-000099160000}"/>
    <cellStyle name="Data 2 4 8 16 2" xfId="4139" xr:uid="{00000000-0005-0000-0000-00009A160000}"/>
    <cellStyle name="Data 2 4 8 17" xfId="4140" xr:uid="{00000000-0005-0000-0000-00009B160000}"/>
    <cellStyle name="Data 2 4 8 17 2" xfId="4141" xr:uid="{00000000-0005-0000-0000-00009C160000}"/>
    <cellStyle name="Data 2 4 8 18" xfId="4142" xr:uid="{00000000-0005-0000-0000-00009D160000}"/>
    <cellStyle name="Data 2 4 8 2" xfId="4143" xr:uid="{00000000-0005-0000-0000-00009E160000}"/>
    <cellStyle name="Data 2 4 8 2 10" xfId="4144" xr:uid="{00000000-0005-0000-0000-00009F160000}"/>
    <cellStyle name="Data 2 4 8 2 2" xfId="4145" xr:uid="{00000000-0005-0000-0000-0000A0160000}"/>
    <cellStyle name="Data 2 4 8 2 2 2" xfId="4146" xr:uid="{00000000-0005-0000-0000-0000A1160000}"/>
    <cellStyle name="Data 2 4 8 2 3" xfId="4147" xr:uid="{00000000-0005-0000-0000-0000A2160000}"/>
    <cellStyle name="Data 2 4 8 2 3 2" xfId="4148" xr:uid="{00000000-0005-0000-0000-0000A3160000}"/>
    <cellStyle name="Data 2 4 8 2 4" xfId="4149" xr:uid="{00000000-0005-0000-0000-0000A4160000}"/>
    <cellStyle name="Data 2 4 8 2 4 2" xfId="4150" xr:uid="{00000000-0005-0000-0000-0000A5160000}"/>
    <cellStyle name="Data 2 4 8 2 5" xfId="4151" xr:uid="{00000000-0005-0000-0000-0000A6160000}"/>
    <cellStyle name="Data 2 4 8 2 5 2" xfId="4152" xr:uid="{00000000-0005-0000-0000-0000A7160000}"/>
    <cellStyle name="Data 2 4 8 2 6" xfId="4153" xr:uid="{00000000-0005-0000-0000-0000A8160000}"/>
    <cellStyle name="Data 2 4 8 2 6 2" xfId="4154" xr:uid="{00000000-0005-0000-0000-0000A9160000}"/>
    <cellStyle name="Data 2 4 8 2 7" xfId="4155" xr:uid="{00000000-0005-0000-0000-0000AA160000}"/>
    <cellStyle name="Data 2 4 8 2 7 2" xfId="4156" xr:uid="{00000000-0005-0000-0000-0000AB160000}"/>
    <cellStyle name="Data 2 4 8 2 8" xfId="4157" xr:uid="{00000000-0005-0000-0000-0000AC160000}"/>
    <cellStyle name="Data 2 4 8 2 8 2" xfId="4158" xr:uid="{00000000-0005-0000-0000-0000AD160000}"/>
    <cellStyle name="Data 2 4 8 2 9" xfId="4159" xr:uid="{00000000-0005-0000-0000-0000AE160000}"/>
    <cellStyle name="Data 2 4 8 2 9 2" xfId="4160" xr:uid="{00000000-0005-0000-0000-0000AF160000}"/>
    <cellStyle name="Data 2 4 8 3" xfId="4161" xr:uid="{00000000-0005-0000-0000-0000B0160000}"/>
    <cellStyle name="Data 2 4 8 3 10" xfId="4162" xr:uid="{00000000-0005-0000-0000-0000B1160000}"/>
    <cellStyle name="Data 2 4 8 3 2" xfId="4163" xr:uid="{00000000-0005-0000-0000-0000B2160000}"/>
    <cellStyle name="Data 2 4 8 3 2 2" xfId="4164" xr:uid="{00000000-0005-0000-0000-0000B3160000}"/>
    <cellStyle name="Data 2 4 8 3 3" xfId="4165" xr:uid="{00000000-0005-0000-0000-0000B4160000}"/>
    <cellStyle name="Data 2 4 8 3 3 2" xfId="4166" xr:uid="{00000000-0005-0000-0000-0000B5160000}"/>
    <cellStyle name="Data 2 4 8 3 4" xfId="4167" xr:uid="{00000000-0005-0000-0000-0000B6160000}"/>
    <cellStyle name="Data 2 4 8 3 4 2" xfId="4168" xr:uid="{00000000-0005-0000-0000-0000B7160000}"/>
    <cellStyle name="Data 2 4 8 3 5" xfId="4169" xr:uid="{00000000-0005-0000-0000-0000B8160000}"/>
    <cellStyle name="Data 2 4 8 3 5 2" xfId="4170" xr:uid="{00000000-0005-0000-0000-0000B9160000}"/>
    <cellStyle name="Data 2 4 8 3 6" xfId="4171" xr:uid="{00000000-0005-0000-0000-0000BA160000}"/>
    <cellStyle name="Data 2 4 8 3 6 2" xfId="4172" xr:uid="{00000000-0005-0000-0000-0000BB160000}"/>
    <cellStyle name="Data 2 4 8 3 7" xfId="4173" xr:uid="{00000000-0005-0000-0000-0000BC160000}"/>
    <cellStyle name="Data 2 4 8 3 7 2" xfId="4174" xr:uid="{00000000-0005-0000-0000-0000BD160000}"/>
    <cellStyle name="Data 2 4 8 3 8" xfId="4175" xr:uid="{00000000-0005-0000-0000-0000BE160000}"/>
    <cellStyle name="Data 2 4 8 3 8 2" xfId="4176" xr:uid="{00000000-0005-0000-0000-0000BF160000}"/>
    <cellStyle name="Data 2 4 8 3 9" xfId="4177" xr:uid="{00000000-0005-0000-0000-0000C0160000}"/>
    <cellStyle name="Data 2 4 8 3 9 2" xfId="4178" xr:uid="{00000000-0005-0000-0000-0000C1160000}"/>
    <cellStyle name="Data 2 4 8 4" xfId="4179" xr:uid="{00000000-0005-0000-0000-0000C2160000}"/>
    <cellStyle name="Data 2 4 8 4 10" xfId="4180" xr:uid="{00000000-0005-0000-0000-0000C3160000}"/>
    <cellStyle name="Data 2 4 8 4 2" xfId="4181" xr:uid="{00000000-0005-0000-0000-0000C4160000}"/>
    <cellStyle name="Data 2 4 8 4 2 2" xfId="4182" xr:uid="{00000000-0005-0000-0000-0000C5160000}"/>
    <cellStyle name="Data 2 4 8 4 3" xfId="4183" xr:uid="{00000000-0005-0000-0000-0000C6160000}"/>
    <cellStyle name="Data 2 4 8 4 3 2" xfId="4184" xr:uid="{00000000-0005-0000-0000-0000C7160000}"/>
    <cellStyle name="Data 2 4 8 4 4" xfId="4185" xr:uid="{00000000-0005-0000-0000-0000C8160000}"/>
    <cellStyle name="Data 2 4 8 4 4 2" xfId="4186" xr:uid="{00000000-0005-0000-0000-0000C9160000}"/>
    <cellStyle name="Data 2 4 8 4 5" xfId="4187" xr:uid="{00000000-0005-0000-0000-0000CA160000}"/>
    <cellStyle name="Data 2 4 8 4 5 2" xfId="4188" xr:uid="{00000000-0005-0000-0000-0000CB160000}"/>
    <cellStyle name="Data 2 4 8 4 6" xfId="4189" xr:uid="{00000000-0005-0000-0000-0000CC160000}"/>
    <cellStyle name="Data 2 4 8 4 6 2" xfId="4190" xr:uid="{00000000-0005-0000-0000-0000CD160000}"/>
    <cellStyle name="Data 2 4 8 4 7" xfId="4191" xr:uid="{00000000-0005-0000-0000-0000CE160000}"/>
    <cellStyle name="Data 2 4 8 4 7 2" xfId="4192" xr:uid="{00000000-0005-0000-0000-0000CF160000}"/>
    <cellStyle name="Data 2 4 8 4 8" xfId="4193" xr:uid="{00000000-0005-0000-0000-0000D0160000}"/>
    <cellStyle name="Data 2 4 8 4 8 2" xfId="4194" xr:uid="{00000000-0005-0000-0000-0000D1160000}"/>
    <cellStyle name="Data 2 4 8 4 9" xfId="4195" xr:uid="{00000000-0005-0000-0000-0000D2160000}"/>
    <cellStyle name="Data 2 4 8 4 9 2" xfId="4196" xr:uid="{00000000-0005-0000-0000-0000D3160000}"/>
    <cellStyle name="Data 2 4 8 5" xfId="4197" xr:uid="{00000000-0005-0000-0000-0000D4160000}"/>
    <cellStyle name="Data 2 4 8 5 10" xfId="4198" xr:uid="{00000000-0005-0000-0000-0000D5160000}"/>
    <cellStyle name="Data 2 4 8 5 2" xfId="4199" xr:uid="{00000000-0005-0000-0000-0000D6160000}"/>
    <cellStyle name="Data 2 4 8 5 2 2" xfId="4200" xr:uid="{00000000-0005-0000-0000-0000D7160000}"/>
    <cellStyle name="Data 2 4 8 5 3" xfId="4201" xr:uid="{00000000-0005-0000-0000-0000D8160000}"/>
    <cellStyle name="Data 2 4 8 5 3 2" xfId="4202" xr:uid="{00000000-0005-0000-0000-0000D9160000}"/>
    <cellStyle name="Data 2 4 8 5 4" xfId="4203" xr:uid="{00000000-0005-0000-0000-0000DA160000}"/>
    <cellStyle name="Data 2 4 8 5 4 2" xfId="4204" xr:uid="{00000000-0005-0000-0000-0000DB160000}"/>
    <cellStyle name="Data 2 4 8 5 5" xfId="4205" xr:uid="{00000000-0005-0000-0000-0000DC160000}"/>
    <cellStyle name="Data 2 4 8 5 5 2" xfId="4206" xr:uid="{00000000-0005-0000-0000-0000DD160000}"/>
    <cellStyle name="Data 2 4 8 5 6" xfId="4207" xr:uid="{00000000-0005-0000-0000-0000DE160000}"/>
    <cellStyle name="Data 2 4 8 5 6 2" xfId="4208" xr:uid="{00000000-0005-0000-0000-0000DF160000}"/>
    <cellStyle name="Data 2 4 8 5 7" xfId="4209" xr:uid="{00000000-0005-0000-0000-0000E0160000}"/>
    <cellStyle name="Data 2 4 8 5 7 2" xfId="4210" xr:uid="{00000000-0005-0000-0000-0000E1160000}"/>
    <cellStyle name="Data 2 4 8 5 8" xfId="4211" xr:uid="{00000000-0005-0000-0000-0000E2160000}"/>
    <cellStyle name="Data 2 4 8 5 8 2" xfId="4212" xr:uid="{00000000-0005-0000-0000-0000E3160000}"/>
    <cellStyle name="Data 2 4 8 5 9" xfId="4213" xr:uid="{00000000-0005-0000-0000-0000E4160000}"/>
    <cellStyle name="Data 2 4 8 5 9 2" xfId="4214" xr:uid="{00000000-0005-0000-0000-0000E5160000}"/>
    <cellStyle name="Data 2 4 8 6" xfId="4215" xr:uid="{00000000-0005-0000-0000-0000E6160000}"/>
    <cellStyle name="Data 2 4 8 6 10" xfId="4216" xr:uid="{00000000-0005-0000-0000-0000E7160000}"/>
    <cellStyle name="Data 2 4 8 6 2" xfId="4217" xr:uid="{00000000-0005-0000-0000-0000E8160000}"/>
    <cellStyle name="Data 2 4 8 6 2 2" xfId="4218" xr:uid="{00000000-0005-0000-0000-0000E9160000}"/>
    <cellStyle name="Data 2 4 8 6 3" xfId="4219" xr:uid="{00000000-0005-0000-0000-0000EA160000}"/>
    <cellStyle name="Data 2 4 8 6 3 2" xfId="4220" xr:uid="{00000000-0005-0000-0000-0000EB160000}"/>
    <cellStyle name="Data 2 4 8 6 4" xfId="4221" xr:uid="{00000000-0005-0000-0000-0000EC160000}"/>
    <cellStyle name="Data 2 4 8 6 4 2" xfId="4222" xr:uid="{00000000-0005-0000-0000-0000ED160000}"/>
    <cellStyle name="Data 2 4 8 6 5" xfId="4223" xr:uid="{00000000-0005-0000-0000-0000EE160000}"/>
    <cellStyle name="Data 2 4 8 6 5 2" xfId="4224" xr:uid="{00000000-0005-0000-0000-0000EF160000}"/>
    <cellStyle name="Data 2 4 8 6 6" xfId="4225" xr:uid="{00000000-0005-0000-0000-0000F0160000}"/>
    <cellStyle name="Data 2 4 8 6 6 2" xfId="4226" xr:uid="{00000000-0005-0000-0000-0000F1160000}"/>
    <cellStyle name="Data 2 4 8 6 7" xfId="4227" xr:uid="{00000000-0005-0000-0000-0000F2160000}"/>
    <cellStyle name="Data 2 4 8 6 7 2" xfId="4228" xr:uid="{00000000-0005-0000-0000-0000F3160000}"/>
    <cellStyle name="Data 2 4 8 6 8" xfId="4229" xr:uid="{00000000-0005-0000-0000-0000F4160000}"/>
    <cellStyle name="Data 2 4 8 6 8 2" xfId="4230" xr:uid="{00000000-0005-0000-0000-0000F5160000}"/>
    <cellStyle name="Data 2 4 8 6 9" xfId="4231" xr:uid="{00000000-0005-0000-0000-0000F6160000}"/>
    <cellStyle name="Data 2 4 8 6 9 2" xfId="4232" xr:uid="{00000000-0005-0000-0000-0000F7160000}"/>
    <cellStyle name="Data 2 4 8 7" xfId="4233" xr:uid="{00000000-0005-0000-0000-0000F8160000}"/>
    <cellStyle name="Data 2 4 8 7 10" xfId="4234" xr:uid="{00000000-0005-0000-0000-0000F9160000}"/>
    <cellStyle name="Data 2 4 8 7 2" xfId="4235" xr:uid="{00000000-0005-0000-0000-0000FA160000}"/>
    <cellStyle name="Data 2 4 8 7 2 2" xfId="4236" xr:uid="{00000000-0005-0000-0000-0000FB160000}"/>
    <cellStyle name="Data 2 4 8 7 3" xfId="4237" xr:uid="{00000000-0005-0000-0000-0000FC160000}"/>
    <cellStyle name="Data 2 4 8 7 3 2" xfId="4238" xr:uid="{00000000-0005-0000-0000-0000FD160000}"/>
    <cellStyle name="Data 2 4 8 7 4" xfId="4239" xr:uid="{00000000-0005-0000-0000-0000FE160000}"/>
    <cellStyle name="Data 2 4 8 7 4 2" xfId="4240" xr:uid="{00000000-0005-0000-0000-0000FF160000}"/>
    <cellStyle name="Data 2 4 8 7 5" xfId="4241" xr:uid="{00000000-0005-0000-0000-000000170000}"/>
    <cellStyle name="Data 2 4 8 7 5 2" xfId="4242" xr:uid="{00000000-0005-0000-0000-000001170000}"/>
    <cellStyle name="Data 2 4 8 7 6" xfId="4243" xr:uid="{00000000-0005-0000-0000-000002170000}"/>
    <cellStyle name="Data 2 4 8 7 6 2" xfId="4244" xr:uid="{00000000-0005-0000-0000-000003170000}"/>
    <cellStyle name="Data 2 4 8 7 7" xfId="4245" xr:uid="{00000000-0005-0000-0000-000004170000}"/>
    <cellStyle name="Data 2 4 8 7 7 2" xfId="4246" xr:uid="{00000000-0005-0000-0000-000005170000}"/>
    <cellStyle name="Data 2 4 8 7 8" xfId="4247" xr:uid="{00000000-0005-0000-0000-000006170000}"/>
    <cellStyle name="Data 2 4 8 7 8 2" xfId="4248" xr:uid="{00000000-0005-0000-0000-000007170000}"/>
    <cellStyle name="Data 2 4 8 7 9" xfId="4249" xr:uid="{00000000-0005-0000-0000-000008170000}"/>
    <cellStyle name="Data 2 4 8 7 9 2" xfId="4250" xr:uid="{00000000-0005-0000-0000-000009170000}"/>
    <cellStyle name="Data 2 4 8 8" xfId="4251" xr:uid="{00000000-0005-0000-0000-00000A170000}"/>
    <cellStyle name="Data 2 4 8 8 10" xfId="4252" xr:uid="{00000000-0005-0000-0000-00000B170000}"/>
    <cellStyle name="Data 2 4 8 8 2" xfId="4253" xr:uid="{00000000-0005-0000-0000-00000C170000}"/>
    <cellStyle name="Data 2 4 8 8 2 2" xfId="4254" xr:uid="{00000000-0005-0000-0000-00000D170000}"/>
    <cellStyle name="Data 2 4 8 8 3" xfId="4255" xr:uid="{00000000-0005-0000-0000-00000E170000}"/>
    <cellStyle name="Data 2 4 8 8 3 2" xfId="4256" xr:uid="{00000000-0005-0000-0000-00000F170000}"/>
    <cellStyle name="Data 2 4 8 8 4" xfId="4257" xr:uid="{00000000-0005-0000-0000-000010170000}"/>
    <cellStyle name="Data 2 4 8 8 4 2" xfId="4258" xr:uid="{00000000-0005-0000-0000-000011170000}"/>
    <cellStyle name="Data 2 4 8 8 5" xfId="4259" xr:uid="{00000000-0005-0000-0000-000012170000}"/>
    <cellStyle name="Data 2 4 8 8 5 2" xfId="4260" xr:uid="{00000000-0005-0000-0000-000013170000}"/>
    <cellStyle name="Data 2 4 8 8 6" xfId="4261" xr:uid="{00000000-0005-0000-0000-000014170000}"/>
    <cellStyle name="Data 2 4 8 8 6 2" xfId="4262" xr:uid="{00000000-0005-0000-0000-000015170000}"/>
    <cellStyle name="Data 2 4 8 8 7" xfId="4263" xr:uid="{00000000-0005-0000-0000-000016170000}"/>
    <cellStyle name="Data 2 4 8 8 7 2" xfId="4264" xr:uid="{00000000-0005-0000-0000-000017170000}"/>
    <cellStyle name="Data 2 4 8 8 8" xfId="4265" xr:uid="{00000000-0005-0000-0000-000018170000}"/>
    <cellStyle name="Data 2 4 8 8 8 2" xfId="4266" xr:uid="{00000000-0005-0000-0000-000019170000}"/>
    <cellStyle name="Data 2 4 8 8 9" xfId="4267" xr:uid="{00000000-0005-0000-0000-00001A170000}"/>
    <cellStyle name="Data 2 4 8 8 9 2" xfId="4268" xr:uid="{00000000-0005-0000-0000-00001B170000}"/>
    <cellStyle name="Data 2 4 8 9" xfId="4269" xr:uid="{00000000-0005-0000-0000-00001C170000}"/>
    <cellStyle name="Data 2 4 8 9 10" xfId="4270" xr:uid="{00000000-0005-0000-0000-00001D170000}"/>
    <cellStyle name="Data 2 4 8 9 2" xfId="4271" xr:uid="{00000000-0005-0000-0000-00001E170000}"/>
    <cellStyle name="Data 2 4 8 9 2 2" xfId="4272" xr:uid="{00000000-0005-0000-0000-00001F170000}"/>
    <cellStyle name="Data 2 4 8 9 3" xfId="4273" xr:uid="{00000000-0005-0000-0000-000020170000}"/>
    <cellStyle name="Data 2 4 8 9 3 2" xfId="4274" xr:uid="{00000000-0005-0000-0000-000021170000}"/>
    <cellStyle name="Data 2 4 8 9 4" xfId="4275" xr:uid="{00000000-0005-0000-0000-000022170000}"/>
    <cellStyle name="Data 2 4 8 9 4 2" xfId="4276" xr:uid="{00000000-0005-0000-0000-000023170000}"/>
    <cellStyle name="Data 2 4 8 9 5" xfId="4277" xr:uid="{00000000-0005-0000-0000-000024170000}"/>
    <cellStyle name="Data 2 4 8 9 5 2" xfId="4278" xr:uid="{00000000-0005-0000-0000-000025170000}"/>
    <cellStyle name="Data 2 4 8 9 6" xfId="4279" xr:uid="{00000000-0005-0000-0000-000026170000}"/>
    <cellStyle name="Data 2 4 8 9 6 2" xfId="4280" xr:uid="{00000000-0005-0000-0000-000027170000}"/>
    <cellStyle name="Data 2 4 8 9 7" xfId="4281" xr:uid="{00000000-0005-0000-0000-000028170000}"/>
    <cellStyle name="Data 2 4 8 9 7 2" xfId="4282" xr:uid="{00000000-0005-0000-0000-000029170000}"/>
    <cellStyle name="Data 2 4 8 9 8" xfId="4283" xr:uid="{00000000-0005-0000-0000-00002A170000}"/>
    <cellStyle name="Data 2 4 8 9 8 2" xfId="4284" xr:uid="{00000000-0005-0000-0000-00002B170000}"/>
    <cellStyle name="Data 2 4 8 9 9" xfId="4285" xr:uid="{00000000-0005-0000-0000-00002C170000}"/>
    <cellStyle name="Data 2 4 8 9 9 2" xfId="4286" xr:uid="{00000000-0005-0000-0000-00002D170000}"/>
    <cellStyle name="Data 2 5" xfId="4287" xr:uid="{00000000-0005-0000-0000-00002E170000}"/>
    <cellStyle name="Data 2 5 10" xfId="4288" xr:uid="{00000000-0005-0000-0000-00002F170000}"/>
    <cellStyle name="Data 2 5 10 10" xfId="4289" xr:uid="{00000000-0005-0000-0000-000030170000}"/>
    <cellStyle name="Data 2 5 10 2" xfId="4290" xr:uid="{00000000-0005-0000-0000-000031170000}"/>
    <cellStyle name="Data 2 5 10 2 2" xfId="4291" xr:uid="{00000000-0005-0000-0000-000032170000}"/>
    <cellStyle name="Data 2 5 10 3" xfId="4292" xr:uid="{00000000-0005-0000-0000-000033170000}"/>
    <cellStyle name="Data 2 5 10 3 2" xfId="4293" xr:uid="{00000000-0005-0000-0000-000034170000}"/>
    <cellStyle name="Data 2 5 10 4" xfId="4294" xr:uid="{00000000-0005-0000-0000-000035170000}"/>
    <cellStyle name="Data 2 5 10 4 2" xfId="4295" xr:uid="{00000000-0005-0000-0000-000036170000}"/>
    <cellStyle name="Data 2 5 10 5" xfId="4296" xr:uid="{00000000-0005-0000-0000-000037170000}"/>
    <cellStyle name="Data 2 5 10 5 2" xfId="4297" xr:uid="{00000000-0005-0000-0000-000038170000}"/>
    <cellStyle name="Data 2 5 10 6" xfId="4298" xr:uid="{00000000-0005-0000-0000-000039170000}"/>
    <cellStyle name="Data 2 5 10 6 2" xfId="4299" xr:uid="{00000000-0005-0000-0000-00003A170000}"/>
    <cellStyle name="Data 2 5 10 7" xfId="4300" xr:uid="{00000000-0005-0000-0000-00003B170000}"/>
    <cellStyle name="Data 2 5 10 7 2" xfId="4301" xr:uid="{00000000-0005-0000-0000-00003C170000}"/>
    <cellStyle name="Data 2 5 10 8" xfId="4302" xr:uid="{00000000-0005-0000-0000-00003D170000}"/>
    <cellStyle name="Data 2 5 10 8 2" xfId="4303" xr:uid="{00000000-0005-0000-0000-00003E170000}"/>
    <cellStyle name="Data 2 5 10 9" xfId="4304" xr:uid="{00000000-0005-0000-0000-00003F170000}"/>
    <cellStyle name="Data 2 5 10 9 2" xfId="4305" xr:uid="{00000000-0005-0000-0000-000040170000}"/>
    <cellStyle name="Data 2 5 11" xfId="4306" xr:uid="{00000000-0005-0000-0000-000041170000}"/>
    <cellStyle name="Data 2 5 11 2" xfId="4307" xr:uid="{00000000-0005-0000-0000-000042170000}"/>
    <cellStyle name="Data 2 5 11 2 2" xfId="4308" xr:uid="{00000000-0005-0000-0000-000043170000}"/>
    <cellStyle name="Data 2 5 11 3" xfId="4309" xr:uid="{00000000-0005-0000-0000-000044170000}"/>
    <cellStyle name="Data 2 5 11 3 2" xfId="4310" xr:uid="{00000000-0005-0000-0000-000045170000}"/>
    <cellStyle name="Data 2 5 11 4" xfId="4311" xr:uid="{00000000-0005-0000-0000-000046170000}"/>
    <cellStyle name="Data 2 5 11 4 2" xfId="4312" xr:uid="{00000000-0005-0000-0000-000047170000}"/>
    <cellStyle name="Data 2 5 11 5" xfId="4313" xr:uid="{00000000-0005-0000-0000-000048170000}"/>
    <cellStyle name="Data 2 5 11 5 2" xfId="4314" xr:uid="{00000000-0005-0000-0000-000049170000}"/>
    <cellStyle name="Data 2 5 11 6" xfId="4315" xr:uid="{00000000-0005-0000-0000-00004A170000}"/>
    <cellStyle name="Data 2 5 11 6 2" xfId="4316" xr:uid="{00000000-0005-0000-0000-00004B170000}"/>
    <cellStyle name="Data 2 5 11 7" xfId="4317" xr:uid="{00000000-0005-0000-0000-00004C170000}"/>
    <cellStyle name="Data 2 5 11 7 2" xfId="4318" xr:uid="{00000000-0005-0000-0000-00004D170000}"/>
    <cellStyle name="Data 2 5 11 8" xfId="4319" xr:uid="{00000000-0005-0000-0000-00004E170000}"/>
    <cellStyle name="Data 2 5 11 8 2" xfId="4320" xr:uid="{00000000-0005-0000-0000-00004F170000}"/>
    <cellStyle name="Data 2 5 11 9" xfId="4321" xr:uid="{00000000-0005-0000-0000-000050170000}"/>
    <cellStyle name="Data 2 5 2" xfId="4322" xr:uid="{00000000-0005-0000-0000-000051170000}"/>
    <cellStyle name="Data 2 5 2 10" xfId="4323" xr:uid="{00000000-0005-0000-0000-000052170000}"/>
    <cellStyle name="Data 2 5 2 2" xfId="4324" xr:uid="{00000000-0005-0000-0000-000053170000}"/>
    <cellStyle name="Data 2 5 2 2 2" xfId="4325" xr:uid="{00000000-0005-0000-0000-000054170000}"/>
    <cellStyle name="Data 2 5 2 3" xfId="4326" xr:uid="{00000000-0005-0000-0000-000055170000}"/>
    <cellStyle name="Data 2 5 2 3 2" xfId="4327" xr:uid="{00000000-0005-0000-0000-000056170000}"/>
    <cellStyle name="Data 2 5 2 4" xfId="4328" xr:uid="{00000000-0005-0000-0000-000057170000}"/>
    <cellStyle name="Data 2 5 2 4 2" xfId="4329" xr:uid="{00000000-0005-0000-0000-000058170000}"/>
    <cellStyle name="Data 2 5 2 5" xfId="4330" xr:uid="{00000000-0005-0000-0000-000059170000}"/>
    <cellStyle name="Data 2 5 2 5 2" xfId="4331" xr:uid="{00000000-0005-0000-0000-00005A170000}"/>
    <cellStyle name="Data 2 5 2 6" xfId="4332" xr:uid="{00000000-0005-0000-0000-00005B170000}"/>
    <cellStyle name="Data 2 5 2 6 2" xfId="4333" xr:uid="{00000000-0005-0000-0000-00005C170000}"/>
    <cellStyle name="Data 2 5 2 7" xfId="4334" xr:uid="{00000000-0005-0000-0000-00005D170000}"/>
    <cellStyle name="Data 2 5 2 7 2" xfId="4335" xr:uid="{00000000-0005-0000-0000-00005E170000}"/>
    <cellStyle name="Data 2 5 2 8" xfId="4336" xr:uid="{00000000-0005-0000-0000-00005F170000}"/>
    <cellStyle name="Data 2 5 2 8 2" xfId="4337" xr:uid="{00000000-0005-0000-0000-000060170000}"/>
    <cellStyle name="Data 2 5 2 9" xfId="4338" xr:uid="{00000000-0005-0000-0000-000061170000}"/>
    <cellStyle name="Data 2 5 2 9 2" xfId="4339" xr:uid="{00000000-0005-0000-0000-000062170000}"/>
    <cellStyle name="Data 2 5 3" xfId="4340" xr:uid="{00000000-0005-0000-0000-000063170000}"/>
    <cellStyle name="Data 2 5 3 10" xfId="4341" xr:uid="{00000000-0005-0000-0000-000064170000}"/>
    <cellStyle name="Data 2 5 3 2" xfId="4342" xr:uid="{00000000-0005-0000-0000-000065170000}"/>
    <cellStyle name="Data 2 5 3 2 2" xfId="4343" xr:uid="{00000000-0005-0000-0000-000066170000}"/>
    <cellStyle name="Data 2 5 3 3" xfId="4344" xr:uid="{00000000-0005-0000-0000-000067170000}"/>
    <cellStyle name="Data 2 5 3 3 2" xfId="4345" xr:uid="{00000000-0005-0000-0000-000068170000}"/>
    <cellStyle name="Data 2 5 3 4" xfId="4346" xr:uid="{00000000-0005-0000-0000-000069170000}"/>
    <cellStyle name="Data 2 5 3 4 2" xfId="4347" xr:uid="{00000000-0005-0000-0000-00006A170000}"/>
    <cellStyle name="Data 2 5 3 5" xfId="4348" xr:uid="{00000000-0005-0000-0000-00006B170000}"/>
    <cellStyle name="Data 2 5 3 5 2" xfId="4349" xr:uid="{00000000-0005-0000-0000-00006C170000}"/>
    <cellStyle name="Data 2 5 3 6" xfId="4350" xr:uid="{00000000-0005-0000-0000-00006D170000}"/>
    <cellStyle name="Data 2 5 3 6 2" xfId="4351" xr:uid="{00000000-0005-0000-0000-00006E170000}"/>
    <cellStyle name="Data 2 5 3 7" xfId="4352" xr:uid="{00000000-0005-0000-0000-00006F170000}"/>
    <cellStyle name="Data 2 5 3 7 2" xfId="4353" xr:uid="{00000000-0005-0000-0000-000070170000}"/>
    <cellStyle name="Data 2 5 3 8" xfId="4354" xr:uid="{00000000-0005-0000-0000-000071170000}"/>
    <cellStyle name="Data 2 5 3 8 2" xfId="4355" xr:uid="{00000000-0005-0000-0000-000072170000}"/>
    <cellStyle name="Data 2 5 3 9" xfId="4356" xr:uid="{00000000-0005-0000-0000-000073170000}"/>
    <cellStyle name="Data 2 5 3 9 2" xfId="4357" xr:uid="{00000000-0005-0000-0000-000074170000}"/>
    <cellStyle name="Data 2 5 4" xfId="4358" xr:uid="{00000000-0005-0000-0000-000075170000}"/>
    <cellStyle name="Data 2 5 4 10" xfId="4359" xr:uid="{00000000-0005-0000-0000-000076170000}"/>
    <cellStyle name="Data 2 5 4 2" xfId="4360" xr:uid="{00000000-0005-0000-0000-000077170000}"/>
    <cellStyle name="Data 2 5 4 2 2" xfId="4361" xr:uid="{00000000-0005-0000-0000-000078170000}"/>
    <cellStyle name="Data 2 5 4 3" xfId="4362" xr:uid="{00000000-0005-0000-0000-000079170000}"/>
    <cellStyle name="Data 2 5 4 3 2" xfId="4363" xr:uid="{00000000-0005-0000-0000-00007A170000}"/>
    <cellStyle name="Data 2 5 4 4" xfId="4364" xr:uid="{00000000-0005-0000-0000-00007B170000}"/>
    <cellStyle name="Data 2 5 4 4 2" xfId="4365" xr:uid="{00000000-0005-0000-0000-00007C170000}"/>
    <cellStyle name="Data 2 5 4 5" xfId="4366" xr:uid="{00000000-0005-0000-0000-00007D170000}"/>
    <cellStyle name="Data 2 5 4 5 2" xfId="4367" xr:uid="{00000000-0005-0000-0000-00007E170000}"/>
    <cellStyle name="Data 2 5 4 6" xfId="4368" xr:uid="{00000000-0005-0000-0000-00007F170000}"/>
    <cellStyle name="Data 2 5 4 6 2" xfId="4369" xr:uid="{00000000-0005-0000-0000-000080170000}"/>
    <cellStyle name="Data 2 5 4 7" xfId="4370" xr:uid="{00000000-0005-0000-0000-000081170000}"/>
    <cellStyle name="Data 2 5 4 7 2" xfId="4371" xr:uid="{00000000-0005-0000-0000-000082170000}"/>
    <cellStyle name="Data 2 5 4 8" xfId="4372" xr:uid="{00000000-0005-0000-0000-000083170000}"/>
    <cellStyle name="Data 2 5 4 8 2" xfId="4373" xr:uid="{00000000-0005-0000-0000-000084170000}"/>
    <cellStyle name="Data 2 5 4 9" xfId="4374" xr:uid="{00000000-0005-0000-0000-000085170000}"/>
    <cellStyle name="Data 2 5 4 9 2" xfId="4375" xr:uid="{00000000-0005-0000-0000-000086170000}"/>
    <cellStyle name="Data 2 5 5" xfId="4376" xr:uid="{00000000-0005-0000-0000-000087170000}"/>
    <cellStyle name="Data 2 5 5 10" xfId="4377" xr:uid="{00000000-0005-0000-0000-000088170000}"/>
    <cellStyle name="Data 2 5 5 2" xfId="4378" xr:uid="{00000000-0005-0000-0000-000089170000}"/>
    <cellStyle name="Data 2 5 5 2 2" xfId="4379" xr:uid="{00000000-0005-0000-0000-00008A170000}"/>
    <cellStyle name="Data 2 5 5 3" xfId="4380" xr:uid="{00000000-0005-0000-0000-00008B170000}"/>
    <cellStyle name="Data 2 5 5 3 2" xfId="4381" xr:uid="{00000000-0005-0000-0000-00008C170000}"/>
    <cellStyle name="Data 2 5 5 4" xfId="4382" xr:uid="{00000000-0005-0000-0000-00008D170000}"/>
    <cellStyle name="Data 2 5 5 4 2" xfId="4383" xr:uid="{00000000-0005-0000-0000-00008E170000}"/>
    <cellStyle name="Data 2 5 5 5" xfId="4384" xr:uid="{00000000-0005-0000-0000-00008F170000}"/>
    <cellStyle name="Data 2 5 5 5 2" xfId="4385" xr:uid="{00000000-0005-0000-0000-000090170000}"/>
    <cellStyle name="Data 2 5 5 6" xfId="4386" xr:uid="{00000000-0005-0000-0000-000091170000}"/>
    <cellStyle name="Data 2 5 5 6 2" xfId="4387" xr:uid="{00000000-0005-0000-0000-000092170000}"/>
    <cellStyle name="Data 2 5 5 7" xfId="4388" xr:uid="{00000000-0005-0000-0000-000093170000}"/>
    <cellStyle name="Data 2 5 5 7 2" xfId="4389" xr:uid="{00000000-0005-0000-0000-000094170000}"/>
    <cellStyle name="Data 2 5 5 8" xfId="4390" xr:uid="{00000000-0005-0000-0000-000095170000}"/>
    <cellStyle name="Data 2 5 5 8 2" xfId="4391" xr:uid="{00000000-0005-0000-0000-000096170000}"/>
    <cellStyle name="Data 2 5 5 9" xfId="4392" xr:uid="{00000000-0005-0000-0000-000097170000}"/>
    <cellStyle name="Data 2 5 5 9 2" xfId="4393" xr:uid="{00000000-0005-0000-0000-000098170000}"/>
    <cellStyle name="Data 2 5 6" xfId="4394" xr:uid="{00000000-0005-0000-0000-000099170000}"/>
    <cellStyle name="Data 2 5 6 10" xfId="4395" xr:uid="{00000000-0005-0000-0000-00009A170000}"/>
    <cellStyle name="Data 2 5 6 2" xfId="4396" xr:uid="{00000000-0005-0000-0000-00009B170000}"/>
    <cellStyle name="Data 2 5 6 2 2" xfId="4397" xr:uid="{00000000-0005-0000-0000-00009C170000}"/>
    <cellStyle name="Data 2 5 6 3" xfId="4398" xr:uid="{00000000-0005-0000-0000-00009D170000}"/>
    <cellStyle name="Data 2 5 6 3 2" xfId="4399" xr:uid="{00000000-0005-0000-0000-00009E170000}"/>
    <cellStyle name="Data 2 5 6 4" xfId="4400" xr:uid="{00000000-0005-0000-0000-00009F170000}"/>
    <cellStyle name="Data 2 5 6 4 2" xfId="4401" xr:uid="{00000000-0005-0000-0000-0000A0170000}"/>
    <cellStyle name="Data 2 5 6 5" xfId="4402" xr:uid="{00000000-0005-0000-0000-0000A1170000}"/>
    <cellStyle name="Data 2 5 6 5 2" xfId="4403" xr:uid="{00000000-0005-0000-0000-0000A2170000}"/>
    <cellStyle name="Data 2 5 6 6" xfId="4404" xr:uid="{00000000-0005-0000-0000-0000A3170000}"/>
    <cellStyle name="Data 2 5 6 6 2" xfId="4405" xr:uid="{00000000-0005-0000-0000-0000A4170000}"/>
    <cellStyle name="Data 2 5 6 7" xfId="4406" xr:uid="{00000000-0005-0000-0000-0000A5170000}"/>
    <cellStyle name="Data 2 5 6 7 2" xfId="4407" xr:uid="{00000000-0005-0000-0000-0000A6170000}"/>
    <cellStyle name="Data 2 5 6 8" xfId="4408" xr:uid="{00000000-0005-0000-0000-0000A7170000}"/>
    <cellStyle name="Data 2 5 6 8 2" xfId="4409" xr:uid="{00000000-0005-0000-0000-0000A8170000}"/>
    <cellStyle name="Data 2 5 6 9" xfId="4410" xr:uid="{00000000-0005-0000-0000-0000A9170000}"/>
    <cellStyle name="Data 2 5 6 9 2" xfId="4411" xr:uid="{00000000-0005-0000-0000-0000AA170000}"/>
    <cellStyle name="Data 2 5 7" xfId="4412" xr:uid="{00000000-0005-0000-0000-0000AB170000}"/>
    <cellStyle name="Data 2 5 7 10" xfId="4413" xr:uid="{00000000-0005-0000-0000-0000AC170000}"/>
    <cellStyle name="Data 2 5 7 2" xfId="4414" xr:uid="{00000000-0005-0000-0000-0000AD170000}"/>
    <cellStyle name="Data 2 5 7 2 2" xfId="4415" xr:uid="{00000000-0005-0000-0000-0000AE170000}"/>
    <cellStyle name="Data 2 5 7 3" xfId="4416" xr:uid="{00000000-0005-0000-0000-0000AF170000}"/>
    <cellStyle name="Data 2 5 7 3 2" xfId="4417" xr:uid="{00000000-0005-0000-0000-0000B0170000}"/>
    <cellStyle name="Data 2 5 7 4" xfId="4418" xr:uid="{00000000-0005-0000-0000-0000B1170000}"/>
    <cellStyle name="Data 2 5 7 4 2" xfId="4419" xr:uid="{00000000-0005-0000-0000-0000B2170000}"/>
    <cellStyle name="Data 2 5 7 5" xfId="4420" xr:uid="{00000000-0005-0000-0000-0000B3170000}"/>
    <cellStyle name="Data 2 5 7 5 2" xfId="4421" xr:uid="{00000000-0005-0000-0000-0000B4170000}"/>
    <cellStyle name="Data 2 5 7 6" xfId="4422" xr:uid="{00000000-0005-0000-0000-0000B5170000}"/>
    <cellStyle name="Data 2 5 7 6 2" xfId="4423" xr:uid="{00000000-0005-0000-0000-0000B6170000}"/>
    <cellStyle name="Data 2 5 7 7" xfId="4424" xr:uid="{00000000-0005-0000-0000-0000B7170000}"/>
    <cellStyle name="Data 2 5 7 7 2" xfId="4425" xr:uid="{00000000-0005-0000-0000-0000B8170000}"/>
    <cellStyle name="Data 2 5 7 8" xfId="4426" xr:uid="{00000000-0005-0000-0000-0000B9170000}"/>
    <cellStyle name="Data 2 5 7 8 2" xfId="4427" xr:uid="{00000000-0005-0000-0000-0000BA170000}"/>
    <cellStyle name="Data 2 5 7 9" xfId="4428" xr:uid="{00000000-0005-0000-0000-0000BB170000}"/>
    <cellStyle name="Data 2 5 7 9 2" xfId="4429" xr:uid="{00000000-0005-0000-0000-0000BC170000}"/>
    <cellStyle name="Data 2 5 8" xfId="4430" xr:uid="{00000000-0005-0000-0000-0000BD170000}"/>
    <cellStyle name="Data 2 5 8 10" xfId="4431" xr:uid="{00000000-0005-0000-0000-0000BE170000}"/>
    <cellStyle name="Data 2 5 8 2" xfId="4432" xr:uid="{00000000-0005-0000-0000-0000BF170000}"/>
    <cellStyle name="Data 2 5 8 2 2" xfId="4433" xr:uid="{00000000-0005-0000-0000-0000C0170000}"/>
    <cellStyle name="Data 2 5 8 3" xfId="4434" xr:uid="{00000000-0005-0000-0000-0000C1170000}"/>
    <cellStyle name="Data 2 5 8 3 2" xfId="4435" xr:uid="{00000000-0005-0000-0000-0000C2170000}"/>
    <cellStyle name="Data 2 5 8 4" xfId="4436" xr:uid="{00000000-0005-0000-0000-0000C3170000}"/>
    <cellStyle name="Data 2 5 8 4 2" xfId="4437" xr:uid="{00000000-0005-0000-0000-0000C4170000}"/>
    <cellStyle name="Data 2 5 8 5" xfId="4438" xr:uid="{00000000-0005-0000-0000-0000C5170000}"/>
    <cellStyle name="Data 2 5 8 5 2" xfId="4439" xr:uid="{00000000-0005-0000-0000-0000C6170000}"/>
    <cellStyle name="Data 2 5 8 6" xfId="4440" xr:uid="{00000000-0005-0000-0000-0000C7170000}"/>
    <cellStyle name="Data 2 5 8 6 2" xfId="4441" xr:uid="{00000000-0005-0000-0000-0000C8170000}"/>
    <cellStyle name="Data 2 5 8 7" xfId="4442" xr:uid="{00000000-0005-0000-0000-0000C9170000}"/>
    <cellStyle name="Data 2 5 8 7 2" xfId="4443" xr:uid="{00000000-0005-0000-0000-0000CA170000}"/>
    <cellStyle name="Data 2 5 8 8" xfId="4444" xr:uid="{00000000-0005-0000-0000-0000CB170000}"/>
    <cellStyle name="Data 2 5 8 8 2" xfId="4445" xr:uid="{00000000-0005-0000-0000-0000CC170000}"/>
    <cellStyle name="Data 2 5 8 9" xfId="4446" xr:uid="{00000000-0005-0000-0000-0000CD170000}"/>
    <cellStyle name="Data 2 5 8 9 2" xfId="4447" xr:uid="{00000000-0005-0000-0000-0000CE170000}"/>
    <cellStyle name="Data 2 5 9" xfId="4448" xr:uid="{00000000-0005-0000-0000-0000CF170000}"/>
    <cellStyle name="Data 2 5 9 10" xfId="4449" xr:uid="{00000000-0005-0000-0000-0000D0170000}"/>
    <cellStyle name="Data 2 5 9 2" xfId="4450" xr:uid="{00000000-0005-0000-0000-0000D1170000}"/>
    <cellStyle name="Data 2 5 9 2 2" xfId="4451" xr:uid="{00000000-0005-0000-0000-0000D2170000}"/>
    <cellStyle name="Data 2 5 9 3" xfId="4452" xr:uid="{00000000-0005-0000-0000-0000D3170000}"/>
    <cellStyle name="Data 2 5 9 3 2" xfId="4453" xr:uid="{00000000-0005-0000-0000-0000D4170000}"/>
    <cellStyle name="Data 2 5 9 4" xfId="4454" xr:uid="{00000000-0005-0000-0000-0000D5170000}"/>
    <cellStyle name="Data 2 5 9 4 2" xfId="4455" xr:uid="{00000000-0005-0000-0000-0000D6170000}"/>
    <cellStyle name="Data 2 5 9 5" xfId="4456" xr:uid="{00000000-0005-0000-0000-0000D7170000}"/>
    <cellStyle name="Data 2 5 9 5 2" xfId="4457" xr:uid="{00000000-0005-0000-0000-0000D8170000}"/>
    <cellStyle name="Data 2 5 9 6" xfId="4458" xr:uid="{00000000-0005-0000-0000-0000D9170000}"/>
    <cellStyle name="Data 2 5 9 6 2" xfId="4459" xr:uid="{00000000-0005-0000-0000-0000DA170000}"/>
    <cellStyle name="Data 2 5 9 7" xfId="4460" xr:uid="{00000000-0005-0000-0000-0000DB170000}"/>
    <cellStyle name="Data 2 5 9 7 2" xfId="4461" xr:uid="{00000000-0005-0000-0000-0000DC170000}"/>
    <cellStyle name="Data 2 5 9 8" xfId="4462" xr:uid="{00000000-0005-0000-0000-0000DD170000}"/>
    <cellStyle name="Data 2 5 9 8 2" xfId="4463" xr:uid="{00000000-0005-0000-0000-0000DE170000}"/>
    <cellStyle name="Data 2 5 9 9" xfId="4464" xr:uid="{00000000-0005-0000-0000-0000DF170000}"/>
    <cellStyle name="Data 2 5 9 9 2" xfId="4465" xr:uid="{00000000-0005-0000-0000-0000E0170000}"/>
    <cellStyle name="Data 2 6" xfId="4466" xr:uid="{00000000-0005-0000-0000-0000E1170000}"/>
    <cellStyle name="Data 2 6 10" xfId="4467" xr:uid="{00000000-0005-0000-0000-0000E2170000}"/>
    <cellStyle name="Data 2 6 10 10" xfId="4468" xr:uid="{00000000-0005-0000-0000-0000E3170000}"/>
    <cellStyle name="Data 2 6 10 2" xfId="4469" xr:uid="{00000000-0005-0000-0000-0000E4170000}"/>
    <cellStyle name="Data 2 6 10 2 2" xfId="4470" xr:uid="{00000000-0005-0000-0000-0000E5170000}"/>
    <cellStyle name="Data 2 6 10 3" xfId="4471" xr:uid="{00000000-0005-0000-0000-0000E6170000}"/>
    <cellStyle name="Data 2 6 10 3 2" xfId="4472" xr:uid="{00000000-0005-0000-0000-0000E7170000}"/>
    <cellStyle name="Data 2 6 10 4" xfId="4473" xr:uid="{00000000-0005-0000-0000-0000E8170000}"/>
    <cellStyle name="Data 2 6 10 4 2" xfId="4474" xr:uid="{00000000-0005-0000-0000-0000E9170000}"/>
    <cellStyle name="Data 2 6 10 5" xfId="4475" xr:uid="{00000000-0005-0000-0000-0000EA170000}"/>
    <cellStyle name="Data 2 6 10 5 2" xfId="4476" xr:uid="{00000000-0005-0000-0000-0000EB170000}"/>
    <cellStyle name="Data 2 6 10 6" xfId="4477" xr:uid="{00000000-0005-0000-0000-0000EC170000}"/>
    <cellStyle name="Data 2 6 10 6 2" xfId="4478" xr:uid="{00000000-0005-0000-0000-0000ED170000}"/>
    <cellStyle name="Data 2 6 10 7" xfId="4479" xr:uid="{00000000-0005-0000-0000-0000EE170000}"/>
    <cellStyle name="Data 2 6 10 7 2" xfId="4480" xr:uid="{00000000-0005-0000-0000-0000EF170000}"/>
    <cellStyle name="Data 2 6 10 8" xfId="4481" xr:uid="{00000000-0005-0000-0000-0000F0170000}"/>
    <cellStyle name="Data 2 6 10 8 2" xfId="4482" xr:uid="{00000000-0005-0000-0000-0000F1170000}"/>
    <cellStyle name="Data 2 6 10 9" xfId="4483" xr:uid="{00000000-0005-0000-0000-0000F2170000}"/>
    <cellStyle name="Data 2 6 10 9 2" xfId="4484" xr:uid="{00000000-0005-0000-0000-0000F3170000}"/>
    <cellStyle name="Data 2 6 11" xfId="4485" xr:uid="{00000000-0005-0000-0000-0000F4170000}"/>
    <cellStyle name="Data 2 6 11 2" xfId="4486" xr:uid="{00000000-0005-0000-0000-0000F5170000}"/>
    <cellStyle name="Data 2 6 11 2 2" xfId="4487" xr:uid="{00000000-0005-0000-0000-0000F6170000}"/>
    <cellStyle name="Data 2 6 11 3" xfId="4488" xr:uid="{00000000-0005-0000-0000-0000F7170000}"/>
    <cellStyle name="Data 2 6 11 3 2" xfId="4489" xr:uid="{00000000-0005-0000-0000-0000F8170000}"/>
    <cellStyle name="Data 2 6 11 4" xfId="4490" xr:uid="{00000000-0005-0000-0000-0000F9170000}"/>
    <cellStyle name="Data 2 6 11 4 2" xfId="4491" xr:uid="{00000000-0005-0000-0000-0000FA170000}"/>
    <cellStyle name="Data 2 6 11 5" xfId="4492" xr:uid="{00000000-0005-0000-0000-0000FB170000}"/>
    <cellStyle name="Data 2 6 11 5 2" xfId="4493" xr:uid="{00000000-0005-0000-0000-0000FC170000}"/>
    <cellStyle name="Data 2 6 11 6" xfId="4494" xr:uid="{00000000-0005-0000-0000-0000FD170000}"/>
    <cellStyle name="Data 2 6 11 6 2" xfId="4495" xr:uid="{00000000-0005-0000-0000-0000FE170000}"/>
    <cellStyle name="Data 2 6 11 7" xfId="4496" xr:uid="{00000000-0005-0000-0000-0000FF170000}"/>
    <cellStyle name="Data 2 6 11 7 2" xfId="4497" xr:uid="{00000000-0005-0000-0000-000000180000}"/>
    <cellStyle name="Data 2 6 11 8" xfId="4498" xr:uid="{00000000-0005-0000-0000-000001180000}"/>
    <cellStyle name="Data 2 6 11 8 2" xfId="4499" xr:uid="{00000000-0005-0000-0000-000002180000}"/>
    <cellStyle name="Data 2 6 11 9" xfId="4500" xr:uid="{00000000-0005-0000-0000-000003180000}"/>
    <cellStyle name="Data 2 6 2" xfId="4501" xr:uid="{00000000-0005-0000-0000-000004180000}"/>
    <cellStyle name="Data 2 6 2 10" xfId="4502" xr:uid="{00000000-0005-0000-0000-000005180000}"/>
    <cellStyle name="Data 2 6 2 2" xfId="4503" xr:uid="{00000000-0005-0000-0000-000006180000}"/>
    <cellStyle name="Data 2 6 2 2 2" xfId="4504" xr:uid="{00000000-0005-0000-0000-000007180000}"/>
    <cellStyle name="Data 2 6 2 3" xfId="4505" xr:uid="{00000000-0005-0000-0000-000008180000}"/>
    <cellStyle name="Data 2 6 2 3 2" xfId="4506" xr:uid="{00000000-0005-0000-0000-000009180000}"/>
    <cellStyle name="Data 2 6 2 4" xfId="4507" xr:uid="{00000000-0005-0000-0000-00000A180000}"/>
    <cellStyle name="Data 2 6 2 4 2" xfId="4508" xr:uid="{00000000-0005-0000-0000-00000B180000}"/>
    <cellStyle name="Data 2 6 2 5" xfId="4509" xr:uid="{00000000-0005-0000-0000-00000C180000}"/>
    <cellStyle name="Data 2 6 2 5 2" xfId="4510" xr:uid="{00000000-0005-0000-0000-00000D180000}"/>
    <cellStyle name="Data 2 6 2 6" xfId="4511" xr:uid="{00000000-0005-0000-0000-00000E180000}"/>
    <cellStyle name="Data 2 6 2 6 2" xfId="4512" xr:uid="{00000000-0005-0000-0000-00000F180000}"/>
    <cellStyle name="Data 2 6 2 7" xfId="4513" xr:uid="{00000000-0005-0000-0000-000010180000}"/>
    <cellStyle name="Data 2 6 2 7 2" xfId="4514" xr:uid="{00000000-0005-0000-0000-000011180000}"/>
    <cellStyle name="Data 2 6 2 8" xfId="4515" xr:uid="{00000000-0005-0000-0000-000012180000}"/>
    <cellStyle name="Data 2 6 2 8 2" xfId="4516" xr:uid="{00000000-0005-0000-0000-000013180000}"/>
    <cellStyle name="Data 2 6 2 9" xfId="4517" xr:uid="{00000000-0005-0000-0000-000014180000}"/>
    <cellStyle name="Data 2 6 2 9 2" xfId="4518" xr:uid="{00000000-0005-0000-0000-000015180000}"/>
    <cellStyle name="Data 2 6 3" xfId="4519" xr:uid="{00000000-0005-0000-0000-000016180000}"/>
    <cellStyle name="Data 2 6 3 10" xfId="4520" xr:uid="{00000000-0005-0000-0000-000017180000}"/>
    <cellStyle name="Data 2 6 3 2" xfId="4521" xr:uid="{00000000-0005-0000-0000-000018180000}"/>
    <cellStyle name="Data 2 6 3 2 2" xfId="4522" xr:uid="{00000000-0005-0000-0000-000019180000}"/>
    <cellStyle name="Data 2 6 3 3" xfId="4523" xr:uid="{00000000-0005-0000-0000-00001A180000}"/>
    <cellStyle name="Data 2 6 3 3 2" xfId="4524" xr:uid="{00000000-0005-0000-0000-00001B180000}"/>
    <cellStyle name="Data 2 6 3 4" xfId="4525" xr:uid="{00000000-0005-0000-0000-00001C180000}"/>
    <cellStyle name="Data 2 6 3 4 2" xfId="4526" xr:uid="{00000000-0005-0000-0000-00001D180000}"/>
    <cellStyle name="Data 2 6 3 5" xfId="4527" xr:uid="{00000000-0005-0000-0000-00001E180000}"/>
    <cellStyle name="Data 2 6 3 5 2" xfId="4528" xr:uid="{00000000-0005-0000-0000-00001F180000}"/>
    <cellStyle name="Data 2 6 3 6" xfId="4529" xr:uid="{00000000-0005-0000-0000-000020180000}"/>
    <cellStyle name="Data 2 6 3 6 2" xfId="4530" xr:uid="{00000000-0005-0000-0000-000021180000}"/>
    <cellStyle name="Data 2 6 3 7" xfId="4531" xr:uid="{00000000-0005-0000-0000-000022180000}"/>
    <cellStyle name="Data 2 6 3 7 2" xfId="4532" xr:uid="{00000000-0005-0000-0000-000023180000}"/>
    <cellStyle name="Data 2 6 3 8" xfId="4533" xr:uid="{00000000-0005-0000-0000-000024180000}"/>
    <cellStyle name="Data 2 6 3 8 2" xfId="4534" xr:uid="{00000000-0005-0000-0000-000025180000}"/>
    <cellStyle name="Data 2 6 3 9" xfId="4535" xr:uid="{00000000-0005-0000-0000-000026180000}"/>
    <cellStyle name="Data 2 6 3 9 2" xfId="4536" xr:uid="{00000000-0005-0000-0000-000027180000}"/>
    <cellStyle name="Data 2 6 4" xfId="4537" xr:uid="{00000000-0005-0000-0000-000028180000}"/>
    <cellStyle name="Data 2 6 4 10" xfId="4538" xr:uid="{00000000-0005-0000-0000-000029180000}"/>
    <cellStyle name="Data 2 6 4 2" xfId="4539" xr:uid="{00000000-0005-0000-0000-00002A180000}"/>
    <cellStyle name="Data 2 6 4 2 2" xfId="4540" xr:uid="{00000000-0005-0000-0000-00002B180000}"/>
    <cellStyle name="Data 2 6 4 3" xfId="4541" xr:uid="{00000000-0005-0000-0000-00002C180000}"/>
    <cellStyle name="Data 2 6 4 3 2" xfId="4542" xr:uid="{00000000-0005-0000-0000-00002D180000}"/>
    <cellStyle name="Data 2 6 4 4" xfId="4543" xr:uid="{00000000-0005-0000-0000-00002E180000}"/>
    <cellStyle name="Data 2 6 4 4 2" xfId="4544" xr:uid="{00000000-0005-0000-0000-00002F180000}"/>
    <cellStyle name="Data 2 6 4 5" xfId="4545" xr:uid="{00000000-0005-0000-0000-000030180000}"/>
    <cellStyle name="Data 2 6 4 5 2" xfId="4546" xr:uid="{00000000-0005-0000-0000-000031180000}"/>
    <cellStyle name="Data 2 6 4 6" xfId="4547" xr:uid="{00000000-0005-0000-0000-000032180000}"/>
    <cellStyle name="Data 2 6 4 6 2" xfId="4548" xr:uid="{00000000-0005-0000-0000-000033180000}"/>
    <cellStyle name="Data 2 6 4 7" xfId="4549" xr:uid="{00000000-0005-0000-0000-000034180000}"/>
    <cellStyle name="Data 2 6 4 7 2" xfId="4550" xr:uid="{00000000-0005-0000-0000-000035180000}"/>
    <cellStyle name="Data 2 6 4 8" xfId="4551" xr:uid="{00000000-0005-0000-0000-000036180000}"/>
    <cellStyle name="Data 2 6 4 8 2" xfId="4552" xr:uid="{00000000-0005-0000-0000-000037180000}"/>
    <cellStyle name="Data 2 6 4 9" xfId="4553" xr:uid="{00000000-0005-0000-0000-000038180000}"/>
    <cellStyle name="Data 2 6 4 9 2" xfId="4554" xr:uid="{00000000-0005-0000-0000-000039180000}"/>
    <cellStyle name="Data 2 6 5" xfId="4555" xr:uid="{00000000-0005-0000-0000-00003A180000}"/>
    <cellStyle name="Data 2 6 5 10" xfId="4556" xr:uid="{00000000-0005-0000-0000-00003B180000}"/>
    <cellStyle name="Data 2 6 5 2" xfId="4557" xr:uid="{00000000-0005-0000-0000-00003C180000}"/>
    <cellStyle name="Data 2 6 5 2 2" xfId="4558" xr:uid="{00000000-0005-0000-0000-00003D180000}"/>
    <cellStyle name="Data 2 6 5 3" xfId="4559" xr:uid="{00000000-0005-0000-0000-00003E180000}"/>
    <cellStyle name="Data 2 6 5 3 2" xfId="4560" xr:uid="{00000000-0005-0000-0000-00003F180000}"/>
    <cellStyle name="Data 2 6 5 4" xfId="4561" xr:uid="{00000000-0005-0000-0000-000040180000}"/>
    <cellStyle name="Data 2 6 5 4 2" xfId="4562" xr:uid="{00000000-0005-0000-0000-000041180000}"/>
    <cellStyle name="Data 2 6 5 5" xfId="4563" xr:uid="{00000000-0005-0000-0000-000042180000}"/>
    <cellStyle name="Data 2 6 5 5 2" xfId="4564" xr:uid="{00000000-0005-0000-0000-000043180000}"/>
    <cellStyle name="Data 2 6 5 6" xfId="4565" xr:uid="{00000000-0005-0000-0000-000044180000}"/>
    <cellStyle name="Data 2 6 5 6 2" xfId="4566" xr:uid="{00000000-0005-0000-0000-000045180000}"/>
    <cellStyle name="Data 2 6 5 7" xfId="4567" xr:uid="{00000000-0005-0000-0000-000046180000}"/>
    <cellStyle name="Data 2 6 5 7 2" xfId="4568" xr:uid="{00000000-0005-0000-0000-000047180000}"/>
    <cellStyle name="Data 2 6 5 8" xfId="4569" xr:uid="{00000000-0005-0000-0000-000048180000}"/>
    <cellStyle name="Data 2 6 5 8 2" xfId="4570" xr:uid="{00000000-0005-0000-0000-000049180000}"/>
    <cellStyle name="Data 2 6 5 9" xfId="4571" xr:uid="{00000000-0005-0000-0000-00004A180000}"/>
    <cellStyle name="Data 2 6 5 9 2" xfId="4572" xr:uid="{00000000-0005-0000-0000-00004B180000}"/>
    <cellStyle name="Data 2 6 6" xfId="4573" xr:uid="{00000000-0005-0000-0000-00004C180000}"/>
    <cellStyle name="Data 2 6 6 10" xfId="4574" xr:uid="{00000000-0005-0000-0000-00004D180000}"/>
    <cellStyle name="Data 2 6 6 2" xfId="4575" xr:uid="{00000000-0005-0000-0000-00004E180000}"/>
    <cellStyle name="Data 2 6 6 2 2" xfId="4576" xr:uid="{00000000-0005-0000-0000-00004F180000}"/>
    <cellStyle name="Data 2 6 6 3" xfId="4577" xr:uid="{00000000-0005-0000-0000-000050180000}"/>
    <cellStyle name="Data 2 6 6 3 2" xfId="4578" xr:uid="{00000000-0005-0000-0000-000051180000}"/>
    <cellStyle name="Data 2 6 6 4" xfId="4579" xr:uid="{00000000-0005-0000-0000-000052180000}"/>
    <cellStyle name="Data 2 6 6 4 2" xfId="4580" xr:uid="{00000000-0005-0000-0000-000053180000}"/>
    <cellStyle name="Data 2 6 6 5" xfId="4581" xr:uid="{00000000-0005-0000-0000-000054180000}"/>
    <cellStyle name="Data 2 6 6 5 2" xfId="4582" xr:uid="{00000000-0005-0000-0000-000055180000}"/>
    <cellStyle name="Data 2 6 6 6" xfId="4583" xr:uid="{00000000-0005-0000-0000-000056180000}"/>
    <cellStyle name="Data 2 6 6 6 2" xfId="4584" xr:uid="{00000000-0005-0000-0000-000057180000}"/>
    <cellStyle name="Data 2 6 6 7" xfId="4585" xr:uid="{00000000-0005-0000-0000-000058180000}"/>
    <cellStyle name="Data 2 6 6 7 2" xfId="4586" xr:uid="{00000000-0005-0000-0000-000059180000}"/>
    <cellStyle name="Data 2 6 6 8" xfId="4587" xr:uid="{00000000-0005-0000-0000-00005A180000}"/>
    <cellStyle name="Data 2 6 6 8 2" xfId="4588" xr:uid="{00000000-0005-0000-0000-00005B180000}"/>
    <cellStyle name="Data 2 6 6 9" xfId="4589" xr:uid="{00000000-0005-0000-0000-00005C180000}"/>
    <cellStyle name="Data 2 6 6 9 2" xfId="4590" xr:uid="{00000000-0005-0000-0000-00005D180000}"/>
    <cellStyle name="Data 2 6 7" xfId="4591" xr:uid="{00000000-0005-0000-0000-00005E180000}"/>
    <cellStyle name="Data 2 6 7 10" xfId="4592" xr:uid="{00000000-0005-0000-0000-00005F180000}"/>
    <cellStyle name="Data 2 6 7 2" xfId="4593" xr:uid="{00000000-0005-0000-0000-000060180000}"/>
    <cellStyle name="Data 2 6 7 2 2" xfId="4594" xr:uid="{00000000-0005-0000-0000-000061180000}"/>
    <cellStyle name="Data 2 6 7 3" xfId="4595" xr:uid="{00000000-0005-0000-0000-000062180000}"/>
    <cellStyle name="Data 2 6 7 3 2" xfId="4596" xr:uid="{00000000-0005-0000-0000-000063180000}"/>
    <cellStyle name="Data 2 6 7 4" xfId="4597" xr:uid="{00000000-0005-0000-0000-000064180000}"/>
    <cellStyle name="Data 2 6 7 4 2" xfId="4598" xr:uid="{00000000-0005-0000-0000-000065180000}"/>
    <cellStyle name="Data 2 6 7 5" xfId="4599" xr:uid="{00000000-0005-0000-0000-000066180000}"/>
    <cellStyle name="Data 2 6 7 5 2" xfId="4600" xr:uid="{00000000-0005-0000-0000-000067180000}"/>
    <cellStyle name="Data 2 6 7 6" xfId="4601" xr:uid="{00000000-0005-0000-0000-000068180000}"/>
    <cellStyle name="Data 2 6 7 6 2" xfId="4602" xr:uid="{00000000-0005-0000-0000-000069180000}"/>
    <cellStyle name="Data 2 6 7 7" xfId="4603" xr:uid="{00000000-0005-0000-0000-00006A180000}"/>
    <cellStyle name="Data 2 6 7 7 2" xfId="4604" xr:uid="{00000000-0005-0000-0000-00006B180000}"/>
    <cellStyle name="Data 2 6 7 8" xfId="4605" xr:uid="{00000000-0005-0000-0000-00006C180000}"/>
    <cellStyle name="Data 2 6 7 8 2" xfId="4606" xr:uid="{00000000-0005-0000-0000-00006D180000}"/>
    <cellStyle name="Data 2 6 7 9" xfId="4607" xr:uid="{00000000-0005-0000-0000-00006E180000}"/>
    <cellStyle name="Data 2 6 7 9 2" xfId="4608" xr:uid="{00000000-0005-0000-0000-00006F180000}"/>
    <cellStyle name="Data 2 6 8" xfId="4609" xr:uid="{00000000-0005-0000-0000-000070180000}"/>
    <cellStyle name="Data 2 6 8 10" xfId="4610" xr:uid="{00000000-0005-0000-0000-000071180000}"/>
    <cellStyle name="Data 2 6 8 2" xfId="4611" xr:uid="{00000000-0005-0000-0000-000072180000}"/>
    <cellStyle name="Data 2 6 8 2 2" xfId="4612" xr:uid="{00000000-0005-0000-0000-000073180000}"/>
    <cellStyle name="Data 2 6 8 3" xfId="4613" xr:uid="{00000000-0005-0000-0000-000074180000}"/>
    <cellStyle name="Data 2 6 8 3 2" xfId="4614" xr:uid="{00000000-0005-0000-0000-000075180000}"/>
    <cellStyle name="Data 2 6 8 4" xfId="4615" xr:uid="{00000000-0005-0000-0000-000076180000}"/>
    <cellStyle name="Data 2 6 8 4 2" xfId="4616" xr:uid="{00000000-0005-0000-0000-000077180000}"/>
    <cellStyle name="Data 2 6 8 5" xfId="4617" xr:uid="{00000000-0005-0000-0000-000078180000}"/>
    <cellStyle name="Data 2 6 8 5 2" xfId="4618" xr:uid="{00000000-0005-0000-0000-000079180000}"/>
    <cellStyle name="Data 2 6 8 6" xfId="4619" xr:uid="{00000000-0005-0000-0000-00007A180000}"/>
    <cellStyle name="Data 2 6 8 6 2" xfId="4620" xr:uid="{00000000-0005-0000-0000-00007B180000}"/>
    <cellStyle name="Data 2 6 8 7" xfId="4621" xr:uid="{00000000-0005-0000-0000-00007C180000}"/>
    <cellStyle name="Data 2 6 8 7 2" xfId="4622" xr:uid="{00000000-0005-0000-0000-00007D180000}"/>
    <cellStyle name="Data 2 6 8 8" xfId="4623" xr:uid="{00000000-0005-0000-0000-00007E180000}"/>
    <cellStyle name="Data 2 6 8 8 2" xfId="4624" xr:uid="{00000000-0005-0000-0000-00007F180000}"/>
    <cellStyle name="Data 2 6 8 9" xfId="4625" xr:uid="{00000000-0005-0000-0000-000080180000}"/>
    <cellStyle name="Data 2 6 8 9 2" xfId="4626" xr:uid="{00000000-0005-0000-0000-000081180000}"/>
    <cellStyle name="Data 2 6 9" xfId="4627" xr:uid="{00000000-0005-0000-0000-000082180000}"/>
    <cellStyle name="Data 2 6 9 10" xfId="4628" xr:uid="{00000000-0005-0000-0000-000083180000}"/>
    <cellStyle name="Data 2 6 9 2" xfId="4629" xr:uid="{00000000-0005-0000-0000-000084180000}"/>
    <cellStyle name="Data 2 6 9 2 2" xfId="4630" xr:uid="{00000000-0005-0000-0000-000085180000}"/>
    <cellStyle name="Data 2 6 9 3" xfId="4631" xr:uid="{00000000-0005-0000-0000-000086180000}"/>
    <cellStyle name="Data 2 6 9 3 2" xfId="4632" xr:uid="{00000000-0005-0000-0000-000087180000}"/>
    <cellStyle name="Data 2 6 9 4" xfId="4633" xr:uid="{00000000-0005-0000-0000-000088180000}"/>
    <cellStyle name="Data 2 6 9 4 2" xfId="4634" xr:uid="{00000000-0005-0000-0000-000089180000}"/>
    <cellStyle name="Data 2 6 9 5" xfId="4635" xr:uid="{00000000-0005-0000-0000-00008A180000}"/>
    <cellStyle name="Data 2 6 9 5 2" xfId="4636" xr:uid="{00000000-0005-0000-0000-00008B180000}"/>
    <cellStyle name="Data 2 6 9 6" xfId="4637" xr:uid="{00000000-0005-0000-0000-00008C180000}"/>
    <cellStyle name="Data 2 6 9 6 2" xfId="4638" xr:uid="{00000000-0005-0000-0000-00008D180000}"/>
    <cellStyle name="Data 2 6 9 7" xfId="4639" xr:uid="{00000000-0005-0000-0000-00008E180000}"/>
    <cellStyle name="Data 2 6 9 7 2" xfId="4640" xr:uid="{00000000-0005-0000-0000-00008F180000}"/>
    <cellStyle name="Data 2 6 9 8" xfId="4641" xr:uid="{00000000-0005-0000-0000-000090180000}"/>
    <cellStyle name="Data 2 6 9 8 2" xfId="4642" xr:uid="{00000000-0005-0000-0000-000091180000}"/>
    <cellStyle name="Data 2 6 9 9" xfId="4643" xr:uid="{00000000-0005-0000-0000-000092180000}"/>
    <cellStyle name="Data 2 6 9 9 2" xfId="4644" xr:uid="{00000000-0005-0000-0000-000093180000}"/>
    <cellStyle name="Data 2 7" xfId="4645" xr:uid="{00000000-0005-0000-0000-000094180000}"/>
    <cellStyle name="Data 2 7 10" xfId="4646" xr:uid="{00000000-0005-0000-0000-000095180000}"/>
    <cellStyle name="Data 2 7 10 2" xfId="4647" xr:uid="{00000000-0005-0000-0000-000096180000}"/>
    <cellStyle name="Data 2 7 10 2 2" xfId="4648" xr:uid="{00000000-0005-0000-0000-000097180000}"/>
    <cellStyle name="Data 2 7 10 3" xfId="4649" xr:uid="{00000000-0005-0000-0000-000098180000}"/>
    <cellStyle name="Data 2 7 10 3 2" xfId="4650" xr:uid="{00000000-0005-0000-0000-000099180000}"/>
    <cellStyle name="Data 2 7 10 4" xfId="4651" xr:uid="{00000000-0005-0000-0000-00009A180000}"/>
    <cellStyle name="Data 2 7 10 4 2" xfId="4652" xr:uid="{00000000-0005-0000-0000-00009B180000}"/>
    <cellStyle name="Data 2 7 10 5" xfId="4653" xr:uid="{00000000-0005-0000-0000-00009C180000}"/>
    <cellStyle name="Data 2 7 10 5 2" xfId="4654" xr:uid="{00000000-0005-0000-0000-00009D180000}"/>
    <cellStyle name="Data 2 7 10 6" xfId="4655" xr:uid="{00000000-0005-0000-0000-00009E180000}"/>
    <cellStyle name="Data 2 7 10 6 2" xfId="4656" xr:uid="{00000000-0005-0000-0000-00009F180000}"/>
    <cellStyle name="Data 2 7 10 7" xfId="4657" xr:uid="{00000000-0005-0000-0000-0000A0180000}"/>
    <cellStyle name="Data 2 7 10 7 2" xfId="4658" xr:uid="{00000000-0005-0000-0000-0000A1180000}"/>
    <cellStyle name="Data 2 7 10 8" xfId="4659" xr:uid="{00000000-0005-0000-0000-0000A2180000}"/>
    <cellStyle name="Data 2 7 10 8 2" xfId="4660" xr:uid="{00000000-0005-0000-0000-0000A3180000}"/>
    <cellStyle name="Data 2 7 10 9" xfId="4661" xr:uid="{00000000-0005-0000-0000-0000A4180000}"/>
    <cellStyle name="Data 2 7 11" xfId="4662" xr:uid="{00000000-0005-0000-0000-0000A5180000}"/>
    <cellStyle name="Data 2 7 11 2" xfId="4663" xr:uid="{00000000-0005-0000-0000-0000A6180000}"/>
    <cellStyle name="Data 2 7 12" xfId="4664" xr:uid="{00000000-0005-0000-0000-0000A7180000}"/>
    <cellStyle name="Data 2 7 12 2" xfId="4665" xr:uid="{00000000-0005-0000-0000-0000A8180000}"/>
    <cellStyle name="Data 2 7 13" xfId="4666" xr:uid="{00000000-0005-0000-0000-0000A9180000}"/>
    <cellStyle name="Data 2 7 13 2" xfId="4667" xr:uid="{00000000-0005-0000-0000-0000AA180000}"/>
    <cellStyle name="Data 2 7 14" xfId="4668" xr:uid="{00000000-0005-0000-0000-0000AB180000}"/>
    <cellStyle name="Data 2 7 14 2" xfId="4669" xr:uid="{00000000-0005-0000-0000-0000AC180000}"/>
    <cellStyle name="Data 2 7 15" xfId="4670" xr:uid="{00000000-0005-0000-0000-0000AD180000}"/>
    <cellStyle name="Data 2 7 15 2" xfId="4671" xr:uid="{00000000-0005-0000-0000-0000AE180000}"/>
    <cellStyle name="Data 2 7 16" xfId="4672" xr:uid="{00000000-0005-0000-0000-0000AF180000}"/>
    <cellStyle name="Data 2 7 16 2" xfId="4673" xr:uid="{00000000-0005-0000-0000-0000B0180000}"/>
    <cellStyle name="Data 2 7 17" xfId="4674" xr:uid="{00000000-0005-0000-0000-0000B1180000}"/>
    <cellStyle name="Data 2 7 17 2" xfId="4675" xr:uid="{00000000-0005-0000-0000-0000B2180000}"/>
    <cellStyle name="Data 2 7 18" xfId="4676" xr:uid="{00000000-0005-0000-0000-0000B3180000}"/>
    <cellStyle name="Data 2 7 2" xfId="4677" xr:uid="{00000000-0005-0000-0000-0000B4180000}"/>
    <cellStyle name="Data 2 7 2 10" xfId="4678" xr:uid="{00000000-0005-0000-0000-0000B5180000}"/>
    <cellStyle name="Data 2 7 2 2" xfId="4679" xr:uid="{00000000-0005-0000-0000-0000B6180000}"/>
    <cellStyle name="Data 2 7 2 2 2" xfId="4680" xr:uid="{00000000-0005-0000-0000-0000B7180000}"/>
    <cellStyle name="Data 2 7 2 3" xfId="4681" xr:uid="{00000000-0005-0000-0000-0000B8180000}"/>
    <cellStyle name="Data 2 7 2 3 2" xfId="4682" xr:uid="{00000000-0005-0000-0000-0000B9180000}"/>
    <cellStyle name="Data 2 7 2 4" xfId="4683" xr:uid="{00000000-0005-0000-0000-0000BA180000}"/>
    <cellStyle name="Data 2 7 2 4 2" xfId="4684" xr:uid="{00000000-0005-0000-0000-0000BB180000}"/>
    <cellStyle name="Data 2 7 2 5" xfId="4685" xr:uid="{00000000-0005-0000-0000-0000BC180000}"/>
    <cellStyle name="Data 2 7 2 5 2" xfId="4686" xr:uid="{00000000-0005-0000-0000-0000BD180000}"/>
    <cellStyle name="Data 2 7 2 6" xfId="4687" xr:uid="{00000000-0005-0000-0000-0000BE180000}"/>
    <cellStyle name="Data 2 7 2 6 2" xfId="4688" xr:uid="{00000000-0005-0000-0000-0000BF180000}"/>
    <cellStyle name="Data 2 7 2 7" xfId="4689" xr:uid="{00000000-0005-0000-0000-0000C0180000}"/>
    <cellStyle name="Data 2 7 2 7 2" xfId="4690" xr:uid="{00000000-0005-0000-0000-0000C1180000}"/>
    <cellStyle name="Data 2 7 2 8" xfId="4691" xr:uid="{00000000-0005-0000-0000-0000C2180000}"/>
    <cellStyle name="Data 2 7 2 8 2" xfId="4692" xr:uid="{00000000-0005-0000-0000-0000C3180000}"/>
    <cellStyle name="Data 2 7 2 9" xfId="4693" xr:uid="{00000000-0005-0000-0000-0000C4180000}"/>
    <cellStyle name="Data 2 7 2 9 2" xfId="4694" xr:uid="{00000000-0005-0000-0000-0000C5180000}"/>
    <cellStyle name="Data 2 7 3" xfId="4695" xr:uid="{00000000-0005-0000-0000-0000C6180000}"/>
    <cellStyle name="Data 2 7 3 10" xfId="4696" xr:uid="{00000000-0005-0000-0000-0000C7180000}"/>
    <cellStyle name="Data 2 7 3 2" xfId="4697" xr:uid="{00000000-0005-0000-0000-0000C8180000}"/>
    <cellStyle name="Data 2 7 3 2 2" xfId="4698" xr:uid="{00000000-0005-0000-0000-0000C9180000}"/>
    <cellStyle name="Data 2 7 3 3" xfId="4699" xr:uid="{00000000-0005-0000-0000-0000CA180000}"/>
    <cellStyle name="Data 2 7 3 3 2" xfId="4700" xr:uid="{00000000-0005-0000-0000-0000CB180000}"/>
    <cellStyle name="Data 2 7 3 4" xfId="4701" xr:uid="{00000000-0005-0000-0000-0000CC180000}"/>
    <cellStyle name="Data 2 7 3 4 2" xfId="4702" xr:uid="{00000000-0005-0000-0000-0000CD180000}"/>
    <cellStyle name="Data 2 7 3 5" xfId="4703" xr:uid="{00000000-0005-0000-0000-0000CE180000}"/>
    <cellStyle name="Data 2 7 3 5 2" xfId="4704" xr:uid="{00000000-0005-0000-0000-0000CF180000}"/>
    <cellStyle name="Data 2 7 3 6" xfId="4705" xr:uid="{00000000-0005-0000-0000-0000D0180000}"/>
    <cellStyle name="Data 2 7 3 6 2" xfId="4706" xr:uid="{00000000-0005-0000-0000-0000D1180000}"/>
    <cellStyle name="Data 2 7 3 7" xfId="4707" xr:uid="{00000000-0005-0000-0000-0000D2180000}"/>
    <cellStyle name="Data 2 7 3 7 2" xfId="4708" xr:uid="{00000000-0005-0000-0000-0000D3180000}"/>
    <cellStyle name="Data 2 7 3 8" xfId="4709" xr:uid="{00000000-0005-0000-0000-0000D4180000}"/>
    <cellStyle name="Data 2 7 3 8 2" xfId="4710" xr:uid="{00000000-0005-0000-0000-0000D5180000}"/>
    <cellStyle name="Data 2 7 3 9" xfId="4711" xr:uid="{00000000-0005-0000-0000-0000D6180000}"/>
    <cellStyle name="Data 2 7 3 9 2" xfId="4712" xr:uid="{00000000-0005-0000-0000-0000D7180000}"/>
    <cellStyle name="Data 2 7 4" xfId="4713" xr:uid="{00000000-0005-0000-0000-0000D8180000}"/>
    <cellStyle name="Data 2 7 4 10" xfId="4714" xr:uid="{00000000-0005-0000-0000-0000D9180000}"/>
    <cellStyle name="Data 2 7 4 2" xfId="4715" xr:uid="{00000000-0005-0000-0000-0000DA180000}"/>
    <cellStyle name="Data 2 7 4 2 2" xfId="4716" xr:uid="{00000000-0005-0000-0000-0000DB180000}"/>
    <cellStyle name="Data 2 7 4 3" xfId="4717" xr:uid="{00000000-0005-0000-0000-0000DC180000}"/>
    <cellStyle name="Data 2 7 4 3 2" xfId="4718" xr:uid="{00000000-0005-0000-0000-0000DD180000}"/>
    <cellStyle name="Data 2 7 4 4" xfId="4719" xr:uid="{00000000-0005-0000-0000-0000DE180000}"/>
    <cellStyle name="Data 2 7 4 4 2" xfId="4720" xr:uid="{00000000-0005-0000-0000-0000DF180000}"/>
    <cellStyle name="Data 2 7 4 5" xfId="4721" xr:uid="{00000000-0005-0000-0000-0000E0180000}"/>
    <cellStyle name="Data 2 7 4 5 2" xfId="4722" xr:uid="{00000000-0005-0000-0000-0000E1180000}"/>
    <cellStyle name="Data 2 7 4 6" xfId="4723" xr:uid="{00000000-0005-0000-0000-0000E2180000}"/>
    <cellStyle name="Data 2 7 4 6 2" xfId="4724" xr:uid="{00000000-0005-0000-0000-0000E3180000}"/>
    <cellStyle name="Data 2 7 4 7" xfId="4725" xr:uid="{00000000-0005-0000-0000-0000E4180000}"/>
    <cellStyle name="Data 2 7 4 7 2" xfId="4726" xr:uid="{00000000-0005-0000-0000-0000E5180000}"/>
    <cellStyle name="Data 2 7 4 8" xfId="4727" xr:uid="{00000000-0005-0000-0000-0000E6180000}"/>
    <cellStyle name="Data 2 7 4 8 2" xfId="4728" xr:uid="{00000000-0005-0000-0000-0000E7180000}"/>
    <cellStyle name="Data 2 7 4 9" xfId="4729" xr:uid="{00000000-0005-0000-0000-0000E8180000}"/>
    <cellStyle name="Data 2 7 4 9 2" xfId="4730" xr:uid="{00000000-0005-0000-0000-0000E9180000}"/>
    <cellStyle name="Data 2 7 5" xfId="4731" xr:uid="{00000000-0005-0000-0000-0000EA180000}"/>
    <cellStyle name="Data 2 7 5 10" xfId="4732" xr:uid="{00000000-0005-0000-0000-0000EB180000}"/>
    <cellStyle name="Data 2 7 5 2" xfId="4733" xr:uid="{00000000-0005-0000-0000-0000EC180000}"/>
    <cellStyle name="Data 2 7 5 2 2" xfId="4734" xr:uid="{00000000-0005-0000-0000-0000ED180000}"/>
    <cellStyle name="Data 2 7 5 3" xfId="4735" xr:uid="{00000000-0005-0000-0000-0000EE180000}"/>
    <cellStyle name="Data 2 7 5 3 2" xfId="4736" xr:uid="{00000000-0005-0000-0000-0000EF180000}"/>
    <cellStyle name="Data 2 7 5 4" xfId="4737" xr:uid="{00000000-0005-0000-0000-0000F0180000}"/>
    <cellStyle name="Data 2 7 5 4 2" xfId="4738" xr:uid="{00000000-0005-0000-0000-0000F1180000}"/>
    <cellStyle name="Data 2 7 5 5" xfId="4739" xr:uid="{00000000-0005-0000-0000-0000F2180000}"/>
    <cellStyle name="Data 2 7 5 5 2" xfId="4740" xr:uid="{00000000-0005-0000-0000-0000F3180000}"/>
    <cellStyle name="Data 2 7 5 6" xfId="4741" xr:uid="{00000000-0005-0000-0000-0000F4180000}"/>
    <cellStyle name="Data 2 7 5 6 2" xfId="4742" xr:uid="{00000000-0005-0000-0000-0000F5180000}"/>
    <cellStyle name="Data 2 7 5 7" xfId="4743" xr:uid="{00000000-0005-0000-0000-0000F6180000}"/>
    <cellStyle name="Data 2 7 5 7 2" xfId="4744" xr:uid="{00000000-0005-0000-0000-0000F7180000}"/>
    <cellStyle name="Data 2 7 5 8" xfId="4745" xr:uid="{00000000-0005-0000-0000-0000F8180000}"/>
    <cellStyle name="Data 2 7 5 8 2" xfId="4746" xr:uid="{00000000-0005-0000-0000-0000F9180000}"/>
    <cellStyle name="Data 2 7 5 9" xfId="4747" xr:uid="{00000000-0005-0000-0000-0000FA180000}"/>
    <cellStyle name="Data 2 7 5 9 2" xfId="4748" xr:uid="{00000000-0005-0000-0000-0000FB180000}"/>
    <cellStyle name="Data 2 7 6" xfId="4749" xr:uid="{00000000-0005-0000-0000-0000FC180000}"/>
    <cellStyle name="Data 2 7 6 10" xfId="4750" xr:uid="{00000000-0005-0000-0000-0000FD180000}"/>
    <cellStyle name="Data 2 7 6 2" xfId="4751" xr:uid="{00000000-0005-0000-0000-0000FE180000}"/>
    <cellStyle name="Data 2 7 6 2 2" xfId="4752" xr:uid="{00000000-0005-0000-0000-0000FF180000}"/>
    <cellStyle name="Data 2 7 6 3" xfId="4753" xr:uid="{00000000-0005-0000-0000-000000190000}"/>
    <cellStyle name="Data 2 7 6 3 2" xfId="4754" xr:uid="{00000000-0005-0000-0000-000001190000}"/>
    <cellStyle name="Data 2 7 6 4" xfId="4755" xr:uid="{00000000-0005-0000-0000-000002190000}"/>
    <cellStyle name="Data 2 7 6 4 2" xfId="4756" xr:uid="{00000000-0005-0000-0000-000003190000}"/>
    <cellStyle name="Data 2 7 6 5" xfId="4757" xr:uid="{00000000-0005-0000-0000-000004190000}"/>
    <cellStyle name="Data 2 7 6 5 2" xfId="4758" xr:uid="{00000000-0005-0000-0000-000005190000}"/>
    <cellStyle name="Data 2 7 6 6" xfId="4759" xr:uid="{00000000-0005-0000-0000-000006190000}"/>
    <cellStyle name="Data 2 7 6 6 2" xfId="4760" xr:uid="{00000000-0005-0000-0000-000007190000}"/>
    <cellStyle name="Data 2 7 6 7" xfId="4761" xr:uid="{00000000-0005-0000-0000-000008190000}"/>
    <cellStyle name="Data 2 7 6 7 2" xfId="4762" xr:uid="{00000000-0005-0000-0000-000009190000}"/>
    <cellStyle name="Data 2 7 6 8" xfId="4763" xr:uid="{00000000-0005-0000-0000-00000A190000}"/>
    <cellStyle name="Data 2 7 6 8 2" xfId="4764" xr:uid="{00000000-0005-0000-0000-00000B190000}"/>
    <cellStyle name="Data 2 7 6 9" xfId="4765" xr:uid="{00000000-0005-0000-0000-00000C190000}"/>
    <cellStyle name="Data 2 7 6 9 2" xfId="4766" xr:uid="{00000000-0005-0000-0000-00000D190000}"/>
    <cellStyle name="Data 2 7 7" xfId="4767" xr:uid="{00000000-0005-0000-0000-00000E190000}"/>
    <cellStyle name="Data 2 7 7 10" xfId="4768" xr:uid="{00000000-0005-0000-0000-00000F190000}"/>
    <cellStyle name="Data 2 7 7 2" xfId="4769" xr:uid="{00000000-0005-0000-0000-000010190000}"/>
    <cellStyle name="Data 2 7 7 2 2" xfId="4770" xr:uid="{00000000-0005-0000-0000-000011190000}"/>
    <cellStyle name="Data 2 7 7 3" xfId="4771" xr:uid="{00000000-0005-0000-0000-000012190000}"/>
    <cellStyle name="Data 2 7 7 3 2" xfId="4772" xr:uid="{00000000-0005-0000-0000-000013190000}"/>
    <cellStyle name="Data 2 7 7 4" xfId="4773" xr:uid="{00000000-0005-0000-0000-000014190000}"/>
    <cellStyle name="Data 2 7 7 4 2" xfId="4774" xr:uid="{00000000-0005-0000-0000-000015190000}"/>
    <cellStyle name="Data 2 7 7 5" xfId="4775" xr:uid="{00000000-0005-0000-0000-000016190000}"/>
    <cellStyle name="Data 2 7 7 5 2" xfId="4776" xr:uid="{00000000-0005-0000-0000-000017190000}"/>
    <cellStyle name="Data 2 7 7 6" xfId="4777" xr:uid="{00000000-0005-0000-0000-000018190000}"/>
    <cellStyle name="Data 2 7 7 6 2" xfId="4778" xr:uid="{00000000-0005-0000-0000-000019190000}"/>
    <cellStyle name="Data 2 7 7 7" xfId="4779" xr:uid="{00000000-0005-0000-0000-00001A190000}"/>
    <cellStyle name="Data 2 7 7 7 2" xfId="4780" xr:uid="{00000000-0005-0000-0000-00001B190000}"/>
    <cellStyle name="Data 2 7 7 8" xfId="4781" xr:uid="{00000000-0005-0000-0000-00001C190000}"/>
    <cellStyle name="Data 2 7 7 8 2" xfId="4782" xr:uid="{00000000-0005-0000-0000-00001D190000}"/>
    <cellStyle name="Data 2 7 7 9" xfId="4783" xr:uid="{00000000-0005-0000-0000-00001E190000}"/>
    <cellStyle name="Data 2 7 7 9 2" xfId="4784" xr:uid="{00000000-0005-0000-0000-00001F190000}"/>
    <cellStyle name="Data 2 7 8" xfId="4785" xr:uid="{00000000-0005-0000-0000-000020190000}"/>
    <cellStyle name="Data 2 7 8 10" xfId="4786" xr:uid="{00000000-0005-0000-0000-000021190000}"/>
    <cellStyle name="Data 2 7 8 2" xfId="4787" xr:uid="{00000000-0005-0000-0000-000022190000}"/>
    <cellStyle name="Data 2 7 8 2 2" xfId="4788" xr:uid="{00000000-0005-0000-0000-000023190000}"/>
    <cellStyle name="Data 2 7 8 3" xfId="4789" xr:uid="{00000000-0005-0000-0000-000024190000}"/>
    <cellStyle name="Data 2 7 8 3 2" xfId="4790" xr:uid="{00000000-0005-0000-0000-000025190000}"/>
    <cellStyle name="Data 2 7 8 4" xfId="4791" xr:uid="{00000000-0005-0000-0000-000026190000}"/>
    <cellStyle name="Data 2 7 8 4 2" xfId="4792" xr:uid="{00000000-0005-0000-0000-000027190000}"/>
    <cellStyle name="Data 2 7 8 5" xfId="4793" xr:uid="{00000000-0005-0000-0000-000028190000}"/>
    <cellStyle name="Data 2 7 8 5 2" xfId="4794" xr:uid="{00000000-0005-0000-0000-000029190000}"/>
    <cellStyle name="Data 2 7 8 6" xfId="4795" xr:uid="{00000000-0005-0000-0000-00002A190000}"/>
    <cellStyle name="Data 2 7 8 6 2" xfId="4796" xr:uid="{00000000-0005-0000-0000-00002B190000}"/>
    <cellStyle name="Data 2 7 8 7" xfId="4797" xr:uid="{00000000-0005-0000-0000-00002C190000}"/>
    <cellStyle name="Data 2 7 8 7 2" xfId="4798" xr:uid="{00000000-0005-0000-0000-00002D190000}"/>
    <cellStyle name="Data 2 7 8 8" xfId="4799" xr:uid="{00000000-0005-0000-0000-00002E190000}"/>
    <cellStyle name="Data 2 7 8 8 2" xfId="4800" xr:uid="{00000000-0005-0000-0000-00002F190000}"/>
    <cellStyle name="Data 2 7 8 9" xfId="4801" xr:uid="{00000000-0005-0000-0000-000030190000}"/>
    <cellStyle name="Data 2 7 8 9 2" xfId="4802" xr:uid="{00000000-0005-0000-0000-000031190000}"/>
    <cellStyle name="Data 2 7 9" xfId="4803" xr:uid="{00000000-0005-0000-0000-000032190000}"/>
    <cellStyle name="Data 2 7 9 10" xfId="4804" xr:uid="{00000000-0005-0000-0000-000033190000}"/>
    <cellStyle name="Data 2 7 9 2" xfId="4805" xr:uid="{00000000-0005-0000-0000-000034190000}"/>
    <cellStyle name="Data 2 7 9 2 2" xfId="4806" xr:uid="{00000000-0005-0000-0000-000035190000}"/>
    <cellStyle name="Data 2 7 9 3" xfId="4807" xr:uid="{00000000-0005-0000-0000-000036190000}"/>
    <cellStyle name="Data 2 7 9 3 2" xfId="4808" xr:uid="{00000000-0005-0000-0000-000037190000}"/>
    <cellStyle name="Data 2 7 9 4" xfId="4809" xr:uid="{00000000-0005-0000-0000-000038190000}"/>
    <cellStyle name="Data 2 7 9 4 2" xfId="4810" xr:uid="{00000000-0005-0000-0000-000039190000}"/>
    <cellStyle name="Data 2 7 9 5" xfId="4811" xr:uid="{00000000-0005-0000-0000-00003A190000}"/>
    <cellStyle name="Data 2 7 9 5 2" xfId="4812" xr:uid="{00000000-0005-0000-0000-00003B190000}"/>
    <cellStyle name="Data 2 7 9 6" xfId="4813" xr:uid="{00000000-0005-0000-0000-00003C190000}"/>
    <cellStyle name="Data 2 7 9 6 2" xfId="4814" xr:uid="{00000000-0005-0000-0000-00003D190000}"/>
    <cellStyle name="Data 2 7 9 7" xfId="4815" xr:uid="{00000000-0005-0000-0000-00003E190000}"/>
    <cellStyle name="Data 2 7 9 7 2" xfId="4816" xr:uid="{00000000-0005-0000-0000-00003F190000}"/>
    <cellStyle name="Data 2 7 9 8" xfId="4817" xr:uid="{00000000-0005-0000-0000-000040190000}"/>
    <cellStyle name="Data 2 7 9 8 2" xfId="4818" xr:uid="{00000000-0005-0000-0000-000041190000}"/>
    <cellStyle name="Data 2 7 9 9" xfId="4819" xr:uid="{00000000-0005-0000-0000-000042190000}"/>
    <cellStyle name="Data 2 7 9 9 2" xfId="4820" xr:uid="{00000000-0005-0000-0000-000043190000}"/>
    <cellStyle name="Data 2 8" xfId="4821" xr:uid="{00000000-0005-0000-0000-000044190000}"/>
    <cellStyle name="Data 2 8 10" xfId="4822" xr:uid="{00000000-0005-0000-0000-000045190000}"/>
    <cellStyle name="Data 2 8 10 2" xfId="4823" xr:uid="{00000000-0005-0000-0000-000046190000}"/>
    <cellStyle name="Data 2 8 10 2 2" xfId="4824" xr:uid="{00000000-0005-0000-0000-000047190000}"/>
    <cellStyle name="Data 2 8 10 3" xfId="4825" xr:uid="{00000000-0005-0000-0000-000048190000}"/>
    <cellStyle name="Data 2 8 10 3 2" xfId="4826" xr:uid="{00000000-0005-0000-0000-000049190000}"/>
    <cellStyle name="Data 2 8 10 4" xfId="4827" xr:uid="{00000000-0005-0000-0000-00004A190000}"/>
    <cellStyle name="Data 2 8 10 4 2" xfId="4828" xr:uid="{00000000-0005-0000-0000-00004B190000}"/>
    <cellStyle name="Data 2 8 10 5" xfId="4829" xr:uid="{00000000-0005-0000-0000-00004C190000}"/>
    <cellStyle name="Data 2 8 10 5 2" xfId="4830" xr:uid="{00000000-0005-0000-0000-00004D190000}"/>
    <cellStyle name="Data 2 8 10 6" xfId="4831" xr:uid="{00000000-0005-0000-0000-00004E190000}"/>
    <cellStyle name="Data 2 8 10 6 2" xfId="4832" xr:uid="{00000000-0005-0000-0000-00004F190000}"/>
    <cellStyle name="Data 2 8 10 7" xfId="4833" xr:uid="{00000000-0005-0000-0000-000050190000}"/>
    <cellStyle name="Data 2 8 10 7 2" xfId="4834" xr:uid="{00000000-0005-0000-0000-000051190000}"/>
    <cellStyle name="Data 2 8 10 8" xfId="4835" xr:uid="{00000000-0005-0000-0000-000052190000}"/>
    <cellStyle name="Data 2 8 10 8 2" xfId="4836" xr:uid="{00000000-0005-0000-0000-000053190000}"/>
    <cellStyle name="Data 2 8 10 9" xfId="4837" xr:uid="{00000000-0005-0000-0000-000054190000}"/>
    <cellStyle name="Data 2 8 11" xfId="4838" xr:uid="{00000000-0005-0000-0000-000055190000}"/>
    <cellStyle name="Data 2 8 11 2" xfId="4839" xr:uid="{00000000-0005-0000-0000-000056190000}"/>
    <cellStyle name="Data 2 8 12" xfId="4840" xr:uid="{00000000-0005-0000-0000-000057190000}"/>
    <cellStyle name="Data 2 8 12 2" xfId="4841" xr:uid="{00000000-0005-0000-0000-000058190000}"/>
    <cellStyle name="Data 2 8 13" xfId="4842" xr:uid="{00000000-0005-0000-0000-000059190000}"/>
    <cellStyle name="Data 2 8 13 2" xfId="4843" xr:uid="{00000000-0005-0000-0000-00005A190000}"/>
    <cellStyle name="Data 2 8 14" xfId="4844" xr:uid="{00000000-0005-0000-0000-00005B190000}"/>
    <cellStyle name="Data 2 8 14 2" xfId="4845" xr:uid="{00000000-0005-0000-0000-00005C190000}"/>
    <cellStyle name="Data 2 8 15" xfId="4846" xr:uid="{00000000-0005-0000-0000-00005D190000}"/>
    <cellStyle name="Data 2 8 15 2" xfId="4847" xr:uid="{00000000-0005-0000-0000-00005E190000}"/>
    <cellStyle name="Data 2 8 16" xfId="4848" xr:uid="{00000000-0005-0000-0000-00005F190000}"/>
    <cellStyle name="Data 2 8 16 2" xfId="4849" xr:uid="{00000000-0005-0000-0000-000060190000}"/>
    <cellStyle name="Data 2 8 17" xfId="4850" xr:uid="{00000000-0005-0000-0000-000061190000}"/>
    <cellStyle name="Data 2 8 17 2" xfId="4851" xr:uid="{00000000-0005-0000-0000-000062190000}"/>
    <cellStyle name="Data 2 8 18" xfId="4852" xr:uid="{00000000-0005-0000-0000-000063190000}"/>
    <cellStyle name="Data 2 8 2" xfId="4853" xr:uid="{00000000-0005-0000-0000-000064190000}"/>
    <cellStyle name="Data 2 8 2 10" xfId="4854" xr:uid="{00000000-0005-0000-0000-000065190000}"/>
    <cellStyle name="Data 2 8 2 2" xfId="4855" xr:uid="{00000000-0005-0000-0000-000066190000}"/>
    <cellStyle name="Data 2 8 2 2 2" xfId="4856" xr:uid="{00000000-0005-0000-0000-000067190000}"/>
    <cellStyle name="Data 2 8 2 3" xfId="4857" xr:uid="{00000000-0005-0000-0000-000068190000}"/>
    <cellStyle name="Data 2 8 2 3 2" xfId="4858" xr:uid="{00000000-0005-0000-0000-000069190000}"/>
    <cellStyle name="Data 2 8 2 4" xfId="4859" xr:uid="{00000000-0005-0000-0000-00006A190000}"/>
    <cellStyle name="Data 2 8 2 4 2" xfId="4860" xr:uid="{00000000-0005-0000-0000-00006B190000}"/>
    <cellStyle name="Data 2 8 2 5" xfId="4861" xr:uid="{00000000-0005-0000-0000-00006C190000}"/>
    <cellStyle name="Data 2 8 2 5 2" xfId="4862" xr:uid="{00000000-0005-0000-0000-00006D190000}"/>
    <cellStyle name="Data 2 8 2 6" xfId="4863" xr:uid="{00000000-0005-0000-0000-00006E190000}"/>
    <cellStyle name="Data 2 8 2 6 2" xfId="4864" xr:uid="{00000000-0005-0000-0000-00006F190000}"/>
    <cellStyle name="Data 2 8 2 7" xfId="4865" xr:uid="{00000000-0005-0000-0000-000070190000}"/>
    <cellStyle name="Data 2 8 2 7 2" xfId="4866" xr:uid="{00000000-0005-0000-0000-000071190000}"/>
    <cellStyle name="Data 2 8 2 8" xfId="4867" xr:uid="{00000000-0005-0000-0000-000072190000}"/>
    <cellStyle name="Data 2 8 2 8 2" xfId="4868" xr:uid="{00000000-0005-0000-0000-000073190000}"/>
    <cellStyle name="Data 2 8 2 9" xfId="4869" xr:uid="{00000000-0005-0000-0000-000074190000}"/>
    <cellStyle name="Data 2 8 2 9 2" xfId="4870" xr:uid="{00000000-0005-0000-0000-000075190000}"/>
    <cellStyle name="Data 2 8 3" xfId="4871" xr:uid="{00000000-0005-0000-0000-000076190000}"/>
    <cellStyle name="Data 2 8 3 10" xfId="4872" xr:uid="{00000000-0005-0000-0000-000077190000}"/>
    <cellStyle name="Data 2 8 3 2" xfId="4873" xr:uid="{00000000-0005-0000-0000-000078190000}"/>
    <cellStyle name="Data 2 8 3 2 2" xfId="4874" xr:uid="{00000000-0005-0000-0000-000079190000}"/>
    <cellStyle name="Data 2 8 3 3" xfId="4875" xr:uid="{00000000-0005-0000-0000-00007A190000}"/>
    <cellStyle name="Data 2 8 3 3 2" xfId="4876" xr:uid="{00000000-0005-0000-0000-00007B190000}"/>
    <cellStyle name="Data 2 8 3 4" xfId="4877" xr:uid="{00000000-0005-0000-0000-00007C190000}"/>
    <cellStyle name="Data 2 8 3 4 2" xfId="4878" xr:uid="{00000000-0005-0000-0000-00007D190000}"/>
    <cellStyle name="Data 2 8 3 5" xfId="4879" xr:uid="{00000000-0005-0000-0000-00007E190000}"/>
    <cellStyle name="Data 2 8 3 5 2" xfId="4880" xr:uid="{00000000-0005-0000-0000-00007F190000}"/>
    <cellStyle name="Data 2 8 3 6" xfId="4881" xr:uid="{00000000-0005-0000-0000-000080190000}"/>
    <cellStyle name="Data 2 8 3 6 2" xfId="4882" xr:uid="{00000000-0005-0000-0000-000081190000}"/>
    <cellStyle name="Data 2 8 3 7" xfId="4883" xr:uid="{00000000-0005-0000-0000-000082190000}"/>
    <cellStyle name="Data 2 8 3 7 2" xfId="4884" xr:uid="{00000000-0005-0000-0000-000083190000}"/>
    <cellStyle name="Data 2 8 3 8" xfId="4885" xr:uid="{00000000-0005-0000-0000-000084190000}"/>
    <cellStyle name="Data 2 8 3 8 2" xfId="4886" xr:uid="{00000000-0005-0000-0000-000085190000}"/>
    <cellStyle name="Data 2 8 3 9" xfId="4887" xr:uid="{00000000-0005-0000-0000-000086190000}"/>
    <cellStyle name="Data 2 8 3 9 2" xfId="4888" xr:uid="{00000000-0005-0000-0000-000087190000}"/>
    <cellStyle name="Data 2 8 4" xfId="4889" xr:uid="{00000000-0005-0000-0000-000088190000}"/>
    <cellStyle name="Data 2 8 4 10" xfId="4890" xr:uid="{00000000-0005-0000-0000-000089190000}"/>
    <cellStyle name="Data 2 8 4 2" xfId="4891" xr:uid="{00000000-0005-0000-0000-00008A190000}"/>
    <cellStyle name="Data 2 8 4 2 2" xfId="4892" xr:uid="{00000000-0005-0000-0000-00008B190000}"/>
    <cellStyle name="Data 2 8 4 3" xfId="4893" xr:uid="{00000000-0005-0000-0000-00008C190000}"/>
    <cellStyle name="Data 2 8 4 3 2" xfId="4894" xr:uid="{00000000-0005-0000-0000-00008D190000}"/>
    <cellStyle name="Data 2 8 4 4" xfId="4895" xr:uid="{00000000-0005-0000-0000-00008E190000}"/>
    <cellStyle name="Data 2 8 4 4 2" xfId="4896" xr:uid="{00000000-0005-0000-0000-00008F190000}"/>
    <cellStyle name="Data 2 8 4 5" xfId="4897" xr:uid="{00000000-0005-0000-0000-000090190000}"/>
    <cellStyle name="Data 2 8 4 5 2" xfId="4898" xr:uid="{00000000-0005-0000-0000-000091190000}"/>
    <cellStyle name="Data 2 8 4 6" xfId="4899" xr:uid="{00000000-0005-0000-0000-000092190000}"/>
    <cellStyle name="Data 2 8 4 6 2" xfId="4900" xr:uid="{00000000-0005-0000-0000-000093190000}"/>
    <cellStyle name="Data 2 8 4 7" xfId="4901" xr:uid="{00000000-0005-0000-0000-000094190000}"/>
    <cellStyle name="Data 2 8 4 7 2" xfId="4902" xr:uid="{00000000-0005-0000-0000-000095190000}"/>
    <cellStyle name="Data 2 8 4 8" xfId="4903" xr:uid="{00000000-0005-0000-0000-000096190000}"/>
    <cellStyle name="Data 2 8 4 8 2" xfId="4904" xr:uid="{00000000-0005-0000-0000-000097190000}"/>
    <cellStyle name="Data 2 8 4 9" xfId="4905" xr:uid="{00000000-0005-0000-0000-000098190000}"/>
    <cellStyle name="Data 2 8 4 9 2" xfId="4906" xr:uid="{00000000-0005-0000-0000-000099190000}"/>
    <cellStyle name="Data 2 8 5" xfId="4907" xr:uid="{00000000-0005-0000-0000-00009A190000}"/>
    <cellStyle name="Data 2 8 5 10" xfId="4908" xr:uid="{00000000-0005-0000-0000-00009B190000}"/>
    <cellStyle name="Data 2 8 5 2" xfId="4909" xr:uid="{00000000-0005-0000-0000-00009C190000}"/>
    <cellStyle name="Data 2 8 5 2 2" xfId="4910" xr:uid="{00000000-0005-0000-0000-00009D190000}"/>
    <cellStyle name="Data 2 8 5 3" xfId="4911" xr:uid="{00000000-0005-0000-0000-00009E190000}"/>
    <cellStyle name="Data 2 8 5 3 2" xfId="4912" xr:uid="{00000000-0005-0000-0000-00009F190000}"/>
    <cellStyle name="Data 2 8 5 4" xfId="4913" xr:uid="{00000000-0005-0000-0000-0000A0190000}"/>
    <cellStyle name="Data 2 8 5 4 2" xfId="4914" xr:uid="{00000000-0005-0000-0000-0000A1190000}"/>
    <cellStyle name="Data 2 8 5 5" xfId="4915" xr:uid="{00000000-0005-0000-0000-0000A2190000}"/>
    <cellStyle name="Data 2 8 5 5 2" xfId="4916" xr:uid="{00000000-0005-0000-0000-0000A3190000}"/>
    <cellStyle name="Data 2 8 5 6" xfId="4917" xr:uid="{00000000-0005-0000-0000-0000A4190000}"/>
    <cellStyle name="Data 2 8 5 6 2" xfId="4918" xr:uid="{00000000-0005-0000-0000-0000A5190000}"/>
    <cellStyle name="Data 2 8 5 7" xfId="4919" xr:uid="{00000000-0005-0000-0000-0000A6190000}"/>
    <cellStyle name="Data 2 8 5 7 2" xfId="4920" xr:uid="{00000000-0005-0000-0000-0000A7190000}"/>
    <cellStyle name="Data 2 8 5 8" xfId="4921" xr:uid="{00000000-0005-0000-0000-0000A8190000}"/>
    <cellStyle name="Data 2 8 5 8 2" xfId="4922" xr:uid="{00000000-0005-0000-0000-0000A9190000}"/>
    <cellStyle name="Data 2 8 5 9" xfId="4923" xr:uid="{00000000-0005-0000-0000-0000AA190000}"/>
    <cellStyle name="Data 2 8 5 9 2" xfId="4924" xr:uid="{00000000-0005-0000-0000-0000AB190000}"/>
    <cellStyle name="Data 2 8 6" xfId="4925" xr:uid="{00000000-0005-0000-0000-0000AC190000}"/>
    <cellStyle name="Data 2 8 6 10" xfId="4926" xr:uid="{00000000-0005-0000-0000-0000AD190000}"/>
    <cellStyle name="Data 2 8 6 2" xfId="4927" xr:uid="{00000000-0005-0000-0000-0000AE190000}"/>
    <cellStyle name="Data 2 8 6 2 2" xfId="4928" xr:uid="{00000000-0005-0000-0000-0000AF190000}"/>
    <cellStyle name="Data 2 8 6 3" xfId="4929" xr:uid="{00000000-0005-0000-0000-0000B0190000}"/>
    <cellStyle name="Data 2 8 6 3 2" xfId="4930" xr:uid="{00000000-0005-0000-0000-0000B1190000}"/>
    <cellStyle name="Data 2 8 6 4" xfId="4931" xr:uid="{00000000-0005-0000-0000-0000B2190000}"/>
    <cellStyle name="Data 2 8 6 4 2" xfId="4932" xr:uid="{00000000-0005-0000-0000-0000B3190000}"/>
    <cellStyle name="Data 2 8 6 5" xfId="4933" xr:uid="{00000000-0005-0000-0000-0000B4190000}"/>
    <cellStyle name="Data 2 8 6 5 2" xfId="4934" xr:uid="{00000000-0005-0000-0000-0000B5190000}"/>
    <cellStyle name="Data 2 8 6 6" xfId="4935" xr:uid="{00000000-0005-0000-0000-0000B6190000}"/>
    <cellStyle name="Data 2 8 6 6 2" xfId="4936" xr:uid="{00000000-0005-0000-0000-0000B7190000}"/>
    <cellStyle name="Data 2 8 6 7" xfId="4937" xr:uid="{00000000-0005-0000-0000-0000B8190000}"/>
    <cellStyle name="Data 2 8 6 7 2" xfId="4938" xr:uid="{00000000-0005-0000-0000-0000B9190000}"/>
    <cellStyle name="Data 2 8 6 8" xfId="4939" xr:uid="{00000000-0005-0000-0000-0000BA190000}"/>
    <cellStyle name="Data 2 8 6 8 2" xfId="4940" xr:uid="{00000000-0005-0000-0000-0000BB190000}"/>
    <cellStyle name="Data 2 8 6 9" xfId="4941" xr:uid="{00000000-0005-0000-0000-0000BC190000}"/>
    <cellStyle name="Data 2 8 6 9 2" xfId="4942" xr:uid="{00000000-0005-0000-0000-0000BD190000}"/>
    <cellStyle name="Data 2 8 7" xfId="4943" xr:uid="{00000000-0005-0000-0000-0000BE190000}"/>
    <cellStyle name="Data 2 8 7 10" xfId="4944" xr:uid="{00000000-0005-0000-0000-0000BF190000}"/>
    <cellStyle name="Data 2 8 7 2" xfId="4945" xr:uid="{00000000-0005-0000-0000-0000C0190000}"/>
    <cellStyle name="Data 2 8 7 2 2" xfId="4946" xr:uid="{00000000-0005-0000-0000-0000C1190000}"/>
    <cellStyle name="Data 2 8 7 3" xfId="4947" xr:uid="{00000000-0005-0000-0000-0000C2190000}"/>
    <cellStyle name="Data 2 8 7 3 2" xfId="4948" xr:uid="{00000000-0005-0000-0000-0000C3190000}"/>
    <cellStyle name="Data 2 8 7 4" xfId="4949" xr:uid="{00000000-0005-0000-0000-0000C4190000}"/>
    <cellStyle name="Data 2 8 7 4 2" xfId="4950" xr:uid="{00000000-0005-0000-0000-0000C5190000}"/>
    <cellStyle name="Data 2 8 7 5" xfId="4951" xr:uid="{00000000-0005-0000-0000-0000C6190000}"/>
    <cellStyle name="Data 2 8 7 5 2" xfId="4952" xr:uid="{00000000-0005-0000-0000-0000C7190000}"/>
    <cellStyle name="Data 2 8 7 6" xfId="4953" xr:uid="{00000000-0005-0000-0000-0000C8190000}"/>
    <cellStyle name="Data 2 8 7 6 2" xfId="4954" xr:uid="{00000000-0005-0000-0000-0000C9190000}"/>
    <cellStyle name="Data 2 8 7 7" xfId="4955" xr:uid="{00000000-0005-0000-0000-0000CA190000}"/>
    <cellStyle name="Data 2 8 7 7 2" xfId="4956" xr:uid="{00000000-0005-0000-0000-0000CB190000}"/>
    <cellStyle name="Data 2 8 7 8" xfId="4957" xr:uid="{00000000-0005-0000-0000-0000CC190000}"/>
    <cellStyle name="Data 2 8 7 8 2" xfId="4958" xr:uid="{00000000-0005-0000-0000-0000CD190000}"/>
    <cellStyle name="Data 2 8 7 9" xfId="4959" xr:uid="{00000000-0005-0000-0000-0000CE190000}"/>
    <cellStyle name="Data 2 8 7 9 2" xfId="4960" xr:uid="{00000000-0005-0000-0000-0000CF190000}"/>
    <cellStyle name="Data 2 8 8" xfId="4961" xr:uid="{00000000-0005-0000-0000-0000D0190000}"/>
    <cellStyle name="Data 2 8 8 10" xfId="4962" xr:uid="{00000000-0005-0000-0000-0000D1190000}"/>
    <cellStyle name="Data 2 8 8 2" xfId="4963" xr:uid="{00000000-0005-0000-0000-0000D2190000}"/>
    <cellStyle name="Data 2 8 8 2 2" xfId="4964" xr:uid="{00000000-0005-0000-0000-0000D3190000}"/>
    <cellStyle name="Data 2 8 8 3" xfId="4965" xr:uid="{00000000-0005-0000-0000-0000D4190000}"/>
    <cellStyle name="Data 2 8 8 3 2" xfId="4966" xr:uid="{00000000-0005-0000-0000-0000D5190000}"/>
    <cellStyle name="Data 2 8 8 4" xfId="4967" xr:uid="{00000000-0005-0000-0000-0000D6190000}"/>
    <cellStyle name="Data 2 8 8 4 2" xfId="4968" xr:uid="{00000000-0005-0000-0000-0000D7190000}"/>
    <cellStyle name="Data 2 8 8 5" xfId="4969" xr:uid="{00000000-0005-0000-0000-0000D8190000}"/>
    <cellStyle name="Data 2 8 8 5 2" xfId="4970" xr:uid="{00000000-0005-0000-0000-0000D9190000}"/>
    <cellStyle name="Data 2 8 8 6" xfId="4971" xr:uid="{00000000-0005-0000-0000-0000DA190000}"/>
    <cellStyle name="Data 2 8 8 6 2" xfId="4972" xr:uid="{00000000-0005-0000-0000-0000DB190000}"/>
    <cellStyle name="Data 2 8 8 7" xfId="4973" xr:uid="{00000000-0005-0000-0000-0000DC190000}"/>
    <cellStyle name="Data 2 8 8 7 2" xfId="4974" xr:uid="{00000000-0005-0000-0000-0000DD190000}"/>
    <cellStyle name="Data 2 8 8 8" xfId="4975" xr:uid="{00000000-0005-0000-0000-0000DE190000}"/>
    <cellStyle name="Data 2 8 8 8 2" xfId="4976" xr:uid="{00000000-0005-0000-0000-0000DF190000}"/>
    <cellStyle name="Data 2 8 8 9" xfId="4977" xr:uid="{00000000-0005-0000-0000-0000E0190000}"/>
    <cellStyle name="Data 2 8 8 9 2" xfId="4978" xr:uid="{00000000-0005-0000-0000-0000E1190000}"/>
    <cellStyle name="Data 2 8 9" xfId="4979" xr:uid="{00000000-0005-0000-0000-0000E2190000}"/>
    <cellStyle name="Data 2 8 9 10" xfId="4980" xr:uid="{00000000-0005-0000-0000-0000E3190000}"/>
    <cellStyle name="Data 2 8 9 2" xfId="4981" xr:uid="{00000000-0005-0000-0000-0000E4190000}"/>
    <cellStyle name="Data 2 8 9 2 2" xfId="4982" xr:uid="{00000000-0005-0000-0000-0000E5190000}"/>
    <cellStyle name="Data 2 8 9 3" xfId="4983" xr:uid="{00000000-0005-0000-0000-0000E6190000}"/>
    <cellStyle name="Data 2 8 9 3 2" xfId="4984" xr:uid="{00000000-0005-0000-0000-0000E7190000}"/>
    <cellStyle name="Data 2 8 9 4" xfId="4985" xr:uid="{00000000-0005-0000-0000-0000E8190000}"/>
    <cellStyle name="Data 2 8 9 4 2" xfId="4986" xr:uid="{00000000-0005-0000-0000-0000E9190000}"/>
    <cellStyle name="Data 2 8 9 5" xfId="4987" xr:uid="{00000000-0005-0000-0000-0000EA190000}"/>
    <cellStyle name="Data 2 8 9 5 2" xfId="4988" xr:uid="{00000000-0005-0000-0000-0000EB190000}"/>
    <cellStyle name="Data 2 8 9 6" xfId="4989" xr:uid="{00000000-0005-0000-0000-0000EC190000}"/>
    <cellStyle name="Data 2 8 9 6 2" xfId="4990" xr:uid="{00000000-0005-0000-0000-0000ED190000}"/>
    <cellStyle name="Data 2 8 9 7" xfId="4991" xr:uid="{00000000-0005-0000-0000-0000EE190000}"/>
    <cellStyle name="Data 2 8 9 7 2" xfId="4992" xr:uid="{00000000-0005-0000-0000-0000EF190000}"/>
    <cellStyle name="Data 2 8 9 8" xfId="4993" xr:uid="{00000000-0005-0000-0000-0000F0190000}"/>
    <cellStyle name="Data 2 8 9 8 2" xfId="4994" xr:uid="{00000000-0005-0000-0000-0000F1190000}"/>
    <cellStyle name="Data 2 8 9 9" xfId="4995" xr:uid="{00000000-0005-0000-0000-0000F2190000}"/>
    <cellStyle name="Data 2 8 9 9 2" xfId="4996" xr:uid="{00000000-0005-0000-0000-0000F3190000}"/>
    <cellStyle name="Data 2 9" xfId="4997" xr:uid="{00000000-0005-0000-0000-0000F4190000}"/>
    <cellStyle name="Data 2 9 10" xfId="4998" xr:uid="{00000000-0005-0000-0000-0000F5190000}"/>
    <cellStyle name="Data 2 9 10 2" xfId="4999" xr:uid="{00000000-0005-0000-0000-0000F6190000}"/>
    <cellStyle name="Data 2 9 10 2 2" xfId="5000" xr:uid="{00000000-0005-0000-0000-0000F7190000}"/>
    <cellStyle name="Data 2 9 10 3" xfId="5001" xr:uid="{00000000-0005-0000-0000-0000F8190000}"/>
    <cellStyle name="Data 2 9 10 3 2" xfId="5002" xr:uid="{00000000-0005-0000-0000-0000F9190000}"/>
    <cellStyle name="Data 2 9 10 4" xfId="5003" xr:uid="{00000000-0005-0000-0000-0000FA190000}"/>
    <cellStyle name="Data 2 9 10 4 2" xfId="5004" xr:uid="{00000000-0005-0000-0000-0000FB190000}"/>
    <cellStyle name="Data 2 9 10 5" xfId="5005" xr:uid="{00000000-0005-0000-0000-0000FC190000}"/>
    <cellStyle name="Data 2 9 10 5 2" xfId="5006" xr:uid="{00000000-0005-0000-0000-0000FD190000}"/>
    <cellStyle name="Data 2 9 10 6" xfId="5007" xr:uid="{00000000-0005-0000-0000-0000FE190000}"/>
    <cellStyle name="Data 2 9 10 6 2" xfId="5008" xr:uid="{00000000-0005-0000-0000-0000FF190000}"/>
    <cellStyle name="Data 2 9 10 7" xfId="5009" xr:uid="{00000000-0005-0000-0000-0000001A0000}"/>
    <cellStyle name="Data 2 9 10 7 2" xfId="5010" xr:uid="{00000000-0005-0000-0000-0000011A0000}"/>
    <cellStyle name="Data 2 9 10 8" xfId="5011" xr:uid="{00000000-0005-0000-0000-0000021A0000}"/>
    <cellStyle name="Data 2 9 10 8 2" xfId="5012" xr:uid="{00000000-0005-0000-0000-0000031A0000}"/>
    <cellStyle name="Data 2 9 10 9" xfId="5013" xr:uid="{00000000-0005-0000-0000-0000041A0000}"/>
    <cellStyle name="Data 2 9 11" xfId="5014" xr:uid="{00000000-0005-0000-0000-0000051A0000}"/>
    <cellStyle name="Data 2 9 11 2" xfId="5015" xr:uid="{00000000-0005-0000-0000-0000061A0000}"/>
    <cellStyle name="Data 2 9 12" xfId="5016" xr:uid="{00000000-0005-0000-0000-0000071A0000}"/>
    <cellStyle name="Data 2 9 12 2" xfId="5017" xr:uid="{00000000-0005-0000-0000-0000081A0000}"/>
    <cellStyle name="Data 2 9 13" xfId="5018" xr:uid="{00000000-0005-0000-0000-0000091A0000}"/>
    <cellStyle name="Data 2 9 13 2" xfId="5019" xr:uid="{00000000-0005-0000-0000-00000A1A0000}"/>
    <cellStyle name="Data 2 9 14" xfId="5020" xr:uid="{00000000-0005-0000-0000-00000B1A0000}"/>
    <cellStyle name="Data 2 9 14 2" xfId="5021" xr:uid="{00000000-0005-0000-0000-00000C1A0000}"/>
    <cellStyle name="Data 2 9 15" xfId="5022" xr:uid="{00000000-0005-0000-0000-00000D1A0000}"/>
    <cellStyle name="Data 2 9 15 2" xfId="5023" xr:uid="{00000000-0005-0000-0000-00000E1A0000}"/>
    <cellStyle name="Data 2 9 16" xfId="5024" xr:uid="{00000000-0005-0000-0000-00000F1A0000}"/>
    <cellStyle name="Data 2 9 16 2" xfId="5025" xr:uid="{00000000-0005-0000-0000-0000101A0000}"/>
    <cellStyle name="Data 2 9 17" xfId="5026" xr:uid="{00000000-0005-0000-0000-0000111A0000}"/>
    <cellStyle name="Data 2 9 17 2" xfId="5027" xr:uid="{00000000-0005-0000-0000-0000121A0000}"/>
    <cellStyle name="Data 2 9 18" xfId="5028" xr:uid="{00000000-0005-0000-0000-0000131A0000}"/>
    <cellStyle name="Data 2 9 2" xfId="5029" xr:uid="{00000000-0005-0000-0000-0000141A0000}"/>
    <cellStyle name="Data 2 9 2 10" xfId="5030" xr:uid="{00000000-0005-0000-0000-0000151A0000}"/>
    <cellStyle name="Data 2 9 2 2" xfId="5031" xr:uid="{00000000-0005-0000-0000-0000161A0000}"/>
    <cellStyle name="Data 2 9 2 2 2" xfId="5032" xr:uid="{00000000-0005-0000-0000-0000171A0000}"/>
    <cellStyle name="Data 2 9 2 3" xfId="5033" xr:uid="{00000000-0005-0000-0000-0000181A0000}"/>
    <cellStyle name="Data 2 9 2 3 2" xfId="5034" xr:uid="{00000000-0005-0000-0000-0000191A0000}"/>
    <cellStyle name="Data 2 9 2 4" xfId="5035" xr:uid="{00000000-0005-0000-0000-00001A1A0000}"/>
    <cellStyle name="Data 2 9 2 4 2" xfId="5036" xr:uid="{00000000-0005-0000-0000-00001B1A0000}"/>
    <cellStyle name="Data 2 9 2 5" xfId="5037" xr:uid="{00000000-0005-0000-0000-00001C1A0000}"/>
    <cellStyle name="Data 2 9 2 5 2" xfId="5038" xr:uid="{00000000-0005-0000-0000-00001D1A0000}"/>
    <cellStyle name="Data 2 9 2 6" xfId="5039" xr:uid="{00000000-0005-0000-0000-00001E1A0000}"/>
    <cellStyle name="Data 2 9 2 6 2" xfId="5040" xr:uid="{00000000-0005-0000-0000-00001F1A0000}"/>
    <cellStyle name="Data 2 9 2 7" xfId="5041" xr:uid="{00000000-0005-0000-0000-0000201A0000}"/>
    <cellStyle name="Data 2 9 2 7 2" xfId="5042" xr:uid="{00000000-0005-0000-0000-0000211A0000}"/>
    <cellStyle name="Data 2 9 2 8" xfId="5043" xr:uid="{00000000-0005-0000-0000-0000221A0000}"/>
    <cellStyle name="Data 2 9 2 8 2" xfId="5044" xr:uid="{00000000-0005-0000-0000-0000231A0000}"/>
    <cellStyle name="Data 2 9 2 9" xfId="5045" xr:uid="{00000000-0005-0000-0000-0000241A0000}"/>
    <cellStyle name="Data 2 9 2 9 2" xfId="5046" xr:uid="{00000000-0005-0000-0000-0000251A0000}"/>
    <cellStyle name="Data 2 9 3" xfId="5047" xr:uid="{00000000-0005-0000-0000-0000261A0000}"/>
    <cellStyle name="Data 2 9 3 10" xfId="5048" xr:uid="{00000000-0005-0000-0000-0000271A0000}"/>
    <cellStyle name="Data 2 9 3 2" xfId="5049" xr:uid="{00000000-0005-0000-0000-0000281A0000}"/>
    <cellStyle name="Data 2 9 3 2 2" xfId="5050" xr:uid="{00000000-0005-0000-0000-0000291A0000}"/>
    <cellStyle name="Data 2 9 3 3" xfId="5051" xr:uid="{00000000-0005-0000-0000-00002A1A0000}"/>
    <cellStyle name="Data 2 9 3 3 2" xfId="5052" xr:uid="{00000000-0005-0000-0000-00002B1A0000}"/>
    <cellStyle name="Data 2 9 3 4" xfId="5053" xr:uid="{00000000-0005-0000-0000-00002C1A0000}"/>
    <cellStyle name="Data 2 9 3 4 2" xfId="5054" xr:uid="{00000000-0005-0000-0000-00002D1A0000}"/>
    <cellStyle name="Data 2 9 3 5" xfId="5055" xr:uid="{00000000-0005-0000-0000-00002E1A0000}"/>
    <cellStyle name="Data 2 9 3 5 2" xfId="5056" xr:uid="{00000000-0005-0000-0000-00002F1A0000}"/>
    <cellStyle name="Data 2 9 3 6" xfId="5057" xr:uid="{00000000-0005-0000-0000-0000301A0000}"/>
    <cellStyle name="Data 2 9 3 6 2" xfId="5058" xr:uid="{00000000-0005-0000-0000-0000311A0000}"/>
    <cellStyle name="Data 2 9 3 7" xfId="5059" xr:uid="{00000000-0005-0000-0000-0000321A0000}"/>
    <cellStyle name="Data 2 9 3 7 2" xfId="5060" xr:uid="{00000000-0005-0000-0000-0000331A0000}"/>
    <cellStyle name="Data 2 9 3 8" xfId="5061" xr:uid="{00000000-0005-0000-0000-0000341A0000}"/>
    <cellStyle name="Data 2 9 3 8 2" xfId="5062" xr:uid="{00000000-0005-0000-0000-0000351A0000}"/>
    <cellStyle name="Data 2 9 3 9" xfId="5063" xr:uid="{00000000-0005-0000-0000-0000361A0000}"/>
    <cellStyle name="Data 2 9 3 9 2" xfId="5064" xr:uid="{00000000-0005-0000-0000-0000371A0000}"/>
    <cellStyle name="Data 2 9 4" xfId="5065" xr:uid="{00000000-0005-0000-0000-0000381A0000}"/>
    <cellStyle name="Data 2 9 4 10" xfId="5066" xr:uid="{00000000-0005-0000-0000-0000391A0000}"/>
    <cellStyle name="Data 2 9 4 2" xfId="5067" xr:uid="{00000000-0005-0000-0000-00003A1A0000}"/>
    <cellStyle name="Data 2 9 4 2 2" xfId="5068" xr:uid="{00000000-0005-0000-0000-00003B1A0000}"/>
    <cellStyle name="Data 2 9 4 3" xfId="5069" xr:uid="{00000000-0005-0000-0000-00003C1A0000}"/>
    <cellStyle name="Data 2 9 4 3 2" xfId="5070" xr:uid="{00000000-0005-0000-0000-00003D1A0000}"/>
    <cellStyle name="Data 2 9 4 4" xfId="5071" xr:uid="{00000000-0005-0000-0000-00003E1A0000}"/>
    <cellStyle name="Data 2 9 4 4 2" xfId="5072" xr:uid="{00000000-0005-0000-0000-00003F1A0000}"/>
    <cellStyle name="Data 2 9 4 5" xfId="5073" xr:uid="{00000000-0005-0000-0000-0000401A0000}"/>
    <cellStyle name="Data 2 9 4 5 2" xfId="5074" xr:uid="{00000000-0005-0000-0000-0000411A0000}"/>
    <cellStyle name="Data 2 9 4 6" xfId="5075" xr:uid="{00000000-0005-0000-0000-0000421A0000}"/>
    <cellStyle name="Data 2 9 4 6 2" xfId="5076" xr:uid="{00000000-0005-0000-0000-0000431A0000}"/>
    <cellStyle name="Data 2 9 4 7" xfId="5077" xr:uid="{00000000-0005-0000-0000-0000441A0000}"/>
    <cellStyle name="Data 2 9 4 7 2" xfId="5078" xr:uid="{00000000-0005-0000-0000-0000451A0000}"/>
    <cellStyle name="Data 2 9 4 8" xfId="5079" xr:uid="{00000000-0005-0000-0000-0000461A0000}"/>
    <cellStyle name="Data 2 9 4 8 2" xfId="5080" xr:uid="{00000000-0005-0000-0000-0000471A0000}"/>
    <cellStyle name="Data 2 9 4 9" xfId="5081" xr:uid="{00000000-0005-0000-0000-0000481A0000}"/>
    <cellStyle name="Data 2 9 4 9 2" xfId="5082" xr:uid="{00000000-0005-0000-0000-0000491A0000}"/>
    <cellStyle name="Data 2 9 5" xfId="5083" xr:uid="{00000000-0005-0000-0000-00004A1A0000}"/>
    <cellStyle name="Data 2 9 5 10" xfId="5084" xr:uid="{00000000-0005-0000-0000-00004B1A0000}"/>
    <cellStyle name="Data 2 9 5 2" xfId="5085" xr:uid="{00000000-0005-0000-0000-00004C1A0000}"/>
    <cellStyle name="Data 2 9 5 2 2" xfId="5086" xr:uid="{00000000-0005-0000-0000-00004D1A0000}"/>
    <cellStyle name="Data 2 9 5 3" xfId="5087" xr:uid="{00000000-0005-0000-0000-00004E1A0000}"/>
    <cellStyle name="Data 2 9 5 3 2" xfId="5088" xr:uid="{00000000-0005-0000-0000-00004F1A0000}"/>
    <cellStyle name="Data 2 9 5 4" xfId="5089" xr:uid="{00000000-0005-0000-0000-0000501A0000}"/>
    <cellStyle name="Data 2 9 5 4 2" xfId="5090" xr:uid="{00000000-0005-0000-0000-0000511A0000}"/>
    <cellStyle name="Data 2 9 5 5" xfId="5091" xr:uid="{00000000-0005-0000-0000-0000521A0000}"/>
    <cellStyle name="Data 2 9 5 5 2" xfId="5092" xr:uid="{00000000-0005-0000-0000-0000531A0000}"/>
    <cellStyle name="Data 2 9 5 6" xfId="5093" xr:uid="{00000000-0005-0000-0000-0000541A0000}"/>
    <cellStyle name="Data 2 9 5 6 2" xfId="5094" xr:uid="{00000000-0005-0000-0000-0000551A0000}"/>
    <cellStyle name="Data 2 9 5 7" xfId="5095" xr:uid="{00000000-0005-0000-0000-0000561A0000}"/>
    <cellStyle name="Data 2 9 5 7 2" xfId="5096" xr:uid="{00000000-0005-0000-0000-0000571A0000}"/>
    <cellStyle name="Data 2 9 5 8" xfId="5097" xr:uid="{00000000-0005-0000-0000-0000581A0000}"/>
    <cellStyle name="Data 2 9 5 8 2" xfId="5098" xr:uid="{00000000-0005-0000-0000-0000591A0000}"/>
    <cellStyle name="Data 2 9 5 9" xfId="5099" xr:uid="{00000000-0005-0000-0000-00005A1A0000}"/>
    <cellStyle name="Data 2 9 5 9 2" xfId="5100" xr:uid="{00000000-0005-0000-0000-00005B1A0000}"/>
    <cellStyle name="Data 2 9 6" xfId="5101" xr:uid="{00000000-0005-0000-0000-00005C1A0000}"/>
    <cellStyle name="Data 2 9 6 10" xfId="5102" xr:uid="{00000000-0005-0000-0000-00005D1A0000}"/>
    <cellStyle name="Data 2 9 6 2" xfId="5103" xr:uid="{00000000-0005-0000-0000-00005E1A0000}"/>
    <cellStyle name="Data 2 9 6 2 2" xfId="5104" xr:uid="{00000000-0005-0000-0000-00005F1A0000}"/>
    <cellStyle name="Data 2 9 6 3" xfId="5105" xr:uid="{00000000-0005-0000-0000-0000601A0000}"/>
    <cellStyle name="Data 2 9 6 3 2" xfId="5106" xr:uid="{00000000-0005-0000-0000-0000611A0000}"/>
    <cellStyle name="Data 2 9 6 4" xfId="5107" xr:uid="{00000000-0005-0000-0000-0000621A0000}"/>
    <cellStyle name="Data 2 9 6 4 2" xfId="5108" xr:uid="{00000000-0005-0000-0000-0000631A0000}"/>
    <cellStyle name="Data 2 9 6 5" xfId="5109" xr:uid="{00000000-0005-0000-0000-0000641A0000}"/>
    <cellStyle name="Data 2 9 6 5 2" xfId="5110" xr:uid="{00000000-0005-0000-0000-0000651A0000}"/>
    <cellStyle name="Data 2 9 6 6" xfId="5111" xr:uid="{00000000-0005-0000-0000-0000661A0000}"/>
    <cellStyle name="Data 2 9 6 6 2" xfId="5112" xr:uid="{00000000-0005-0000-0000-0000671A0000}"/>
    <cellStyle name="Data 2 9 6 7" xfId="5113" xr:uid="{00000000-0005-0000-0000-0000681A0000}"/>
    <cellStyle name="Data 2 9 6 7 2" xfId="5114" xr:uid="{00000000-0005-0000-0000-0000691A0000}"/>
    <cellStyle name="Data 2 9 6 8" xfId="5115" xr:uid="{00000000-0005-0000-0000-00006A1A0000}"/>
    <cellStyle name="Data 2 9 6 8 2" xfId="5116" xr:uid="{00000000-0005-0000-0000-00006B1A0000}"/>
    <cellStyle name="Data 2 9 6 9" xfId="5117" xr:uid="{00000000-0005-0000-0000-00006C1A0000}"/>
    <cellStyle name="Data 2 9 6 9 2" xfId="5118" xr:uid="{00000000-0005-0000-0000-00006D1A0000}"/>
    <cellStyle name="Data 2 9 7" xfId="5119" xr:uid="{00000000-0005-0000-0000-00006E1A0000}"/>
    <cellStyle name="Data 2 9 7 10" xfId="5120" xr:uid="{00000000-0005-0000-0000-00006F1A0000}"/>
    <cellStyle name="Data 2 9 7 2" xfId="5121" xr:uid="{00000000-0005-0000-0000-0000701A0000}"/>
    <cellStyle name="Data 2 9 7 2 2" xfId="5122" xr:uid="{00000000-0005-0000-0000-0000711A0000}"/>
    <cellStyle name="Data 2 9 7 3" xfId="5123" xr:uid="{00000000-0005-0000-0000-0000721A0000}"/>
    <cellStyle name="Data 2 9 7 3 2" xfId="5124" xr:uid="{00000000-0005-0000-0000-0000731A0000}"/>
    <cellStyle name="Data 2 9 7 4" xfId="5125" xr:uid="{00000000-0005-0000-0000-0000741A0000}"/>
    <cellStyle name="Data 2 9 7 4 2" xfId="5126" xr:uid="{00000000-0005-0000-0000-0000751A0000}"/>
    <cellStyle name="Data 2 9 7 5" xfId="5127" xr:uid="{00000000-0005-0000-0000-0000761A0000}"/>
    <cellStyle name="Data 2 9 7 5 2" xfId="5128" xr:uid="{00000000-0005-0000-0000-0000771A0000}"/>
    <cellStyle name="Data 2 9 7 6" xfId="5129" xr:uid="{00000000-0005-0000-0000-0000781A0000}"/>
    <cellStyle name="Data 2 9 7 6 2" xfId="5130" xr:uid="{00000000-0005-0000-0000-0000791A0000}"/>
    <cellStyle name="Data 2 9 7 7" xfId="5131" xr:uid="{00000000-0005-0000-0000-00007A1A0000}"/>
    <cellStyle name="Data 2 9 7 7 2" xfId="5132" xr:uid="{00000000-0005-0000-0000-00007B1A0000}"/>
    <cellStyle name="Data 2 9 7 8" xfId="5133" xr:uid="{00000000-0005-0000-0000-00007C1A0000}"/>
    <cellStyle name="Data 2 9 7 8 2" xfId="5134" xr:uid="{00000000-0005-0000-0000-00007D1A0000}"/>
    <cellStyle name="Data 2 9 7 9" xfId="5135" xr:uid="{00000000-0005-0000-0000-00007E1A0000}"/>
    <cellStyle name="Data 2 9 7 9 2" xfId="5136" xr:uid="{00000000-0005-0000-0000-00007F1A0000}"/>
    <cellStyle name="Data 2 9 8" xfId="5137" xr:uid="{00000000-0005-0000-0000-0000801A0000}"/>
    <cellStyle name="Data 2 9 8 10" xfId="5138" xr:uid="{00000000-0005-0000-0000-0000811A0000}"/>
    <cellStyle name="Data 2 9 8 2" xfId="5139" xr:uid="{00000000-0005-0000-0000-0000821A0000}"/>
    <cellStyle name="Data 2 9 8 2 2" xfId="5140" xr:uid="{00000000-0005-0000-0000-0000831A0000}"/>
    <cellStyle name="Data 2 9 8 3" xfId="5141" xr:uid="{00000000-0005-0000-0000-0000841A0000}"/>
    <cellStyle name="Data 2 9 8 3 2" xfId="5142" xr:uid="{00000000-0005-0000-0000-0000851A0000}"/>
    <cellStyle name="Data 2 9 8 4" xfId="5143" xr:uid="{00000000-0005-0000-0000-0000861A0000}"/>
    <cellStyle name="Data 2 9 8 4 2" xfId="5144" xr:uid="{00000000-0005-0000-0000-0000871A0000}"/>
    <cellStyle name="Data 2 9 8 5" xfId="5145" xr:uid="{00000000-0005-0000-0000-0000881A0000}"/>
    <cellStyle name="Data 2 9 8 5 2" xfId="5146" xr:uid="{00000000-0005-0000-0000-0000891A0000}"/>
    <cellStyle name="Data 2 9 8 6" xfId="5147" xr:uid="{00000000-0005-0000-0000-00008A1A0000}"/>
    <cellStyle name="Data 2 9 8 6 2" xfId="5148" xr:uid="{00000000-0005-0000-0000-00008B1A0000}"/>
    <cellStyle name="Data 2 9 8 7" xfId="5149" xr:uid="{00000000-0005-0000-0000-00008C1A0000}"/>
    <cellStyle name="Data 2 9 8 7 2" xfId="5150" xr:uid="{00000000-0005-0000-0000-00008D1A0000}"/>
    <cellStyle name="Data 2 9 8 8" xfId="5151" xr:uid="{00000000-0005-0000-0000-00008E1A0000}"/>
    <cellStyle name="Data 2 9 8 8 2" xfId="5152" xr:uid="{00000000-0005-0000-0000-00008F1A0000}"/>
    <cellStyle name="Data 2 9 8 9" xfId="5153" xr:uid="{00000000-0005-0000-0000-0000901A0000}"/>
    <cellStyle name="Data 2 9 8 9 2" xfId="5154" xr:uid="{00000000-0005-0000-0000-0000911A0000}"/>
    <cellStyle name="Data 2 9 9" xfId="5155" xr:uid="{00000000-0005-0000-0000-0000921A0000}"/>
    <cellStyle name="Data 2 9 9 10" xfId="5156" xr:uid="{00000000-0005-0000-0000-0000931A0000}"/>
    <cellStyle name="Data 2 9 9 2" xfId="5157" xr:uid="{00000000-0005-0000-0000-0000941A0000}"/>
    <cellStyle name="Data 2 9 9 2 2" xfId="5158" xr:uid="{00000000-0005-0000-0000-0000951A0000}"/>
    <cellStyle name="Data 2 9 9 3" xfId="5159" xr:uid="{00000000-0005-0000-0000-0000961A0000}"/>
    <cellStyle name="Data 2 9 9 3 2" xfId="5160" xr:uid="{00000000-0005-0000-0000-0000971A0000}"/>
    <cellStyle name="Data 2 9 9 4" xfId="5161" xr:uid="{00000000-0005-0000-0000-0000981A0000}"/>
    <cellStyle name="Data 2 9 9 4 2" xfId="5162" xr:uid="{00000000-0005-0000-0000-0000991A0000}"/>
    <cellStyle name="Data 2 9 9 5" xfId="5163" xr:uid="{00000000-0005-0000-0000-00009A1A0000}"/>
    <cellStyle name="Data 2 9 9 5 2" xfId="5164" xr:uid="{00000000-0005-0000-0000-00009B1A0000}"/>
    <cellStyle name="Data 2 9 9 6" xfId="5165" xr:uid="{00000000-0005-0000-0000-00009C1A0000}"/>
    <cellStyle name="Data 2 9 9 6 2" xfId="5166" xr:uid="{00000000-0005-0000-0000-00009D1A0000}"/>
    <cellStyle name="Data 2 9 9 7" xfId="5167" xr:uid="{00000000-0005-0000-0000-00009E1A0000}"/>
    <cellStyle name="Data 2 9 9 7 2" xfId="5168" xr:uid="{00000000-0005-0000-0000-00009F1A0000}"/>
    <cellStyle name="Data 2 9 9 8" xfId="5169" xr:uid="{00000000-0005-0000-0000-0000A01A0000}"/>
    <cellStyle name="Data 2 9 9 8 2" xfId="5170" xr:uid="{00000000-0005-0000-0000-0000A11A0000}"/>
    <cellStyle name="Data 2 9 9 9" xfId="5171" xr:uid="{00000000-0005-0000-0000-0000A21A0000}"/>
    <cellStyle name="Data 2 9 9 9 2" xfId="5172" xr:uid="{00000000-0005-0000-0000-0000A31A0000}"/>
    <cellStyle name="Data 3" xfId="157" xr:uid="{00000000-0005-0000-0000-0000A41A0000}"/>
    <cellStyle name="Data 3 2" xfId="5173" xr:uid="{00000000-0005-0000-0000-0000A51A0000}"/>
    <cellStyle name="Data 3 2 10" xfId="5174" xr:uid="{00000000-0005-0000-0000-0000A61A0000}"/>
    <cellStyle name="Data 3 2 10 10" xfId="5175" xr:uid="{00000000-0005-0000-0000-0000A71A0000}"/>
    <cellStyle name="Data 3 2 10 2" xfId="5176" xr:uid="{00000000-0005-0000-0000-0000A81A0000}"/>
    <cellStyle name="Data 3 2 10 2 2" xfId="5177" xr:uid="{00000000-0005-0000-0000-0000A91A0000}"/>
    <cellStyle name="Data 3 2 10 3" xfId="5178" xr:uid="{00000000-0005-0000-0000-0000AA1A0000}"/>
    <cellStyle name="Data 3 2 10 3 2" xfId="5179" xr:uid="{00000000-0005-0000-0000-0000AB1A0000}"/>
    <cellStyle name="Data 3 2 10 4" xfId="5180" xr:uid="{00000000-0005-0000-0000-0000AC1A0000}"/>
    <cellStyle name="Data 3 2 10 4 2" xfId="5181" xr:uid="{00000000-0005-0000-0000-0000AD1A0000}"/>
    <cellStyle name="Data 3 2 10 5" xfId="5182" xr:uid="{00000000-0005-0000-0000-0000AE1A0000}"/>
    <cellStyle name="Data 3 2 10 5 2" xfId="5183" xr:uid="{00000000-0005-0000-0000-0000AF1A0000}"/>
    <cellStyle name="Data 3 2 10 6" xfId="5184" xr:uid="{00000000-0005-0000-0000-0000B01A0000}"/>
    <cellStyle name="Data 3 2 10 6 2" xfId="5185" xr:uid="{00000000-0005-0000-0000-0000B11A0000}"/>
    <cellStyle name="Data 3 2 10 7" xfId="5186" xr:uid="{00000000-0005-0000-0000-0000B21A0000}"/>
    <cellStyle name="Data 3 2 10 7 2" xfId="5187" xr:uid="{00000000-0005-0000-0000-0000B31A0000}"/>
    <cellStyle name="Data 3 2 10 8" xfId="5188" xr:uid="{00000000-0005-0000-0000-0000B41A0000}"/>
    <cellStyle name="Data 3 2 10 8 2" xfId="5189" xr:uid="{00000000-0005-0000-0000-0000B51A0000}"/>
    <cellStyle name="Data 3 2 10 9" xfId="5190" xr:uid="{00000000-0005-0000-0000-0000B61A0000}"/>
    <cellStyle name="Data 3 2 10 9 2" xfId="5191" xr:uid="{00000000-0005-0000-0000-0000B71A0000}"/>
    <cellStyle name="Data 3 2 11" xfId="5192" xr:uid="{00000000-0005-0000-0000-0000B81A0000}"/>
    <cellStyle name="Data 3 2 11 2" xfId="5193" xr:uid="{00000000-0005-0000-0000-0000B91A0000}"/>
    <cellStyle name="Data 3 2 11 2 2" xfId="5194" xr:uid="{00000000-0005-0000-0000-0000BA1A0000}"/>
    <cellStyle name="Data 3 2 11 3" xfId="5195" xr:uid="{00000000-0005-0000-0000-0000BB1A0000}"/>
    <cellStyle name="Data 3 2 11 3 2" xfId="5196" xr:uid="{00000000-0005-0000-0000-0000BC1A0000}"/>
    <cellStyle name="Data 3 2 11 4" xfId="5197" xr:uid="{00000000-0005-0000-0000-0000BD1A0000}"/>
    <cellStyle name="Data 3 2 11 4 2" xfId="5198" xr:uid="{00000000-0005-0000-0000-0000BE1A0000}"/>
    <cellStyle name="Data 3 2 11 5" xfId="5199" xr:uid="{00000000-0005-0000-0000-0000BF1A0000}"/>
    <cellStyle name="Data 3 2 11 5 2" xfId="5200" xr:uid="{00000000-0005-0000-0000-0000C01A0000}"/>
    <cellStyle name="Data 3 2 11 6" xfId="5201" xr:uid="{00000000-0005-0000-0000-0000C11A0000}"/>
    <cellStyle name="Data 3 2 11 6 2" xfId="5202" xr:uid="{00000000-0005-0000-0000-0000C21A0000}"/>
    <cellStyle name="Data 3 2 11 7" xfId="5203" xr:uid="{00000000-0005-0000-0000-0000C31A0000}"/>
    <cellStyle name="Data 3 2 11 7 2" xfId="5204" xr:uid="{00000000-0005-0000-0000-0000C41A0000}"/>
    <cellStyle name="Data 3 2 11 8" xfId="5205" xr:uid="{00000000-0005-0000-0000-0000C51A0000}"/>
    <cellStyle name="Data 3 2 11 8 2" xfId="5206" xr:uid="{00000000-0005-0000-0000-0000C61A0000}"/>
    <cellStyle name="Data 3 2 11 9" xfId="5207" xr:uid="{00000000-0005-0000-0000-0000C71A0000}"/>
    <cellStyle name="Data 3 2 2" xfId="5208" xr:uid="{00000000-0005-0000-0000-0000C81A0000}"/>
    <cellStyle name="Data 3 2 2 10" xfId="5209" xr:uid="{00000000-0005-0000-0000-0000C91A0000}"/>
    <cellStyle name="Data 3 2 2 2" xfId="5210" xr:uid="{00000000-0005-0000-0000-0000CA1A0000}"/>
    <cellStyle name="Data 3 2 2 2 2" xfId="5211" xr:uid="{00000000-0005-0000-0000-0000CB1A0000}"/>
    <cellStyle name="Data 3 2 2 3" xfId="5212" xr:uid="{00000000-0005-0000-0000-0000CC1A0000}"/>
    <cellStyle name="Data 3 2 2 3 2" xfId="5213" xr:uid="{00000000-0005-0000-0000-0000CD1A0000}"/>
    <cellStyle name="Data 3 2 2 4" xfId="5214" xr:uid="{00000000-0005-0000-0000-0000CE1A0000}"/>
    <cellStyle name="Data 3 2 2 4 2" xfId="5215" xr:uid="{00000000-0005-0000-0000-0000CF1A0000}"/>
    <cellStyle name="Data 3 2 2 5" xfId="5216" xr:uid="{00000000-0005-0000-0000-0000D01A0000}"/>
    <cellStyle name="Data 3 2 2 5 2" xfId="5217" xr:uid="{00000000-0005-0000-0000-0000D11A0000}"/>
    <cellStyle name="Data 3 2 2 6" xfId="5218" xr:uid="{00000000-0005-0000-0000-0000D21A0000}"/>
    <cellStyle name="Data 3 2 2 6 2" xfId="5219" xr:uid="{00000000-0005-0000-0000-0000D31A0000}"/>
    <cellStyle name="Data 3 2 2 7" xfId="5220" xr:uid="{00000000-0005-0000-0000-0000D41A0000}"/>
    <cellStyle name="Data 3 2 2 7 2" xfId="5221" xr:uid="{00000000-0005-0000-0000-0000D51A0000}"/>
    <cellStyle name="Data 3 2 2 8" xfId="5222" xr:uid="{00000000-0005-0000-0000-0000D61A0000}"/>
    <cellStyle name="Data 3 2 2 8 2" xfId="5223" xr:uid="{00000000-0005-0000-0000-0000D71A0000}"/>
    <cellStyle name="Data 3 2 2 9" xfId="5224" xr:uid="{00000000-0005-0000-0000-0000D81A0000}"/>
    <cellStyle name="Data 3 2 2 9 2" xfId="5225" xr:uid="{00000000-0005-0000-0000-0000D91A0000}"/>
    <cellStyle name="Data 3 2 3" xfId="5226" xr:uid="{00000000-0005-0000-0000-0000DA1A0000}"/>
    <cellStyle name="Data 3 2 3 10" xfId="5227" xr:uid="{00000000-0005-0000-0000-0000DB1A0000}"/>
    <cellStyle name="Data 3 2 3 2" xfId="5228" xr:uid="{00000000-0005-0000-0000-0000DC1A0000}"/>
    <cellStyle name="Data 3 2 3 2 2" xfId="5229" xr:uid="{00000000-0005-0000-0000-0000DD1A0000}"/>
    <cellStyle name="Data 3 2 3 3" xfId="5230" xr:uid="{00000000-0005-0000-0000-0000DE1A0000}"/>
    <cellStyle name="Data 3 2 3 3 2" xfId="5231" xr:uid="{00000000-0005-0000-0000-0000DF1A0000}"/>
    <cellStyle name="Data 3 2 3 4" xfId="5232" xr:uid="{00000000-0005-0000-0000-0000E01A0000}"/>
    <cellStyle name="Data 3 2 3 4 2" xfId="5233" xr:uid="{00000000-0005-0000-0000-0000E11A0000}"/>
    <cellStyle name="Data 3 2 3 5" xfId="5234" xr:uid="{00000000-0005-0000-0000-0000E21A0000}"/>
    <cellStyle name="Data 3 2 3 5 2" xfId="5235" xr:uid="{00000000-0005-0000-0000-0000E31A0000}"/>
    <cellStyle name="Data 3 2 3 6" xfId="5236" xr:uid="{00000000-0005-0000-0000-0000E41A0000}"/>
    <cellStyle name="Data 3 2 3 6 2" xfId="5237" xr:uid="{00000000-0005-0000-0000-0000E51A0000}"/>
    <cellStyle name="Data 3 2 3 7" xfId="5238" xr:uid="{00000000-0005-0000-0000-0000E61A0000}"/>
    <cellStyle name="Data 3 2 3 7 2" xfId="5239" xr:uid="{00000000-0005-0000-0000-0000E71A0000}"/>
    <cellStyle name="Data 3 2 3 8" xfId="5240" xr:uid="{00000000-0005-0000-0000-0000E81A0000}"/>
    <cellStyle name="Data 3 2 3 8 2" xfId="5241" xr:uid="{00000000-0005-0000-0000-0000E91A0000}"/>
    <cellStyle name="Data 3 2 3 9" xfId="5242" xr:uid="{00000000-0005-0000-0000-0000EA1A0000}"/>
    <cellStyle name="Data 3 2 3 9 2" xfId="5243" xr:uid="{00000000-0005-0000-0000-0000EB1A0000}"/>
    <cellStyle name="Data 3 2 4" xfId="5244" xr:uid="{00000000-0005-0000-0000-0000EC1A0000}"/>
    <cellStyle name="Data 3 2 4 10" xfId="5245" xr:uid="{00000000-0005-0000-0000-0000ED1A0000}"/>
    <cellStyle name="Data 3 2 4 2" xfId="5246" xr:uid="{00000000-0005-0000-0000-0000EE1A0000}"/>
    <cellStyle name="Data 3 2 4 2 2" xfId="5247" xr:uid="{00000000-0005-0000-0000-0000EF1A0000}"/>
    <cellStyle name="Data 3 2 4 3" xfId="5248" xr:uid="{00000000-0005-0000-0000-0000F01A0000}"/>
    <cellStyle name="Data 3 2 4 3 2" xfId="5249" xr:uid="{00000000-0005-0000-0000-0000F11A0000}"/>
    <cellStyle name="Data 3 2 4 4" xfId="5250" xr:uid="{00000000-0005-0000-0000-0000F21A0000}"/>
    <cellStyle name="Data 3 2 4 4 2" xfId="5251" xr:uid="{00000000-0005-0000-0000-0000F31A0000}"/>
    <cellStyle name="Data 3 2 4 5" xfId="5252" xr:uid="{00000000-0005-0000-0000-0000F41A0000}"/>
    <cellStyle name="Data 3 2 4 5 2" xfId="5253" xr:uid="{00000000-0005-0000-0000-0000F51A0000}"/>
    <cellStyle name="Data 3 2 4 6" xfId="5254" xr:uid="{00000000-0005-0000-0000-0000F61A0000}"/>
    <cellStyle name="Data 3 2 4 6 2" xfId="5255" xr:uid="{00000000-0005-0000-0000-0000F71A0000}"/>
    <cellStyle name="Data 3 2 4 7" xfId="5256" xr:uid="{00000000-0005-0000-0000-0000F81A0000}"/>
    <cellStyle name="Data 3 2 4 7 2" xfId="5257" xr:uid="{00000000-0005-0000-0000-0000F91A0000}"/>
    <cellStyle name="Data 3 2 4 8" xfId="5258" xr:uid="{00000000-0005-0000-0000-0000FA1A0000}"/>
    <cellStyle name="Data 3 2 4 8 2" xfId="5259" xr:uid="{00000000-0005-0000-0000-0000FB1A0000}"/>
    <cellStyle name="Data 3 2 4 9" xfId="5260" xr:uid="{00000000-0005-0000-0000-0000FC1A0000}"/>
    <cellStyle name="Data 3 2 4 9 2" xfId="5261" xr:uid="{00000000-0005-0000-0000-0000FD1A0000}"/>
    <cellStyle name="Data 3 2 5" xfId="5262" xr:uid="{00000000-0005-0000-0000-0000FE1A0000}"/>
    <cellStyle name="Data 3 2 5 10" xfId="5263" xr:uid="{00000000-0005-0000-0000-0000FF1A0000}"/>
    <cellStyle name="Data 3 2 5 2" xfId="5264" xr:uid="{00000000-0005-0000-0000-0000001B0000}"/>
    <cellStyle name="Data 3 2 5 2 2" xfId="5265" xr:uid="{00000000-0005-0000-0000-0000011B0000}"/>
    <cellStyle name="Data 3 2 5 3" xfId="5266" xr:uid="{00000000-0005-0000-0000-0000021B0000}"/>
    <cellStyle name="Data 3 2 5 3 2" xfId="5267" xr:uid="{00000000-0005-0000-0000-0000031B0000}"/>
    <cellStyle name="Data 3 2 5 4" xfId="5268" xr:uid="{00000000-0005-0000-0000-0000041B0000}"/>
    <cellStyle name="Data 3 2 5 4 2" xfId="5269" xr:uid="{00000000-0005-0000-0000-0000051B0000}"/>
    <cellStyle name="Data 3 2 5 5" xfId="5270" xr:uid="{00000000-0005-0000-0000-0000061B0000}"/>
    <cellStyle name="Data 3 2 5 5 2" xfId="5271" xr:uid="{00000000-0005-0000-0000-0000071B0000}"/>
    <cellStyle name="Data 3 2 5 6" xfId="5272" xr:uid="{00000000-0005-0000-0000-0000081B0000}"/>
    <cellStyle name="Data 3 2 5 6 2" xfId="5273" xr:uid="{00000000-0005-0000-0000-0000091B0000}"/>
    <cellStyle name="Data 3 2 5 7" xfId="5274" xr:uid="{00000000-0005-0000-0000-00000A1B0000}"/>
    <cellStyle name="Data 3 2 5 7 2" xfId="5275" xr:uid="{00000000-0005-0000-0000-00000B1B0000}"/>
    <cellStyle name="Data 3 2 5 8" xfId="5276" xr:uid="{00000000-0005-0000-0000-00000C1B0000}"/>
    <cellStyle name="Data 3 2 5 8 2" xfId="5277" xr:uid="{00000000-0005-0000-0000-00000D1B0000}"/>
    <cellStyle name="Data 3 2 5 9" xfId="5278" xr:uid="{00000000-0005-0000-0000-00000E1B0000}"/>
    <cellStyle name="Data 3 2 5 9 2" xfId="5279" xr:uid="{00000000-0005-0000-0000-00000F1B0000}"/>
    <cellStyle name="Data 3 2 6" xfId="5280" xr:uid="{00000000-0005-0000-0000-0000101B0000}"/>
    <cellStyle name="Data 3 2 6 10" xfId="5281" xr:uid="{00000000-0005-0000-0000-0000111B0000}"/>
    <cellStyle name="Data 3 2 6 2" xfId="5282" xr:uid="{00000000-0005-0000-0000-0000121B0000}"/>
    <cellStyle name="Data 3 2 6 2 2" xfId="5283" xr:uid="{00000000-0005-0000-0000-0000131B0000}"/>
    <cellStyle name="Data 3 2 6 3" xfId="5284" xr:uid="{00000000-0005-0000-0000-0000141B0000}"/>
    <cellStyle name="Data 3 2 6 3 2" xfId="5285" xr:uid="{00000000-0005-0000-0000-0000151B0000}"/>
    <cellStyle name="Data 3 2 6 4" xfId="5286" xr:uid="{00000000-0005-0000-0000-0000161B0000}"/>
    <cellStyle name="Data 3 2 6 4 2" xfId="5287" xr:uid="{00000000-0005-0000-0000-0000171B0000}"/>
    <cellStyle name="Data 3 2 6 5" xfId="5288" xr:uid="{00000000-0005-0000-0000-0000181B0000}"/>
    <cellStyle name="Data 3 2 6 5 2" xfId="5289" xr:uid="{00000000-0005-0000-0000-0000191B0000}"/>
    <cellStyle name="Data 3 2 6 6" xfId="5290" xr:uid="{00000000-0005-0000-0000-00001A1B0000}"/>
    <cellStyle name="Data 3 2 6 6 2" xfId="5291" xr:uid="{00000000-0005-0000-0000-00001B1B0000}"/>
    <cellStyle name="Data 3 2 6 7" xfId="5292" xr:uid="{00000000-0005-0000-0000-00001C1B0000}"/>
    <cellStyle name="Data 3 2 6 7 2" xfId="5293" xr:uid="{00000000-0005-0000-0000-00001D1B0000}"/>
    <cellStyle name="Data 3 2 6 8" xfId="5294" xr:uid="{00000000-0005-0000-0000-00001E1B0000}"/>
    <cellStyle name="Data 3 2 6 8 2" xfId="5295" xr:uid="{00000000-0005-0000-0000-00001F1B0000}"/>
    <cellStyle name="Data 3 2 6 9" xfId="5296" xr:uid="{00000000-0005-0000-0000-0000201B0000}"/>
    <cellStyle name="Data 3 2 6 9 2" xfId="5297" xr:uid="{00000000-0005-0000-0000-0000211B0000}"/>
    <cellStyle name="Data 3 2 7" xfId="5298" xr:uid="{00000000-0005-0000-0000-0000221B0000}"/>
    <cellStyle name="Data 3 2 7 10" xfId="5299" xr:uid="{00000000-0005-0000-0000-0000231B0000}"/>
    <cellStyle name="Data 3 2 7 2" xfId="5300" xr:uid="{00000000-0005-0000-0000-0000241B0000}"/>
    <cellStyle name="Data 3 2 7 2 2" xfId="5301" xr:uid="{00000000-0005-0000-0000-0000251B0000}"/>
    <cellStyle name="Data 3 2 7 3" xfId="5302" xr:uid="{00000000-0005-0000-0000-0000261B0000}"/>
    <cellStyle name="Data 3 2 7 3 2" xfId="5303" xr:uid="{00000000-0005-0000-0000-0000271B0000}"/>
    <cellStyle name="Data 3 2 7 4" xfId="5304" xr:uid="{00000000-0005-0000-0000-0000281B0000}"/>
    <cellStyle name="Data 3 2 7 4 2" xfId="5305" xr:uid="{00000000-0005-0000-0000-0000291B0000}"/>
    <cellStyle name="Data 3 2 7 5" xfId="5306" xr:uid="{00000000-0005-0000-0000-00002A1B0000}"/>
    <cellStyle name="Data 3 2 7 5 2" xfId="5307" xr:uid="{00000000-0005-0000-0000-00002B1B0000}"/>
    <cellStyle name="Data 3 2 7 6" xfId="5308" xr:uid="{00000000-0005-0000-0000-00002C1B0000}"/>
    <cellStyle name="Data 3 2 7 6 2" xfId="5309" xr:uid="{00000000-0005-0000-0000-00002D1B0000}"/>
    <cellStyle name="Data 3 2 7 7" xfId="5310" xr:uid="{00000000-0005-0000-0000-00002E1B0000}"/>
    <cellStyle name="Data 3 2 7 7 2" xfId="5311" xr:uid="{00000000-0005-0000-0000-00002F1B0000}"/>
    <cellStyle name="Data 3 2 7 8" xfId="5312" xr:uid="{00000000-0005-0000-0000-0000301B0000}"/>
    <cellStyle name="Data 3 2 7 8 2" xfId="5313" xr:uid="{00000000-0005-0000-0000-0000311B0000}"/>
    <cellStyle name="Data 3 2 7 9" xfId="5314" xr:uid="{00000000-0005-0000-0000-0000321B0000}"/>
    <cellStyle name="Data 3 2 7 9 2" xfId="5315" xr:uid="{00000000-0005-0000-0000-0000331B0000}"/>
    <cellStyle name="Data 3 2 8" xfId="5316" xr:uid="{00000000-0005-0000-0000-0000341B0000}"/>
    <cellStyle name="Data 3 2 8 10" xfId="5317" xr:uid="{00000000-0005-0000-0000-0000351B0000}"/>
    <cellStyle name="Data 3 2 8 2" xfId="5318" xr:uid="{00000000-0005-0000-0000-0000361B0000}"/>
    <cellStyle name="Data 3 2 8 2 2" xfId="5319" xr:uid="{00000000-0005-0000-0000-0000371B0000}"/>
    <cellStyle name="Data 3 2 8 3" xfId="5320" xr:uid="{00000000-0005-0000-0000-0000381B0000}"/>
    <cellStyle name="Data 3 2 8 3 2" xfId="5321" xr:uid="{00000000-0005-0000-0000-0000391B0000}"/>
    <cellStyle name="Data 3 2 8 4" xfId="5322" xr:uid="{00000000-0005-0000-0000-00003A1B0000}"/>
    <cellStyle name="Data 3 2 8 4 2" xfId="5323" xr:uid="{00000000-0005-0000-0000-00003B1B0000}"/>
    <cellStyle name="Data 3 2 8 5" xfId="5324" xr:uid="{00000000-0005-0000-0000-00003C1B0000}"/>
    <cellStyle name="Data 3 2 8 5 2" xfId="5325" xr:uid="{00000000-0005-0000-0000-00003D1B0000}"/>
    <cellStyle name="Data 3 2 8 6" xfId="5326" xr:uid="{00000000-0005-0000-0000-00003E1B0000}"/>
    <cellStyle name="Data 3 2 8 6 2" xfId="5327" xr:uid="{00000000-0005-0000-0000-00003F1B0000}"/>
    <cellStyle name="Data 3 2 8 7" xfId="5328" xr:uid="{00000000-0005-0000-0000-0000401B0000}"/>
    <cellStyle name="Data 3 2 8 7 2" xfId="5329" xr:uid="{00000000-0005-0000-0000-0000411B0000}"/>
    <cellStyle name="Data 3 2 8 8" xfId="5330" xr:uid="{00000000-0005-0000-0000-0000421B0000}"/>
    <cellStyle name="Data 3 2 8 8 2" xfId="5331" xr:uid="{00000000-0005-0000-0000-0000431B0000}"/>
    <cellStyle name="Data 3 2 8 9" xfId="5332" xr:uid="{00000000-0005-0000-0000-0000441B0000}"/>
    <cellStyle name="Data 3 2 8 9 2" xfId="5333" xr:uid="{00000000-0005-0000-0000-0000451B0000}"/>
    <cellStyle name="Data 3 2 9" xfId="5334" xr:uid="{00000000-0005-0000-0000-0000461B0000}"/>
    <cellStyle name="Data 3 2 9 10" xfId="5335" xr:uid="{00000000-0005-0000-0000-0000471B0000}"/>
    <cellStyle name="Data 3 2 9 2" xfId="5336" xr:uid="{00000000-0005-0000-0000-0000481B0000}"/>
    <cellStyle name="Data 3 2 9 2 2" xfId="5337" xr:uid="{00000000-0005-0000-0000-0000491B0000}"/>
    <cellStyle name="Data 3 2 9 3" xfId="5338" xr:uid="{00000000-0005-0000-0000-00004A1B0000}"/>
    <cellStyle name="Data 3 2 9 3 2" xfId="5339" xr:uid="{00000000-0005-0000-0000-00004B1B0000}"/>
    <cellStyle name="Data 3 2 9 4" xfId="5340" xr:uid="{00000000-0005-0000-0000-00004C1B0000}"/>
    <cellStyle name="Data 3 2 9 4 2" xfId="5341" xr:uid="{00000000-0005-0000-0000-00004D1B0000}"/>
    <cellStyle name="Data 3 2 9 5" xfId="5342" xr:uid="{00000000-0005-0000-0000-00004E1B0000}"/>
    <cellStyle name="Data 3 2 9 5 2" xfId="5343" xr:uid="{00000000-0005-0000-0000-00004F1B0000}"/>
    <cellStyle name="Data 3 2 9 6" xfId="5344" xr:uid="{00000000-0005-0000-0000-0000501B0000}"/>
    <cellStyle name="Data 3 2 9 6 2" xfId="5345" xr:uid="{00000000-0005-0000-0000-0000511B0000}"/>
    <cellStyle name="Data 3 2 9 7" xfId="5346" xr:uid="{00000000-0005-0000-0000-0000521B0000}"/>
    <cellStyle name="Data 3 2 9 7 2" xfId="5347" xr:uid="{00000000-0005-0000-0000-0000531B0000}"/>
    <cellStyle name="Data 3 2 9 8" xfId="5348" xr:uid="{00000000-0005-0000-0000-0000541B0000}"/>
    <cellStyle name="Data 3 2 9 8 2" xfId="5349" xr:uid="{00000000-0005-0000-0000-0000551B0000}"/>
    <cellStyle name="Data 3 2 9 9" xfId="5350" xr:uid="{00000000-0005-0000-0000-0000561B0000}"/>
    <cellStyle name="Data 3 2 9 9 2" xfId="5351" xr:uid="{00000000-0005-0000-0000-0000571B0000}"/>
    <cellStyle name="Data 3 3" xfId="5352" xr:uid="{00000000-0005-0000-0000-0000581B0000}"/>
    <cellStyle name="Data 3 3 10" xfId="5353" xr:uid="{00000000-0005-0000-0000-0000591B0000}"/>
    <cellStyle name="Data 3 3 10 10" xfId="5354" xr:uid="{00000000-0005-0000-0000-00005A1B0000}"/>
    <cellStyle name="Data 3 3 10 2" xfId="5355" xr:uid="{00000000-0005-0000-0000-00005B1B0000}"/>
    <cellStyle name="Data 3 3 10 2 2" xfId="5356" xr:uid="{00000000-0005-0000-0000-00005C1B0000}"/>
    <cellStyle name="Data 3 3 10 3" xfId="5357" xr:uid="{00000000-0005-0000-0000-00005D1B0000}"/>
    <cellStyle name="Data 3 3 10 3 2" xfId="5358" xr:uid="{00000000-0005-0000-0000-00005E1B0000}"/>
    <cellStyle name="Data 3 3 10 4" xfId="5359" xr:uid="{00000000-0005-0000-0000-00005F1B0000}"/>
    <cellStyle name="Data 3 3 10 4 2" xfId="5360" xr:uid="{00000000-0005-0000-0000-0000601B0000}"/>
    <cellStyle name="Data 3 3 10 5" xfId="5361" xr:uid="{00000000-0005-0000-0000-0000611B0000}"/>
    <cellStyle name="Data 3 3 10 5 2" xfId="5362" xr:uid="{00000000-0005-0000-0000-0000621B0000}"/>
    <cellStyle name="Data 3 3 10 6" xfId="5363" xr:uid="{00000000-0005-0000-0000-0000631B0000}"/>
    <cellStyle name="Data 3 3 10 6 2" xfId="5364" xr:uid="{00000000-0005-0000-0000-0000641B0000}"/>
    <cellStyle name="Data 3 3 10 7" xfId="5365" xr:uid="{00000000-0005-0000-0000-0000651B0000}"/>
    <cellStyle name="Data 3 3 10 7 2" xfId="5366" xr:uid="{00000000-0005-0000-0000-0000661B0000}"/>
    <cellStyle name="Data 3 3 10 8" xfId="5367" xr:uid="{00000000-0005-0000-0000-0000671B0000}"/>
    <cellStyle name="Data 3 3 10 8 2" xfId="5368" xr:uid="{00000000-0005-0000-0000-0000681B0000}"/>
    <cellStyle name="Data 3 3 10 9" xfId="5369" xr:uid="{00000000-0005-0000-0000-0000691B0000}"/>
    <cellStyle name="Data 3 3 10 9 2" xfId="5370" xr:uid="{00000000-0005-0000-0000-00006A1B0000}"/>
    <cellStyle name="Data 3 3 11" xfId="5371" xr:uid="{00000000-0005-0000-0000-00006B1B0000}"/>
    <cellStyle name="Data 3 3 11 2" xfId="5372" xr:uid="{00000000-0005-0000-0000-00006C1B0000}"/>
    <cellStyle name="Data 3 3 11 2 2" xfId="5373" xr:uid="{00000000-0005-0000-0000-00006D1B0000}"/>
    <cellStyle name="Data 3 3 11 3" xfId="5374" xr:uid="{00000000-0005-0000-0000-00006E1B0000}"/>
    <cellStyle name="Data 3 3 11 3 2" xfId="5375" xr:uid="{00000000-0005-0000-0000-00006F1B0000}"/>
    <cellStyle name="Data 3 3 11 4" xfId="5376" xr:uid="{00000000-0005-0000-0000-0000701B0000}"/>
    <cellStyle name="Data 3 3 11 4 2" xfId="5377" xr:uid="{00000000-0005-0000-0000-0000711B0000}"/>
    <cellStyle name="Data 3 3 11 5" xfId="5378" xr:uid="{00000000-0005-0000-0000-0000721B0000}"/>
    <cellStyle name="Data 3 3 11 5 2" xfId="5379" xr:uid="{00000000-0005-0000-0000-0000731B0000}"/>
    <cellStyle name="Data 3 3 11 6" xfId="5380" xr:uid="{00000000-0005-0000-0000-0000741B0000}"/>
    <cellStyle name="Data 3 3 11 6 2" xfId="5381" xr:uid="{00000000-0005-0000-0000-0000751B0000}"/>
    <cellStyle name="Data 3 3 11 7" xfId="5382" xr:uid="{00000000-0005-0000-0000-0000761B0000}"/>
    <cellStyle name="Data 3 3 11 7 2" xfId="5383" xr:uid="{00000000-0005-0000-0000-0000771B0000}"/>
    <cellStyle name="Data 3 3 11 8" xfId="5384" xr:uid="{00000000-0005-0000-0000-0000781B0000}"/>
    <cellStyle name="Data 3 3 11 8 2" xfId="5385" xr:uid="{00000000-0005-0000-0000-0000791B0000}"/>
    <cellStyle name="Data 3 3 11 9" xfId="5386" xr:uid="{00000000-0005-0000-0000-00007A1B0000}"/>
    <cellStyle name="Data 3 3 2" xfId="5387" xr:uid="{00000000-0005-0000-0000-00007B1B0000}"/>
    <cellStyle name="Data 3 3 2 10" xfId="5388" xr:uid="{00000000-0005-0000-0000-00007C1B0000}"/>
    <cellStyle name="Data 3 3 2 2" xfId="5389" xr:uid="{00000000-0005-0000-0000-00007D1B0000}"/>
    <cellStyle name="Data 3 3 2 2 2" xfId="5390" xr:uid="{00000000-0005-0000-0000-00007E1B0000}"/>
    <cellStyle name="Data 3 3 2 3" xfId="5391" xr:uid="{00000000-0005-0000-0000-00007F1B0000}"/>
    <cellStyle name="Data 3 3 2 3 2" xfId="5392" xr:uid="{00000000-0005-0000-0000-0000801B0000}"/>
    <cellStyle name="Data 3 3 2 4" xfId="5393" xr:uid="{00000000-0005-0000-0000-0000811B0000}"/>
    <cellStyle name="Data 3 3 2 4 2" xfId="5394" xr:uid="{00000000-0005-0000-0000-0000821B0000}"/>
    <cellStyle name="Data 3 3 2 5" xfId="5395" xr:uid="{00000000-0005-0000-0000-0000831B0000}"/>
    <cellStyle name="Data 3 3 2 5 2" xfId="5396" xr:uid="{00000000-0005-0000-0000-0000841B0000}"/>
    <cellStyle name="Data 3 3 2 6" xfId="5397" xr:uid="{00000000-0005-0000-0000-0000851B0000}"/>
    <cellStyle name="Data 3 3 2 6 2" xfId="5398" xr:uid="{00000000-0005-0000-0000-0000861B0000}"/>
    <cellStyle name="Data 3 3 2 7" xfId="5399" xr:uid="{00000000-0005-0000-0000-0000871B0000}"/>
    <cellStyle name="Data 3 3 2 7 2" xfId="5400" xr:uid="{00000000-0005-0000-0000-0000881B0000}"/>
    <cellStyle name="Data 3 3 2 8" xfId="5401" xr:uid="{00000000-0005-0000-0000-0000891B0000}"/>
    <cellStyle name="Data 3 3 2 8 2" xfId="5402" xr:uid="{00000000-0005-0000-0000-00008A1B0000}"/>
    <cellStyle name="Data 3 3 2 9" xfId="5403" xr:uid="{00000000-0005-0000-0000-00008B1B0000}"/>
    <cellStyle name="Data 3 3 2 9 2" xfId="5404" xr:uid="{00000000-0005-0000-0000-00008C1B0000}"/>
    <cellStyle name="Data 3 3 3" xfId="5405" xr:uid="{00000000-0005-0000-0000-00008D1B0000}"/>
    <cellStyle name="Data 3 3 3 10" xfId="5406" xr:uid="{00000000-0005-0000-0000-00008E1B0000}"/>
    <cellStyle name="Data 3 3 3 2" xfId="5407" xr:uid="{00000000-0005-0000-0000-00008F1B0000}"/>
    <cellStyle name="Data 3 3 3 2 2" xfId="5408" xr:uid="{00000000-0005-0000-0000-0000901B0000}"/>
    <cellStyle name="Data 3 3 3 3" xfId="5409" xr:uid="{00000000-0005-0000-0000-0000911B0000}"/>
    <cellStyle name="Data 3 3 3 3 2" xfId="5410" xr:uid="{00000000-0005-0000-0000-0000921B0000}"/>
    <cellStyle name="Data 3 3 3 4" xfId="5411" xr:uid="{00000000-0005-0000-0000-0000931B0000}"/>
    <cellStyle name="Data 3 3 3 4 2" xfId="5412" xr:uid="{00000000-0005-0000-0000-0000941B0000}"/>
    <cellStyle name="Data 3 3 3 5" xfId="5413" xr:uid="{00000000-0005-0000-0000-0000951B0000}"/>
    <cellStyle name="Data 3 3 3 5 2" xfId="5414" xr:uid="{00000000-0005-0000-0000-0000961B0000}"/>
    <cellStyle name="Data 3 3 3 6" xfId="5415" xr:uid="{00000000-0005-0000-0000-0000971B0000}"/>
    <cellStyle name="Data 3 3 3 6 2" xfId="5416" xr:uid="{00000000-0005-0000-0000-0000981B0000}"/>
    <cellStyle name="Data 3 3 3 7" xfId="5417" xr:uid="{00000000-0005-0000-0000-0000991B0000}"/>
    <cellStyle name="Data 3 3 3 7 2" xfId="5418" xr:uid="{00000000-0005-0000-0000-00009A1B0000}"/>
    <cellStyle name="Data 3 3 3 8" xfId="5419" xr:uid="{00000000-0005-0000-0000-00009B1B0000}"/>
    <cellStyle name="Data 3 3 3 8 2" xfId="5420" xr:uid="{00000000-0005-0000-0000-00009C1B0000}"/>
    <cellStyle name="Data 3 3 3 9" xfId="5421" xr:uid="{00000000-0005-0000-0000-00009D1B0000}"/>
    <cellStyle name="Data 3 3 3 9 2" xfId="5422" xr:uid="{00000000-0005-0000-0000-00009E1B0000}"/>
    <cellStyle name="Data 3 3 4" xfId="5423" xr:uid="{00000000-0005-0000-0000-00009F1B0000}"/>
    <cellStyle name="Data 3 3 4 10" xfId="5424" xr:uid="{00000000-0005-0000-0000-0000A01B0000}"/>
    <cellStyle name="Data 3 3 4 2" xfId="5425" xr:uid="{00000000-0005-0000-0000-0000A11B0000}"/>
    <cellStyle name="Data 3 3 4 2 2" xfId="5426" xr:uid="{00000000-0005-0000-0000-0000A21B0000}"/>
    <cellStyle name="Data 3 3 4 3" xfId="5427" xr:uid="{00000000-0005-0000-0000-0000A31B0000}"/>
    <cellStyle name="Data 3 3 4 3 2" xfId="5428" xr:uid="{00000000-0005-0000-0000-0000A41B0000}"/>
    <cellStyle name="Data 3 3 4 4" xfId="5429" xr:uid="{00000000-0005-0000-0000-0000A51B0000}"/>
    <cellStyle name="Data 3 3 4 4 2" xfId="5430" xr:uid="{00000000-0005-0000-0000-0000A61B0000}"/>
    <cellStyle name="Data 3 3 4 5" xfId="5431" xr:uid="{00000000-0005-0000-0000-0000A71B0000}"/>
    <cellStyle name="Data 3 3 4 5 2" xfId="5432" xr:uid="{00000000-0005-0000-0000-0000A81B0000}"/>
    <cellStyle name="Data 3 3 4 6" xfId="5433" xr:uid="{00000000-0005-0000-0000-0000A91B0000}"/>
    <cellStyle name="Data 3 3 4 6 2" xfId="5434" xr:uid="{00000000-0005-0000-0000-0000AA1B0000}"/>
    <cellStyle name="Data 3 3 4 7" xfId="5435" xr:uid="{00000000-0005-0000-0000-0000AB1B0000}"/>
    <cellStyle name="Data 3 3 4 7 2" xfId="5436" xr:uid="{00000000-0005-0000-0000-0000AC1B0000}"/>
    <cellStyle name="Data 3 3 4 8" xfId="5437" xr:uid="{00000000-0005-0000-0000-0000AD1B0000}"/>
    <cellStyle name="Data 3 3 4 8 2" xfId="5438" xr:uid="{00000000-0005-0000-0000-0000AE1B0000}"/>
    <cellStyle name="Data 3 3 4 9" xfId="5439" xr:uid="{00000000-0005-0000-0000-0000AF1B0000}"/>
    <cellStyle name="Data 3 3 4 9 2" xfId="5440" xr:uid="{00000000-0005-0000-0000-0000B01B0000}"/>
    <cellStyle name="Data 3 3 5" xfId="5441" xr:uid="{00000000-0005-0000-0000-0000B11B0000}"/>
    <cellStyle name="Data 3 3 5 10" xfId="5442" xr:uid="{00000000-0005-0000-0000-0000B21B0000}"/>
    <cellStyle name="Data 3 3 5 2" xfId="5443" xr:uid="{00000000-0005-0000-0000-0000B31B0000}"/>
    <cellStyle name="Data 3 3 5 2 2" xfId="5444" xr:uid="{00000000-0005-0000-0000-0000B41B0000}"/>
    <cellStyle name="Data 3 3 5 3" xfId="5445" xr:uid="{00000000-0005-0000-0000-0000B51B0000}"/>
    <cellStyle name="Data 3 3 5 3 2" xfId="5446" xr:uid="{00000000-0005-0000-0000-0000B61B0000}"/>
    <cellStyle name="Data 3 3 5 4" xfId="5447" xr:uid="{00000000-0005-0000-0000-0000B71B0000}"/>
    <cellStyle name="Data 3 3 5 4 2" xfId="5448" xr:uid="{00000000-0005-0000-0000-0000B81B0000}"/>
    <cellStyle name="Data 3 3 5 5" xfId="5449" xr:uid="{00000000-0005-0000-0000-0000B91B0000}"/>
    <cellStyle name="Data 3 3 5 5 2" xfId="5450" xr:uid="{00000000-0005-0000-0000-0000BA1B0000}"/>
    <cellStyle name="Data 3 3 5 6" xfId="5451" xr:uid="{00000000-0005-0000-0000-0000BB1B0000}"/>
    <cellStyle name="Data 3 3 5 6 2" xfId="5452" xr:uid="{00000000-0005-0000-0000-0000BC1B0000}"/>
    <cellStyle name="Data 3 3 5 7" xfId="5453" xr:uid="{00000000-0005-0000-0000-0000BD1B0000}"/>
    <cellStyle name="Data 3 3 5 7 2" xfId="5454" xr:uid="{00000000-0005-0000-0000-0000BE1B0000}"/>
    <cellStyle name="Data 3 3 5 8" xfId="5455" xr:uid="{00000000-0005-0000-0000-0000BF1B0000}"/>
    <cellStyle name="Data 3 3 5 8 2" xfId="5456" xr:uid="{00000000-0005-0000-0000-0000C01B0000}"/>
    <cellStyle name="Data 3 3 5 9" xfId="5457" xr:uid="{00000000-0005-0000-0000-0000C11B0000}"/>
    <cellStyle name="Data 3 3 5 9 2" xfId="5458" xr:uid="{00000000-0005-0000-0000-0000C21B0000}"/>
    <cellStyle name="Data 3 3 6" xfId="5459" xr:uid="{00000000-0005-0000-0000-0000C31B0000}"/>
    <cellStyle name="Data 3 3 6 10" xfId="5460" xr:uid="{00000000-0005-0000-0000-0000C41B0000}"/>
    <cellStyle name="Data 3 3 6 2" xfId="5461" xr:uid="{00000000-0005-0000-0000-0000C51B0000}"/>
    <cellStyle name="Data 3 3 6 2 2" xfId="5462" xr:uid="{00000000-0005-0000-0000-0000C61B0000}"/>
    <cellStyle name="Data 3 3 6 3" xfId="5463" xr:uid="{00000000-0005-0000-0000-0000C71B0000}"/>
    <cellStyle name="Data 3 3 6 3 2" xfId="5464" xr:uid="{00000000-0005-0000-0000-0000C81B0000}"/>
    <cellStyle name="Data 3 3 6 4" xfId="5465" xr:uid="{00000000-0005-0000-0000-0000C91B0000}"/>
    <cellStyle name="Data 3 3 6 4 2" xfId="5466" xr:uid="{00000000-0005-0000-0000-0000CA1B0000}"/>
    <cellStyle name="Data 3 3 6 5" xfId="5467" xr:uid="{00000000-0005-0000-0000-0000CB1B0000}"/>
    <cellStyle name="Data 3 3 6 5 2" xfId="5468" xr:uid="{00000000-0005-0000-0000-0000CC1B0000}"/>
    <cellStyle name="Data 3 3 6 6" xfId="5469" xr:uid="{00000000-0005-0000-0000-0000CD1B0000}"/>
    <cellStyle name="Data 3 3 6 6 2" xfId="5470" xr:uid="{00000000-0005-0000-0000-0000CE1B0000}"/>
    <cellStyle name="Data 3 3 6 7" xfId="5471" xr:uid="{00000000-0005-0000-0000-0000CF1B0000}"/>
    <cellStyle name="Data 3 3 6 7 2" xfId="5472" xr:uid="{00000000-0005-0000-0000-0000D01B0000}"/>
    <cellStyle name="Data 3 3 6 8" xfId="5473" xr:uid="{00000000-0005-0000-0000-0000D11B0000}"/>
    <cellStyle name="Data 3 3 6 8 2" xfId="5474" xr:uid="{00000000-0005-0000-0000-0000D21B0000}"/>
    <cellStyle name="Data 3 3 6 9" xfId="5475" xr:uid="{00000000-0005-0000-0000-0000D31B0000}"/>
    <cellStyle name="Data 3 3 6 9 2" xfId="5476" xr:uid="{00000000-0005-0000-0000-0000D41B0000}"/>
    <cellStyle name="Data 3 3 7" xfId="5477" xr:uid="{00000000-0005-0000-0000-0000D51B0000}"/>
    <cellStyle name="Data 3 3 7 10" xfId="5478" xr:uid="{00000000-0005-0000-0000-0000D61B0000}"/>
    <cellStyle name="Data 3 3 7 2" xfId="5479" xr:uid="{00000000-0005-0000-0000-0000D71B0000}"/>
    <cellStyle name="Data 3 3 7 2 2" xfId="5480" xr:uid="{00000000-0005-0000-0000-0000D81B0000}"/>
    <cellStyle name="Data 3 3 7 3" xfId="5481" xr:uid="{00000000-0005-0000-0000-0000D91B0000}"/>
    <cellStyle name="Data 3 3 7 3 2" xfId="5482" xr:uid="{00000000-0005-0000-0000-0000DA1B0000}"/>
    <cellStyle name="Data 3 3 7 4" xfId="5483" xr:uid="{00000000-0005-0000-0000-0000DB1B0000}"/>
    <cellStyle name="Data 3 3 7 4 2" xfId="5484" xr:uid="{00000000-0005-0000-0000-0000DC1B0000}"/>
    <cellStyle name="Data 3 3 7 5" xfId="5485" xr:uid="{00000000-0005-0000-0000-0000DD1B0000}"/>
    <cellStyle name="Data 3 3 7 5 2" xfId="5486" xr:uid="{00000000-0005-0000-0000-0000DE1B0000}"/>
    <cellStyle name="Data 3 3 7 6" xfId="5487" xr:uid="{00000000-0005-0000-0000-0000DF1B0000}"/>
    <cellStyle name="Data 3 3 7 6 2" xfId="5488" xr:uid="{00000000-0005-0000-0000-0000E01B0000}"/>
    <cellStyle name="Data 3 3 7 7" xfId="5489" xr:uid="{00000000-0005-0000-0000-0000E11B0000}"/>
    <cellStyle name="Data 3 3 7 7 2" xfId="5490" xr:uid="{00000000-0005-0000-0000-0000E21B0000}"/>
    <cellStyle name="Data 3 3 7 8" xfId="5491" xr:uid="{00000000-0005-0000-0000-0000E31B0000}"/>
    <cellStyle name="Data 3 3 7 8 2" xfId="5492" xr:uid="{00000000-0005-0000-0000-0000E41B0000}"/>
    <cellStyle name="Data 3 3 7 9" xfId="5493" xr:uid="{00000000-0005-0000-0000-0000E51B0000}"/>
    <cellStyle name="Data 3 3 7 9 2" xfId="5494" xr:uid="{00000000-0005-0000-0000-0000E61B0000}"/>
    <cellStyle name="Data 3 3 8" xfId="5495" xr:uid="{00000000-0005-0000-0000-0000E71B0000}"/>
    <cellStyle name="Data 3 3 8 10" xfId="5496" xr:uid="{00000000-0005-0000-0000-0000E81B0000}"/>
    <cellStyle name="Data 3 3 8 2" xfId="5497" xr:uid="{00000000-0005-0000-0000-0000E91B0000}"/>
    <cellStyle name="Data 3 3 8 2 2" xfId="5498" xr:uid="{00000000-0005-0000-0000-0000EA1B0000}"/>
    <cellStyle name="Data 3 3 8 3" xfId="5499" xr:uid="{00000000-0005-0000-0000-0000EB1B0000}"/>
    <cellStyle name="Data 3 3 8 3 2" xfId="5500" xr:uid="{00000000-0005-0000-0000-0000EC1B0000}"/>
    <cellStyle name="Data 3 3 8 4" xfId="5501" xr:uid="{00000000-0005-0000-0000-0000ED1B0000}"/>
    <cellStyle name="Data 3 3 8 4 2" xfId="5502" xr:uid="{00000000-0005-0000-0000-0000EE1B0000}"/>
    <cellStyle name="Data 3 3 8 5" xfId="5503" xr:uid="{00000000-0005-0000-0000-0000EF1B0000}"/>
    <cellStyle name="Data 3 3 8 5 2" xfId="5504" xr:uid="{00000000-0005-0000-0000-0000F01B0000}"/>
    <cellStyle name="Data 3 3 8 6" xfId="5505" xr:uid="{00000000-0005-0000-0000-0000F11B0000}"/>
    <cellStyle name="Data 3 3 8 6 2" xfId="5506" xr:uid="{00000000-0005-0000-0000-0000F21B0000}"/>
    <cellStyle name="Data 3 3 8 7" xfId="5507" xr:uid="{00000000-0005-0000-0000-0000F31B0000}"/>
    <cellStyle name="Data 3 3 8 7 2" xfId="5508" xr:uid="{00000000-0005-0000-0000-0000F41B0000}"/>
    <cellStyle name="Data 3 3 8 8" xfId="5509" xr:uid="{00000000-0005-0000-0000-0000F51B0000}"/>
    <cellStyle name="Data 3 3 8 8 2" xfId="5510" xr:uid="{00000000-0005-0000-0000-0000F61B0000}"/>
    <cellStyle name="Data 3 3 8 9" xfId="5511" xr:uid="{00000000-0005-0000-0000-0000F71B0000}"/>
    <cellStyle name="Data 3 3 8 9 2" xfId="5512" xr:uid="{00000000-0005-0000-0000-0000F81B0000}"/>
    <cellStyle name="Data 3 3 9" xfId="5513" xr:uid="{00000000-0005-0000-0000-0000F91B0000}"/>
    <cellStyle name="Data 3 3 9 10" xfId="5514" xr:uid="{00000000-0005-0000-0000-0000FA1B0000}"/>
    <cellStyle name="Data 3 3 9 2" xfId="5515" xr:uid="{00000000-0005-0000-0000-0000FB1B0000}"/>
    <cellStyle name="Data 3 3 9 2 2" xfId="5516" xr:uid="{00000000-0005-0000-0000-0000FC1B0000}"/>
    <cellStyle name="Data 3 3 9 3" xfId="5517" xr:uid="{00000000-0005-0000-0000-0000FD1B0000}"/>
    <cellStyle name="Data 3 3 9 3 2" xfId="5518" xr:uid="{00000000-0005-0000-0000-0000FE1B0000}"/>
    <cellStyle name="Data 3 3 9 4" xfId="5519" xr:uid="{00000000-0005-0000-0000-0000FF1B0000}"/>
    <cellStyle name="Data 3 3 9 4 2" xfId="5520" xr:uid="{00000000-0005-0000-0000-0000001C0000}"/>
    <cellStyle name="Data 3 3 9 5" xfId="5521" xr:uid="{00000000-0005-0000-0000-0000011C0000}"/>
    <cellStyle name="Data 3 3 9 5 2" xfId="5522" xr:uid="{00000000-0005-0000-0000-0000021C0000}"/>
    <cellStyle name="Data 3 3 9 6" xfId="5523" xr:uid="{00000000-0005-0000-0000-0000031C0000}"/>
    <cellStyle name="Data 3 3 9 6 2" xfId="5524" xr:uid="{00000000-0005-0000-0000-0000041C0000}"/>
    <cellStyle name="Data 3 3 9 7" xfId="5525" xr:uid="{00000000-0005-0000-0000-0000051C0000}"/>
    <cellStyle name="Data 3 3 9 7 2" xfId="5526" xr:uid="{00000000-0005-0000-0000-0000061C0000}"/>
    <cellStyle name="Data 3 3 9 8" xfId="5527" xr:uid="{00000000-0005-0000-0000-0000071C0000}"/>
    <cellStyle name="Data 3 3 9 8 2" xfId="5528" xr:uid="{00000000-0005-0000-0000-0000081C0000}"/>
    <cellStyle name="Data 3 3 9 9" xfId="5529" xr:uid="{00000000-0005-0000-0000-0000091C0000}"/>
    <cellStyle name="Data 3 3 9 9 2" xfId="5530" xr:uid="{00000000-0005-0000-0000-00000A1C0000}"/>
    <cellStyle name="Data 3 4" xfId="5531" xr:uid="{00000000-0005-0000-0000-00000B1C0000}"/>
    <cellStyle name="Data 3 4 10" xfId="5532" xr:uid="{00000000-0005-0000-0000-00000C1C0000}"/>
    <cellStyle name="Data 3 4 10 2" xfId="5533" xr:uid="{00000000-0005-0000-0000-00000D1C0000}"/>
    <cellStyle name="Data 3 4 10 2 2" xfId="5534" xr:uid="{00000000-0005-0000-0000-00000E1C0000}"/>
    <cellStyle name="Data 3 4 10 3" xfId="5535" xr:uid="{00000000-0005-0000-0000-00000F1C0000}"/>
    <cellStyle name="Data 3 4 10 3 2" xfId="5536" xr:uid="{00000000-0005-0000-0000-0000101C0000}"/>
    <cellStyle name="Data 3 4 10 4" xfId="5537" xr:uid="{00000000-0005-0000-0000-0000111C0000}"/>
    <cellStyle name="Data 3 4 10 4 2" xfId="5538" xr:uid="{00000000-0005-0000-0000-0000121C0000}"/>
    <cellStyle name="Data 3 4 10 5" xfId="5539" xr:uid="{00000000-0005-0000-0000-0000131C0000}"/>
    <cellStyle name="Data 3 4 10 5 2" xfId="5540" xr:uid="{00000000-0005-0000-0000-0000141C0000}"/>
    <cellStyle name="Data 3 4 10 6" xfId="5541" xr:uid="{00000000-0005-0000-0000-0000151C0000}"/>
    <cellStyle name="Data 3 4 10 6 2" xfId="5542" xr:uid="{00000000-0005-0000-0000-0000161C0000}"/>
    <cellStyle name="Data 3 4 10 7" xfId="5543" xr:uid="{00000000-0005-0000-0000-0000171C0000}"/>
    <cellStyle name="Data 3 4 10 7 2" xfId="5544" xr:uid="{00000000-0005-0000-0000-0000181C0000}"/>
    <cellStyle name="Data 3 4 10 8" xfId="5545" xr:uid="{00000000-0005-0000-0000-0000191C0000}"/>
    <cellStyle name="Data 3 4 10 8 2" xfId="5546" xr:uid="{00000000-0005-0000-0000-00001A1C0000}"/>
    <cellStyle name="Data 3 4 10 9" xfId="5547" xr:uid="{00000000-0005-0000-0000-00001B1C0000}"/>
    <cellStyle name="Data 3 4 11" xfId="5548" xr:uid="{00000000-0005-0000-0000-00001C1C0000}"/>
    <cellStyle name="Data 3 4 11 2" xfId="5549" xr:uid="{00000000-0005-0000-0000-00001D1C0000}"/>
    <cellStyle name="Data 3 4 12" xfId="5550" xr:uid="{00000000-0005-0000-0000-00001E1C0000}"/>
    <cellStyle name="Data 3 4 12 2" xfId="5551" xr:uid="{00000000-0005-0000-0000-00001F1C0000}"/>
    <cellStyle name="Data 3 4 13" xfId="5552" xr:uid="{00000000-0005-0000-0000-0000201C0000}"/>
    <cellStyle name="Data 3 4 13 2" xfId="5553" xr:uid="{00000000-0005-0000-0000-0000211C0000}"/>
    <cellStyle name="Data 3 4 14" xfId="5554" xr:uid="{00000000-0005-0000-0000-0000221C0000}"/>
    <cellStyle name="Data 3 4 14 2" xfId="5555" xr:uid="{00000000-0005-0000-0000-0000231C0000}"/>
    <cellStyle name="Data 3 4 15" xfId="5556" xr:uid="{00000000-0005-0000-0000-0000241C0000}"/>
    <cellStyle name="Data 3 4 15 2" xfId="5557" xr:uid="{00000000-0005-0000-0000-0000251C0000}"/>
    <cellStyle name="Data 3 4 16" xfId="5558" xr:uid="{00000000-0005-0000-0000-0000261C0000}"/>
    <cellStyle name="Data 3 4 16 2" xfId="5559" xr:uid="{00000000-0005-0000-0000-0000271C0000}"/>
    <cellStyle name="Data 3 4 17" xfId="5560" xr:uid="{00000000-0005-0000-0000-0000281C0000}"/>
    <cellStyle name="Data 3 4 17 2" xfId="5561" xr:uid="{00000000-0005-0000-0000-0000291C0000}"/>
    <cellStyle name="Data 3 4 18" xfId="5562" xr:uid="{00000000-0005-0000-0000-00002A1C0000}"/>
    <cellStyle name="Data 3 4 2" xfId="5563" xr:uid="{00000000-0005-0000-0000-00002B1C0000}"/>
    <cellStyle name="Data 3 4 2 10" xfId="5564" xr:uid="{00000000-0005-0000-0000-00002C1C0000}"/>
    <cellStyle name="Data 3 4 2 2" xfId="5565" xr:uid="{00000000-0005-0000-0000-00002D1C0000}"/>
    <cellStyle name="Data 3 4 2 2 2" xfId="5566" xr:uid="{00000000-0005-0000-0000-00002E1C0000}"/>
    <cellStyle name="Data 3 4 2 3" xfId="5567" xr:uid="{00000000-0005-0000-0000-00002F1C0000}"/>
    <cellStyle name="Data 3 4 2 3 2" xfId="5568" xr:uid="{00000000-0005-0000-0000-0000301C0000}"/>
    <cellStyle name="Data 3 4 2 4" xfId="5569" xr:uid="{00000000-0005-0000-0000-0000311C0000}"/>
    <cellStyle name="Data 3 4 2 4 2" xfId="5570" xr:uid="{00000000-0005-0000-0000-0000321C0000}"/>
    <cellStyle name="Data 3 4 2 5" xfId="5571" xr:uid="{00000000-0005-0000-0000-0000331C0000}"/>
    <cellStyle name="Data 3 4 2 5 2" xfId="5572" xr:uid="{00000000-0005-0000-0000-0000341C0000}"/>
    <cellStyle name="Data 3 4 2 6" xfId="5573" xr:uid="{00000000-0005-0000-0000-0000351C0000}"/>
    <cellStyle name="Data 3 4 2 6 2" xfId="5574" xr:uid="{00000000-0005-0000-0000-0000361C0000}"/>
    <cellStyle name="Data 3 4 2 7" xfId="5575" xr:uid="{00000000-0005-0000-0000-0000371C0000}"/>
    <cellStyle name="Data 3 4 2 7 2" xfId="5576" xr:uid="{00000000-0005-0000-0000-0000381C0000}"/>
    <cellStyle name="Data 3 4 2 8" xfId="5577" xr:uid="{00000000-0005-0000-0000-0000391C0000}"/>
    <cellStyle name="Data 3 4 2 8 2" xfId="5578" xr:uid="{00000000-0005-0000-0000-00003A1C0000}"/>
    <cellStyle name="Data 3 4 2 9" xfId="5579" xr:uid="{00000000-0005-0000-0000-00003B1C0000}"/>
    <cellStyle name="Data 3 4 2 9 2" xfId="5580" xr:uid="{00000000-0005-0000-0000-00003C1C0000}"/>
    <cellStyle name="Data 3 4 3" xfId="5581" xr:uid="{00000000-0005-0000-0000-00003D1C0000}"/>
    <cellStyle name="Data 3 4 3 10" xfId="5582" xr:uid="{00000000-0005-0000-0000-00003E1C0000}"/>
    <cellStyle name="Data 3 4 3 2" xfId="5583" xr:uid="{00000000-0005-0000-0000-00003F1C0000}"/>
    <cellStyle name="Data 3 4 3 2 2" xfId="5584" xr:uid="{00000000-0005-0000-0000-0000401C0000}"/>
    <cellStyle name="Data 3 4 3 3" xfId="5585" xr:uid="{00000000-0005-0000-0000-0000411C0000}"/>
    <cellStyle name="Data 3 4 3 3 2" xfId="5586" xr:uid="{00000000-0005-0000-0000-0000421C0000}"/>
    <cellStyle name="Data 3 4 3 4" xfId="5587" xr:uid="{00000000-0005-0000-0000-0000431C0000}"/>
    <cellStyle name="Data 3 4 3 4 2" xfId="5588" xr:uid="{00000000-0005-0000-0000-0000441C0000}"/>
    <cellStyle name="Data 3 4 3 5" xfId="5589" xr:uid="{00000000-0005-0000-0000-0000451C0000}"/>
    <cellStyle name="Data 3 4 3 5 2" xfId="5590" xr:uid="{00000000-0005-0000-0000-0000461C0000}"/>
    <cellStyle name="Data 3 4 3 6" xfId="5591" xr:uid="{00000000-0005-0000-0000-0000471C0000}"/>
    <cellStyle name="Data 3 4 3 6 2" xfId="5592" xr:uid="{00000000-0005-0000-0000-0000481C0000}"/>
    <cellStyle name="Data 3 4 3 7" xfId="5593" xr:uid="{00000000-0005-0000-0000-0000491C0000}"/>
    <cellStyle name="Data 3 4 3 7 2" xfId="5594" xr:uid="{00000000-0005-0000-0000-00004A1C0000}"/>
    <cellStyle name="Data 3 4 3 8" xfId="5595" xr:uid="{00000000-0005-0000-0000-00004B1C0000}"/>
    <cellStyle name="Data 3 4 3 8 2" xfId="5596" xr:uid="{00000000-0005-0000-0000-00004C1C0000}"/>
    <cellStyle name="Data 3 4 3 9" xfId="5597" xr:uid="{00000000-0005-0000-0000-00004D1C0000}"/>
    <cellStyle name="Data 3 4 3 9 2" xfId="5598" xr:uid="{00000000-0005-0000-0000-00004E1C0000}"/>
    <cellStyle name="Data 3 4 4" xfId="5599" xr:uid="{00000000-0005-0000-0000-00004F1C0000}"/>
    <cellStyle name="Data 3 4 4 10" xfId="5600" xr:uid="{00000000-0005-0000-0000-0000501C0000}"/>
    <cellStyle name="Data 3 4 4 2" xfId="5601" xr:uid="{00000000-0005-0000-0000-0000511C0000}"/>
    <cellStyle name="Data 3 4 4 2 2" xfId="5602" xr:uid="{00000000-0005-0000-0000-0000521C0000}"/>
    <cellStyle name="Data 3 4 4 3" xfId="5603" xr:uid="{00000000-0005-0000-0000-0000531C0000}"/>
    <cellStyle name="Data 3 4 4 3 2" xfId="5604" xr:uid="{00000000-0005-0000-0000-0000541C0000}"/>
    <cellStyle name="Data 3 4 4 4" xfId="5605" xr:uid="{00000000-0005-0000-0000-0000551C0000}"/>
    <cellStyle name="Data 3 4 4 4 2" xfId="5606" xr:uid="{00000000-0005-0000-0000-0000561C0000}"/>
    <cellStyle name="Data 3 4 4 5" xfId="5607" xr:uid="{00000000-0005-0000-0000-0000571C0000}"/>
    <cellStyle name="Data 3 4 4 5 2" xfId="5608" xr:uid="{00000000-0005-0000-0000-0000581C0000}"/>
    <cellStyle name="Data 3 4 4 6" xfId="5609" xr:uid="{00000000-0005-0000-0000-0000591C0000}"/>
    <cellStyle name="Data 3 4 4 6 2" xfId="5610" xr:uid="{00000000-0005-0000-0000-00005A1C0000}"/>
    <cellStyle name="Data 3 4 4 7" xfId="5611" xr:uid="{00000000-0005-0000-0000-00005B1C0000}"/>
    <cellStyle name="Data 3 4 4 7 2" xfId="5612" xr:uid="{00000000-0005-0000-0000-00005C1C0000}"/>
    <cellStyle name="Data 3 4 4 8" xfId="5613" xr:uid="{00000000-0005-0000-0000-00005D1C0000}"/>
    <cellStyle name="Data 3 4 4 8 2" xfId="5614" xr:uid="{00000000-0005-0000-0000-00005E1C0000}"/>
    <cellStyle name="Data 3 4 4 9" xfId="5615" xr:uid="{00000000-0005-0000-0000-00005F1C0000}"/>
    <cellStyle name="Data 3 4 4 9 2" xfId="5616" xr:uid="{00000000-0005-0000-0000-0000601C0000}"/>
    <cellStyle name="Data 3 4 5" xfId="5617" xr:uid="{00000000-0005-0000-0000-0000611C0000}"/>
    <cellStyle name="Data 3 4 5 10" xfId="5618" xr:uid="{00000000-0005-0000-0000-0000621C0000}"/>
    <cellStyle name="Data 3 4 5 2" xfId="5619" xr:uid="{00000000-0005-0000-0000-0000631C0000}"/>
    <cellStyle name="Data 3 4 5 2 2" xfId="5620" xr:uid="{00000000-0005-0000-0000-0000641C0000}"/>
    <cellStyle name="Data 3 4 5 3" xfId="5621" xr:uid="{00000000-0005-0000-0000-0000651C0000}"/>
    <cellStyle name="Data 3 4 5 3 2" xfId="5622" xr:uid="{00000000-0005-0000-0000-0000661C0000}"/>
    <cellStyle name="Data 3 4 5 4" xfId="5623" xr:uid="{00000000-0005-0000-0000-0000671C0000}"/>
    <cellStyle name="Data 3 4 5 4 2" xfId="5624" xr:uid="{00000000-0005-0000-0000-0000681C0000}"/>
    <cellStyle name="Data 3 4 5 5" xfId="5625" xr:uid="{00000000-0005-0000-0000-0000691C0000}"/>
    <cellStyle name="Data 3 4 5 5 2" xfId="5626" xr:uid="{00000000-0005-0000-0000-00006A1C0000}"/>
    <cellStyle name="Data 3 4 5 6" xfId="5627" xr:uid="{00000000-0005-0000-0000-00006B1C0000}"/>
    <cellStyle name="Data 3 4 5 6 2" xfId="5628" xr:uid="{00000000-0005-0000-0000-00006C1C0000}"/>
    <cellStyle name="Data 3 4 5 7" xfId="5629" xr:uid="{00000000-0005-0000-0000-00006D1C0000}"/>
    <cellStyle name="Data 3 4 5 7 2" xfId="5630" xr:uid="{00000000-0005-0000-0000-00006E1C0000}"/>
    <cellStyle name="Data 3 4 5 8" xfId="5631" xr:uid="{00000000-0005-0000-0000-00006F1C0000}"/>
    <cellStyle name="Data 3 4 5 8 2" xfId="5632" xr:uid="{00000000-0005-0000-0000-0000701C0000}"/>
    <cellStyle name="Data 3 4 5 9" xfId="5633" xr:uid="{00000000-0005-0000-0000-0000711C0000}"/>
    <cellStyle name="Data 3 4 5 9 2" xfId="5634" xr:uid="{00000000-0005-0000-0000-0000721C0000}"/>
    <cellStyle name="Data 3 4 6" xfId="5635" xr:uid="{00000000-0005-0000-0000-0000731C0000}"/>
    <cellStyle name="Data 3 4 6 10" xfId="5636" xr:uid="{00000000-0005-0000-0000-0000741C0000}"/>
    <cellStyle name="Data 3 4 6 2" xfId="5637" xr:uid="{00000000-0005-0000-0000-0000751C0000}"/>
    <cellStyle name="Data 3 4 6 2 2" xfId="5638" xr:uid="{00000000-0005-0000-0000-0000761C0000}"/>
    <cellStyle name="Data 3 4 6 3" xfId="5639" xr:uid="{00000000-0005-0000-0000-0000771C0000}"/>
    <cellStyle name="Data 3 4 6 3 2" xfId="5640" xr:uid="{00000000-0005-0000-0000-0000781C0000}"/>
    <cellStyle name="Data 3 4 6 4" xfId="5641" xr:uid="{00000000-0005-0000-0000-0000791C0000}"/>
    <cellStyle name="Data 3 4 6 4 2" xfId="5642" xr:uid="{00000000-0005-0000-0000-00007A1C0000}"/>
    <cellStyle name="Data 3 4 6 5" xfId="5643" xr:uid="{00000000-0005-0000-0000-00007B1C0000}"/>
    <cellStyle name="Data 3 4 6 5 2" xfId="5644" xr:uid="{00000000-0005-0000-0000-00007C1C0000}"/>
    <cellStyle name="Data 3 4 6 6" xfId="5645" xr:uid="{00000000-0005-0000-0000-00007D1C0000}"/>
    <cellStyle name="Data 3 4 6 6 2" xfId="5646" xr:uid="{00000000-0005-0000-0000-00007E1C0000}"/>
    <cellStyle name="Data 3 4 6 7" xfId="5647" xr:uid="{00000000-0005-0000-0000-00007F1C0000}"/>
    <cellStyle name="Data 3 4 6 7 2" xfId="5648" xr:uid="{00000000-0005-0000-0000-0000801C0000}"/>
    <cellStyle name="Data 3 4 6 8" xfId="5649" xr:uid="{00000000-0005-0000-0000-0000811C0000}"/>
    <cellStyle name="Data 3 4 6 8 2" xfId="5650" xr:uid="{00000000-0005-0000-0000-0000821C0000}"/>
    <cellStyle name="Data 3 4 6 9" xfId="5651" xr:uid="{00000000-0005-0000-0000-0000831C0000}"/>
    <cellStyle name="Data 3 4 6 9 2" xfId="5652" xr:uid="{00000000-0005-0000-0000-0000841C0000}"/>
    <cellStyle name="Data 3 4 7" xfId="5653" xr:uid="{00000000-0005-0000-0000-0000851C0000}"/>
    <cellStyle name="Data 3 4 7 10" xfId="5654" xr:uid="{00000000-0005-0000-0000-0000861C0000}"/>
    <cellStyle name="Data 3 4 7 2" xfId="5655" xr:uid="{00000000-0005-0000-0000-0000871C0000}"/>
    <cellStyle name="Data 3 4 7 2 2" xfId="5656" xr:uid="{00000000-0005-0000-0000-0000881C0000}"/>
    <cellStyle name="Data 3 4 7 3" xfId="5657" xr:uid="{00000000-0005-0000-0000-0000891C0000}"/>
    <cellStyle name="Data 3 4 7 3 2" xfId="5658" xr:uid="{00000000-0005-0000-0000-00008A1C0000}"/>
    <cellStyle name="Data 3 4 7 4" xfId="5659" xr:uid="{00000000-0005-0000-0000-00008B1C0000}"/>
    <cellStyle name="Data 3 4 7 4 2" xfId="5660" xr:uid="{00000000-0005-0000-0000-00008C1C0000}"/>
    <cellStyle name="Data 3 4 7 5" xfId="5661" xr:uid="{00000000-0005-0000-0000-00008D1C0000}"/>
    <cellStyle name="Data 3 4 7 5 2" xfId="5662" xr:uid="{00000000-0005-0000-0000-00008E1C0000}"/>
    <cellStyle name="Data 3 4 7 6" xfId="5663" xr:uid="{00000000-0005-0000-0000-00008F1C0000}"/>
    <cellStyle name="Data 3 4 7 6 2" xfId="5664" xr:uid="{00000000-0005-0000-0000-0000901C0000}"/>
    <cellStyle name="Data 3 4 7 7" xfId="5665" xr:uid="{00000000-0005-0000-0000-0000911C0000}"/>
    <cellStyle name="Data 3 4 7 7 2" xfId="5666" xr:uid="{00000000-0005-0000-0000-0000921C0000}"/>
    <cellStyle name="Data 3 4 7 8" xfId="5667" xr:uid="{00000000-0005-0000-0000-0000931C0000}"/>
    <cellStyle name="Data 3 4 7 8 2" xfId="5668" xr:uid="{00000000-0005-0000-0000-0000941C0000}"/>
    <cellStyle name="Data 3 4 7 9" xfId="5669" xr:uid="{00000000-0005-0000-0000-0000951C0000}"/>
    <cellStyle name="Data 3 4 7 9 2" xfId="5670" xr:uid="{00000000-0005-0000-0000-0000961C0000}"/>
    <cellStyle name="Data 3 4 8" xfId="5671" xr:uid="{00000000-0005-0000-0000-0000971C0000}"/>
    <cellStyle name="Data 3 4 8 10" xfId="5672" xr:uid="{00000000-0005-0000-0000-0000981C0000}"/>
    <cellStyle name="Data 3 4 8 2" xfId="5673" xr:uid="{00000000-0005-0000-0000-0000991C0000}"/>
    <cellStyle name="Data 3 4 8 2 2" xfId="5674" xr:uid="{00000000-0005-0000-0000-00009A1C0000}"/>
    <cellStyle name="Data 3 4 8 3" xfId="5675" xr:uid="{00000000-0005-0000-0000-00009B1C0000}"/>
    <cellStyle name="Data 3 4 8 3 2" xfId="5676" xr:uid="{00000000-0005-0000-0000-00009C1C0000}"/>
    <cellStyle name="Data 3 4 8 4" xfId="5677" xr:uid="{00000000-0005-0000-0000-00009D1C0000}"/>
    <cellStyle name="Data 3 4 8 4 2" xfId="5678" xr:uid="{00000000-0005-0000-0000-00009E1C0000}"/>
    <cellStyle name="Data 3 4 8 5" xfId="5679" xr:uid="{00000000-0005-0000-0000-00009F1C0000}"/>
    <cellStyle name="Data 3 4 8 5 2" xfId="5680" xr:uid="{00000000-0005-0000-0000-0000A01C0000}"/>
    <cellStyle name="Data 3 4 8 6" xfId="5681" xr:uid="{00000000-0005-0000-0000-0000A11C0000}"/>
    <cellStyle name="Data 3 4 8 6 2" xfId="5682" xr:uid="{00000000-0005-0000-0000-0000A21C0000}"/>
    <cellStyle name="Data 3 4 8 7" xfId="5683" xr:uid="{00000000-0005-0000-0000-0000A31C0000}"/>
    <cellStyle name="Data 3 4 8 7 2" xfId="5684" xr:uid="{00000000-0005-0000-0000-0000A41C0000}"/>
    <cellStyle name="Data 3 4 8 8" xfId="5685" xr:uid="{00000000-0005-0000-0000-0000A51C0000}"/>
    <cellStyle name="Data 3 4 8 8 2" xfId="5686" xr:uid="{00000000-0005-0000-0000-0000A61C0000}"/>
    <cellStyle name="Data 3 4 8 9" xfId="5687" xr:uid="{00000000-0005-0000-0000-0000A71C0000}"/>
    <cellStyle name="Data 3 4 8 9 2" xfId="5688" xr:uid="{00000000-0005-0000-0000-0000A81C0000}"/>
    <cellStyle name="Data 3 4 9" xfId="5689" xr:uid="{00000000-0005-0000-0000-0000A91C0000}"/>
    <cellStyle name="Data 3 4 9 10" xfId="5690" xr:uid="{00000000-0005-0000-0000-0000AA1C0000}"/>
    <cellStyle name="Data 3 4 9 2" xfId="5691" xr:uid="{00000000-0005-0000-0000-0000AB1C0000}"/>
    <cellStyle name="Data 3 4 9 2 2" xfId="5692" xr:uid="{00000000-0005-0000-0000-0000AC1C0000}"/>
    <cellStyle name="Data 3 4 9 3" xfId="5693" xr:uid="{00000000-0005-0000-0000-0000AD1C0000}"/>
    <cellStyle name="Data 3 4 9 3 2" xfId="5694" xr:uid="{00000000-0005-0000-0000-0000AE1C0000}"/>
    <cellStyle name="Data 3 4 9 4" xfId="5695" xr:uid="{00000000-0005-0000-0000-0000AF1C0000}"/>
    <cellStyle name="Data 3 4 9 4 2" xfId="5696" xr:uid="{00000000-0005-0000-0000-0000B01C0000}"/>
    <cellStyle name="Data 3 4 9 5" xfId="5697" xr:uid="{00000000-0005-0000-0000-0000B11C0000}"/>
    <cellStyle name="Data 3 4 9 5 2" xfId="5698" xr:uid="{00000000-0005-0000-0000-0000B21C0000}"/>
    <cellStyle name="Data 3 4 9 6" xfId="5699" xr:uid="{00000000-0005-0000-0000-0000B31C0000}"/>
    <cellStyle name="Data 3 4 9 6 2" xfId="5700" xr:uid="{00000000-0005-0000-0000-0000B41C0000}"/>
    <cellStyle name="Data 3 4 9 7" xfId="5701" xr:uid="{00000000-0005-0000-0000-0000B51C0000}"/>
    <cellStyle name="Data 3 4 9 7 2" xfId="5702" xr:uid="{00000000-0005-0000-0000-0000B61C0000}"/>
    <cellStyle name="Data 3 4 9 8" xfId="5703" xr:uid="{00000000-0005-0000-0000-0000B71C0000}"/>
    <cellStyle name="Data 3 4 9 8 2" xfId="5704" xr:uid="{00000000-0005-0000-0000-0000B81C0000}"/>
    <cellStyle name="Data 3 4 9 9" xfId="5705" xr:uid="{00000000-0005-0000-0000-0000B91C0000}"/>
    <cellStyle name="Data 3 4 9 9 2" xfId="5706" xr:uid="{00000000-0005-0000-0000-0000BA1C0000}"/>
    <cellStyle name="Data 3 5" xfId="5707" xr:uid="{00000000-0005-0000-0000-0000BB1C0000}"/>
    <cellStyle name="Data 3 5 10" xfId="5708" xr:uid="{00000000-0005-0000-0000-0000BC1C0000}"/>
    <cellStyle name="Data 3 5 10 2" xfId="5709" xr:uid="{00000000-0005-0000-0000-0000BD1C0000}"/>
    <cellStyle name="Data 3 5 10 2 2" xfId="5710" xr:uid="{00000000-0005-0000-0000-0000BE1C0000}"/>
    <cellStyle name="Data 3 5 10 3" xfId="5711" xr:uid="{00000000-0005-0000-0000-0000BF1C0000}"/>
    <cellStyle name="Data 3 5 10 3 2" xfId="5712" xr:uid="{00000000-0005-0000-0000-0000C01C0000}"/>
    <cellStyle name="Data 3 5 10 4" xfId="5713" xr:uid="{00000000-0005-0000-0000-0000C11C0000}"/>
    <cellStyle name="Data 3 5 10 4 2" xfId="5714" xr:uid="{00000000-0005-0000-0000-0000C21C0000}"/>
    <cellStyle name="Data 3 5 10 5" xfId="5715" xr:uid="{00000000-0005-0000-0000-0000C31C0000}"/>
    <cellStyle name="Data 3 5 10 5 2" xfId="5716" xr:uid="{00000000-0005-0000-0000-0000C41C0000}"/>
    <cellStyle name="Data 3 5 10 6" xfId="5717" xr:uid="{00000000-0005-0000-0000-0000C51C0000}"/>
    <cellStyle name="Data 3 5 10 6 2" xfId="5718" xr:uid="{00000000-0005-0000-0000-0000C61C0000}"/>
    <cellStyle name="Data 3 5 10 7" xfId="5719" xr:uid="{00000000-0005-0000-0000-0000C71C0000}"/>
    <cellStyle name="Data 3 5 10 7 2" xfId="5720" xr:uid="{00000000-0005-0000-0000-0000C81C0000}"/>
    <cellStyle name="Data 3 5 10 8" xfId="5721" xr:uid="{00000000-0005-0000-0000-0000C91C0000}"/>
    <cellStyle name="Data 3 5 10 8 2" xfId="5722" xr:uid="{00000000-0005-0000-0000-0000CA1C0000}"/>
    <cellStyle name="Data 3 5 10 9" xfId="5723" xr:uid="{00000000-0005-0000-0000-0000CB1C0000}"/>
    <cellStyle name="Data 3 5 11" xfId="5724" xr:uid="{00000000-0005-0000-0000-0000CC1C0000}"/>
    <cellStyle name="Data 3 5 11 2" xfId="5725" xr:uid="{00000000-0005-0000-0000-0000CD1C0000}"/>
    <cellStyle name="Data 3 5 12" xfId="5726" xr:uid="{00000000-0005-0000-0000-0000CE1C0000}"/>
    <cellStyle name="Data 3 5 12 2" xfId="5727" xr:uid="{00000000-0005-0000-0000-0000CF1C0000}"/>
    <cellStyle name="Data 3 5 13" xfId="5728" xr:uid="{00000000-0005-0000-0000-0000D01C0000}"/>
    <cellStyle name="Data 3 5 13 2" xfId="5729" xr:uid="{00000000-0005-0000-0000-0000D11C0000}"/>
    <cellStyle name="Data 3 5 14" xfId="5730" xr:uid="{00000000-0005-0000-0000-0000D21C0000}"/>
    <cellStyle name="Data 3 5 14 2" xfId="5731" xr:uid="{00000000-0005-0000-0000-0000D31C0000}"/>
    <cellStyle name="Data 3 5 15" xfId="5732" xr:uid="{00000000-0005-0000-0000-0000D41C0000}"/>
    <cellStyle name="Data 3 5 15 2" xfId="5733" xr:uid="{00000000-0005-0000-0000-0000D51C0000}"/>
    <cellStyle name="Data 3 5 16" xfId="5734" xr:uid="{00000000-0005-0000-0000-0000D61C0000}"/>
    <cellStyle name="Data 3 5 16 2" xfId="5735" xr:uid="{00000000-0005-0000-0000-0000D71C0000}"/>
    <cellStyle name="Data 3 5 17" xfId="5736" xr:uid="{00000000-0005-0000-0000-0000D81C0000}"/>
    <cellStyle name="Data 3 5 17 2" xfId="5737" xr:uid="{00000000-0005-0000-0000-0000D91C0000}"/>
    <cellStyle name="Data 3 5 18" xfId="5738" xr:uid="{00000000-0005-0000-0000-0000DA1C0000}"/>
    <cellStyle name="Data 3 5 2" xfId="5739" xr:uid="{00000000-0005-0000-0000-0000DB1C0000}"/>
    <cellStyle name="Data 3 5 2 10" xfId="5740" xr:uid="{00000000-0005-0000-0000-0000DC1C0000}"/>
    <cellStyle name="Data 3 5 2 2" xfId="5741" xr:uid="{00000000-0005-0000-0000-0000DD1C0000}"/>
    <cellStyle name="Data 3 5 2 2 2" xfId="5742" xr:uid="{00000000-0005-0000-0000-0000DE1C0000}"/>
    <cellStyle name="Data 3 5 2 3" xfId="5743" xr:uid="{00000000-0005-0000-0000-0000DF1C0000}"/>
    <cellStyle name="Data 3 5 2 3 2" xfId="5744" xr:uid="{00000000-0005-0000-0000-0000E01C0000}"/>
    <cellStyle name="Data 3 5 2 4" xfId="5745" xr:uid="{00000000-0005-0000-0000-0000E11C0000}"/>
    <cellStyle name="Data 3 5 2 4 2" xfId="5746" xr:uid="{00000000-0005-0000-0000-0000E21C0000}"/>
    <cellStyle name="Data 3 5 2 5" xfId="5747" xr:uid="{00000000-0005-0000-0000-0000E31C0000}"/>
    <cellStyle name="Data 3 5 2 5 2" xfId="5748" xr:uid="{00000000-0005-0000-0000-0000E41C0000}"/>
    <cellStyle name="Data 3 5 2 6" xfId="5749" xr:uid="{00000000-0005-0000-0000-0000E51C0000}"/>
    <cellStyle name="Data 3 5 2 6 2" xfId="5750" xr:uid="{00000000-0005-0000-0000-0000E61C0000}"/>
    <cellStyle name="Data 3 5 2 7" xfId="5751" xr:uid="{00000000-0005-0000-0000-0000E71C0000}"/>
    <cellStyle name="Data 3 5 2 7 2" xfId="5752" xr:uid="{00000000-0005-0000-0000-0000E81C0000}"/>
    <cellStyle name="Data 3 5 2 8" xfId="5753" xr:uid="{00000000-0005-0000-0000-0000E91C0000}"/>
    <cellStyle name="Data 3 5 2 8 2" xfId="5754" xr:uid="{00000000-0005-0000-0000-0000EA1C0000}"/>
    <cellStyle name="Data 3 5 2 9" xfId="5755" xr:uid="{00000000-0005-0000-0000-0000EB1C0000}"/>
    <cellStyle name="Data 3 5 2 9 2" xfId="5756" xr:uid="{00000000-0005-0000-0000-0000EC1C0000}"/>
    <cellStyle name="Data 3 5 3" xfId="5757" xr:uid="{00000000-0005-0000-0000-0000ED1C0000}"/>
    <cellStyle name="Data 3 5 3 10" xfId="5758" xr:uid="{00000000-0005-0000-0000-0000EE1C0000}"/>
    <cellStyle name="Data 3 5 3 2" xfId="5759" xr:uid="{00000000-0005-0000-0000-0000EF1C0000}"/>
    <cellStyle name="Data 3 5 3 2 2" xfId="5760" xr:uid="{00000000-0005-0000-0000-0000F01C0000}"/>
    <cellStyle name="Data 3 5 3 3" xfId="5761" xr:uid="{00000000-0005-0000-0000-0000F11C0000}"/>
    <cellStyle name="Data 3 5 3 3 2" xfId="5762" xr:uid="{00000000-0005-0000-0000-0000F21C0000}"/>
    <cellStyle name="Data 3 5 3 4" xfId="5763" xr:uid="{00000000-0005-0000-0000-0000F31C0000}"/>
    <cellStyle name="Data 3 5 3 4 2" xfId="5764" xr:uid="{00000000-0005-0000-0000-0000F41C0000}"/>
    <cellStyle name="Data 3 5 3 5" xfId="5765" xr:uid="{00000000-0005-0000-0000-0000F51C0000}"/>
    <cellStyle name="Data 3 5 3 5 2" xfId="5766" xr:uid="{00000000-0005-0000-0000-0000F61C0000}"/>
    <cellStyle name="Data 3 5 3 6" xfId="5767" xr:uid="{00000000-0005-0000-0000-0000F71C0000}"/>
    <cellStyle name="Data 3 5 3 6 2" xfId="5768" xr:uid="{00000000-0005-0000-0000-0000F81C0000}"/>
    <cellStyle name="Data 3 5 3 7" xfId="5769" xr:uid="{00000000-0005-0000-0000-0000F91C0000}"/>
    <cellStyle name="Data 3 5 3 7 2" xfId="5770" xr:uid="{00000000-0005-0000-0000-0000FA1C0000}"/>
    <cellStyle name="Data 3 5 3 8" xfId="5771" xr:uid="{00000000-0005-0000-0000-0000FB1C0000}"/>
    <cellStyle name="Data 3 5 3 8 2" xfId="5772" xr:uid="{00000000-0005-0000-0000-0000FC1C0000}"/>
    <cellStyle name="Data 3 5 3 9" xfId="5773" xr:uid="{00000000-0005-0000-0000-0000FD1C0000}"/>
    <cellStyle name="Data 3 5 3 9 2" xfId="5774" xr:uid="{00000000-0005-0000-0000-0000FE1C0000}"/>
    <cellStyle name="Data 3 5 4" xfId="5775" xr:uid="{00000000-0005-0000-0000-0000FF1C0000}"/>
    <cellStyle name="Data 3 5 4 10" xfId="5776" xr:uid="{00000000-0005-0000-0000-0000001D0000}"/>
    <cellStyle name="Data 3 5 4 2" xfId="5777" xr:uid="{00000000-0005-0000-0000-0000011D0000}"/>
    <cellStyle name="Data 3 5 4 2 2" xfId="5778" xr:uid="{00000000-0005-0000-0000-0000021D0000}"/>
    <cellStyle name="Data 3 5 4 3" xfId="5779" xr:uid="{00000000-0005-0000-0000-0000031D0000}"/>
    <cellStyle name="Data 3 5 4 3 2" xfId="5780" xr:uid="{00000000-0005-0000-0000-0000041D0000}"/>
    <cellStyle name="Data 3 5 4 4" xfId="5781" xr:uid="{00000000-0005-0000-0000-0000051D0000}"/>
    <cellStyle name="Data 3 5 4 4 2" xfId="5782" xr:uid="{00000000-0005-0000-0000-0000061D0000}"/>
    <cellStyle name="Data 3 5 4 5" xfId="5783" xr:uid="{00000000-0005-0000-0000-0000071D0000}"/>
    <cellStyle name="Data 3 5 4 5 2" xfId="5784" xr:uid="{00000000-0005-0000-0000-0000081D0000}"/>
    <cellStyle name="Data 3 5 4 6" xfId="5785" xr:uid="{00000000-0005-0000-0000-0000091D0000}"/>
    <cellStyle name="Data 3 5 4 6 2" xfId="5786" xr:uid="{00000000-0005-0000-0000-00000A1D0000}"/>
    <cellStyle name="Data 3 5 4 7" xfId="5787" xr:uid="{00000000-0005-0000-0000-00000B1D0000}"/>
    <cellStyle name="Data 3 5 4 7 2" xfId="5788" xr:uid="{00000000-0005-0000-0000-00000C1D0000}"/>
    <cellStyle name="Data 3 5 4 8" xfId="5789" xr:uid="{00000000-0005-0000-0000-00000D1D0000}"/>
    <cellStyle name="Data 3 5 4 8 2" xfId="5790" xr:uid="{00000000-0005-0000-0000-00000E1D0000}"/>
    <cellStyle name="Data 3 5 4 9" xfId="5791" xr:uid="{00000000-0005-0000-0000-00000F1D0000}"/>
    <cellStyle name="Data 3 5 4 9 2" xfId="5792" xr:uid="{00000000-0005-0000-0000-0000101D0000}"/>
    <cellStyle name="Data 3 5 5" xfId="5793" xr:uid="{00000000-0005-0000-0000-0000111D0000}"/>
    <cellStyle name="Data 3 5 5 10" xfId="5794" xr:uid="{00000000-0005-0000-0000-0000121D0000}"/>
    <cellStyle name="Data 3 5 5 2" xfId="5795" xr:uid="{00000000-0005-0000-0000-0000131D0000}"/>
    <cellStyle name="Data 3 5 5 2 2" xfId="5796" xr:uid="{00000000-0005-0000-0000-0000141D0000}"/>
    <cellStyle name="Data 3 5 5 3" xfId="5797" xr:uid="{00000000-0005-0000-0000-0000151D0000}"/>
    <cellStyle name="Data 3 5 5 3 2" xfId="5798" xr:uid="{00000000-0005-0000-0000-0000161D0000}"/>
    <cellStyle name="Data 3 5 5 4" xfId="5799" xr:uid="{00000000-0005-0000-0000-0000171D0000}"/>
    <cellStyle name="Data 3 5 5 4 2" xfId="5800" xr:uid="{00000000-0005-0000-0000-0000181D0000}"/>
    <cellStyle name="Data 3 5 5 5" xfId="5801" xr:uid="{00000000-0005-0000-0000-0000191D0000}"/>
    <cellStyle name="Data 3 5 5 5 2" xfId="5802" xr:uid="{00000000-0005-0000-0000-00001A1D0000}"/>
    <cellStyle name="Data 3 5 5 6" xfId="5803" xr:uid="{00000000-0005-0000-0000-00001B1D0000}"/>
    <cellStyle name="Data 3 5 5 6 2" xfId="5804" xr:uid="{00000000-0005-0000-0000-00001C1D0000}"/>
    <cellStyle name="Data 3 5 5 7" xfId="5805" xr:uid="{00000000-0005-0000-0000-00001D1D0000}"/>
    <cellStyle name="Data 3 5 5 7 2" xfId="5806" xr:uid="{00000000-0005-0000-0000-00001E1D0000}"/>
    <cellStyle name="Data 3 5 5 8" xfId="5807" xr:uid="{00000000-0005-0000-0000-00001F1D0000}"/>
    <cellStyle name="Data 3 5 5 8 2" xfId="5808" xr:uid="{00000000-0005-0000-0000-0000201D0000}"/>
    <cellStyle name="Data 3 5 5 9" xfId="5809" xr:uid="{00000000-0005-0000-0000-0000211D0000}"/>
    <cellStyle name="Data 3 5 5 9 2" xfId="5810" xr:uid="{00000000-0005-0000-0000-0000221D0000}"/>
    <cellStyle name="Data 3 5 6" xfId="5811" xr:uid="{00000000-0005-0000-0000-0000231D0000}"/>
    <cellStyle name="Data 3 5 6 10" xfId="5812" xr:uid="{00000000-0005-0000-0000-0000241D0000}"/>
    <cellStyle name="Data 3 5 6 2" xfId="5813" xr:uid="{00000000-0005-0000-0000-0000251D0000}"/>
    <cellStyle name="Data 3 5 6 2 2" xfId="5814" xr:uid="{00000000-0005-0000-0000-0000261D0000}"/>
    <cellStyle name="Data 3 5 6 3" xfId="5815" xr:uid="{00000000-0005-0000-0000-0000271D0000}"/>
    <cellStyle name="Data 3 5 6 3 2" xfId="5816" xr:uid="{00000000-0005-0000-0000-0000281D0000}"/>
    <cellStyle name="Data 3 5 6 4" xfId="5817" xr:uid="{00000000-0005-0000-0000-0000291D0000}"/>
    <cellStyle name="Data 3 5 6 4 2" xfId="5818" xr:uid="{00000000-0005-0000-0000-00002A1D0000}"/>
    <cellStyle name="Data 3 5 6 5" xfId="5819" xr:uid="{00000000-0005-0000-0000-00002B1D0000}"/>
    <cellStyle name="Data 3 5 6 5 2" xfId="5820" xr:uid="{00000000-0005-0000-0000-00002C1D0000}"/>
    <cellStyle name="Data 3 5 6 6" xfId="5821" xr:uid="{00000000-0005-0000-0000-00002D1D0000}"/>
    <cellStyle name="Data 3 5 6 6 2" xfId="5822" xr:uid="{00000000-0005-0000-0000-00002E1D0000}"/>
    <cellStyle name="Data 3 5 6 7" xfId="5823" xr:uid="{00000000-0005-0000-0000-00002F1D0000}"/>
    <cellStyle name="Data 3 5 6 7 2" xfId="5824" xr:uid="{00000000-0005-0000-0000-0000301D0000}"/>
    <cellStyle name="Data 3 5 6 8" xfId="5825" xr:uid="{00000000-0005-0000-0000-0000311D0000}"/>
    <cellStyle name="Data 3 5 6 8 2" xfId="5826" xr:uid="{00000000-0005-0000-0000-0000321D0000}"/>
    <cellStyle name="Data 3 5 6 9" xfId="5827" xr:uid="{00000000-0005-0000-0000-0000331D0000}"/>
    <cellStyle name="Data 3 5 6 9 2" xfId="5828" xr:uid="{00000000-0005-0000-0000-0000341D0000}"/>
    <cellStyle name="Data 3 5 7" xfId="5829" xr:uid="{00000000-0005-0000-0000-0000351D0000}"/>
    <cellStyle name="Data 3 5 7 10" xfId="5830" xr:uid="{00000000-0005-0000-0000-0000361D0000}"/>
    <cellStyle name="Data 3 5 7 2" xfId="5831" xr:uid="{00000000-0005-0000-0000-0000371D0000}"/>
    <cellStyle name="Data 3 5 7 2 2" xfId="5832" xr:uid="{00000000-0005-0000-0000-0000381D0000}"/>
    <cellStyle name="Data 3 5 7 3" xfId="5833" xr:uid="{00000000-0005-0000-0000-0000391D0000}"/>
    <cellStyle name="Data 3 5 7 3 2" xfId="5834" xr:uid="{00000000-0005-0000-0000-00003A1D0000}"/>
    <cellStyle name="Data 3 5 7 4" xfId="5835" xr:uid="{00000000-0005-0000-0000-00003B1D0000}"/>
    <cellStyle name="Data 3 5 7 4 2" xfId="5836" xr:uid="{00000000-0005-0000-0000-00003C1D0000}"/>
    <cellStyle name="Data 3 5 7 5" xfId="5837" xr:uid="{00000000-0005-0000-0000-00003D1D0000}"/>
    <cellStyle name="Data 3 5 7 5 2" xfId="5838" xr:uid="{00000000-0005-0000-0000-00003E1D0000}"/>
    <cellStyle name="Data 3 5 7 6" xfId="5839" xr:uid="{00000000-0005-0000-0000-00003F1D0000}"/>
    <cellStyle name="Data 3 5 7 6 2" xfId="5840" xr:uid="{00000000-0005-0000-0000-0000401D0000}"/>
    <cellStyle name="Data 3 5 7 7" xfId="5841" xr:uid="{00000000-0005-0000-0000-0000411D0000}"/>
    <cellStyle name="Data 3 5 7 7 2" xfId="5842" xr:uid="{00000000-0005-0000-0000-0000421D0000}"/>
    <cellStyle name="Data 3 5 7 8" xfId="5843" xr:uid="{00000000-0005-0000-0000-0000431D0000}"/>
    <cellStyle name="Data 3 5 7 8 2" xfId="5844" xr:uid="{00000000-0005-0000-0000-0000441D0000}"/>
    <cellStyle name="Data 3 5 7 9" xfId="5845" xr:uid="{00000000-0005-0000-0000-0000451D0000}"/>
    <cellStyle name="Data 3 5 7 9 2" xfId="5846" xr:uid="{00000000-0005-0000-0000-0000461D0000}"/>
    <cellStyle name="Data 3 5 8" xfId="5847" xr:uid="{00000000-0005-0000-0000-0000471D0000}"/>
    <cellStyle name="Data 3 5 8 10" xfId="5848" xr:uid="{00000000-0005-0000-0000-0000481D0000}"/>
    <cellStyle name="Data 3 5 8 2" xfId="5849" xr:uid="{00000000-0005-0000-0000-0000491D0000}"/>
    <cellStyle name="Data 3 5 8 2 2" xfId="5850" xr:uid="{00000000-0005-0000-0000-00004A1D0000}"/>
    <cellStyle name="Data 3 5 8 3" xfId="5851" xr:uid="{00000000-0005-0000-0000-00004B1D0000}"/>
    <cellStyle name="Data 3 5 8 3 2" xfId="5852" xr:uid="{00000000-0005-0000-0000-00004C1D0000}"/>
    <cellStyle name="Data 3 5 8 4" xfId="5853" xr:uid="{00000000-0005-0000-0000-00004D1D0000}"/>
    <cellStyle name="Data 3 5 8 4 2" xfId="5854" xr:uid="{00000000-0005-0000-0000-00004E1D0000}"/>
    <cellStyle name="Data 3 5 8 5" xfId="5855" xr:uid="{00000000-0005-0000-0000-00004F1D0000}"/>
    <cellStyle name="Data 3 5 8 5 2" xfId="5856" xr:uid="{00000000-0005-0000-0000-0000501D0000}"/>
    <cellStyle name="Data 3 5 8 6" xfId="5857" xr:uid="{00000000-0005-0000-0000-0000511D0000}"/>
    <cellStyle name="Data 3 5 8 6 2" xfId="5858" xr:uid="{00000000-0005-0000-0000-0000521D0000}"/>
    <cellStyle name="Data 3 5 8 7" xfId="5859" xr:uid="{00000000-0005-0000-0000-0000531D0000}"/>
    <cellStyle name="Data 3 5 8 7 2" xfId="5860" xr:uid="{00000000-0005-0000-0000-0000541D0000}"/>
    <cellStyle name="Data 3 5 8 8" xfId="5861" xr:uid="{00000000-0005-0000-0000-0000551D0000}"/>
    <cellStyle name="Data 3 5 8 8 2" xfId="5862" xr:uid="{00000000-0005-0000-0000-0000561D0000}"/>
    <cellStyle name="Data 3 5 8 9" xfId="5863" xr:uid="{00000000-0005-0000-0000-0000571D0000}"/>
    <cellStyle name="Data 3 5 8 9 2" xfId="5864" xr:uid="{00000000-0005-0000-0000-0000581D0000}"/>
    <cellStyle name="Data 3 5 9" xfId="5865" xr:uid="{00000000-0005-0000-0000-0000591D0000}"/>
    <cellStyle name="Data 3 5 9 10" xfId="5866" xr:uid="{00000000-0005-0000-0000-00005A1D0000}"/>
    <cellStyle name="Data 3 5 9 2" xfId="5867" xr:uid="{00000000-0005-0000-0000-00005B1D0000}"/>
    <cellStyle name="Data 3 5 9 2 2" xfId="5868" xr:uid="{00000000-0005-0000-0000-00005C1D0000}"/>
    <cellStyle name="Data 3 5 9 3" xfId="5869" xr:uid="{00000000-0005-0000-0000-00005D1D0000}"/>
    <cellStyle name="Data 3 5 9 3 2" xfId="5870" xr:uid="{00000000-0005-0000-0000-00005E1D0000}"/>
    <cellStyle name="Data 3 5 9 4" xfId="5871" xr:uid="{00000000-0005-0000-0000-00005F1D0000}"/>
    <cellStyle name="Data 3 5 9 4 2" xfId="5872" xr:uid="{00000000-0005-0000-0000-0000601D0000}"/>
    <cellStyle name="Data 3 5 9 5" xfId="5873" xr:uid="{00000000-0005-0000-0000-0000611D0000}"/>
    <cellStyle name="Data 3 5 9 5 2" xfId="5874" xr:uid="{00000000-0005-0000-0000-0000621D0000}"/>
    <cellStyle name="Data 3 5 9 6" xfId="5875" xr:uid="{00000000-0005-0000-0000-0000631D0000}"/>
    <cellStyle name="Data 3 5 9 6 2" xfId="5876" xr:uid="{00000000-0005-0000-0000-0000641D0000}"/>
    <cellStyle name="Data 3 5 9 7" xfId="5877" xr:uid="{00000000-0005-0000-0000-0000651D0000}"/>
    <cellStyle name="Data 3 5 9 7 2" xfId="5878" xr:uid="{00000000-0005-0000-0000-0000661D0000}"/>
    <cellStyle name="Data 3 5 9 8" xfId="5879" xr:uid="{00000000-0005-0000-0000-0000671D0000}"/>
    <cellStyle name="Data 3 5 9 8 2" xfId="5880" xr:uid="{00000000-0005-0000-0000-0000681D0000}"/>
    <cellStyle name="Data 3 5 9 9" xfId="5881" xr:uid="{00000000-0005-0000-0000-0000691D0000}"/>
    <cellStyle name="Data 3 5 9 9 2" xfId="5882" xr:uid="{00000000-0005-0000-0000-00006A1D0000}"/>
    <cellStyle name="Data 3 6" xfId="5883" xr:uid="{00000000-0005-0000-0000-00006B1D0000}"/>
    <cellStyle name="Data 3 6 10" xfId="5884" xr:uid="{00000000-0005-0000-0000-00006C1D0000}"/>
    <cellStyle name="Data 3 6 10 2" xfId="5885" xr:uid="{00000000-0005-0000-0000-00006D1D0000}"/>
    <cellStyle name="Data 3 6 10 2 2" xfId="5886" xr:uid="{00000000-0005-0000-0000-00006E1D0000}"/>
    <cellStyle name="Data 3 6 10 3" xfId="5887" xr:uid="{00000000-0005-0000-0000-00006F1D0000}"/>
    <cellStyle name="Data 3 6 10 3 2" xfId="5888" xr:uid="{00000000-0005-0000-0000-0000701D0000}"/>
    <cellStyle name="Data 3 6 10 4" xfId="5889" xr:uid="{00000000-0005-0000-0000-0000711D0000}"/>
    <cellStyle name="Data 3 6 10 4 2" xfId="5890" xr:uid="{00000000-0005-0000-0000-0000721D0000}"/>
    <cellStyle name="Data 3 6 10 5" xfId="5891" xr:uid="{00000000-0005-0000-0000-0000731D0000}"/>
    <cellStyle name="Data 3 6 10 5 2" xfId="5892" xr:uid="{00000000-0005-0000-0000-0000741D0000}"/>
    <cellStyle name="Data 3 6 10 6" xfId="5893" xr:uid="{00000000-0005-0000-0000-0000751D0000}"/>
    <cellStyle name="Data 3 6 10 6 2" xfId="5894" xr:uid="{00000000-0005-0000-0000-0000761D0000}"/>
    <cellStyle name="Data 3 6 10 7" xfId="5895" xr:uid="{00000000-0005-0000-0000-0000771D0000}"/>
    <cellStyle name="Data 3 6 10 7 2" xfId="5896" xr:uid="{00000000-0005-0000-0000-0000781D0000}"/>
    <cellStyle name="Data 3 6 10 8" xfId="5897" xr:uid="{00000000-0005-0000-0000-0000791D0000}"/>
    <cellStyle name="Data 3 6 10 8 2" xfId="5898" xr:uid="{00000000-0005-0000-0000-00007A1D0000}"/>
    <cellStyle name="Data 3 6 10 9" xfId="5899" xr:uid="{00000000-0005-0000-0000-00007B1D0000}"/>
    <cellStyle name="Data 3 6 11" xfId="5900" xr:uid="{00000000-0005-0000-0000-00007C1D0000}"/>
    <cellStyle name="Data 3 6 11 2" xfId="5901" xr:uid="{00000000-0005-0000-0000-00007D1D0000}"/>
    <cellStyle name="Data 3 6 12" xfId="5902" xr:uid="{00000000-0005-0000-0000-00007E1D0000}"/>
    <cellStyle name="Data 3 6 12 2" xfId="5903" xr:uid="{00000000-0005-0000-0000-00007F1D0000}"/>
    <cellStyle name="Data 3 6 13" xfId="5904" xr:uid="{00000000-0005-0000-0000-0000801D0000}"/>
    <cellStyle name="Data 3 6 13 2" xfId="5905" xr:uid="{00000000-0005-0000-0000-0000811D0000}"/>
    <cellStyle name="Data 3 6 14" xfId="5906" xr:uid="{00000000-0005-0000-0000-0000821D0000}"/>
    <cellStyle name="Data 3 6 14 2" xfId="5907" xr:uid="{00000000-0005-0000-0000-0000831D0000}"/>
    <cellStyle name="Data 3 6 15" xfId="5908" xr:uid="{00000000-0005-0000-0000-0000841D0000}"/>
    <cellStyle name="Data 3 6 15 2" xfId="5909" xr:uid="{00000000-0005-0000-0000-0000851D0000}"/>
    <cellStyle name="Data 3 6 16" xfId="5910" xr:uid="{00000000-0005-0000-0000-0000861D0000}"/>
    <cellStyle name="Data 3 6 16 2" xfId="5911" xr:uid="{00000000-0005-0000-0000-0000871D0000}"/>
    <cellStyle name="Data 3 6 17" xfId="5912" xr:uid="{00000000-0005-0000-0000-0000881D0000}"/>
    <cellStyle name="Data 3 6 17 2" xfId="5913" xr:uid="{00000000-0005-0000-0000-0000891D0000}"/>
    <cellStyle name="Data 3 6 18" xfId="5914" xr:uid="{00000000-0005-0000-0000-00008A1D0000}"/>
    <cellStyle name="Data 3 6 2" xfId="5915" xr:uid="{00000000-0005-0000-0000-00008B1D0000}"/>
    <cellStyle name="Data 3 6 2 10" xfId="5916" xr:uid="{00000000-0005-0000-0000-00008C1D0000}"/>
    <cellStyle name="Data 3 6 2 2" xfId="5917" xr:uid="{00000000-0005-0000-0000-00008D1D0000}"/>
    <cellStyle name="Data 3 6 2 2 2" xfId="5918" xr:uid="{00000000-0005-0000-0000-00008E1D0000}"/>
    <cellStyle name="Data 3 6 2 3" xfId="5919" xr:uid="{00000000-0005-0000-0000-00008F1D0000}"/>
    <cellStyle name="Data 3 6 2 3 2" xfId="5920" xr:uid="{00000000-0005-0000-0000-0000901D0000}"/>
    <cellStyle name="Data 3 6 2 4" xfId="5921" xr:uid="{00000000-0005-0000-0000-0000911D0000}"/>
    <cellStyle name="Data 3 6 2 4 2" xfId="5922" xr:uid="{00000000-0005-0000-0000-0000921D0000}"/>
    <cellStyle name="Data 3 6 2 5" xfId="5923" xr:uid="{00000000-0005-0000-0000-0000931D0000}"/>
    <cellStyle name="Data 3 6 2 5 2" xfId="5924" xr:uid="{00000000-0005-0000-0000-0000941D0000}"/>
    <cellStyle name="Data 3 6 2 6" xfId="5925" xr:uid="{00000000-0005-0000-0000-0000951D0000}"/>
    <cellStyle name="Data 3 6 2 6 2" xfId="5926" xr:uid="{00000000-0005-0000-0000-0000961D0000}"/>
    <cellStyle name="Data 3 6 2 7" xfId="5927" xr:uid="{00000000-0005-0000-0000-0000971D0000}"/>
    <cellStyle name="Data 3 6 2 7 2" xfId="5928" xr:uid="{00000000-0005-0000-0000-0000981D0000}"/>
    <cellStyle name="Data 3 6 2 8" xfId="5929" xr:uid="{00000000-0005-0000-0000-0000991D0000}"/>
    <cellStyle name="Data 3 6 2 8 2" xfId="5930" xr:uid="{00000000-0005-0000-0000-00009A1D0000}"/>
    <cellStyle name="Data 3 6 2 9" xfId="5931" xr:uid="{00000000-0005-0000-0000-00009B1D0000}"/>
    <cellStyle name="Data 3 6 2 9 2" xfId="5932" xr:uid="{00000000-0005-0000-0000-00009C1D0000}"/>
    <cellStyle name="Data 3 6 3" xfId="5933" xr:uid="{00000000-0005-0000-0000-00009D1D0000}"/>
    <cellStyle name="Data 3 6 3 10" xfId="5934" xr:uid="{00000000-0005-0000-0000-00009E1D0000}"/>
    <cellStyle name="Data 3 6 3 2" xfId="5935" xr:uid="{00000000-0005-0000-0000-00009F1D0000}"/>
    <cellStyle name="Data 3 6 3 2 2" xfId="5936" xr:uid="{00000000-0005-0000-0000-0000A01D0000}"/>
    <cellStyle name="Data 3 6 3 3" xfId="5937" xr:uid="{00000000-0005-0000-0000-0000A11D0000}"/>
    <cellStyle name="Data 3 6 3 3 2" xfId="5938" xr:uid="{00000000-0005-0000-0000-0000A21D0000}"/>
    <cellStyle name="Data 3 6 3 4" xfId="5939" xr:uid="{00000000-0005-0000-0000-0000A31D0000}"/>
    <cellStyle name="Data 3 6 3 4 2" xfId="5940" xr:uid="{00000000-0005-0000-0000-0000A41D0000}"/>
    <cellStyle name="Data 3 6 3 5" xfId="5941" xr:uid="{00000000-0005-0000-0000-0000A51D0000}"/>
    <cellStyle name="Data 3 6 3 5 2" xfId="5942" xr:uid="{00000000-0005-0000-0000-0000A61D0000}"/>
    <cellStyle name="Data 3 6 3 6" xfId="5943" xr:uid="{00000000-0005-0000-0000-0000A71D0000}"/>
    <cellStyle name="Data 3 6 3 6 2" xfId="5944" xr:uid="{00000000-0005-0000-0000-0000A81D0000}"/>
    <cellStyle name="Data 3 6 3 7" xfId="5945" xr:uid="{00000000-0005-0000-0000-0000A91D0000}"/>
    <cellStyle name="Data 3 6 3 7 2" xfId="5946" xr:uid="{00000000-0005-0000-0000-0000AA1D0000}"/>
    <cellStyle name="Data 3 6 3 8" xfId="5947" xr:uid="{00000000-0005-0000-0000-0000AB1D0000}"/>
    <cellStyle name="Data 3 6 3 8 2" xfId="5948" xr:uid="{00000000-0005-0000-0000-0000AC1D0000}"/>
    <cellStyle name="Data 3 6 3 9" xfId="5949" xr:uid="{00000000-0005-0000-0000-0000AD1D0000}"/>
    <cellStyle name="Data 3 6 3 9 2" xfId="5950" xr:uid="{00000000-0005-0000-0000-0000AE1D0000}"/>
    <cellStyle name="Data 3 6 4" xfId="5951" xr:uid="{00000000-0005-0000-0000-0000AF1D0000}"/>
    <cellStyle name="Data 3 6 4 10" xfId="5952" xr:uid="{00000000-0005-0000-0000-0000B01D0000}"/>
    <cellStyle name="Data 3 6 4 2" xfId="5953" xr:uid="{00000000-0005-0000-0000-0000B11D0000}"/>
    <cellStyle name="Data 3 6 4 2 2" xfId="5954" xr:uid="{00000000-0005-0000-0000-0000B21D0000}"/>
    <cellStyle name="Data 3 6 4 3" xfId="5955" xr:uid="{00000000-0005-0000-0000-0000B31D0000}"/>
    <cellStyle name="Data 3 6 4 3 2" xfId="5956" xr:uid="{00000000-0005-0000-0000-0000B41D0000}"/>
    <cellStyle name="Data 3 6 4 4" xfId="5957" xr:uid="{00000000-0005-0000-0000-0000B51D0000}"/>
    <cellStyle name="Data 3 6 4 4 2" xfId="5958" xr:uid="{00000000-0005-0000-0000-0000B61D0000}"/>
    <cellStyle name="Data 3 6 4 5" xfId="5959" xr:uid="{00000000-0005-0000-0000-0000B71D0000}"/>
    <cellStyle name="Data 3 6 4 5 2" xfId="5960" xr:uid="{00000000-0005-0000-0000-0000B81D0000}"/>
    <cellStyle name="Data 3 6 4 6" xfId="5961" xr:uid="{00000000-0005-0000-0000-0000B91D0000}"/>
    <cellStyle name="Data 3 6 4 6 2" xfId="5962" xr:uid="{00000000-0005-0000-0000-0000BA1D0000}"/>
    <cellStyle name="Data 3 6 4 7" xfId="5963" xr:uid="{00000000-0005-0000-0000-0000BB1D0000}"/>
    <cellStyle name="Data 3 6 4 7 2" xfId="5964" xr:uid="{00000000-0005-0000-0000-0000BC1D0000}"/>
    <cellStyle name="Data 3 6 4 8" xfId="5965" xr:uid="{00000000-0005-0000-0000-0000BD1D0000}"/>
    <cellStyle name="Data 3 6 4 8 2" xfId="5966" xr:uid="{00000000-0005-0000-0000-0000BE1D0000}"/>
    <cellStyle name="Data 3 6 4 9" xfId="5967" xr:uid="{00000000-0005-0000-0000-0000BF1D0000}"/>
    <cellStyle name="Data 3 6 4 9 2" xfId="5968" xr:uid="{00000000-0005-0000-0000-0000C01D0000}"/>
    <cellStyle name="Data 3 6 5" xfId="5969" xr:uid="{00000000-0005-0000-0000-0000C11D0000}"/>
    <cellStyle name="Data 3 6 5 10" xfId="5970" xr:uid="{00000000-0005-0000-0000-0000C21D0000}"/>
    <cellStyle name="Data 3 6 5 2" xfId="5971" xr:uid="{00000000-0005-0000-0000-0000C31D0000}"/>
    <cellStyle name="Data 3 6 5 2 2" xfId="5972" xr:uid="{00000000-0005-0000-0000-0000C41D0000}"/>
    <cellStyle name="Data 3 6 5 3" xfId="5973" xr:uid="{00000000-0005-0000-0000-0000C51D0000}"/>
    <cellStyle name="Data 3 6 5 3 2" xfId="5974" xr:uid="{00000000-0005-0000-0000-0000C61D0000}"/>
    <cellStyle name="Data 3 6 5 4" xfId="5975" xr:uid="{00000000-0005-0000-0000-0000C71D0000}"/>
    <cellStyle name="Data 3 6 5 4 2" xfId="5976" xr:uid="{00000000-0005-0000-0000-0000C81D0000}"/>
    <cellStyle name="Data 3 6 5 5" xfId="5977" xr:uid="{00000000-0005-0000-0000-0000C91D0000}"/>
    <cellStyle name="Data 3 6 5 5 2" xfId="5978" xr:uid="{00000000-0005-0000-0000-0000CA1D0000}"/>
    <cellStyle name="Data 3 6 5 6" xfId="5979" xr:uid="{00000000-0005-0000-0000-0000CB1D0000}"/>
    <cellStyle name="Data 3 6 5 6 2" xfId="5980" xr:uid="{00000000-0005-0000-0000-0000CC1D0000}"/>
    <cellStyle name="Data 3 6 5 7" xfId="5981" xr:uid="{00000000-0005-0000-0000-0000CD1D0000}"/>
    <cellStyle name="Data 3 6 5 7 2" xfId="5982" xr:uid="{00000000-0005-0000-0000-0000CE1D0000}"/>
    <cellStyle name="Data 3 6 5 8" xfId="5983" xr:uid="{00000000-0005-0000-0000-0000CF1D0000}"/>
    <cellStyle name="Data 3 6 5 8 2" xfId="5984" xr:uid="{00000000-0005-0000-0000-0000D01D0000}"/>
    <cellStyle name="Data 3 6 5 9" xfId="5985" xr:uid="{00000000-0005-0000-0000-0000D11D0000}"/>
    <cellStyle name="Data 3 6 5 9 2" xfId="5986" xr:uid="{00000000-0005-0000-0000-0000D21D0000}"/>
    <cellStyle name="Data 3 6 6" xfId="5987" xr:uid="{00000000-0005-0000-0000-0000D31D0000}"/>
    <cellStyle name="Data 3 6 6 10" xfId="5988" xr:uid="{00000000-0005-0000-0000-0000D41D0000}"/>
    <cellStyle name="Data 3 6 6 2" xfId="5989" xr:uid="{00000000-0005-0000-0000-0000D51D0000}"/>
    <cellStyle name="Data 3 6 6 2 2" xfId="5990" xr:uid="{00000000-0005-0000-0000-0000D61D0000}"/>
    <cellStyle name="Data 3 6 6 3" xfId="5991" xr:uid="{00000000-0005-0000-0000-0000D71D0000}"/>
    <cellStyle name="Data 3 6 6 3 2" xfId="5992" xr:uid="{00000000-0005-0000-0000-0000D81D0000}"/>
    <cellStyle name="Data 3 6 6 4" xfId="5993" xr:uid="{00000000-0005-0000-0000-0000D91D0000}"/>
    <cellStyle name="Data 3 6 6 4 2" xfId="5994" xr:uid="{00000000-0005-0000-0000-0000DA1D0000}"/>
    <cellStyle name="Data 3 6 6 5" xfId="5995" xr:uid="{00000000-0005-0000-0000-0000DB1D0000}"/>
    <cellStyle name="Data 3 6 6 5 2" xfId="5996" xr:uid="{00000000-0005-0000-0000-0000DC1D0000}"/>
    <cellStyle name="Data 3 6 6 6" xfId="5997" xr:uid="{00000000-0005-0000-0000-0000DD1D0000}"/>
    <cellStyle name="Data 3 6 6 6 2" xfId="5998" xr:uid="{00000000-0005-0000-0000-0000DE1D0000}"/>
    <cellStyle name="Data 3 6 6 7" xfId="5999" xr:uid="{00000000-0005-0000-0000-0000DF1D0000}"/>
    <cellStyle name="Data 3 6 6 7 2" xfId="6000" xr:uid="{00000000-0005-0000-0000-0000E01D0000}"/>
    <cellStyle name="Data 3 6 6 8" xfId="6001" xr:uid="{00000000-0005-0000-0000-0000E11D0000}"/>
    <cellStyle name="Data 3 6 6 8 2" xfId="6002" xr:uid="{00000000-0005-0000-0000-0000E21D0000}"/>
    <cellStyle name="Data 3 6 6 9" xfId="6003" xr:uid="{00000000-0005-0000-0000-0000E31D0000}"/>
    <cellStyle name="Data 3 6 6 9 2" xfId="6004" xr:uid="{00000000-0005-0000-0000-0000E41D0000}"/>
    <cellStyle name="Data 3 6 7" xfId="6005" xr:uid="{00000000-0005-0000-0000-0000E51D0000}"/>
    <cellStyle name="Data 3 6 7 10" xfId="6006" xr:uid="{00000000-0005-0000-0000-0000E61D0000}"/>
    <cellStyle name="Data 3 6 7 2" xfId="6007" xr:uid="{00000000-0005-0000-0000-0000E71D0000}"/>
    <cellStyle name="Data 3 6 7 2 2" xfId="6008" xr:uid="{00000000-0005-0000-0000-0000E81D0000}"/>
    <cellStyle name="Data 3 6 7 3" xfId="6009" xr:uid="{00000000-0005-0000-0000-0000E91D0000}"/>
    <cellStyle name="Data 3 6 7 3 2" xfId="6010" xr:uid="{00000000-0005-0000-0000-0000EA1D0000}"/>
    <cellStyle name="Data 3 6 7 4" xfId="6011" xr:uid="{00000000-0005-0000-0000-0000EB1D0000}"/>
    <cellStyle name="Data 3 6 7 4 2" xfId="6012" xr:uid="{00000000-0005-0000-0000-0000EC1D0000}"/>
    <cellStyle name="Data 3 6 7 5" xfId="6013" xr:uid="{00000000-0005-0000-0000-0000ED1D0000}"/>
    <cellStyle name="Data 3 6 7 5 2" xfId="6014" xr:uid="{00000000-0005-0000-0000-0000EE1D0000}"/>
    <cellStyle name="Data 3 6 7 6" xfId="6015" xr:uid="{00000000-0005-0000-0000-0000EF1D0000}"/>
    <cellStyle name="Data 3 6 7 6 2" xfId="6016" xr:uid="{00000000-0005-0000-0000-0000F01D0000}"/>
    <cellStyle name="Data 3 6 7 7" xfId="6017" xr:uid="{00000000-0005-0000-0000-0000F11D0000}"/>
    <cellStyle name="Data 3 6 7 7 2" xfId="6018" xr:uid="{00000000-0005-0000-0000-0000F21D0000}"/>
    <cellStyle name="Data 3 6 7 8" xfId="6019" xr:uid="{00000000-0005-0000-0000-0000F31D0000}"/>
    <cellStyle name="Data 3 6 7 8 2" xfId="6020" xr:uid="{00000000-0005-0000-0000-0000F41D0000}"/>
    <cellStyle name="Data 3 6 7 9" xfId="6021" xr:uid="{00000000-0005-0000-0000-0000F51D0000}"/>
    <cellStyle name="Data 3 6 7 9 2" xfId="6022" xr:uid="{00000000-0005-0000-0000-0000F61D0000}"/>
    <cellStyle name="Data 3 6 8" xfId="6023" xr:uid="{00000000-0005-0000-0000-0000F71D0000}"/>
    <cellStyle name="Data 3 6 8 10" xfId="6024" xr:uid="{00000000-0005-0000-0000-0000F81D0000}"/>
    <cellStyle name="Data 3 6 8 2" xfId="6025" xr:uid="{00000000-0005-0000-0000-0000F91D0000}"/>
    <cellStyle name="Data 3 6 8 2 2" xfId="6026" xr:uid="{00000000-0005-0000-0000-0000FA1D0000}"/>
    <cellStyle name="Data 3 6 8 3" xfId="6027" xr:uid="{00000000-0005-0000-0000-0000FB1D0000}"/>
    <cellStyle name="Data 3 6 8 3 2" xfId="6028" xr:uid="{00000000-0005-0000-0000-0000FC1D0000}"/>
    <cellStyle name="Data 3 6 8 4" xfId="6029" xr:uid="{00000000-0005-0000-0000-0000FD1D0000}"/>
    <cellStyle name="Data 3 6 8 4 2" xfId="6030" xr:uid="{00000000-0005-0000-0000-0000FE1D0000}"/>
    <cellStyle name="Data 3 6 8 5" xfId="6031" xr:uid="{00000000-0005-0000-0000-0000FF1D0000}"/>
    <cellStyle name="Data 3 6 8 5 2" xfId="6032" xr:uid="{00000000-0005-0000-0000-0000001E0000}"/>
    <cellStyle name="Data 3 6 8 6" xfId="6033" xr:uid="{00000000-0005-0000-0000-0000011E0000}"/>
    <cellStyle name="Data 3 6 8 6 2" xfId="6034" xr:uid="{00000000-0005-0000-0000-0000021E0000}"/>
    <cellStyle name="Data 3 6 8 7" xfId="6035" xr:uid="{00000000-0005-0000-0000-0000031E0000}"/>
    <cellStyle name="Data 3 6 8 7 2" xfId="6036" xr:uid="{00000000-0005-0000-0000-0000041E0000}"/>
    <cellStyle name="Data 3 6 8 8" xfId="6037" xr:uid="{00000000-0005-0000-0000-0000051E0000}"/>
    <cellStyle name="Data 3 6 8 8 2" xfId="6038" xr:uid="{00000000-0005-0000-0000-0000061E0000}"/>
    <cellStyle name="Data 3 6 8 9" xfId="6039" xr:uid="{00000000-0005-0000-0000-0000071E0000}"/>
    <cellStyle name="Data 3 6 8 9 2" xfId="6040" xr:uid="{00000000-0005-0000-0000-0000081E0000}"/>
    <cellStyle name="Data 3 6 9" xfId="6041" xr:uid="{00000000-0005-0000-0000-0000091E0000}"/>
    <cellStyle name="Data 3 6 9 10" xfId="6042" xr:uid="{00000000-0005-0000-0000-00000A1E0000}"/>
    <cellStyle name="Data 3 6 9 2" xfId="6043" xr:uid="{00000000-0005-0000-0000-00000B1E0000}"/>
    <cellStyle name="Data 3 6 9 2 2" xfId="6044" xr:uid="{00000000-0005-0000-0000-00000C1E0000}"/>
    <cellStyle name="Data 3 6 9 3" xfId="6045" xr:uid="{00000000-0005-0000-0000-00000D1E0000}"/>
    <cellStyle name="Data 3 6 9 3 2" xfId="6046" xr:uid="{00000000-0005-0000-0000-00000E1E0000}"/>
    <cellStyle name="Data 3 6 9 4" xfId="6047" xr:uid="{00000000-0005-0000-0000-00000F1E0000}"/>
    <cellStyle name="Data 3 6 9 4 2" xfId="6048" xr:uid="{00000000-0005-0000-0000-0000101E0000}"/>
    <cellStyle name="Data 3 6 9 5" xfId="6049" xr:uid="{00000000-0005-0000-0000-0000111E0000}"/>
    <cellStyle name="Data 3 6 9 5 2" xfId="6050" xr:uid="{00000000-0005-0000-0000-0000121E0000}"/>
    <cellStyle name="Data 3 6 9 6" xfId="6051" xr:uid="{00000000-0005-0000-0000-0000131E0000}"/>
    <cellStyle name="Data 3 6 9 6 2" xfId="6052" xr:uid="{00000000-0005-0000-0000-0000141E0000}"/>
    <cellStyle name="Data 3 6 9 7" xfId="6053" xr:uid="{00000000-0005-0000-0000-0000151E0000}"/>
    <cellStyle name="Data 3 6 9 7 2" xfId="6054" xr:uid="{00000000-0005-0000-0000-0000161E0000}"/>
    <cellStyle name="Data 3 6 9 8" xfId="6055" xr:uid="{00000000-0005-0000-0000-0000171E0000}"/>
    <cellStyle name="Data 3 6 9 8 2" xfId="6056" xr:uid="{00000000-0005-0000-0000-0000181E0000}"/>
    <cellStyle name="Data 3 6 9 9" xfId="6057" xr:uid="{00000000-0005-0000-0000-0000191E0000}"/>
    <cellStyle name="Data 3 6 9 9 2" xfId="6058" xr:uid="{00000000-0005-0000-0000-00001A1E0000}"/>
    <cellStyle name="Data 3 7" xfId="6059" xr:uid="{00000000-0005-0000-0000-00001B1E0000}"/>
    <cellStyle name="Data 3 7 10" xfId="6060" xr:uid="{00000000-0005-0000-0000-00001C1E0000}"/>
    <cellStyle name="Data 3 7 10 2" xfId="6061" xr:uid="{00000000-0005-0000-0000-00001D1E0000}"/>
    <cellStyle name="Data 3 7 10 2 2" xfId="6062" xr:uid="{00000000-0005-0000-0000-00001E1E0000}"/>
    <cellStyle name="Data 3 7 10 3" xfId="6063" xr:uid="{00000000-0005-0000-0000-00001F1E0000}"/>
    <cellStyle name="Data 3 7 10 3 2" xfId="6064" xr:uid="{00000000-0005-0000-0000-0000201E0000}"/>
    <cellStyle name="Data 3 7 10 4" xfId="6065" xr:uid="{00000000-0005-0000-0000-0000211E0000}"/>
    <cellStyle name="Data 3 7 10 4 2" xfId="6066" xr:uid="{00000000-0005-0000-0000-0000221E0000}"/>
    <cellStyle name="Data 3 7 10 5" xfId="6067" xr:uid="{00000000-0005-0000-0000-0000231E0000}"/>
    <cellStyle name="Data 3 7 10 5 2" xfId="6068" xr:uid="{00000000-0005-0000-0000-0000241E0000}"/>
    <cellStyle name="Data 3 7 10 6" xfId="6069" xr:uid="{00000000-0005-0000-0000-0000251E0000}"/>
    <cellStyle name="Data 3 7 10 6 2" xfId="6070" xr:uid="{00000000-0005-0000-0000-0000261E0000}"/>
    <cellStyle name="Data 3 7 10 7" xfId="6071" xr:uid="{00000000-0005-0000-0000-0000271E0000}"/>
    <cellStyle name="Data 3 7 10 7 2" xfId="6072" xr:uid="{00000000-0005-0000-0000-0000281E0000}"/>
    <cellStyle name="Data 3 7 10 8" xfId="6073" xr:uid="{00000000-0005-0000-0000-0000291E0000}"/>
    <cellStyle name="Data 3 7 10 8 2" xfId="6074" xr:uid="{00000000-0005-0000-0000-00002A1E0000}"/>
    <cellStyle name="Data 3 7 10 9" xfId="6075" xr:uid="{00000000-0005-0000-0000-00002B1E0000}"/>
    <cellStyle name="Data 3 7 11" xfId="6076" xr:uid="{00000000-0005-0000-0000-00002C1E0000}"/>
    <cellStyle name="Data 3 7 11 2" xfId="6077" xr:uid="{00000000-0005-0000-0000-00002D1E0000}"/>
    <cellStyle name="Data 3 7 12" xfId="6078" xr:uid="{00000000-0005-0000-0000-00002E1E0000}"/>
    <cellStyle name="Data 3 7 12 2" xfId="6079" xr:uid="{00000000-0005-0000-0000-00002F1E0000}"/>
    <cellStyle name="Data 3 7 13" xfId="6080" xr:uid="{00000000-0005-0000-0000-0000301E0000}"/>
    <cellStyle name="Data 3 7 13 2" xfId="6081" xr:uid="{00000000-0005-0000-0000-0000311E0000}"/>
    <cellStyle name="Data 3 7 14" xfId="6082" xr:uid="{00000000-0005-0000-0000-0000321E0000}"/>
    <cellStyle name="Data 3 7 14 2" xfId="6083" xr:uid="{00000000-0005-0000-0000-0000331E0000}"/>
    <cellStyle name="Data 3 7 15" xfId="6084" xr:uid="{00000000-0005-0000-0000-0000341E0000}"/>
    <cellStyle name="Data 3 7 15 2" xfId="6085" xr:uid="{00000000-0005-0000-0000-0000351E0000}"/>
    <cellStyle name="Data 3 7 16" xfId="6086" xr:uid="{00000000-0005-0000-0000-0000361E0000}"/>
    <cellStyle name="Data 3 7 16 2" xfId="6087" xr:uid="{00000000-0005-0000-0000-0000371E0000}"/>
    <cellStyle name="Data 3 7 17" xfId="6088" xr:uid="{00000000-0005-0000-0000-0000381E0000}"/>
    <cellStyle name="Data 3 7 17 2" xfId="6089" xr:uid="{00000000-0005-0000-0000-0000391E0000}"/>
    <cellStyle name="Data 3 7 18" xfId="6090" xr:uid="{00000000-0005-0000-0000-00003A1E0000}"/>
    <cellStyle name="Data 3 7 2" xfId="6091" xr:uid="{00000000-0005-0000-0000-00003B1E0000}"/>
    <cellStyle name="Data 3 7 2 10" xfId="6092" xr:uid="{00000000-0005-0000-0000-00003C1E0000}"/>
    <cellStyle name="Data 3 7 2 2" xfId="6093" xr:uid="{00000000-0005-0000-0000-00003D1E0000}"/>
    <cellStyle name="Data 3 7 2 2 2" xfId="6094" xr:uid="{00000000-0005-0000-0000-00003E1E0000}"/>
    <cellStyle name="Data 3 7 2 3" xfId="6095" xr:uid="{00000000-0005-0000-0000-00003F1E0000}"/>
    <cellStyle name="Data 3 7 2 3 2" xfId="6096" xr:uid="{00000000-0005-0000-0000-0000401E0000}"/>
    <cellStyle name="Data 3 7 2 4" xfId="6097" xr:uid="{00000000-0005-0000-0000-0000411E0000}"/>
    <cellStyle name="Data 3 7 2 4 2" xfId="6098" xr:uid="{00000000-0005-0000-0000-0000421E0000}"/>
    <cellStyle name="Data 3 7 2 5" xfId="6099" xr:uid="{00000000-0005-0000-0000-0000431E0000}"/>
    <cellStyle name="Data 3 7 2 5 2" xfId="6100" xr:uid="{00000000-0005-0000-0000-0000441E0000}"/>
    <cellStyle name="Data 3 7 2 6" xfId="6101" xr:uid="{00000000-0005-0000-0000-0000451E0000}"/>
    <cellStyle name="Data 3 7 2 6 2" xfId="6102" xr:uid="{00000000-0005-0000-0000-0000461E0000}"/>
    <cellStyle name="Data 3 7 2 7" xfId="6103" xr:uid="{00000000-0005-0000-0000-0000471E0000}"/>
    <cellStyle name="Data 3 7 2 7 2" xfId="6104" xr:uid="{00000000-0005-0000-0000-0000481E0000}"/>
    <cellStyle name="Data 3 7 2 8" xfId="6105" xr:uid="{00000000-0005-0000-0000-0000491E0000}"/>
    <cellStyle name="Data 3 7 2 8 2" xfId="6106" xr:uid="{00000000-0005-0000-0000-00004A1E0000}"/>
    <cellStyle name="Data 3 7 2 9" xfId="6107" xr:uid="{00000000-0005-0000-0000-00004B1E0000}"/>
    <cellStyle name="Data 3 7 2 9 2" xfId="6108" xr:uid="{00000000-0005-0000-0000-00004C1E0000}"/>
    <cellStyle name="Data 3 7 3" xfId="6109" xr:uid="{00000000-0005-0000-0000-00004D1E0000}"/>
    <cellStyle name="Data 3 7 3 10" xfId="6110" xr:uid="{00000000-0005-0000-0000-00004E1E0000}"/>
    <cellStyle name="Data 3 7 3 2" xfId="6111" xr:uid="{00000000-0005-0000-0000-00004F1E0000}"/>
    <cellStyle name="Data 3 7 3 2 2" xfId="6112" xr:uid="{00000000-0005-0000-0000-0000501E0000}"/>
    <cellStyle name="Data 3 7 3 3" xfId="6113" xr:uid="{00000000-0005-0000-0000-0000511E0000}"/>
    <cellStyle name="Data 3 7 3 3 2" xfId="6114" xr:uid="{00000000-0005-0000-0000-0000521E0000}"/>
    <cellStyle name="Data 3 7 3 4" xfId="6115" xr:uid="{00000000-0005-0000-0000-0000531E0000}"/>
    <cellStyle name="Data 3 7 3 4 2" xfId="6116" xr:uid="{00000000-0005-0000-0000-0000541E0000}"/>
    <cellStyle name="Data 3 7 3 5" xfId="6117" xr:uid="{00000000-0005-0000-0000-0000551E0000}"/>
    <cellStyle name="Data 3 7 3 5 2" xfId="6118" xr:uid="{00000000-0005-0000-0000-0000561E0000}"/>
    <cellStyle name="Data 3 7 3 6" xfId="6119" xr:uid="{00000000-0005-0000-0000-0000571E0000}"/>
    <cellStyle name="Data 3 7 3 6 2" xfId="6120" xr:uid="{00000000-0005-0000-0000-0000581E0000}"/>
    <cellStyle name="Data 3 7 3 7" xfId="6121" xr:uid="{00000000-0005-0000-0000-0000591E0000}"/>
    <cellStyle name="Data 3 7 3 7 2" xfId="6122" xr:uid="{00000000-0005-0000-0000-00005A1E0000}"/>
    <cellStyle name="Data 3 7 3 8" xfId="6123" xr:uid="{00000000-0005-0000-0000-00005B1E0000}"/>
    <cellStyle name="Data 3 7 3 8 2" xfId="6124" xr:uid="{00000000-0005-0000-0000-00005C1E0000}"/>
    <cellStyle name="Data 3 7 3 9" xfId="6125" xr:uid="{00000000-0005-0000-0000-00005D1E0000}"/>
    <cellStyle name="Data 3 7 3 9 2" xfId="6126" xr:uid="{00000000-0005-0000-0000-00005E1E0000}"/>
    <cellStyle name="Data 3 7 4" xfId="6127" xr:uid="{00000000-0005-0000-0000-00005F1E0000}"/>
    <cellStyle name="Data 3 7 4 10" xfId="6128" xr:uid="{00000000-0005-0000-0000-0000601E0000}"/>
    <cellStyle name="Data 3 7 4 2" xfId="6129" xr:uid="{00000000-0005-0000-0000-0000611E0000}"/>
    <cellStyle name="Data 3 7 4 2 2" xfId="6130" xr:uid="{00000000-0005-0000-0000-0000621E0000}"/>
    <cellStyle name="Data 3 7 4 3" xfId="6131" xr:uid="{00000000-0005-0000-0000-0000631E0000}"/>
    <cellStyle name="Data 3 7 4 3 2" xfId="6132" xr:uid="{00000000-0005-0000-0000-0000641E0000}"/>
    <cellStyle name="Data 3 7 4 4" xfId="6133" xr:uid="{00000000-0005-0000-0000-0000651E0000}"/>
    <cellStyle name="Data 3 7 4 4 2" xfId="6134" xr:uid="{00000000-0005-0000-0000-0000661E0000}"/>
    <cellStyle name="Data 3 7 4 5" xfId="6135" xr:uid="{00000000-0005-0000-0000-0000671E0000}"/>
    <cellStyle name="Data 3 7 4 5 2" xfId="6136" xr:uid="{00000000-0005-0000-0000-0000681E0000}"/>
    <cellStyle name="Data 3 7 4 6" xfId="6137" xr:uid="{00000000-0005-0000-0000-0000691E0000}"/>
    <cellStyle name="Data 3 7 4 6 2" xfId="6138" xr:uid="{00000000-0005-0000-0000-00006A1E0000}"/>
    <cellStyle name="Data 3 7 4 7" xfId="6139" xr:uid="{00000000-0005-0000-0000-00006B1E0000}"/>
    <cellStyle name="Data 3 7 4 7 2" xfId="6140" xr:uid="{00000000-0005-0000-0000-00006C1E0000}"/>
    <cellStyle name="Data 3 7 4 8" xfId="6141" xr:uid="{00000000-0005-0000-0000-00006D1E0000}"/>
    <cellStyle name="Data 3 7 4 8 2" xfId="6142" xr:uid="{00000000-0005-0000-0000-00006E1E0000}"/>
    <cellStyle name="Data 3 7 4 9" xfId="6143" xr:uid="{00000000-0005-0000-0000-00006F1E0000}"/>
    <cellStyle name="Data 3 7 4 9 2" xfId="6144" xr:uid="{00000000-0005-0000-0000-0000701E0000}"/>
    <cellStyle name="Data 3 7 5" xfId="6145" xr:uid="{00000000-0005-0000-0000-0000711E0000}"/>
    <cellStyle name="Data 3 7 5 10" xfId="6146" xr:uid="{00000000-0005-0000-0000-0000721E0000}"/>
    <cellStyle name="Data 3 7 5 2" xfId="6147" xr:uid="{00000000-0005-0000-0000-0000731E0000}"/>
    <cellStyle name="Data 3 7 5 2 2" xfId="6148" xr:uid="{00000000-0005-0000-0000-0000741E0000}"/>
    <cellStyle name="Data 3 7 5 3" xfId="6149" xr:uid="{00000000-0005-0000-0000-0000751E0000}"/>
    <cellStyle name="Data 3 7 5 3 2" xfId="6150" xr:uid="{00000000-0005-0000-0000-0000761E0000}"/>
    <cellStyle name="Data 3 7 5 4" xfId="6151" xr:uid="{00000000-0005-0000-0000-0000771E0000}"/>
    <cellStyle name="Data 3 7 5 4 2" xfId="6152" xr:uid="{00000000-0005-0000-0000-0000781E0000}"/>
    <cellStyle name="Data 3 7 5 5" xfId="6153" xr:uid="{00000000-0005-0000-0000-0000791E0000}"/>
    <cellStyle name="Data 3 7 5 5 2" xfId="6154" xr:uid="{00000000-0005-0000-0000-00007A1E0000}"/>
    <cellStyle name="Data 3 7 5 6" xfId="6155" xr:uid="{00000000-0005-0000-0000-00007B1E0000}"/>
    <cellStyle name="Data 3 7 5 6 2" xfId="6156" xr:uid="{00000000-0005-0000-0000-00007C1E0000}"/>
    <cellStyle name="Data 3 7 5 7" xfId="6157" xr:uid="{00000000-0005-0000-0000-00007D1E0000}"/>
    <cellStyle name="Data 3 7 5 7 2" xfId="6158" xr:uid="{00000000-0005-0000-0000-00007E1E0000}"/>
    <cellStyle name="Data 3 7 5 8" xfId="6159" xr:uid="{00000000-0005-0000-0000-00007F1E0000}"/>
    <cellStyle name="Data 3 7 5 8 2" xfId="6160" xr:uid="{00000000-0005-0000-0000-0000801E0000}"/>
    <cellStyle name="Data 3 7 5 9" xfId="6161" xr:uid="{00000000-0005-0000-0000-0000811E0000}"/>
    <cellStyle name="Data 3 7 5 9 2" xfId="6162" xr:uid="{00000000-0005-0000-0000-0000821E0000}"/>
    <cellStyle name="Data 3 7 6" xfId="6163" xr:uid="{00000000-0005-0000-0000-0000831E0000}"/>
    <cellStyle name="Data 3 7 6 10" xfId="6164" xr:uid="{00000000-0005-0000-0000-0000841E0000}"/>
    <cellStyle name="Data 3 7 6 2" xfId="6165" xr:uid="{00000000-0005-0000-0000-0000851E0000}"/>
    <cellStyle name="Data 3 7 6 2 2" xfId="6166" xr:uid="{00000000-0005-0000-0000-0000861E0000}"/>
    <cellStyle name="Data 3 7 6 3" xfId="6167" xr:uid="{00000000-0005-0000-0000-0000871E0000}"/>
    <cellStyle name="Data 3 7 6 3 2" xfId="6168" xr:uid="{00000000-0005-0000-0000-0000881E0000}"/>
    <cellStyle name="Data 3 7 6 4" xfId="6169" xr:uid="{00000000-0005-0000-0000-0000891E0000}"/>
    <cellStyle name="Data 3 7 6 4 2" xfId="6170" xr:uid="{00000000-0005-0000-0000-00008A1E0000}"/>
    <cellStyle name="Data 3 7 6 5" xfId="6171" xr:uid="{00000000-0005-0000-0000-00008B1E0000}"/>
    <cellStyle name="Data 3 7 6 5 2" xfId="6172" xr:uid="{00000000-0005-0000-0000-00008C1E0000}"/>
    <cellStyle name="Data 3 7 6 6" xfId="6173" xr:uid="{00000000-0005-0000-0000-00008D1E0000}"/>
    <cellStyle name="Data 3 7 6 6 2" xfId="6174" xr:uid="{00000000-0005-0000-0000-00008E1E0000}"/>
    <cellStyle name="Data 3 7 6 7" xfId="6175" xr:uid="{00000000-0005-0000-0000-00008F1E0000}"/>
    <cellStyle name="Data 3 7 6 7 2" xfId="6176" xr:uid="{00000000-0005-0000-0000-0000901E0000}"/>
    <cellStyle name="Data 3 7 6 8" xfId="6177" xr:uid="{00000000-0005-0000-0000-0000911E0000}"/>
    <cellStyle name="Data 3 7 6 8 2" xfId="6178" xr:uid="{00000000-0005-0000-0000-0000921E0000}"/>
    <cellStyle name="Data 3 7 6 9" xfId="6179" xr:uid="{00000000-0005-0000-0000-0000931E0000}"/>
    <cellStyle name="Data 3 7 6 9 2" xfId="6180" xr:uid="{00000000-0005-0000-0000-0000941E0000}"/>
    <cellStyle name="Data 3 7 7" xfId="6181" xr:uid="{00000000-0005-0000-0000-0000951E0000}"/>
    <cellStyle name="Data 3 7 7 10" xfId="6182" xr:uid="{00000000-0005-0000-0000-0000961E0000}"/>
    <cellStyle name="Data 3 7 7 2" xfId="6183" xr:uid="{00000000-0005-0000-0000-0000971E0000}"/>
    <cellStyle name="Data 3 7 7 2 2" xfId="6184" xr:uid="{00000000-0005-0000-0000-0000981E0000}"/>
    <cellStyle name="Data 3 7 7 3" xfId="6185" xr:uid="{00000000-0005-0000-0000-0000991E0000}"/>
    <cellStyle name="Data 3 7 7 3 2" xfId="6186" xr:uid="{00000000-0005-0000-0000-00009A1E0000}"/>
    <cellStyle name="Data 3 7 7 4" xfId="6187" xr:uid="{00000000-0005-0000-0000-00009B1E0000}"/>
    <cellStyle name="Data 3 7 7 4 2" xfId="6188" xr:uid="{00000000-0005-0000-0000-00009C1E0000}"/>
    <cellStyle name="Data 3 7 7 5" xfId="6189" xr:uid="{00000000-0005-0000-0000-00009D1E0000}"/>
    <cellStyle name="Data 3 7 7 5 2" xfId="6190" xr:uid="{00000000-0005-0000-0000-00009E1E0000}"/>
    <cellStyle name="Data 3 7 7 6" xfId="6191" xr:uid="{00000000-0005-0000-0000-00009F1E0000}"/>
    <cellStyle name="Data 3 7 7 6 2" xfId="6192" xr:uid="{00000000-0005-0000-0000-0000A01E0000}"/>
    <cellStyle name="Data 3 7 7 7" xfId="6193" xr:uid="{00000000-0005-0000-0000-0000A11E0000}"/>
    <cellStyle name="Data 3 7 7 7 2" xfId="6194" xr:uid="{00000000-0005-0000-0000-0000A21E0000}"/>
    <cellStyle name="Data 3 7 7 8" xfId="6195" xr:uid="{00000000-0005-0000-0000-0000A31E0000}"/>
    <cellStyle name="Data 3 7 7 8 2" xfId="6196" xr:uid="{00000000-0005-0000-0000-0000A41E0000}"/>
    <cellStyle name="Data 3 7 7 9" xfId="6197" xr:uid="{00000000-0005-0000-0000-0000A51E0000}"/>
    <cellStyle name="Data 3 7 7 9 2" xfId="6198" xr:uid="{00000000-0005-0000-0000-0000A61E0000}"/>
    <cellStyle name="Data 3 7 8" xfId="6199" xr:uid="{00000000-0005-0000-0000-0000A71E0000}"/>
    <cellStyle name="Data 3 7 8 10" xfId="6200" xr:uid="{00000000-0005-0000-0000-0000A81E0000}"/>
    <cellStyle name="Data 3 7 8 2" xfId="6201" xr:uid="{00000000-0005-0000-0000-0000A91E0000}"/>
    <cellStyle name="Data 3 7 8 2 2" xfId="6202" xr:uid="{00000000-0005-0000-0000-0000AA1E0000}"/>
    <cellStyle name="Data 3 7 8 3" xfId="6203" xr:uid="{00000000-0005-0000-0000-0000AB1E0000}"/>
    <cellStyle name="Data 3 7 8 3 2" xfId="6204" xr:uid="{00000000-0005-0000-0000-0000AC1E0000}"/>
    <cellStyle name="Data 3 7 8 4" xfId="6205" xr:uid="{00000000-0005-0000-0000-0000AD1E0000}"/>
    <cellStyle name="Data 3 7 8 4 2" xfId="6206" xr:uid="{00000000-0005-0000-0000-0000AE1E0000}"/>
    <cellStyle name="Data 3 7 8 5" xfId="6207" xr:uid="{00000000-0005-0000-0000-0000AF1E0000}"/>
    <cellStyle name="Data 3 7 8 5 2" xfId="6208" xr:uid="{00000000-0005-0000-0000-0000B01E0000}"/>
    <cellStyle name="Data 3 7 8 6" xfId="6209" xr:uid="{00000000-0005-0000-0000-0000B11E0000}"/>
    <cellStyle name="Data 3 7 8 6 2" xfId="6210" xr:uid="{00000000-0005-0000-0000-0000B21E0000}"/>
    <cellStyle name="Data 3 7 8 7" xfId="6211" xr:uid="{00000000-0005-0000-0000-0000B31E0000}"/>
    <cellStyle name="Data 3 7 8 7 2" xfId="6212" xr:uid="{00000000-0005-0000-0000-0000B41E0000}"/>
    <cellStyle name="Data 3 7 8 8" xfId="6213" xr:uid="{00000000-0005-0000-0000-0000B51E0000}"/>
    <cellStyle name="Data 3 7 8 8 2" xfId="6214" xr:uid="{00000000-0005-0000-0000-0000B61E0000}"/>
    <cellStyle name="Data 3 7 8 9" xfId="6215" xr:uid="{00000000-0005-0000-0000-0000B71E0000}"/>
    <cellStyle name="Data 3 7 8 9 2" xfId="6216" xr:uid="{00000000-0005-0000-0000-0000B81E0000}"/>
    <cellStyle name="Data 3 7 9" xfId="6217" xr:uid="{00000000-0005-0000-0000-0000B91E0000}"/>
    <cellStyle name="Data 3 7 9 10" xfId="6218" xr:uid="{00000000-0005-0000-0000-0000BA1E0000}"/>
    <cellStyle name="Data 3 7 9 2" xfId="6219" xr:uid="{00000000-0005-0000-0000-0000BB1E0000}"/>
    <cellStyle name="Data 3 7 9 2 2" xfId="6220" xr:uid="{00000000-0005-0000-0000-0000BC1E0000}"/>
    <cellStyle name="Data 3 7 9 3" xfId="6221" xr:uid="{00000000-0005-0000-0000-0000BD1E0000}"/>
    <cellStyle name="Data 3 7 9 3 2" xfId="6222" xr:uid="{00000000-0005-0000-0000-0000BE1E0000}"/>
    <cellStyle name="Data 3 7 9 4" xfId="6223" xr:uid="{00000000-0005-0000-0000-0000BF1E0000}"/>
    <cellStyle name="Data 3 7 9 4 2" xfId="6224" xr:uid="{00000000-0005-0000-0000-0000C01E0000}"/>
    <cellStyle name="Data 3 7 9 5" xfId="6225" xr:uid="{00000000-0005-0000-0000-0000C11E0000}"/>
    <cellStyle name="Data 3 7 9 5 2" xfId="6226" xr:uid="{00000000-0005-0000-0000-0000C21E0000}"/>
    <cellStyle name="Data 3 7 9 6" xfId="6227" xr:uid="{00000000-0005-0000-0000-0000C31E0000}"/>
    <cellStyle name="Data 3 7 9 6 2" xfId="6228" xr:uid="{00000000-0005-0000-0000-0000C41E0000}"/>
    <cellStyle name="Data 3 7 9 7" xfId="6229" xr:uid="{00000000-0005-0000-0000-0000C51E0000}"/>
    <cellStyle name="Data 3 7 9 7 2" xfId="6230" xr:uid="{00000000-0005-0000-0000-0000C61E0000}"/>
    <cellStyle name="Data 3 7 9 8" xfId="6231" xr:uid="{00000000-0005-0000-0000-0000C71E0000}"/>
    <cellStyle name="Data 3 7 9 8 2" xfId="6232" xr:uid="{00000000-0005-0000-0000-0000C81E0000}"/>
    <cellStyle name="Data 3 7 9 9" xfId="6233" xr:uid="{00000000-0005-0000-0000-0000C91E0000}"/>
    <cellStyle name="Data 3 7 9 9 2" xfId="6234" xr:uid="{00000000-0005-0000-0000-0000CA1E0000}"/>
    <cellStyle name="Data 3 8" xfId="6235" xr:uid="{00000000-0005-0000-0000-0000CB1E0000}"/>
    <cellStyle name="Data 3 8 10" xfId="6236" xr:uid="{00000000-0005-0000-0000-0000CC1E0000}"/>
    <cellStyle name="Data 3 8 10 2" xfId="6237" xr:uid="{00000000-0005-0000-0000-0000CD1E0000}"/>
    <cellStyle name="Data 3 8 10 2 2" xfId="6238" xr:uid="{00000000-0005-0000-0000-0000CE1E0000}"/>
    <cellStyle name="Data 3 8 10 3" xfId="6239" xr:uid="{00000000-0005-0000-0000-0000CF1E0000}"/>
    <cellStyle name="Data 3 8 10 3 2" xfId="6240" xr:uid="{00000000-0005-0000-0000-0000D01E0000}"/>
    <cellStyle name="Data 3 8 10 4" xfId="6241" xr:uid="{00000000-0005-0000-0000-0000D11E0000}"/>
    <cellStyle name="Data 3 8 10 4 2" xfId="6242" xr:uid="{00000000-0005-0000-0000-0000D21E0000}"/>
    <cellStyle name="Data 3 8 10 5" xfId="6243" xr:uid="{00000000-0005-0000-0000-0000D31E0000}"/>
    <cellStyle name="Data 3 8 10 5 2" xfId="6244" xr:uid="{00000000-0005-0000-0000-0000D41E0000}"/>
    <cellStyle name="Data 3 8 10 6" xfId="6245" xr:uid="{00000000-0005-0000-0000-0000D51E0000}"/>
    <cellStyle name="Data 3 8 10 6 2" xfId="6246" xr:uid="{00000000-0005-0000-0000-0000D61E0000}"/>
    <cellStyle name="Data 3 8 10 7" xfId="6247" xr:uid="{00000000-0005-0000-0000-0000D71E0000}"/>
    <cellStyle name="Data 3 8 10 7 2" xfId="6248" xr:uid="{00000000-0005-0000-0000-0000D81E0000}"/>
    <cellStyle name="Data 3 8 10 8" xfId="6249" xr:uid="{00000000-0005-0000-0000-0000D91E0000}"/>
    <cellStyle name="Data 3 8 10 8 2" xfId="6250" xr:uid="{00000000-0005-0000-0000-0000DA1E0000}"/>
    <cellStyle name="Data 3 8 10 9" xfId="6251" xr:uid="{00000000-0005-0000-0000-0000DB1E0000}"/>
    <cellStyle name="Data 3 8 11" xfId="6252" xr:uid="{00000000-0005-0000-0000-0000DC1E0000}"/>
    <cellStyle name="Data 3 8 11 2" xfId="6253" xr:uid="{00000000-0005-0000-0000-0000DD1E0000}"/>
    <cellStyle name="Data 3 8 12" xfId="6254" xr:uid="{00000000-0005-0000-0000-0000DE1E0000}"/>
    <cellStyle name="Data 3 8 12 2" xfId="6255" xr:uid="{00000000-0005-0000-0000-0000DF1E0000}"/>
    <cellStyle name="Data 3 8 13" xfId="6256" xr:uid="{00000000-0005-0000-0000-0000E01E0000}"/>
    <cellStyle name="Data 3 8 13 2" xfId="6257" xr:uid="{00000000-0005-0000-0000-0000E11E0000}"/>
    <cellStyle name="Data 3 8 14" xfId="6258" xr:uid="{00000000-0005-0000-0000-0000E21E0000}"/>
    <cellStyle name="Data 3 8 14 2" xfId="6259" xr:uid="{00000000-0005-0000-0000-0000E31E0000}"/>
    <cellStyle name="Data 3 8 15" xfId="6260" xr:uid="{00000000-0005-0000-0000-0000E41E0000}"/>
    <cellStyle name="Data 3 8 15 2" xfId="6261" xr:uid="{00000000-0005-0000-0000-0000E51E0000}"/>
    <cellStyle name="Data 3 8 16" xfId="6262" xr:uid="{00000000-0005-0000-0000-0000E61E0000}"/>
    <cellStyle name="Data 3 8 16 2" xfId="6263" xr:uid="{00000000-0005-0000-0000-0000E71E0000}"/>
    <cellStyle name="Data 3 8 17" xfId="6264" xr:uid="{00000000-0005-0000-0000-0000E81E0000}"/>
    <cellStyle name="Data 3 8 17 2" xfId="6265" xr:uid="{00000000-0005-0000-0000-0000E91E0000}"/>
    <cellStyle name="Data 3 8 18" xfId="6266" xr:uid="{00000000-0005-0000-0000-0000EA1E0000}"/>
    <cellStyle name="Data 3 8 2" xfId="6267" xr:uid="{00000000-0005-0000-0000-0000EB1E0000}"/>
    <cellStyle name="Data 3 8 2 10" xfId="6268" xr:uid="{00000000-0005-0000-0000-0000EC1E0000}"/>
    <cellStyle name="Data 3 8 2 2" xfId="6269" xr:uid="{00000000-0005-0000-0000-0000ED1E0000}"/>
    <cellStyle name="Data 3 8 2 2 2" xfId="6270" xr:uid="{00000000-0005-0000-0000-0000EE1E0000}"/>
    <cellStyle name="Data 3 8 2 3" xfId="6271" xr:uid="{00000000-0005-0000-0000-0000EF1E0000}"/>
    <cellStyle name="Data 3 8 2 3 2" xfId="6272" xr:uid="{00000000-0005-0000-0000-0000F01E0000}"/>
    <cellStyle name="Data 3 8 2 4" xfId="6273" xr:uid="{00000000-0005-0000-0000-0000F11E0000}"/>
    <cellStyle name="Data 3 8 2 4 2" xfId="6274" xr:uid="{00000000-0005-0000-0000-0000F21E0000}"/>
    <cellStyle name="Data 3 8 2 5" xfId="6275" xr:uid="{00000000-0005-0000-0000-0000F31E0000}"/>
    <cellStyle name="Data 3 8 2 5 2" xfId="6276" xr:uid="{00000000-0005-0000-0000-0000F41E0000}"/>
    <cellStyle name="Data 3 8 2 6" xfId="6277" xr:uid="{00000000-0005-0000-0000-0000F51E0000}"/>
    <cellStyle name="Data 3 8 2 6 2" xfId="6278" xr:uid="{00000000-0005-0000-0000-0000F61E0000}"/>
    <cellStyle name="Data 3 8 2 7" xfId="6279" xr:uid="{00000000-0005-0000-0000-0000F71E0000}"/>
    <cellStyle name="Data 3 8 2 7 2" xfId="6280" xr:uid="{00000000-0005-0000-0000-0000F81E0000}"/>
    <cellStyle name="Data 3 8 2 8" xfId="6281" xr:uid="{00000000-0005-0000-0000-0000F91E0000}"/>
    <cellStyle name="Data 3 8 2 8 2" xfId="6282" xr:uid="{00000000-0005-0000-0000-0000FA1E0000}"/>
    <cellStyle name="Data 3 8 2 9" xfId="6283" xr:uid="{00000000-0005-0000-0000-0000FB1E0000}"/>
    <cellStyle name="Data 3 8 2 9 2" xfId="6284" xr:uid="{00000000-0005-0000-0000-0000FC1E0000}"/>
    <cellStyle name="Data 3 8 3" xfId="6285" xr:uid="{00000000-0005-0000-0000-0000FD1E0000}"/>
    <cellStyle name="Data 3 8 3 10" xfId="6286" xr:uid="{00000000-0005-0000-0000-0000FE1E0000}"/>
    <cellStyle name="Data 3 8 3 2" xfId="6287" xr:uid="{00000000-0005-0000-0000-0000FF1E0000}"/>
    <cellStyle name="Data 3 8 3 2 2" xfId="6288" xr:uid="{00000000-0005-0000-0000-0000001F0000}"/>
    <cellStyle name="Data 3 8 3 3" xfId="6289" xr:uid="{00000000-0005-0000-0000-0000011F0000}"/>
    <cellStyle name="Data 3 8 3 3 2" xfId="6290" xr:uid="{00000000-0005-0000-0000-0000021F0000}"/>
    <cellStyle name="Data 3 8 3 4" xfId="6291" xr:uid="{00000000-0005-0000-0000-0000031F0000}"/>
    <cellStyle name="Data 3 8 3 4 2" xfId="6292" xr:uid="{00000000-0005-0000-0000-0000041F0000}"/>
    <cellStyle name="Data 3 8 3 5" xfId="6293" xr:uid="{00000000-0005-0000-0000-0000051F0000}"/>
    <cellStyle name="Data 3 8 3 5 2" xfId="6294" xr:uid="{00000000-0005-0000-0000-0000061F0000}"/>
    <cellStyle name="Data 3 8 3 6" xfId="6295" xr:uid="{00000000-0005-0000-0000-0000071F0000}"/>
    <cellStyle name="Data 3 8 3 6 2" xfId="6296" xr:uid="{00000000-0005-0000-0000-0000081F0000}"/>
    <cellStyle name="Data 3 8 3 7" xfId="6297" xr:uid="{00000000-0005-0000-0000-0000091F0000}"/>
    <cellStyle name="Data 3 8 3 7 2" xfId="6298" xr:uid="{00000000-0005-0000-0000-00000A1F0000}"/>
    <cellStyle name="Data 3 8 3 8" xfId="6299" xr:uid="{00000000-0005-0000-0000-00000B1F0000}"/>
    <cellStyle name="Data 3 8 3 8 2" xfId="6300" xr:uid="{00000000-0005-0000-0000-00000C1F0000}"/>
    <cellStyle name="Data 3 8 3 9" xfId="6301" xr:uid="{00000000-0005-0000-0000-00000D1F0000}"/>
    <cellStyle name="Data 3 8 3 9 2" xfId="6302" xr:uid="{00000000-0005-0000-0000-00000E1F0000}"/>
    <cellStyle name="Data 3 8 4" xfId="6303" xr:uid="{00000000-0005-0000-0000-00000F1F0000}"/>
    <cellStyle name="Data 3 8 4 10" xfId="6304" xr:uid="{00000000-0005-0000-0000-0000101F0000}"/>
    <cellStyle name="Data 3 8 4 2" xfId="6305" xr:uid="{00000000-0005-0000-0000-0000111F0000}"/>
    <cellStyle name="Data 3 8 4 2 2" xfId="6306" xr:uid="{00000000-0005-0000-0000-0000121F0000}"/>
    <cellStyle name="Data 3 8 4 3" xfId="6307" xr:uid="{00000000-0005-0000-0000-0000131F0000}"/>
    <cellStyle name="Data 3 8 4 3 2" xfId="6308" xr:uid="{00000000-0005-0000-0000-0000141F0000}"/>
    <cellStyle name="Data 3 8 4 4" xfId="6309" xr:uid="{00000000-0005-0000-0000-0000151F0000}"/>
    <cellStyle name="Data 3 8 4 4 2" xfId="6310" xr:uid="{00000000-0005-0000-0000-0000161F0000}"/>
    <cellStyle name="Data 3 8 4 5" xfId="6311" xr:uid="{00000000-0005-0000-0000-0000171F0000}"/>
    <cellStyle name="Data 3 8 4 5 2" xfId="6312" xr:uid="{00000000-0005-0000-0000-0000181F0000}"/>
    <cellStyle name="Data 3 8 4 6" xfId="6313" xr:uid="{00000000-0005-0000-0000-0000191F0000}"/>
    <cellStyle name="Data 3 8 4 6 2" xfId="6314" xr:uid="{00000000-0005-0000-0000-00001A1F0000}"/>
    <cellStyle name="Data 3 8 4 7" xfId="6315" xr:uid="{00000000-0005-0000-0000-00001B1F0000}"/>
    <cellStyle name="Data 3 8 4 7 2" xfId="6316" xr:uid="{00000000-0005-0000-0000-00001C1F0000}"/>
    <cellStyle name="Data 3 8 4 8" xfId="6317" xr:uid="{00000000-0005-0000-0000-00001D1F0000}"/>
    <cellStyle name="Data 3 8 4 8 2" xfId="6318" xr:uid="{00000000-0005-0000-0000-00001E1F0000}"/>
    <cellStyle name="Data 3 8 4 9" xfId="6319" xr:uid="{00000000-0005-0000-0000-00001F1F0000}"/>
    <cellStyle name="Data 3 8 4 9 2" xfId="6320" xr:uid="{00000000-0005-0000-0000-0000201F0000}"/>
    <cellStyle name="Data 3 8 5" xfId="6321" xr:uid="{00000000-0005-0000-0000-0000211F0000}"/>
    <cellStyle name="Data 3 8 5 10" xfId="6322" xr:uid="{00000000-0005-0000-0000-0000221F0000}"/>
    <cellStyle name="Data 3 8 5 2" xfId="6323" xr:uid="{00000000-0005-0000-0000-0000231F0000}"/>
    <cellStyle name="Data 3 8 5 2 2" xfId="6324" xr:uid="{00000000-0005-0000-0000-0000241F0000}"/>
    <cellStyle name="Data 3 8 5 3" xfId="6325" xr:uid="{00000000-0005-0000-0000-0000251F0000}"/>
    <cellStyle name="Data 3 8 5 3 2" xfId="6326" xr:uid="{00000000-0005-0000-0000-0000261F0000}"/>
    <cellStyle name="Data 3 8 5 4" xfId="6327" xr:uid="{00000000-0005-0000-0000-0000271F0000}"/>
    <cellStyle name="Data 3 8 5 4 2" xfId="6328" xr:uid="{00000000-0005-0000-0000-0000281F0000}"/>
    <cellStyle name="Data 3 8 5 5" xfId="6329" xr:uid="{00000000-0005-0000-0000-0000291F0000}"/>
    <cellStyle name="Data 3 8 5 5 2" xfId="6330" xr:uid="{00000000-0005-0000-0000-00002A1F0000}"/>
    <cellStyle name="Data 3 8 5 6" xfId="6331" xr:uid="{00000000-0005-0000-0000-00002B1F0000}"/>
    <cellStyle name="Data 3 8 5 6 2" xfId="6332" xr:uid="{00000000-0005-0000-0000-00002C1F0000}"/>
    <cellStyle name="Data 3 8 5 7" xfId="6333" xr:uid="{00000000-0005-0000-0000-00002D1F0000}"/>
    <cellStyle name="Data 3 8 5 7 2" xfId="6334" xr:uid="{00000000-0005-0000-0000-00002E1F0000}"/>
    <cellStyle name="Data 3 8 5 8" xfId="6335" xr:uid="{00000000-0005-0000-0000-00002F1F0000}"/>
    <cellStyle name="Data 3 8 5 8 2" xfId="6336" xr:uid="{00000000-0005-0000-0000-0000301F0000}"/>
    <cellStyle name="Data 3 8 5 9" xfId="6337" xr:uid="{00000000-0005-0000-0000-0000311F0000}"/>
    <cellStyle name="Data 3 8 5 9 2" xfId="6338" xr:uid="{00000000-0005-0000-0000-0000321F0000}"/>
    <cellStyle name="Data 3 8 6" xfId="6339" xr:uid="{00000000-0005-0000-0000-0000331F0000}"/>
    <cellStyle name="Data 3 8 6 10" xfId="6340" xr:uid="{00000000-0005-0000-0000-0000341F0000}"/>
    <cellStyle name="Data 3 8 6 2" xfId="6341" xr:uid="{00000000-0005-0000-0000-0000351F0000}"/>
    <cellStyle name="Data 3 8 6 2 2" xfId="6342" xr:uid="{00000000-0005-0000-0000-0000361F0000}"/>
    <cellStyle name="Data 3 8 6 3" xfId="6343" xr:uid="{00000000-0005-0000-0000-0000371F0000}"/>
    <cellStyle name="Data 3 8 6 3 2" xfId="6344" xr:uid="{00000000-0005-0000-0000-0000381F0000}"/>
    <cellStyle name="Data 3 8 6 4" xfId="6345" xr:uid="{00000000-0005-0000-0000-0000391F0000}"/>
    <cellStyle name="Data 3 8 6 4 2" xfId="6346" xr:uid="{00000000-0005-0000-0000-00003A1F0000}"/>
    <cellStyle name="Data 3 8 6 5" xfId="6347" xr:uid="{00000000-0005-0000-0000-00003B1F0000}"/>
    <cellStyle name="Data 3 8 6 5 2" xfId="6348" xr:uid="{00000000-0005-0000-0000-00003C1F0000}"/>
    <cellStyle name="Data 3 8 6 6" xfId="6349" xr:uid="{00000000-0005-0000-0000-00003D1F0000}"/>
    <cellStyle name="Data 3 8 6 6 2" xfId="6350" xr:uid="{00000000-0005-0000-0000-00003E1F0000}"/>
    <cellStyle name="Data 3 8 6 7" xfId="6351" xr:uid="{00000000-0005-0000-0000-00003F1F0000}"/>
    <cellStyle name="Data 3 8 6 7 2" xfId="6352" xr:uid="{00000000-0005-0000-0000-0000401F0000}"/>
    <cellStyle name="Data 3 8 6 8" xfId="6353" xr:uid="{00000000-0005-0000-0000-0000411F0000}"/>
    <cellStyle name="Data 3 8 6 8 2" xfId="6354" xr:uid="{00000000-0005-0000-0000-0000421F0000}"/>
    <cellStyle name="Data 3 8 6 9" xfId="6355" xr:uid="{00000000-0005-0000-0000-0000431F0000}"/>
    <cellStyle name="Data 3 8 6 9 2" xfId="6356" xr:uid="{00000000-0005-0000-0000-0000441F0000}"/>
    <cellStyle name="Data 3 8 7" xfId="6357" xr:uid="{00000000-0005-0000-0000-0000451F0000}"/>
    <cellStyle name="Data 3 8 7 10" xfId="6358" xr:uid="{00000000-0005-0000-0000-0000461F0000}"/>
    <cellStyle name="Data 3 8 7 2" xfId="6359" xr:uid="{00000000-0005-0000-0000-0000471F0000}"/>
    <cellStyle name="Data 3 8 7 2 2" xfId="6360" xr:uid="{00000000-0005-0000-0000-0000481F0000}"/>
    <cellStyle name="Data 3 8 7 3" xfId="6361" xr:uid="{00000000-0005-0000-0000-0000491F0000}"/>
    <cellStyle name="Data 3 8 7 3 2" xfId="6362" xr:uid="{00000000-0005-0000-0000-00004A1F0000}"/>
    <cellStyle name="Data 3 8 7 4" xfId="6363" xr:uid="{00000000-0005-0000-0000-00004B1F0000}"/>
    <cellStyle name="Data 3 8 7 4 2" xfId="6364" xr:uid="{00000000-0005-0000-0000-00004C1F0000}"/>
    <cellStyle name="Data 3 8 7 5" xfId="6365" xr:uid="{00000000-0005-0000-0000-00004D1F0000}"/>
    <cellStyle name="Data 3 8 7 5 2" xfId="6366" xr:uid="{00000000-0005-0000-0000-00004E1F0000}"/>
    <cellStyle name="Data 3 8 7 6" xfId="6367" xr:uid="{00000000-0005-0000-0000-00004F1F0000}"/>
    <cellStyle name="Data 3 8 7 6 2" xfId="6368" xr:uid="{00000000-0005-0000-0000-0000501F0000}"/>
    <cellStyle name="Data 3 8 7 7" xfId="6369" xr:uid="{00000000-0005-0000-0000-0000511F0000}"/>
    <cellStyle name="Data 3 8 7 7 2" xfId="6370" xr:uid="{00000000-0005-0000-0000-0000521F0000}"/>
    <cellStyle name="Data 3 8 7 8" xfId="6371" xr:uid="{00000000-0005-0000-0000-0000531F0000}"/>
    <cellStyle name="Data 3 8 7 8 2" xfId="6372" xr:uid="{00000000-0005-0000-0000-0000541F0000}"/>
    <cellStyle name="Data 3 8 7 9" xfId="6373" xr:uid="{00000000-0005-0000-0000-0000551F0000}"/>
    <cellStyle name="Data 3 8 7 9 2" xfId="6374" xr:uid="{00000000-0005-0000-0000-0000561F0000}"/>
    <cellStyle name="Data 3 8 8" xfId="6375" xr:uid="{00000000-0005-0000-0000-0000571F0000}"/>
    <cellStyle name="Data 3 8 8 10" xfId="6376" xr:uid="{00000000-0005-0000-0000-0000581F0000}"/>
    <cellStyle name="Data 3 8 8 2" xfId="6377" xr:uid="{00000000-0005-0000-0000-0000591F0000}"/>
    <cellStyle name="Data 3 8 8 2 2" xfId="6378" xr:uid="{00000000-0005-0000-0000-00005A1F0000}"/>
    <cellStyle name="Data 3 8 8 3" xfId="6379" xr:uid="{00000000-0005-0000-0000-00005B1F0000}"/>
    <cellStyle name="Data 3 8 8 3 2" xfId="6380" xr:uid="{00000000-0005-0000-0000-00005C1F0000}"/>
    <cellStyle name="Data 3 8 8 4" xfId="6381" xr:uid="{00000000-0005-0000-0000-00005D1F0000}"/>
    <cellStyle name="Data 3 8 8 4 2" xfId="6382" xr:uid="{00000000-0005-0000-0000-00005E1F0000}"/>
    <cellStyle name="Data 3 8 8 5" xfId="6383" xr:uid="{00000000-0005-0000-0000-00005F1F0000}"/>
    <cellStyle name="Data 3 8 8 5 2" xfId="6384" xr:uid="{00000000-0005-0000-0000-0000601F0000}"/>
    <cellStyle name="Data 3 8 8 6" xfId="6385" xr:uid="{00000000-0005-0000-0000-0000611F0000}"/>
    <cellStyle name="Data 3 8 8 6 2" xfId="6386" xr:uid="{00000000-0005-0000-0000-0000621F0000}"/>
    <cellStyle name="Data 3 8 8 7" xfId="6387" xr:uid="{00000000-0005-0000-0000-0000631F0000}"/>
    <cellStyle name="Data 3 8 8 7 2" xfId="6388" xr:uid="{00000000-0005-0000-0000-0000641F0000}"/>
    <cellStyle name="Data 3 8 8 8" xfId="6389" xr:uid="{00000000-0005-0000-0000-0000651F0000}"/>
    <cellStyle name="Data 3 8 8 8 2" xfId="6390" xr:uid="{00000000-0005-0000-0000-0000661F0000}"/>
    <cellStyle name="Data 3 8 8 9" xfId="6391" xr:uid="{00000000-0005-0000-0000-0000671F0000}"/>
    <cellStyle name="Data 3 8 8 9 2" xfId="6392" xr:uid="{00000000-0005-0000-0000-0000681F0000}"/>
    <cellStyle name="Data 3 8 9" xfId="6393" xr:uid="{00000000-0005-0000-0000-0000691F0000}"/>
    <cellStyle name="Data 3 8 9 10" xfId="6394" xr:uid="{00000000-0005-0000-0000-00006A1F0000}"/>
    <cellStyle name="Data 3 8 9 2" xfId="6395" xr:uid="{00000000-0005-0000-0000-00006B1F0000}"/>
    <cellStyle name="Data 3 8 9 2 2" xfId="6396" xr:uid="{00000000-0005-0000-0000-00006C1F0000}"/>
    <cellStyle name="Data 3 8 9 3" xfId="6397" xr:uid="{00000000-0005-0000-0000-00006D1F0000}"/>
    <cellStyle name="Data 3 8 9 3 2" xfId="6398" xr:uid="{00000000-0005-0000-0000-00006E1F0000}"/>
    <cellStyle name="Data 3 8 9 4" xfId="6399" xr:uid="{00000000-0005-0000-0000-00006F1F0000}"/>
    <cellStyle name="Data 3 8 9 4 2" xfId="6400" xr:uid="{00000000-0005-0000-0000-0000701F0000}"/>
    <cellStyle name="Data 3 8 9 5" xfId="6401" xr:uid="{00000000-0005-0000-0000-0000711F0000}"/>
    <cellStyle name="Data 3 8 9 5 2" xfId="6402" xr:uid="{00000000-0005-0000-0000-0000721F0000}"/>
    <cellStyle name="Data 3 8 9 6" xfId="6403" xr:uid="{00000000-0005-0000-0000-0000731F0000}"/>
    <cellStyle name="Data 3 8 9 6 2" xfId="6404" xr:uid="{00000000-0005-0000-0000-0000741F0000}"/>
    <cellStyle name="Data 3 8 9 7" xfId="6405" xr:uid="{00000000-0005-0000-0000-0000751F0000}"/>
    <cellStyle name="Data 3 8 9 7 2" xfId="6406" xr:uid="{00000000-0005-0000-0000-0000761F0000}"/>
    <cellStyle name="Data 3 8 9 8" xfId="6407" xr:uid="{00000000-0005-0000-0000-0000771F0000}"/>
    <cellStyle name="Data 3 8 9 8 2" xfId="6408" xr:uid="{00000000-0005-0000-0000-0000781F0000}"/>
    <cellStyle name="Data 3 8 9 9" xfId="6409" xr:uid="{00000000-0005-0000-0000-0000791F0000}"/>
    <cellStyle name="Data 3 8 9 9 2" xfId="6410" xr:uid="{00000000-0005-0000-0000-00007A1F0000}"/>
    <cellStyle name="Data 4" xfId="158" xr:uid="{00000000-0005-0000-0000-00007B1F0000}"/>
    <cellStyle name="Data 4 2" xfId="6411" xr:uid="{00000000-0005-0000-0000-00007C1F0000}"/>
    <cellStyle name="Data 4 2 10" xfId="6412" xr:uid="{00000000-0005-0000-0000-00007D1F0000}"/>
    <cellStyle name="Data 4 2 10 10" xfId="6413" xr:uid="{00000000-0005-0000-0000-00007E1F0000}"/>
    <cellStyle name="Data 4 2 10 2" xfId="6414" xr:uid="{00000000-0005-0000-0000-00007F1F0000}"/>
    <cellStyle name="Data 4 2 10 2 2" xfId="6415" xr:uid="{00000000-0005-0000-0000-0000801F0000}"/>
    <cellStyle name="Data 4 2 10 3" xfId="6416" xr:uid="{00000000-0005-0000-0000-0000811F0000}"/>
    <cellStyle name="Data 4 2 10 3 2" xfId="6417" xr:uid="{00000000-0005-0000-0000-0000821F0000}"/>
    <cellStyle name="Data 4 2 10 4" xfId="6418" xr:uid="{00000000-0005-0000-0000-0000831F0000}"/>
    <cellStyle name="Data 4 2 10 4 2" xfId="6419" xr:uid="{00000000-0005-0000-0000-0000841F0000}"/>
    <cellStyle name="Data 4 2 10 5" xfId="6420" xr:uid="{00000000-0005-0000-0000-0000851F0000}"/>
    <cellStyle name="Data 4 2 10 5 2" xfId="6421" xr:uid="{00000000-0005-0000-0000-0000861F0000}"/>
    <cellStyle name="Data 4 2 10 6" xfId="6422" xr:uid="{00000000-0005-0000-0000-0000871F0000}"/>
    <cellStyle name="Data 4 2 10 6 2" xfId="6423" xr:uid="{00000000-0005-0000-0000-0000881F0000}"/>
    <cellStyle name="Data 4 2 10 7" xfId="6424" xr:uid="{00000000-0005-0000-0000-0000891F0000}"/>
    <cellStyle name="Data 4 2 10 7 2" xfId="6425" xr:uid="{00000000-0005-0000-0000-00008A1F0000}"/>
    <cellStyle name="Data 4 2 10 8" xfId="6426" xr:uid="{00000000-0005-0000-0000-00008B1F0000}"/>
    <cellStyle name="Data 4 2 10 8 2" xfId="6427" xr:uid="{00000000-0005-0000-0000-00008C1F0000}"/>
    <cellStyle name="Data 4 2 10 9" xfId="6428" xr:uid="{00000000-0005-0000-0000-00008D1F0000}"/>
    <cellStyle name="Data 4 2 10 9 2" xfId="6429" xr:uid="{00000000-0005-0000-0000-00008E1F0000}"/>
    <cellStyle name="Data 4 2 11" xfId="6430" xr:uid="{00000000-0005-0000-0000-00008F1F0000}"/>
    <cellStyle name="Data 4 2 11 2" xfId="6431" xr:uid="{00000000-0005-0000-0000-0000901F0000}"/>
    <cellStyle name="Data 4 2 11 2 2" xfId="6432" xr:uid="{00000000-0005-0000-0000-0000911F0000}"/>
    <cellStyle name="Data 4 2 11 3" xfId="6433" xr:uid="{00000000-0005-0000-0000-0000921F0000}"/>
    <cellStyle name="Data 4 2 11 3 2" xfId="6434" xr:uid="{00000000-0005-0000-0000-0000931F0000}"/>
    <cellStyle name="Data 4 2 11 4" xfId="6435" xr:uid="{00000000-0005-0000-0000-0000941F0000}"/>
    <cellStyle name="Data 4 2 11 4 2" xfId="6436" xr:uid="{00000000-0005-0000-0000-0000951F0000}"/>
    <cellStyle name="Data 4 2 11 5" xfId="6437" xr:uid="{00000000-0005-0000-0000-0000961F0000}"/>
    <cellStyle name="Data 4 2 11 5 2" xfId="6438" xr:uid="{00000000-0005-0000-0000-0000971F0000}"/>
    <cellStyle name="Data 4 2 11 6" xfId="6439" xr:uid="{00000000-0005-0000-0000-0000981F0000}"/>
    <cellStyle name="Data 4 2 11 6 2" xfId="6440" xr:uid="{00000000-0005-0000-0000-0000991F0000}"/>
    <cellStyle name="Data 4 2 11 7" xfId="6441" xr:uid="{00000000-0005-0000-0000-00009A1F0000}"/>
    <cellStyle name="Data 4 2 11 7 2" xfId="6442" xr:uid="{00000000-0005-0000-0000-00009B1F0000}"/>
    <cellStyle name="Data 4 2 11 8" xfId="6443" xr:uid="{00000000-0005-0000-0000-00009C1F0000}"/>
    <cellStyle name="Data 4 2 11 8 2" xfId="6444" xr:uid="{00000000-0005-0000-0000-00009D1F0000}"/>
    <cellStyle name="Data 4 2 11 9" xfId="6445" xr:uid="{00000000-0005-0000-0000-00009E1F0000}"/>
    <cellStyle name="Data 4 2 2" xfId="6446" xr:uid="{00000000-0005-0000-0000-00009F1F0000}"/>
    <cellStyle name="Data 4 2 2 10" xfId="6447" xr:uid="{00000000-0005-0000-0000-0000A01F0000}"/>
    <cellStyle name="Data 4 2 2 2" xfId="6448" xr:uid="{00000000-0005-0000-0000-0000A11F0000}"/>
    <cellStyle name="Data 4 2 2 2 2" xfId="6449" xr:uid="{00000000-0005-0000-0000-0000A21F0000}"/>
    <cellStyle name="Data 4 2 2 3" xfId="6450" xr:uid="{00000000-0005-0000-0000-0000A31F0000}"/>
    <cellStyle name="Data 4 2 2 3 2" xfId="6451" xr:uid="{00000000-0005-0000-0000-0000A41F0000}"/>
    <cellStyle name="Data 4 2 2 4" xfId="6452" xr:uid="{00000000-0005-0000-0000-0000A51F0000}"/>
    <cellStyle name="Data 4 2 2 4 2" xfId="6453" xr:uid="{00000000-0005-0000-0000-0000A61F0000}"/>
    <cellStyle name="Data 4 2 2 5" xfId="6454" xr:uid="{00000000-0005-0000-0000-0000A71F0000}"/>
    <cellStyle name="Data 4 2 2 5 2" xfId="6455" xr:uid="{00000000-0005-0000-0000-0000A81F0000}"/>
    <cellStyle name="Data 4 2 2 6" xfId="6456" xr:uid="{00000000-0005-0000-0000-0000A91F0000}"/>
    <cellStyle name="Data 4 2 2 6 2" xfId="6457" xr:uid="{00000000-0005-0000-0000-0000AA1F0000}"/>
    <cellStyle name="Data 4 2 2 7" xfId="6458" xr:uid="{00000000-0005-0000-0000-0000AB1F0000}"/>
    <cellStyle name="Data 4 2 2 7 2" xfId="6459" xr:uid="{00000000-0005-0000-0000-0000AC1F0000}"/>
    <cellStyle name="Data 4 2 2 8" xfId="6460" xr:uid="{00000000-0005-0000-0000-0000AD1F0000}"/>
    <cellStyle name="Data 4 2 2 8 2" xfId="6461" xr:uid="{00000000-0005-0000-0000-0000AE1F0000}"/>
    <cellStyle name="Data 4 2 2 9" xfId="6462" xr:uid="{00000000-0005-0000-0000-0000AF1F0000}"/>
    <cellStyle name="Data 4 2 2 9 2" xfId="6463" xr:uid="{00000000-0005-0000-0000-0000B01F0000}"/>
    <cellStyle name="Data 4 2 3" xfId="6464" xr:uid="{00000000-0005-0000-0000-0000B11F0000}"/>
    <cellStyle name="Data 4 2 3 10" xfId="6465" xr:uid="{00000000-0005-0000-0000-0000B21F0000}"/>
    <cellStyle name="Data 4 2 3 2" xfId="6466" xr:uid="{00000000-0005-0000-0000-0000B31F0000}"/>
    <cellStyle name="Data 4 2 3 2 2" xfId="6467" xr:uid="{00000000-0005-0000-0000-0000B41F0000}"/>
    <cellStyle name="Data 4 2 3 3" xfId="6468" xr:uid="{00000000-0005-0000-0000-0000B51F0000}"/>
    <cellStyle name="Data 4 2 3 3 2" xfId="6469" xr:uid="{00000000-0005-0000-0000-0000B61F0000}"/>
    <cellStyle name="Data 4 2 3 4" xfId="6470" xr:uid="{00000000-0005-0000-0000-0000B71F0000}"/>
    <cellStyle name="Data 4 2 3 4 2" xfId="6471" xr:uid="{00000000-0005-0000-0000-0000B81F0000}"/>
    <cellStyle name="Data 4 2 3 5" xfId="6472" xr:uid="{00000000-0005-0000-0000-0000B91F0000}"/>
    <cellStyle name="Data 4 2 3 5 2" xfId="6473" xr:uid="{00000000-0005-0000-0000-0000BA1F0000}"/>
    <cellStyle name="Data 4 2 3 6" xfId="6474" xr:uid="{00000000-0005-0000-0000-0000BB1F0000}"/>
    <cellStyle name="Data 4 2 3 6 2" xfId="6475" xr:uid="{00000000-0005-0000-0000-0000BC1F0000}"/>
    <cellStyle name="Data 4 2 3 7" xfId="6476" xr:uid="{00000000-0005-0000-0000-0000BD1F0000}"/>
    <cellStyle name="Data 4 2 3 7 2" xfId="6477" xr:uid="{00000000-0005-0000-0000-0000BE1F0000}"/>
    <cellStyle name="Data 4 2 3 8" xfId="6478" xr:uid="{00000000-0005-0000-0000-0000BF1F0000}"/>
    <cellStyle name="Data 4 2 3 8 2" xfId="6479" xr:uid="{00000000-0005-0000-0000-0000C01F0000}"/>
    <cellStyle name="Data 4 2 3 9" xfId="6480" xr:uid="{00000000-0005-0000-0000-0000C11F0000}"/>
    <cellStyle name="Data 4 2 3 9 2" xfId="6481" xr:uid="{00000000-0005-0000-0000-0000C21F0000}"/>
    <cellStyle name="Data 4 2 4" xfId="6482" xr:uid="{00000000-0005-0000-0000-0000C31F0000}"/>
    <cellStyle name="Data 4 2 4 10" xfId="6483" xr:uid="{00000000-0005-0000-0000-0000C41F0000}"/>
    <cellStyle name="Data 4 2 4 2" xfId="6484" xr:uid="{00000000-0005-0000-0000-0000C51F0000}"/>
    <cellStyle name="Data 4 2 4 2 2" xfId="6485" xr:uid="{00000000-0005-0000-0000-0000C61F0000}"/>
    <cellStyle name="Data 4 2 4 3" xfId="6486" xr:uid="{00000000-0005-0000-0000-0000C71F0000}"/>
    <cellStyle name="Data 4 2 4 3 2" xfId="6487" xr:uid="{00000000-0005-0000-0000-0000C81F0000}"/>
    <cellStyle name="Data 4 2 4 4" xfId="6488" xr:uid="{00000000-0005-0000-0000-0000C91F0000}"/>
    <cellStyle name="Data 4 2 4 4 2" xfId="6489" xr:uid="{00000000-0005-0000-0000-0000CA1F0000}"/>
    <cellStyle name="Data 4 2 4 5" xfId="6490" xr:uid="{00000000-0005-0000-0000-0000CB1F0000}"/>
    <cellStyle name="Data 4 2 4 5 2" xfId="6491" xr:uid="{00000000-0005-0000-0000-0000CC1F0000}"/>
    <cellStyle name="Data 4 2 4 6" xfId="6492" xr:uid="{00000000-0005-0000-0000-0000CD1F0000}"/>
    <cellStyle name="Data 4 2 4 6 2" xfId="6493" xr:uid="{00000000-0005-0000-0000-0000CE1F0000}"/>
    <cellStyle name="Data 4 2 4 7" xfId="6494" xr:uid="{00000000-0005-0000-0000-0000CF1F0000}"/>
    <cellStyle name="Data 4 2 4 7 2" xfId="6495" xr:uid="{00000000-0005-0000-0000-0000D01F0000}"/>
    <cellStyle name="Data 4 2 4 8" xfId="6496" xr:uid="{00000000-0005-0000-0000-0000D11F0000}"/>
    <cellStyle name="Data 4 2 4 8 2" xfId="6497" xr:uid="{00000000-0005-0000-0000-0000D21F0000}"/>
    <cellStyle name="Data 4 2 4 9" xfId="6498" xr:uid="{00000000-0005-0000-0000-0000D31F0000}"/>
    <cellStyle name="Data 4 2 4 9 2" xfId="6499" xr:uid="{00000000-0005-0000-0000-0000D41F0000}"/>
    <cellStyle name="Data 4 2 5" xfId="6500" xr:uid="{00000000-0005-0000-0000-0000D51F0000}"/>
    <cellStyle name="Data 4 2 5 10" xfId="6501" xr:uid="{00000000-0005-0000-0000-0000D61F0000}"/>
    <cellStyle name="Data 4 2 5 2" xfId="6502" xr:uid="{00000000-0005-0000-0000-0000D71F0000}"/>
    <cellStyle name="Data 4 2 5 2 2" xfId="6503" xr:uid="{00000000-0005-0000-0000-0000D81F0000}"/>
    <cellStyle name="Data 4 2 5 3" xfId="6504" xr:uid="{00000000-0005-0000-0000-0000D91F0000}"/>
    <cellStyle name="Data 4 2 5 3 2" xfId="6505" xr:uid="{00000000-0005-0000-0000-0000DA1F0000}"/>
    <cellStyle name="Data 4 2 5 4" xfId="6506" xr:uid="{00000000-0005-0000-0000-0000DB1F0000}"/>
    <cellStyle name="Data 4 2 5 4 2" xfId="6507" xr:uid="{00000000-0005-0000-0000-0000DC1F0000}"/>
    <cellStyle name="Data 4 2 5 5" xfId="6508" xr:uid="{00000000-0005-0000-0000-0000DD1F0000}"/>
    <cellStyle name="Data 4 2 5 5 2" xfId="6509" xr:uid="{00000000-0005-0000-0000-0000DE1F0000}"/>
    <cellStyle name="Data 4 2 5 6" xfId="6510" xr:uid="{00000000-0005-0000-0000-0000DF1F0000}"/>
    <cellStyle name="Data 4 2 5 6 2" xfId="6511" xr:uid="{00000000-0005-0000-0000-0000E01F0000}"/>
    <cellStyle name="Data 4 2 5 7" xfId="6512" xr:uid="{00000000-0005-0000-0000-0000E11F0000}"/>
    <cellStyle name="Data 4 2 5 7 2" xfId="6513" xr:uid="{00000000-0005-0000-0000-0000E21F0000}"/>
    <cellStyle name="Data 4 2 5 8" xfId="6514" xr:uid="{00000000-0005-0000-0000-0000E31F0000}"/>
    <cellStyle name="Data 4 2 5 8 2" xfId="6515" xr:uid="{00000000-0005-0000-0000-0000E41F0000}"/>
    <cellStyle name="Data 4 2 5 9" xfId="6516" xr:uid="{00000000-0005-0000-0000-0000E51F0000}"/>
    <cellStyle name="Data 4 2 5 9 2" xfId="6517" xr:uid="{00000000-0005-0000-0000-0000E61F0000}"/>
    <cellStyle name="Data 4 2 6" xfId="6518" xr:uid="{00000000-0005-0000-0000-0000E71F0000}"/>
    <cellStyle name="Data 4 2 6 10" xfId="6519" xr:uid="{00000000-0005-0000-0000-0000E81F0000}"/>
    <cellStyle name="Data 4 2 6 2" xfId="6520" xr:uid="{00000000-0005-0000-0000-0000E91F0000}"/>
    <cellStyle name="Data 4 2 6 2 2" xfId="6521" xr:uid="{00000000-0005-0000-0000-0000EA1F0000}"/>
    <cellStyle name="Data 4 2 6 3" xfId="6522" xr:uid="{00000000-0005-0000-0000-0000EB1F0000}"/>
    <cellStyle name="Data 4 2 6 3 2" xfId="6523" xr:uid="{00000000-0005-0000-0000-0000EC1F0000}"/>
    <cellStyle name="Data 4 2 6 4" xfId="6524" xr:uid="{00000000-0005-0000-0000-0000ED1F0000}"/>
    <cellStyle name="Data 4 2 6 4 2" xfId="6525" xr:uid="{00000000-0005-0000-0000-0000EE1F0000}"/>
    <cellStyle name="Data 4 2 6 5" xfId="6526" xr:uid="{00000000-0005-0000-0000-0000EF1F0000}"/>
    <cellStyle name="Data 4 2 6 5 2" xfId="6527" xr:uid="{00000000-0005-0000-0000-0000F01F0000}"/>
    <cellStyle name="Data 4 2 6 6" xfId="6528" xr:uid="{00000000-0005-0000-0000-0000F11F0000}"/>
    <cellStyle name="Data 4 2 6 6 2" xfId="6529" xr:uid="{00000000-0005-0000-0000-0000F21F0000}"/>
    <cellStyle name="Data 4 2 6 7" xfId="6530" xr:uid="{00000000-0005-0000-0000-0000F31F0000}"/>
    <cellStyle name="Data 4 2 6 7 2" xfId="6531" xr:uid="{00000000-0005-0000-0000-0000F41F0000}"/>
    <cellStyle name="Data 4 2 6 8" xfId="6532" xr:uid="{00000000-0005-0000-0000-0000F51F0000}"/>
    <cellStyle name="Data 4 2 6 8 2" xfId="6533" xr:uid="{00000000-0005-0000-0000-0000F61F0000}"/>
    <cellStyle name="Data 4 2 6 9" xfId="6534" xr:uid="{00000000-0005-0000-0000-0000F71F0000}"/>
    <cellStyle name="Data 4 2 6 9 2" xfId="6535" xr:uid="{00000000-0005-0000-0000-0000F81F0000}"/>
    <cellStyle name="Data 4 2 7" xfId="6536" xr:uid="{00000000-0005-0000-0000-0000F91F0000}"/>
    <cellStyle name="Data 4 2 7 10" xfId="6537" xr:uid="{00000000-0005-0000-0000-0000FA1F0000}"/>
    <cellStyle name="Data 4 2 7 2" xfId="6538" xr:uid="{00000000-0005-0000-0000-0000FB1F0000}"/>
    <cellStyle name="Data 4 2 7 2 2" xfId="6539" xr:uid="{00000000-0005-0000-0000-0000FC1F0000}"/>
    <cellStyle name="Data 4 2 7 3" xfId="6540" xr:uid="{00000000-0005-0000-0000-0000FD1F0000}"/>
    <cellStyle name="Data 4 2 7 3 2" xfId="6541" xr:uid="{00000000-0005-0000-0000-0000FE1F0000}"/>
    <cellStyle name="Data 4 2 7 4" xfId="6542" xr:uid="{00000000-0005-0000-0000-0000FF1F0000}"/>
    <cellStyle name="Data 4 2 7 4 2" xfId="6543" xr:uid="{00000000-0005-0000-0000-000000200000}"/>
    <cellStyle name="Data 4 2 7 5" xfId="6544" xr:uid="{00000000-0005-0000-0000-000001200000}"/>
    <cellStyle name="Data 4 2 7 5 2" xfId="6545" xr:uid="{00000000-0005-0000-0000-000002200000}"/>
    <cellStyle name="Data 4 2 7 6" xfId="6546" xr:uid="{00000000-0005-0000-0000-000003200000}"/>
    <cellStyle name="Data 4 2 7 6 2" xfId="6547" xr:uid="{00000000-0005-0000-0000-000004200000}"/>
    <cellStyle name="Data 4 2 7 7" xfId="6548" xr:uid="{00000000-0005-0000-0000-000005200000}"/>
    <cellStyle name="Data 4 2 7 7 2" xfId="6549" xr:uid="{00000000-0005-0000-0000-000006200000}"/>
    <cellStyle name="Data 4 2 7 8" xfId="6550" xr:uid="{00000000-0005-0000-0000-000007200000}"/>
    <cellStyle name="Data 4 2 7 8 2" xfId="6551" xr:uid="{00000000-0005-0000-0000-000008200000}"/>
    <cellStyle name="Data 4 2 7 9" xfId="6552" xr:uid="{00000000-0005-0000-0000-000009200000}"/>
    <cellStyle name="Data 4 2 7 9 2" xfId="6553" xr:uid="{00000000-0005-0000-0000-00000A200000}"/>
    <cellStyle name="Data 4 2 8" xfId="6554" xr:uid="{00000000-0005-0000-0000-00000B200000}"/>
    <cellStyle name="Data 4 2 8 10" xfId="6555" xr:uid="{00000000-0005-0000-0000-00000C200000}"/>
    <cellStyle name="Data 4 2 8 2" xfId="6556" xr:uid="{00000000-0005-0000-0000-00000D200000}"/>
    <cellStyle name="Data 4 2 8 2 2" xfId="6557" xr:uid="{00000000-0005-0000-0000-00000E200000}"/>
    <cellStyle name="Data 4 2 8 3" xfId="6558" xr:uid="{00000000-0005-0000-0000-00000F200000}"/>
    <cellStyle name="Data 4 2 8 3 2" xfId="6559" xr:uid="{00000000-0005-0000-0000-000010200000}"/>
    <cellStyle name="Data 4 2 8 4" xfId="6560" xr:uid="{00000000-0005-0000-0000-000011200000}"/>
    <cellStyle name="Data 4 2 8 4 2" xfId="6561" xr:uid="{00000000-0005-0000-0000-000012200000}"/>
    <cellStyle name="Data 4 2 8 5" xfId="6562" xr:uid="{00000000-0005-0000-0000-000013200000}"/>
    <cellStyle name="Data 4 2 8 5 2" xfId="6563" xr:uid="{00000000-0005-0000-0000-000014200000}"/>
    <cellStyle name="Data 4 2 8 6" xfId="6564" xr:uid="{00000000-0005-0000-0000-000015200000}"/>
    <cellStyle name="Data 4 2 8 6 2" xfId="6565" xr:uid="{00000000-0005-0000-0000-000016200000}"/>
    <cellStyle name="Data 4 2 8 7" xfId="6566" xr:uid="{00000000-0005-0000-0000-000017200000}"/>
    <cellStyle name="Data 4 2 8 7 2" xfId="6567" xr:uid="{00000000-0005-0000-0000-000018200000}"/>
    <cellStyle name="Data 4 2 8 8" xfId="6568" xr:uid="{00000000-0005-0000-0000-000019200000}"/>
    <cellStyle name="Data 4 2 8 8 2" xfId="6569" xr:uid="{00000000-0005-0000-0000-00001A200000}"/>
    <cellStyle name="Data 4 2 8 9" xfId="6570" xr:uid="{00000000-0005-0000-0000-00001B200000}"/>
    <cellStyle name="Data 4 2 8 9 2" xfId="6571" xr:uid="{00000000-0005-0000-0000-00001C200000}"/>
    <cellStyle name="Data 4 2 9" xfId="6572" xr:uid="{00000000-0005-0000-0000-00001D200000}"/>
    <cellStyle name="Data 4 2 9 10" xfId="6573" xr:uid="{00000000-0005-0000-0000-00001E200000}"/>
    <cellStyle name="Data 4 2 9 2" xfId="6574" xr:uid="{00000000-0005-0000-0000-00001F200000}"/>
    <cellStyle name="Data 4 2 9 2 2" xfId="6575" xr:uid="{00000000-0005-0000-0000-000020200000}"/>
    <cellStyle name="Data 4 2 9 3" xfId="6576" xr:uid="{00000000-0005-0000-0000-000021200000}"/>
    <cellStyle name="Data 4 2 9 3 2" xfId="6577" xr:uid="{00000000-0005-0000-0000-000022200000}"/>
    <cellStyle name="Data 4 2 9 4" xfId="6578" xr:uid="{00000000-0005-0000-0000-000023200000}"/>
    <cellStyle name="Data 4 2 9 4 2" xfId="6579" xr:uid="{00000000-0005-0000-0000-000024200000}"/>
    <cellStyle name="Data 4 2 9 5" xfId="6580" xr:uid="{00000000-0005-0000-0000-000025200000}"/>
    <cellStyle name="Data 4 2 9 5 2" xfId="6581" xr:uid="{00000000-0005-0000-0000-000026200000}"/>
    <cellStyle name="Data 4 2 9 6" xfId="6582" xr:uid="{00000000-0005-0000-0000-000027200000}"/>
    <cellStyle name="Data 4 2 9 6 2" xfId="6583" xr:uid="{00000000-0005-0000-0000-000028200000}"/>
    <cellStyle name="Data 4 2 9 7" xfId="6584" xr:uid="{00000000-0005-0000-0000-000029200000}"/>
    <cellStyle name="Data 4 2 9 7 2" xfId="6585" xr:uid="{00000000-0005-0000-0000-00002A200000}"/>
    <cellStyle name="Data 4 2 9 8" xfId="6586" xr:uid="{00000000-0005-0000-0000-00002B200000}"/>
    <cellStyle name="Data 4 2 9 8 2" xfId="6587" xr:uid="{00000000-0005-0000-0000-00002C200000}"/>
    <cellStyle name="Data 4 2 9 9" xfId="6588" xr:uid="{00000000-0005-0000-0000-00002D200000}"/>
    <cellStyle name="Data 4 2 9 9 2" xfId="6589" xr:uid="{00000000-0005-0000-0000-00002E200000}"/>
    <cellStyle name="Data 4 3" xfId="6590" xr:uid="{00000000-0005-0000-0000-00002F200000}"/>
    <cellStyle name="Data 4 3 10" xfId="6591" xr:uid="{00000000-0005-0000-0000-000030200000}"/>
    <cellStyle name="Data 4 3 10 10" xfId="6592" xr:uid="{00000000-0005-0000-0000-000031200000}"/>
    <cellStyle name="Data 4 3 10 2" xfId="6593" xr:uid="{00000000-0005-0000-0000-000032200000}"/>
    <cellStyle name="Data 4 3 10 2 2" xfId="6594" xr:uid="{00000000-0005-0000-0000-000033200000}"/>
    <cellStyle name="Data 4 3 10 3" xfId="6595" xr:uid="{00000000-0005-0000-0000-000034200000}"/>
    <cellStyle name="Data 4 3 10 3 2" xfId="6596" xr:uid="{00000000-0005-0000-0000-000035200000}"/>
    <cellStyle name="Data 4 3 10 4" xfId="6597" xr:uid="{00000000-0005-0000-0000-000036200000}"/>
    <cellStyle name="Data 4 3 10 4 2" xfId="6598" xr:uid="{00000000-0005-0000-0000-000037200000}"/>
    <cellStyle name="Data 4 3 10 5" xfId="6599" xr:uid="{00000000-0005-0000-0000-000038200000}"/>
    <cellStyle name="Data 4 3 10 5 2" xfId="6600" xr:uid="{00000000-0005-0000-0000-000039200000}"/>
    <cellStyle name="Data 4 3 10 6" xfId="6601" xr:uid="{00000000-0005-0000-0000-00003A200000}"/>
    <cellStyle name="Data 4 3 10 6 2" xfId="6602" xr:uid="{00000000-0005-0000-0000-00003B200000}"/>
    <cellStyle name="Data 4 3 10 7" xfId="6603" xr:uid="{00000000-0005-0000-0000-00003C200000}"/>
    <cellStyle name="Data 4 3 10 7 2" xfId="6604" xr:uid="{00000000-0005-0000-0000-00003D200000}"/>
    <cellStyle name="Data 4 3 10 8" xfId="6605" xr:uid="{00000000-0005-0000-0000-00003E200000}"/>
    <cellStyle name="Data 4 3 10 8 2" xfId="6606" xr:uid="{00000000-0005-0000-0000-00003F200000}"/>
    <cellStyle name="Data 4 3 10 9" xfId="6607" xr:uid="{00000000-0005-0000-0000-000040200000}"/>
    <cellStyle name="Data 4 3 10 9 2" xfId="6608" xr:uid="{00000000-0005-0000-0000-000041200000}"/>
    <cellStyle name="Data 4 3 11" xfId="6609" xr:uid="{00000000-0005-0000-0000-000042200000}"/>
    <cellStyle name="Data 4 3 11 2" xfId="6610" xr:uid="{00000000-0005-0000-0000-000043200000}"/>
    <cellStyle name="Data 4 3 11 2 2" xfId="6611" xr:uid="{00000000-0005-0000-0000-000044200000}"/>
    <cellStyle name="Data 4 3 11 3" xfId="6612" xr:uid="{00000000-0005-0000-0000-000045200000}"/>
    <cellStyle name="Data 4 3 11 3 2" xfId="6613" xr:uid="{00000000-0005-0000-0000-000046200000}"/>
    <cellStyle name="Data 4 3 11 4" xfId="6614" xr:uid="{00000000-0005-0000-0000-000047200000}"/>
    <cellStyle name="Data 4 3 11 4 2" xfId="6615" xr:uid="{00000000-0005-0000-0000-000048200000}"/>
    <cellStyle name="Data 4 3 11 5" xfId="6616" xr:uid="{00000000-0005-0000-0000-000049200000}"/>
    <cellStyle name="Data 4 3 11 5 2" xfId="6617" xr:uid="{00000000-0005-0000-0000-00004A200000}"/>
    <cellStyle name="Data 4 3 11 6" xfId="6618" xr:uid="{00000000-0005-0000-0000-00004B200000}"/>
    <cellStyle name="Data 4 3 11 6 2" xfId="6619" xr:uid="{00000000-0005-0000-0000-00004C200000}"/>
    <cellStyle name="Data 4 3 11 7" xfId="6620" xr:uid="{00000000-0005-0000-0000-00004D200000}"/>
    <cellStyle name="Data 4 3 11 7 2" xfId="6621" xr:uid="{00000000-0005-0000-0000-00004E200000}"/>
    <cellStyle name="Data 4 3 11 8" xfId="6622" xr:uid="{00000000-0005-0000-0000-00004F200000}"/>
    <cellStyle name="Data 4 3 11 8 2" xfId="6623" xr:uid="{00000000-0005-0000-0000-000050200000}"/>
    <cellStyle name="Data 4 3 11 9" xfId="6624" xr:uid="{00000000-0005-0000-0000-000051200000}"/>
    <cellStyle name="Data 4 3 2" xfId="6625" xr:uid="{00000000-0005-0000-0000-000052200000}"/>
    <cellStyle name="Data 4 3 2 10" xfId="6626" xr:uid="{00000000-0005-0000-0000-000053200000}"/>
    <cellStyle name="Data 4 3 2 2" xfId="6627" xr:uid="{00000000-0005-0000-0000-000054200000}"/>
    <cellStyle name="Data 4 3 2 2 2" xfId="6628" xr:uid="{00000000-0005-0000-0000-000055200000}"/>
    <cellStyle name="Data 4 3 2 3" xfId="6629" xr:uid="{00000000-0005-0000-0000-000056200000}"/>
    <cellStyle name="Data 4 3 2 3 2" xfId="6630" xr:uid="{00000000-0005-0000-0000-000057200000}"/>
    <cellStyle name="Data 4 3 2 4" xfId="6631" xr:uid="{00000000-0005-0000-0000-000058200000}"/>
    <cellStyle name="Data 4 3 2 4 2" xfId="6632" xr:uid="{00000000-0005-0000-0000-000059200000}"/>
    <cellStyle name="Data 4 3 2 5" xfId="6633" xr:uid="{00000000-0005-0000-0000-00005A200000}"/>
    <cellStyle name="Data 4 3 2 5 2" xfId="6634" xr:uid="{00000000-0005-0000-0000-00005B200000}"/>
    <cellStyle name="Data 4 3 2 6" xfId="6635" xr:uid="{00000000-0005-0000-0000-00005C200000}"/>
    <cellStyle name="Data 4 3 2 6 2" xfId="6636" xr:uid="{00000000-0005-0000-0000-00005D200000}"/>
    <cellStyle name="Data 4 3 2 7" xfId="6637" xr:uid="{00000000-0005-0000-0000-00005E200000}"/>
    <cellStyle name="Data 4 3 2 7 2" xfId="6638" xr:uid="{00000000-0005-0000-0000-00005F200000}"/>
    <cellStyle name="Data 4 3 2 8" xfId="6639" xr:uid="{00000000-0005-0000-0000-000060200000}"/>
    <cellStyle name="Data 4 3 2 8 2" xfId="6640" xr:uid="{00000000-0005-0000-0000-000061200000}"/>
    <cellStyle name="Data 4 3 2 9" xfId="6641" xr:uid="{00000000-0005-0000-0000-000062200000}"/>
    <cellStyle name="Data 4 3 2 9 2" xfId="6642" xr:uid="{00000000-0005-0000-0000-000063200000}"/>
    <cellStyle name="Data 4 3 3" xfId="6643" xr:uid="{00000000-0005-0000-0000-000064200000}"/>
    <cellStyle name="Data 4 3 3 10" xfId="6644" xr:uid="{00000000-0005-0000-0000-000065200000}"/>
    <cellStyle name="Data 4 3 3 2" xfId="6645" xr:uid="{00000000-0005-0000-0000-000066200000}"/>
    <cellStyle name="Data 4 3 3 2 2" xfId="6646" xr:uid="{00000000-0005-0000-0000-000067200000}"/>
    <cellStyle name="Data 4 3 3 3" xfId="6647" xr:uid="{00000000-0005-0000-0000-000068200000}"/>
    <cellStyle name="Data 4 3 3 3 2" xfId="6648" xr:uid="{00000000-0005-0000-0000-000069200000}"/>
    <cellStyle name="Data 4 3 3 4" xfId="6649" xr:uid="{00000000-0005-0000-0000-00006A200000}"/>
    <cellStyle name="Data 4 3 3 4 2" xfId="6650" xr:uid="{00000000-0005-0000-0000-00006B200000}"/>
    <cellStyle name="Data 4 3 3 5" xfId="6651" xr:uid="{00000000-0005-0000-0000-00006C200000}"/>
    <cellStyle name="Data 4 3 3 5 2" xfId="6652" xr:uid="{00000000-0005-0000-0000-00006D200000}"/>
    <cellStyle name="Data 4 3 3 6" xfId="6653" xr:uid="{00000000-0005-0000-0000-00006E200000}"/>
    <cellStyle name="Data 4 3 3 6 2" xfId="6654" xr:uid="{00000000-0005-0000-0000-00006F200000}"/>
    <cellStyle name="Data 4 3 3 7" xfId="6655" xr:uid="{00000000-0005-0000-0000-000070200000}"/>
    <cellStyle name="Data 4 3 3 7 2" xfId="6656" xr:uid="{00000000-0005-0000-0000-000071200000}"/>
    <cellStyle name="Data 4 3 3 8" xfId="6657" xr:uid="{00000000-0005-0000-0000-000072200000}"/>
    <cellStyle name="Data 4 3 3 8 2" xfId="6658" xr:uid="{00000000-0005-0000-0000-000073200000}"/>
    <cellStyle name="Data 4 3 3 9" xfId="6659" xr:uid="{00000000-0005-0000-0000-000074200000}"/>
    <cellStyle name="Data 4 3 3 9 2" xfId="6660" xr:uid="{00000000-0005-0000-0000-000075200000}"/>
    <cellStyle name="Data 4 3 4" xfId="6661" xr:uid="{00000000-0005-0000-0000-000076200000}"/>
    <cellStyle name="Data 4 3 4 10" xfId="6662" xr:uid="{00000000-0005-0000-0000-000077200000}"/>
    <cellStyle name="Data 4 3 4 2" xfId="6663" xr:uid="{00000000-0005-0000-0000-000078200000}"/>
    <cellStyle name="Data 4 3 4 2 2" xfId="6664" xr:uid="{00000000-0005-0000-0000-000079200000}"/>
    <cellStyle name="Data 4 3 4 3" xfId="6665" xr:uid="{00000000-0005-0000-0000-00007A200000}"/>
    <cellStyle name="Data 4 3 4 3 2" xfId="6666" xr:uid="{00000000-0005-0000-0000-00007B200000}"/>
    <cellStyle name="Data 4 3 4 4" xfId="6667" xr:uid="{00000000-0005-0000-0000-00007C200000}"/>
    <cellStyle name="Data 4 3 4 4 2" xfId="6668" xr:uid="{00000000-0005-0000-0000-00007D200000}"/>
    <cellStyle name="Data 4 3 4 5" xfId="6669" xr:uid="{00000000-0005-0000-0000-00007E200000}"/>
    <cellStyle name="Data 4 3 4 5 2" xfId="6670" xr:uid="{00000000-0005-0000-0000-00007F200000}"/>
    <cellStyle name="Data 4 3 4 6" xfId="6671" xr:uid="{00000000-0005-0000-0000-000080200000}"/>
    <cellStyle name="Data 4 3 4 6 2" xfId="6672" xr:uid="{00000000-0005-0000-0000-000081200000}"/>
    <cellStyle name="Data 4 3 4 7" xfId="6673" xr:uid="{00000000-0005-0000-0000-000082200000}"/>
    <cellStyle name="Data 4 3 4 7 2" xfId="6674" xr:uid="{00000000-0005-0000-0000-000083200000}"/>
    <cellStyle name="Data 4 3 4 8" xfId="6675" xr:uid="{00000000-0005-0000-0000-000084200000}"/>
    <cellStyle name="Data 4 3 4 8 2" xfId="6676" xr:uid="{00000000-0005-0000-0000-000085200000}"/>
    <cellStyle name="Data 4 3 4 9" xfId="6677" xr:uid="{00000000-0005-0000-0000-000086200000}"/>
    <cellStyle name="Data 4 3 4 9 2" xfId="6678" xr:uid="{00000000-0005-0000-0000-000087200000}"/>
    <cellStyle name="Data 4 3 5" xfId="6679" xr:uid="{00000000-0005-0000-0000-000088200000}"/>
    <cellStyle name="Data 4 3 5 10" xfId="6680" xr:uid="{00000000-0005-0000-0000-000089200000}"/>
    <cellStyle name="Data 4 3 5 2" xfId="6681" xr:uid="{00000000-0005-0000-0000-00008A200000}"/>
    <cellStyle name="Data 4 3 5 2 2" xfId="6682" xr:uid="{00000000-0005-0000-0000-00008B200000}"/>
    <cellStyle name="Data 4 3 5 3" xfId="6683" xr:uid="{00000000-0005-0000-0000-00008C200000}"/>
    <cellStyle name="Data 4 3 5 3 2" xfId="6684" xr:uid="{00000000-0005-0000-0000-00008D200000}"/>
    <cellStyle name="Data 4 3 5 4" xfId="6685" xr:uid="{00000000-0005-0000-0000-00008E200000}"/>
    <cellStyle name="Data 4 3 5 4 2" xfId="6686" xr:uid="{00000000-0005-0000-0000-00008F200000}"/>
    <cellStyle name="Data 4 3 5 5" xfId="6687" xr:uid="{00000000-0005-0000-0000-000090200000}"/>
    <cellStyle name="Data 4 3 5 5 2" xfId="6688" xr:uid="{00000000-0005-0000-0000-000091200000}"/>
    <cellStyle name="Data 4 3 5 6" xfId="6689" xr:uid="{00000000-0005-0000-0000-000092200000}"/>
    <cellStyle name="Data 4 3 5 6 2" xfId="6690" xr:uid="{00000000-0005-0000-0000-000093200000}"/>
    <cellStyle name="Data 4 3 5 7" xfId="6691" xr:uid="{00000000-0005-0000-0000-000094200000}"/>
    <cellStyle name="Data 4 3 5 7 2" xfId="6692" xr:uid="{00000000-0005-0000-0000-000095200000}"/>
    <cellStyle name="Data 4 3 5 8" xfId="6693" xr:uid="{00000000-0005-0000-0000-000096200000}"/>
    <cellStyle name="Data 4 3 5 8 2" xfId="6694" xr:uid="{00000000-0005-0000-0000-000097200000}"/>
    <cellStyle name="Data 4 3 5 9" xfId="6695" xr:uid="{00000000-0005-0000-0000-000098200000}"/>
    <cellStyle name="Data 4 3 5 9 2" xfId="6696" xr:uid="{00000000-0005-0000-0000-000099200000}"/>
    <cellStyle name="Data 4 3 6" xfId="6697" xr:uid="{00000000-0005-0000-0000-00009A200000}"/>
    <cellStyle name="Data 4 3 6 10" xfId="6698" xr:uid="{00000000-0005-0000-0000-00009B200000}"/>
    <cellStyle name="Data 4 3 6 2" xfId="6699" xr:uid="{00000000-0005-0000-0000-00009C200000}"/>
    <cellStyle name="Data 4 3 6 2 2" xfId="6700" xr:uid="{00000000-0005-0000-0000-00009D200000}"/>
    <cellStyle name="Data 4 3 6 3" xfId="6701" xr:uid="{00000000-0005-0000-0000-00009E200000}"/>
    <cellStyle name="Data 4 3 6 3 2" xfId="6702" xr:uid="{00000000-0005-0000-0000-00009F200000}"/>
    <cellStyle name="Data 4 3 6 4" xfId="6703" xr:uid="{00000000-0005-0000-0000-0000A0200000}"/>
    <cellStyle name="Data 4 3 6 4 2" xfId="6704" xr:uid="{00000000-0005-0000-0000-0000A1200000}"/>
    <cellStyle name="Data 4 3 6 5" xfId="6705" xr:uid="{00000000-0005-0000-0000-0000A2200000}"/>
    <cellStyle name="Data 4 3 6 5 2" xfId="6706" xr:uid="{00000000-0005-0000-0000-0000A3200000}"/>
    <cellStyle name="Data 4 3 6 6" xfId="6707" xr:uid="{00000000-0005-0000-0000-0000A4200000}"/>
    <cellStyle name="Data 4 3 6 6 2" xfId="6708" xr:uid="{00000000-0005-0000-0000-0000A5200000}"/>
    <cellStyle name="Data 4 3 6 7" xfId="6709" xr:uid="{00000000-0005-0000-0000-0000A6200000}"/>
    <cellStyle name="Data 4 3 6 7 2" xfId="6710" xr:uid="{00000000-0005-0000-0000-0000A7200000}"/>
    <cellStyle name="Data 4 3 6 8" xfId="6711" xr:uid="{00000000-0005-0000-0000-0000A8200000}"/>
    <cellStyle name="Data 4 3 6 8 2" xfId="6712" xr:uid="{00000000-0005-0000-0000-0000A9200000}"/>
    <cellStyle name="Data 4 3 6 9" xfId="6713" xr:uid="{00000000-0005-0000-0000-0000AA200000}"/>
    <cellStyle name="Data 4 3 6 9 2" xfId="6714" xr:uid="{00000000-0005-0000-0000-0000AB200000}"/>
    <cellStyle name="Data 4 3 7" xfId="6715" xr:uid="{00000000-0005-0000-0000-0000AC200000}"/>
    <cellStyle name="Data 4 3 7 10" xfId="6716" xr:uid="{00000000-0005-0000-0000-0000AD200000}"/>
    <cellStyle name="Data 4 3 7 2" xfId="6717" xr:uid="{00000000-0005-0000-0000-0000AE200000}"/>
    <cellStyle name="Data 4 3 7 2 2" xfId="6718" xr:uid="{00000000-0005-0000-0000-0000AF200000}"/>
    <cellStyle name="Data 4 3 7 3" xfId="6719" xr:uid="{00000000-0005-0000-0000-0000B0200000}"/>
    <cellStyle name="Data 4 3 7 3 2" xfId="6720" xr:uid="{00000000-0005-0000-0000-0000B1200000}"/>
    <cellStyle name="Data 4 3 7 4" xfId="6721" xr:uid="{00000000-0005-0000-0000-0000B2200000}"/>
    <cellStyle name="Data 4 3 7 4 2" xfId="6722" xr:uid="{00000000-0005-0000-0000-0000B3200000}"/>
    <cellStyle name="Data 4 3 7 5" xfId="6723" xr:uid="{00000000-0005-0000-0000-0000B4200000}"/>
    <cellStyle name="Data 4 3 7 5 2" xfId="6724" xr:uid="{00000000-0005-0000-0000-0000B5200000}"/>
    <cellStyle name="Data 4 3 7 6" xfId="6725" xr:uid="{00000000-0005-0000-0000-0000B6200000}"/>
    <cellStyle name="Data 4 3 7 6 2" xfId="6726" xr:uid="{00000000-0005-0000-0000-0000B7200000}"/>
    <cellStyle name="Data 4 3 7 7" xfId="6727" xr:uid="{00000000-0005-0000-0000-0000B8200000}"/>
    <cellStyle name="Data 4 3 7 7 2" xfId="6728" xr:uid="{00000000-0005-0000-0000-0000B9200000}"/>
    <cellStyle name="Data 4 3 7 8" xfId="6729" xr:uid="{00000000-0005-0000-0000-0000BA200000}"/>
    <cellStyle name="Data 4 3 7 8 2" xfId="6730" xr:uid="{00000000-0005-0000-0000-0000BB200000}"/>
    <cellStyle name="Data 4 3 7 9" xfId="6731" xr:uid="{00000000-0005-0000-0000-0000BC200000}"/>
    <cellStyle name="Data 4 3 7 9 2" xfId="6732" xr:uid="{00000000-0005-0000-0000-0000BD200000}"/>
    <cellStyle name="Data 4 3 8" xfId="6733" xr:uid="{00000000-0005-0000-0000-0000BE200000}"/>
    <cellStyle name="Data 4 3 8 10" xfId="6734" xr:uid="{00000000-0005-0000-0000-0000BF200000}"/>
    <cellStyle name="Data 4 3 8 2" xfId="6735" xr:uid="{00000000-0005-0000-0000-0000C0200000}"/>
    <cellStyle name="Data 4 3 8 2 2" xfId="6736" xr:uid="{00000000-0005-0000-0000-0000C1200000}"/>
    <cellStyle name="Data 4 3 8 3" xfId="6737" xr:uid="{00000000-0005-0000-0000-0000C2200000}"/>
    <cellStyle name="Data 4 3 8 3 2" xfId="6738" xr:uid="{00000000-0005-0000-0000-0000C3200000}"/>
    <cellStyle name="Data 4 3 8 4" xfId="6739" xr:uid="{00000000-0005-0000-0000-0000C4200000}"/>
    <cellStyle name="Data 4 3 8 4 2" xfId="6740" xr:uid="{00000000-0005-0000-0000-0000C5200000}"/>
    <cellStyle name="Data 4 3 8 5" xfId="6741" xr:uid="{00000000-0005-0000-0000-0000C6200000}"/>
    <cellStyle name="Data 4 3 8 5 2" xfId="6742" xr:uid="{00000000-0005-0000-0000-0000C7200000}"/>
    <cellStyle name="Data 4 3 8 6" xfId="6743" xr:uid="{00000000-0005-0000-0000-0000C8200000}"/>
    <cellStyle name="Data 4 3 8 6 2" xfId="6744" xr:uid="{00000000-0005-0000-0000-0000C9200000}"/>
    <cellStyle name="Data 4 3 8 7" xfId="6745" xr:uid="{00000000-0005-0000-0000-0000CA200000}"/>
    <cellStyle name="Data 4 3 8 7 2" xfId="6746" xr:uid="{00000000-0005-0000-0000-0000CB200000}"/>
    <cellStyle name="Data 4 3 8 8" xfId="6747" xr:uid="{00000000-0005-0000-0000-0000CC200000}"/>
    <cellStyle name="Data 4 3 8 8 2" xfId="6748" xr:uid="{00000000-0005-0000-0000-0000CD200000}"/>
    <cellStyle name="Data 4 3 8 9" xfId="6749" xr:uid="{00000000-0005-0000-0000-0000CE200000}"/>
    <cellStyle name="Data 4 3 8 9 2" xfId="6750" xr:uid="{00000000-0005-0000-0000-0000CF200000}"/>
    <cellStyle name="Data 4 3 9" xfId="6751" xr:uid="{00000000-0005-0000-0000-0000D0200000}"/>
    <cellStyle name="Data 4 3 9 10" xfId="6752" xr:uid="{00000000-0005-0000-0000-0000D1200000}"/>
    <cellStyle name="Data 4 3 9 2" xfId="6753" xr:uid="{00000000-0005-0000-0000-0000D2200000}"/>
    <cellStyle name="Data 4 3 9 2 2" xfId="6754" xr:uid="{00000000-0005-0000-0000-0000D3200000}"/>
    <cellStyle name="Data 4 3 9 3" xfId="6755" xr:uid="{00000000-0005-0000-0000-0000D4200000}"/>
    <cellStyle name="Data 4 3 9 3 2" xfId="6756" xr:uid="{00000000-0005-0000-0000-0000D5200000}"/>
    <cellStyle name="Data 4 3 9 4" xfId="6757" xr:uid="{00000000-0005-0000-0000-0000D6200000}"/>
    <cellStyle name="Data 4 3 9 4 2" xfId="6758" xr:uid="{00000000-0005-0000-0000-0000D7200000}"/>
    <cellStyle name="Data 4 3 9 5" xfId="6759" xr:uid="{00000000-0005-0000-0000-0000D8200000}"/>
    <cellStyle name="Data 4 3 9 5 2" xfId="6760" xr:uid="{00000000-0005-0000-0000-0000D9200000}"/>
    <cellStyle name="Data 4 3 9 6" xfId="6761" xr:uid="{00000000-0005-0000-0000-0000DA200000}"/>
    <cellStyle name="Data 4 3 9 6 2" xfId="6762" xr:uid="{00000000-0005-0000-0000-0000DB200000}"/>
    <cellStyle name="Data 4 3 9 7" xfId="6763" xr:uid="{00000000-0005-0000-0000-0000DC200000}"/>
    <cellStyle name="Data 4 3 9 7 2" xfId="6764" xr:uid="{00000000-0005-0000-0000-0000DD200000}"/>
    <cellStyle name="Data 4 3 9 8" xfId="6765" xr:uid="{00000000-0005-0000-0000-0000DE200000}"/>
    <cellStyle name="Data 4 3 9 8 2" xfId="6766" xr:uid="{00000000-0005-0000-0000-0000DF200000}"/>
    <cellStyle name="Data 4 3 9 9" xfId="6767" xr:uid="{00000000-0005-0000-0000-0000E0200000}"/>
    <cellStyle name="Data 4 3 9 9 2" xfId="6768" xr:uid="{00000000-0005-0000-0000-0000E1200000}"/>
    <cellStyle name="Data 4 4" xfId="6769" xr:uid="{00000000-0005-0000-0000-0000E2200000}"/>
    <cellStyle name="Data 4 4 10" xfId="6770" xr:uid="{00000000-0005-0000-0000-0000E3200000}"/>
    <cellStyle name="Data 4 4 10 2" xfId="6771" xr:uid="{00000000-0005-0000-0000-0000E4200000}"/>
    <cellStyle name="Data 4 4 10 2 2" xfId="6772" xr:uid="{00000000-0005-0000-0000-0000E5200000}"/>
    <cellStyle name="Data 4 4 10 3" xfId="6773" xr:uid="{00000000-0005-0000-0000-0000E6200000}"/>
    <cellStyle name="Data 4 4 10 3 2" xfId="6774" xr:uid="{00000000-0005-0000-0000-0000E7200000}"/>
    <cellStyle name="Data 4 4 10 4" xfId="6775" xr:uid="{00000000-0005-0000-0000-0000E8200000}"/>
    <cellStyle name="Data 4 4 10 4 2" xfId="6776" xr:uid="{00000000-0005-0000-0000-0000E9200000}"/>
    <cellStyle name="Data 4 4 10 5" xfId="6777" xr:uid="{00000000-0005-0000-0000-0000EA200000}"/>
    <cellStyle name="Data 4 4 10 5 2" xfId="6778" xr:uid="{00000000-0005-0000-0000-0000EB200000}"/>
    <cellStyle name="Data 4 4 10 6" xfId="6779" xr:uid="{00000000-0005-0000-0000-0000EC200000}"/>
    <cellStyle name="Data 4 4 10 6 2" xfId="6780" xr:uid="{00000000-0005-0000-0000-0000ED200000}"/>
    <cellStyle name="Data 4 4 10 7" xfId="6781" xr:uid="{00000000-0005-0000-0000-0000EE200000}"/>
    <cellStyle name="Data 4 4 10 7 2" xfId="6782" xr:uid="{00000000-0005-0000-0000-0000EF200000}"/>
    <cellStyle name="Data 4 4 10 8" xfId="6783" xr:uid="{00000000-0005-0000-0000-0000F0200000}"/>
    <cellStyle name="Data 4 4 10 8 2" xfId="6784" xr:uid="{00000000-0005-0000-0000-0000F1200000}"/>
    <cellStyle name="Data 4 4 10 9" xfId="6785" xr:uid="{00000000-0005-0000-0000-0000F2200000}"/>
    <cellStyle name="Data 4 4 11" xfId="6786" xr:uid="{00000000-0005-0000-0000-0000F3200000}"/>
    <cellStyle name="Data 4 4 11 2" xfId="6787" xr:uid="{00000000-0005-0000-0000-0000F4200000}"/>
    <cellStyle name="Data 4 4 12" xfId="6788" xr:uid="{00000000-0005-0000-0000-0000F5200000}"/>
    <cellStyle name="Data 4 4 12 2" xfId="6789" xr:uid="{00000000-0005-0000-0000-0000F6200000}"/>
    <cellStyle name="Data 4 4 13" xfId="6790" xr:uid="{00000000-0005-0000-0000-0000F7200000}"/>
    <cellStyle name="Data 4 4 13 2" xfId="6791" xr:uid="{00000000-0005-0000-0000-0000F8200000}"/>
    <cellStyle name="Data 4 4 14" xfId="6792" xr:uid="{00000000-0005-0000-0000-0000F9200000}"/>
    <cellStyle name="Data 4 4 14 2" xfId="6793" xr:uid="{00000000-0005-0000-0000-0000FA200000}"/>
    <cellStyle name="Data 4 4 15" xfId="6794" xr:uid="{00000000-0005-0000-0000-0000FB200000}"/>
    <cellStyle name="Data 4 4 15 2" xfId="6795" xr:uid="{00000000-0005-0000-0000-0000FC200000}"/>
    <cellStyle name="Data 4 4 16" xfId="6796" xr:uid="{00000000-0005-0000-0000-0000FD200000}"/>
    <cellStyle name="Data 4 4 16 2" xfId="6797" xr:uid="{00000000-0005-0000-0000-0000FE200000}"/>
    <cellStyle name="Data 4 4 17" xfId="6798" xr:uid="{00000000-0005-0000-0000-0000FF200000}"/>
    <cellStyle name="Data 4 4 17 2" xfId="6799" xr:uid="{00000000-0005-0000-0000-000000210000}"/>
    <cellStyle name="Data 4 4 18" xfId="6800" xr:uid="{00000000-0005-0000-0000-000001210000}"/>
    <cellStyle name="Data 4 4 2" xfId="6801" xr:uid="{00000000-0005-0000-0000-000002210000}"/>
    <cellStyle name="Data 4 4 2 10" xfId="6802" xr:uid="{00000000-0005-0000-0000-000003210000}"/>
    <cellStyle name="Data 4 4 2 2" xfId="6803" xr:uid="{00000000-0005-0000-0000-000004210000}"/>
    <cellStyle name="Data 4 4 2 2 2" xfId="6804" xr:uid="{00000000-0005-0000-0000-000005210000}"/>
    <cellStyle name="Data 4 4 2 3" xfId="6805" xr:uid="{00000000-0005-0000-0000-000006210000}"/>
    <cellStyle name="Data 4 4 2 3 2" xfId="6806" xr:uid="{00000000-0005-0000-0000-000007210000}"/>
    <cellStyle name="Data 4 4 2 4" xfId="6807" xr:uid="{00000000-0005-0000-0000-000008210000}"/>
    <cellStyle name="Data 4 4 2 4 2" xfId="6808" xr:uid="{00000000-0005-0000-0000-000009210000}"/>
    <cellStyle name="Data 4 4 2 5" xfId="6809" xr:uid="{00000000-0005-0000-0000-00000A210000}"/>
    <cellStyle name="Data 4 4 2 5 2" xfId="6810" xr:uid="{00000000-0005-0000-0000-00000B210000}"/>
    <cellStyle name="Data 4 4 2 6" xfId="6811" xr:uid="{00000000-0005-0000-0000-00000C210000}"/>
    <cellStyle name="Data 4 4 2 6 2" xfId="6812" xr:uid="{00000000-0005-0000-0000-00000D210000}"/>
    <cellStyle name="Data 4 4 2 7" xfId="6813" xr:uid="{00000000-0005-0000-0000-00000E210000}"/>
    <cellStyle name="Data 4 4 2 7 2" xfId="6814" xr:uid="{00000000-0005-0000-0000-00000F210000}"/>
    <cellStyle name="Data 4 4 2 8" xfId="6815" xr:uid="{00000000-0005-0000-0000-000010210000}"/>
    <cellStyle name="Data 4 4 2 8 2" xfId="6816" xr:uid="{00000000-0005-0000-0000-000011210000}"/>
    <cellStyle name="Data 4 4 2 9" xfId="6817" xr:uid="{00000000-0005-0000-0000-000012210000}"/>
    <cellStyle name="Data 4 4 2 9 2" xfId="6818" xr:uid="{00000000-0005-0000-0000-000013210000}"/>
    <cellStyle name="Data 4 4 3" xfId="6819" xr:uid="{00000000-0005-0000-0000-000014210000}"/>
    <cellStyle name="Data 4 4 3 10" xfId="6820" xr:uid="{00000000-0005-0000-0000-000015210000}"/>
    <cellStyle name="Data 4 4 3 2" xfId="6821" xr:uid="{00000000-0005-0000-0000-000016210000}"/>
    <cellStyle name="Data 4 4 3 2 2" xfId="6822" xr:uid="{00000000-0005-0000-0000-000017210000}"/>
    <cellStyle name="Data 4 4 3 3" xfId="6823" xr:uid="{00000000-0005-0000-0000-000018210000}"/>
    <cellStyle name="Data 4 4 3 3 2" xfId="6824" xr:uid="{00000000-0005-0000-0000-000019210000}"/>
    <cellStyle name="Data 4 4 3 4" xfId="6825" xr:uid="{00000000-0005-0000-0000-00001A210000}"/>
    <cellStyle name="Data 4 4 3 4 2" xfId="6826" xr:uid="{00000000-0005-0000-0000-00001B210000}"/>
    <cellStyle name="Data 4 4 3 5" xfId="6827" xr:uid="{00000000-0005-0000-0000-00001C210000}"/>
    <cellStyle name="Data 4 4 3 5 2" xfId="6828" xr:uid="{00000000-0005-0000-0000-00001D210000}"/>
    <cellStyle name="Data 4 4 3 6" xfId="6829" xr:uid="{00000000-0005-0000-0000-00001E210000}"/>
    <cellStyle name="Data 4 4 3 6 2" xfId="6830" xr:uid="{00000000-0005-0000-0000-00001F210000}"/>
    <cellStyle name="Data 4 4 3 7" xfId="6831" xr:uid="{00000000-0005-0000-0000-000020210000}"/>
    <cellStyle name="Data 4 4 3 7 2" xfId="6832" xr:uid="{00000000-0005-0000-0000-000021210000}"/>
    <cellStyle name="Data 4 4 3 8" xfId="6833" xr:uid="{00000000-0005-0000-0000-000022210000}"/>
    <cellStyle name="Data 4 4 3 8 2" xfId="6834" xr:uid="{00000000-0005-0000-0000-000023210000}"/>
    <cellStyle name="Data 4 4 3 9" xfId="6835" xr:uid="{00000000-0005-0000-0000-000024210000}"/>
    <cellStyle name="Data 4 4 3 9 2" xfId="6836" xr:uid="{00000000-0005-0000-0000-000025210000}"/>
    <cellStyle name="Data 4 4 4" xfId="6837" xr:uid="{00000000-0005-0000-0000-000026210000}"/>
    <cellStyle name="Data 4 4 4 10" xfId="6838" xr:uid="{00000000-0005-0000-0000-000027210000}"/>
    <cellStyle name="Data 4 4 4 2" xfId="6839" xr:uid="{00000000-0005-0000-0000-000028210000}"/>
    <cellStyle name="Data 4 4 4 2 2" xfId="6840" xr:uid="{00000000-0005-0000-0000-000029210000}"/>
    <cellStyle name="Data 4 4 4 3" xfId="6841" xr:uid="{00000000-0005-0000-0000-00002A210000}"/>
    <cellStyle name="Data 4 4 4 3 2" xfId="6842" xr:uid="{00000000-0005-0000-0000-00002B210000}"/>
    <cellStyle name="Data 4 4 4 4" xfId="6843" xr:uid="{00000000-0005-0000-0000-00002C210000}"/>
    <cellStyle name="Data 4 4 4 4 2" xfId="6844" xr:uid="{00000000-0005-0000-0000-00002D210000}"/>
    <cellStyle name="Data 4 4 4 5" xfId="6845" xr:uid="{00000000-0005-0000-0000-00002E210000}"/>
    <cellStyle name="Data 4 4 4 5 2" xfId="6846" xr:uid="{00000000-0005-0000-0000-00002F210000}"/>
    <cellStyle name="Data 4 4 4 6" xfId="6847" xr:uid="{00000000-0005-0000-0000-000030210000}"/>
    <cellStyle name="Data 4 4 4 6 2" xfId="6848" xr:uid="{00000000-0005-0000-0000-000031210000}"/>
    <cellStyle name="Data 4 4 4 7" xfId="6849" xr:uid="{00000000-0005-0000-0000-000032210000}"/>
    <cellStyle name="Data 4 4 4 7 2" xfId="6850" xr:uid="{00000000-0005-0000-0000-000033210000}"/>
    <cellStyle name="Data 4 4 4 8" xfId="6851" xr:uid="{00000000-0005-0000-0000-000034210000}"/>
    <cellStyle name="Data 4 4 4 8 2" xfId="6852" xr:uid="{00000000-0005-0000-0000-000035210000}"/>
    <cellStyle name="Data 4 4 4 9" xfId="6853" xr:uid="{00000000-0005-0000-0000-000036210000}"/>
    <cellStyle name="Data 4 4 4 9 2" xfId="6854" xr:uid="{00000000-0005-0000-0000-000037210000}"/>
    <cellStyle name="Data 4 4 5" xfId="6855" xr:uid="{00000000-0005-0000-0000-000038210000}"/>
    <cellStyle name="Data 4 4 5 10" xfId="6856" xr:uid="{00000000-0005-0000-0000-000039210000}"/>
    <cellStyle name="Data 4 4 5 2" xfId="6857" xr:uid="{00000000-0005-0000-0000-00003A210000}"/>
    <cellStyle name="Data 4 4 5 2 2" xfId="6858" xr:uid="{00000000-0005-0000-0000-00003B210000}"/>
    <cellStyle name="Data 4 4 5 3" xfId="6859" xr:uid="{00000000-0005-0000-0000-00003C210000}"/>
    <cellStyle name="Data 4 4 5 3 2" xfId="6860" xr:uid="{00000000-0005-0000-0000-00003D210000}"/>
    <cellStyle name="Data 4 4 5 4" xfId="6861" xr:uid="{00000000-0005-0000-0000-00003E210000}"/>
    <cellStyle name="Data 4 4 5 4 2" xfId="6862" xr:uid="{00000000-0005-0000-0000-00003F210000}"/>
    <cellStyle name="Data 4 4 5 5" xfId="6863" xr:uid="{00000000-0005-0000-0000-000040210000}"/>
    <cellStyle name="Data 4 4 5 5 2" xfId="6864" xr:uid="{00000000-0005-0000-0000-000041210000}"/>
    <cellStyle name="Data 4 4 5 6" xfId="6865" xr:uid="{00000000-0005-0000-0000-000042210000}"/>
    <cellStyle name="Data 4 4 5 6 2" xfId="6866" xr:uid="{00000000-0005-0000-0000-000043210000}"/>
    <cellStyle name="Data 4 4 5 7" xfId="6867" xr:uid="{00000000-0005-0000-0000-000044210000}"/>
    <cellStyle name="Data 4 4 5 7 2" xfId="6868" xr:uid="{00000000-0005-0000-0000-000045210000}"/>
    <cellStyle name="Data 4 4 5 8" xfId="6869" xr:uid="{00000000-0005-0000-0000-000046210000}"/>
    <cellStyle name="Data 4 4 5 8 2" xfId="6870" xr:uid="{00000000-0005-0000-0000-000047210000}"/>
    <cellStyle name="Data 4 4 5 9" xfId="6871" xr:uid="{00000000-0005-0000-0000-000048210000}"/>
    <cellStyle name="Data 4 4 5 9 2" xfId="6872" xr:uid="{00000000-0005-0000-0000-000049210000}"/>
    <cellStyle name="Data 4 4 6" xfId="6873" xr:uid="{00000000-0005-0000-0000-00004A210000}"/>
    <cellStyle name="Data 4 4 6 10" xfId="6874" xr:uid="{00000000-0005-0000-0000-00004B210000}"/>
    <cellStyle name="Data 4 4 6 2" xfId="6875" xr:uid="{00000000-0005-0000-0000-00004C210000}"/>
    <cellStyle name="Data 4 4 6 2 2" xfId="6876" xr:uid="{00000000-0005-0000-0000-00004D210000}"/>
    <cellStyle name="Data 4 4 6 3" xfId="6877" xr:uid="{00000000-0005-0000-0000-00004E210000}"/>
    <cellStyle name="Data 4 4 6 3 2" xfId="6878" xr:uid="{00000000-0005-0000-0000-00004F210000}"/>
    <cellStyle name="Data 4 4 6 4" xfId="6879" xr:uid="{00000000-0005-0000-0000-000050210000}"/>
    <cellStyle name="Data 4 4 6 4 2" xfId="6880" xr:uid="{00000000-0005-0000-0000-000051210000}"/>
    <cellStyle name="Data 4 4 6 5" xfId="6881" xr:uid="{00000000-0005-0000-0000-000052210000}"/>
    <cellStyle name="Data 4 4 6 5 2" xfId="6882" xr:uid="{00000000-0005-0000-0000-000053210000}"/>
    <cellStyle name="Data 4 4 6 6" xfId="6883" xr:uid="{00000000-0005-0000-0000-000054210000}"/>
    <cellStyle name="Data 4 4 6 6 2" xfId="6884" xr:uid="{00000000-0005-0000-0000-000055210000}"/>
    <cellStyle name="Data 4 4 6 7" xfId="6885" xr:uid="{00000000-0005-0000-0000-000056210000}"/>
    <cellStyle name="Data 4 4 6 7 2" xfId="6886" xr:uid="{00000000-0005-0000-0000-000057210000}"/>
    <cellStyle name="Data 4 4 6 8" xfId="6887" xr:uid="{00000000-0005-0000-0000-000058210000}"/>
    <cellStyle name="Data 4 4 6 8 2" xfId="6888" xr:uid="{00000000-0005-0000-0000-000059210000}"/>
    <cellStyle name="Data 4 4 6 9" xfId="6889" xr:uid="{00000000-0005-0000-0000-00005A210000}"/>
    <cellStyle name="Data 4 4 6 9 2" xfId="6890" xr:uid="{00000000-0005-0000-0000-00005B210000}"/>
    <cellStyle name="Data 4 4 7" xfId="6891" xr:uid="{00000000-0005-0000-0000-00005C210000}"/>
    <cellStyle name="Data 4 4 7 10" xfId="6892" xr:uid="{00000000-0005-0000-0000-00005D210000}"/>
    <cellStyle name="Data 4 4 7 2" xfId="6893" xr:uid="{00000000-0005-0000-0000-00005E210000}"/>
    <cellStyle name="Data 4 4 7 2 2" xfId="6894" xr:uid="{00000000-0005-0000-0000-00005F210000}"/>
    <cellStyle name="Data 4 4 7 3" xfId="6895" xr:uid="{00000000-0005-0000-0000-000060210000}"/>
    <cellStyle name="Data 4 4 7 3 2" xfId="6896" xr:uid="{00000000-0005-0000-0000-000061210000}"/>
    <cellStyle name="Data 4 4 7 4" xfId="6897" xr:uid="{00000000-0005-0000-0000-000062210000}"/>
    <cellStyle name="Data 4 4 7 4 2" xfId="6898" xr:uid="{00000000-0005-0000-0000-000063210000}"/>
    <cellStyle name="Data 4 4 7 5" xfId="6899" xr:uid="{00000000-0005-0000-0000-000064210000}"/>
    <cellStyle name="Data 4 4 7 5 2" xfId="6900" xr:uid="{00000000-0005-0000-0000-000065210000}"/>
    <cellStyle name="Data 4 4 7 6" xfId="6901" xr:uid="{00000000-0005-0000-0000-000066210000}"/>
    <cellStyle name="Data 4 4 7 6 2" xfId="6902" xr:uid="{00000000-0005-0000-0000-000067210000}"/>
    <cellStyle name="Data 4 4 7 7" xfId="6903" xr:uid="{00000000-0005-0000-0000-000068210000}"/>
    <cellStyle name="Data 4 4 7 7 2" xfId="6904" xr:uid="{00000000-0005-0000-0000-000069210000}"/>
    <cellStyle name="Data 4 4 7 8" xfId="6905" xr:uid="{00000000-0005-0000-0000-00006A210000}"/>
    <cellStyle name="Data 4 4 7 8 2" xfId="6906" xr:uid="{00000000-0005-0000-0000-00006B210000}"/>
    <cellStyle name="Data 4 4 7 9" xfId="6907" xr:uid="{00000000-0005-0000-0000-00006C210000}"/>
    <cellStyle name="Data 4 4 7 9 2" xfId="6908" xr:uid="{00000000-0005-0000-0000-00006D210000}"/>
    <cellStyle name="Data 4 4 8" xfId="6909" xr:uid="{00000000-0005-0000-0000-00006E210000}"/>
    <cellStyle name="Data 4 4 8 10" xfId="6910" xr:uid="{00000000-0005-0000-0000-00006F210000}"/>
    <cellStyle name="Data 4 4 8 2" xfId="6911" xr:uid="{00000000-0005-0000-0000-000070210000}"/>
    <cellStyle name="Data 4 4 8 2 2" xfId="6912" xr:uid="{00000000-0005-0000-0000-000071210000}"/>
    <cellStyle name="Data 4 4 8 3" xfId="6913" xr:uid="{00000000-0005-0000-0000-000072210000}"/>
    <cellStyle name="Data 4 4 8 3 2" xfId="6914" xr:uid="{00000000-0005-0000-0000-000073210000}"/>
    <cellStyle name="Data 4 4 8 4" xfId="6915" xr:uid="{00000000-0005-0000-0000-000074210000}"/>
    <cellStyle name="Data 4 4 8 4 2" xfId="6916" xr:uid="{00000000-0005-0000-0000-000075210000}"/>
    <cellStyle name="Data 4 4 8 5" xfId="6917" xr:uid="{00000000-0005-0000-0000-000076210000}"/>
    <cellStyle name="Data 4 4 8 5 2" xfId="6918" xr:uid="{00000000-0005-0000-0000-000077210000}"/>
    <cellStyle name="Data 4 4 8 6" xfId="6919" xr:uid="{00000000-0005-0000-0000-000078210000}"/>
    <cellStyle name="Data 4 4 8 6 2" xfId="6920" xr:uid="{00000000-0005-0000-0000-000079210000}"/>
    <cellStyle name="Data 4 4 8 7" xfId="6921" xr:uid="{00000000-0005-0000-0000-00007A210000}"/>
    <cellStyle name="Data 4 4 8 7 2" xfId="6922" xr:uid="{00000000-0005-0000-0000-00007B210000}"/>
    <cellStyle name="Data 4 4 8 8" xfId="6923" xr:uid="{00000000-0005-0000-0000-00007C210000}"/>
    <cellStyle name="Data 4 4 8 8 2" xfId="6924" xr:uid="{00000000-0005-0000-0000-00007D210000}"/>
    <cellStyle name="Data 4 4 8 9" xfId="6925" xr:uid="{00000000-0005-0000-0000-00007E210000}"/>
    <cellStyle name="Data 4 4 8 9 2" xfId="6926" xr:uid="{00000000-0005-0000-0000-00007F210000}"/>
    <cellStyle name="Data 4 4 9" xfId="6927" xr:uid="{00000000-0005-0000-0000-000080210000}"/>
    <cellStyle name="Data 4 4 9 10" xfId="6928" xr:uid="{00000000-0005-0000-0000-000081210000}"/>
    <cellStyle name="Data 4 4 9 2" xfId="6929" xr:uid="{00000000-0005-0000-0000-000082210000}"/>
    <cellStyle name="Data 4 4 9 2 2" xfId="6930" xr:uid="{00000000-0005-0000-0000-000083210000}"/>
    <cellStyle name="Data 4 4 9 3" xfId="6931" xr:uid="{00000000-0005-0000-0000-000084210000}"/>
    <cellStyle name="Data 4 4 9 3 2" xfId="6932" xr:uid="{00000000-0005-0000-0000-000085210000}"/>
    <cellStyle name="Data 4 4 9 4" xfId="6933" xr:uid="{00000000-0005-0000-0000-000086210000}"/>
    <cellStyle name="Data 4 4 9 4 2" xfId="6934" xr:uid="{00000000-0005-0000-0000-000087210000}"/>
    <cellStyle name="Data 4 4 9 5" xfId="6935" xr:uid="{00000000-0005-0000-0000-000088210000}"/>
    <cellStyle name="Data 4 4 9 5 2" xfId="6936" xr:uid="{00000000-0005-0000-0000-000089210000}"/>
    <cellStyle name="Data 4 4 9 6" xfId="6937" xr:uid="{00000000-0005-0000-0000-00008A210000}"/>
    <cellStyle name="Data 4 4 9 6 2" xfId="6938" xr:uid="{00000000-0005-0000-0000-00008B210000}"/>
    <cellStyle name="Data 4 4 9 7" xfId="6939" xr:uid="{00000000-0005-0000-0000-00008C210000}"/>
    <cellStyle name="Data 4 4 9 7 2" xfId="6940" xr:uid="{00000000-0005-0000-0000-00008D210000}"/>
    <cellStyle name="Data 4 4 9 8" xfId="6941" xr:uid="{00000000-0005-0000-0000-00008E210000}"/>
    <cellStyle name="Data 4 4 9 8 2" xfId="6942" xr:uid="{00000000-0005-0000-0000-00008F210000}"/>
    <cellStyle name="Data 4 4 9 9" xfId="6943" xr:uid="{00000000-0005-0000-0000-000090210000}"/>
    <cellStyle name="Data 4 4 9 9 2" xfId="6944" xr:uid="{00000000-0005-0000-0000-000091210000}"/>
    <cellStyle name="Data 4 5" xfId="6945" xr:uid="{00000000-0005-0000-0000-000092210000}"/>
    <cellStyle name="Data 4 5 10" xfId="6946" xr:uid="{00000000-0005-0000-0000-000093210000}"/>
    <cellStyle name="Data 4 5 10 2" xfId="6947" xr:uid="{00000000-0005-0000-0000-000094210000}"/>
    <cellStyle name="Data 4 5 10 2 2" xfId="6948" xr:uid="{00000000-0005-0000-0000-000095210000}"/>
    <cellStyle name="Data 4 5 10 3" xfId="6949" xr:uid="{00000000-0005-0000-0000-000096210000}"/>
    <cellStyle name="Data 4 5 10 3 2" xfId="6950" xr:uid="{00000000-0005-0000-0000-000097210000}"/>
    <cellStyle name="Data 4 5 10 4" xfId="6951" xr:uid="{00000000-0005-0000-0000-000098210000}"/>
    <cellStyle name="Data 4 5 10 4 2" xfId="6952" xr:uid="{00000000-0005-0000-0000-000099210000}"/>
    <cellStyle name="Data 4 5 10 5" xfId="6953" xr:uid="{00000000-0005-0000-0000-00009A210000}"/>
    <cellStyle name="Data 4 5 10 5 2" xfId="6954" xr:uid="{00000000-0005-0000-0000-00009B210000}"/>
    <cellStyle name="Data 4 5 10 6" xfId="6955" xr:uid="{00000000-0005-0000-0000-00009C210000}"/>
    <cellStyle name="Data 4 5 10 6 2" xfId="6956" xr:uid="{00000000-0005-0000-0000-00009D210000}"/>
    <cellStyle name="Data 4 5 10 7" xfId="6957" xr:uid="{00000000-0005-0000-0000-00009E210000}"/>
    <cellStyle name="Data 4 5 10 7 2" xfId="6958" xr:uid="{00000000-0005-0000-0000-00009F210000}"/>
    <cellStyle name="Data 4 5 10 8" xfId="6959" xr:uid="{00000000-0005-0000-0000-0000A0210000}"/>
    <cellStyle name="Data 4 5 10 8 2" xfId="6960" xr:uid="{00000000-0005-0000-0000-0000A1210000}"/>
    <cellStyle name="Data 4 5 10 9" xfId="6961" xr:uid="{00000000-0005-0000-0000-0000A2210000}"/>
    <cellStyle name="Data 4 5 11" xfId="6962" xr:uid="{00000000-0005-0000-0000-0000A3210000}"/>
    <cellStyle name="Data 4 5 11 2" xfId="6963" xr:uid="{00000000-0005-0000-0000-0000A4210000}"/>
    <cellStyle name="Data 4 5 12" xfId="6964" xr:uid="{00000000-0005-0000-0000-0000A5210000}"/>
    <cellStyle name="Data 4 5 12 2" xfId="6965" xr:uid="{00000000-0005-0000-0000-0000A6210000}"/>
    <cellStyle name="Data 4 5 13" xfId="6966" xr:uid="{00000000-0005-0000-0000-0000A7210000}"/>
    <cellStyle name="Data 4 5 13 2" xfId="6967" xr:uid="{00000000-0005-0000-0000-0000A8210000}"/>
    <cellStyle name="Data 4 5 14" xfId="6968" xr:uid="{00000000-0005-0000-0000-0000A9210000}"/>
    <cellStyle name="Data 4 5 14 2" xfId="6969" xr:uid="{00000000-0005-0000-0000-0000AA210000}"/>
    <cellStyle name="Data 4 5 15" xfId="6970" xr:uid="{00000000-0005-0000-0000-0000AB210000}"/>
    <cellStyle name="Data 4 5 15 2" xfId="6971" xr:uid="{00000000-0005-0000-0000-0000AC210000}"/>
    <cellStyle name="Data 4 5 16" xfId="6972" xr:uid="{00000000-0005-0000-0000-0000AD210000}"/>
    <cellStyle name="Data 4 5 16 2" xfId="6973" xr:uid="{00000000-0005-0000-0000-0000AE210000}"/>
    <cellStyle name="Data 4 5 17" xfId="6974" xr:uid="{00000000-0005-0000-0000-0000AF210000}"/>
    <cellStyle name="Data 4 5 17 2" xfId="6975" xr:uid="{00000000-0005-0000-0000-0000B0210000}"/>
    <cellStyle name="Data 4 5 18" xfId="6976" xr:uid="{00000000-0005-0000-0000-0000B1210000}"/>
    <cellStyle name="Data 4 5 2" xfId="6977" xr:uid="{00000000-0005-0000-0000-0000B2210000}"/>
    <cellStyle name="Data 4 5 2 10" xfId="6978" xr:uid="{00000000-0005-0000-0000-0000B3210000}"/>
    <cellStyle name="Data 4 5 2 2" xfId="6979" xr:uid="{00000000-0005-0000-0000-0000B4210000}"/>
    <cellStyle name="Data 4 5 2 2 2" xfId="6980" xr:uid="{00000000-0005-0000-0000-0000B5210000}"/>
    <cellStyle name="Data 4 5 2 3" xfId="6981" xr:uid="{00000000-0005-0000-0000-0000B6210000}"/>
    <cellStyle name="Data 4 5 2 3 2" xfId="6982" xr:uid="{00000000-0005-0000-0000-0000B7210000}"/>
    <cellStyle name="Data 4 5 2 4" xfId="6983" xr:uid="{00000000-0005-0000-0000-0000B8210000}"/>
    <cellStyle name="Data 4 5 2 4 2" xfId="6984" xr:uid="{00000000-0005-0000-0000-0000B9210000}"/>
    <cellStyle name="Data 4 5 2 5" xfId="6985" xr:uid="{00000000-0005-0000-0000-0000BA210000}"/>
    <cellStyle name="Data 4 5 2 5 2" xfId="6986" xr:uid="{00000000-0005-0000-0000-0000BB210000}"/>
    <cellStyle name="Data 4 5 2 6" xfId="6987" xr:uid="{00000000-0005-0000-0000-0000BC210000}"/>
    <cellStyle name="Data 4 5 2 6 2" xfId="6988" xr:uid="{00000000-0005-0000-0000-0000BD210000}"/>
    <cellStyle name="Data 4 5 2 7" xfId="6989" xr:uid="{00000000-0005-0000-0000-0000BE210000}"/>
    <cellStyle name="Data 4 5 2 7 2" xfId="6990" xr:uid="{00000000-0005-0000-0000-0000BF210000}"/>
    <cellStyle name="Data 4 5 2 8" xfId="6991" xr:uid="{00000000-0005-0000-0000-0000C0210000}"/>
    <cellStyle name="Data 4 5 2 8 2" xfId="6992" xr:uid="{00000000-0005-0000-0000-0000C1210000}"/>
    <cellStyle name="Data 4 5 2 9" xfId="6993" xr:uid="{00000000-0005-0000-0000-0000C2210000}"/>
    <cellStyle name="Data 4 5 2 9 2" xfId="6994" xr:uid="{00000000-0005-0000-0000-0000C3210000}"/>
    <cellStyle name="Data 4 5 3" xfId="6995" xr:uid="{00000000-0005-0000-0000-0000C4210000}"/>
    <cellStyle name="Data 4 5 3 10" xfId="6996" xr:uid="{00000000-0005-0000-0000-0000C5210000}"/>
    <cellStyle name="Data 4 5 3 2" xfId="6997" xr:uid="{00000000-0005-0000-0000-0000C6210000}"/>
    <cellStyle name="Data 4 5 3 2 2" xfId="6998" xr:uid="{00000000-0005-0000-0000-0000C7210000}"/>
    <cellStyle name="Data 4 5 3 3" xfId="6999" xr:uid="{00000000-0005-0000-0000-0000C8210000}"/>
    <cellStyle name="Data 4 5 3 3 2" xfId="7000" xr:uid="{00000000-0005-0000-0000-0000C9210000}"/>
    <cellStyle name="Data 4 5 3 4" xfId="7001" xr:uid="{00000000-0005-0000-0000-0000CA210000}"/>
    <cellStyle name="Data 4 5 3 4 2" xfId="7002" xr:uid="{00000000-0005-0000-0000-0000CB210000}"/>
    <cellStyle name="Data 4 5 3 5" xfId="7003" xr:uid="{00000000-0005-0000-0000-0000CC210000}"/>
    <cellStyle name="Data 4 5 3 5 2" xfId="7004" xr:uid="{00000000-0005-0000-0000-0000CD210000}"/>
    <cellStyle name="Data 4 5 3 6" xfId="7005" xr:uid="{00000000-0005-0000-0000-0000CE210000}"/>
    <cellStyle name="Data 4 5 3 6 2" xfId="7006" xr:uid="{00000000-0005-0000-0000-0000CF210000}"/>
    <cellStyle name="Data 4 5 3 7" xfId="7007" xr:uid="{00000000-0005-0000-0000-0000D0210000}"/>
    <cellStyle name="Data 4 5 3 7 2" xfId="7008" xr:uid="{00000000-0005-0000-0000-0000D1210000}"/>
    <cellStyle name="Data 4 5 3 8" xfId="7009" xr:uid="{00000000-0005-0000-0000-0000D2210000}"/>
    <cellStyle name="Data 4 5 3 8 2" xfId="7010" xr:uid="{00000000-0005-0000-0000-0000D3210000}"/>
    <cellStyle name="Data 4 5 3 9" xfId="7011" xr:uid="{00000000-0005-0000-0000-0000D4210000}"/>
    <cellStyle name="Data 4 5 3 9 2" xfId="7012" xr:uid="{00000000-0005-0000-0000-0000D5210000}"/>
    <cellStyle name="Data 4 5 4" xfId="7013" xr:uid="{00000000-0005-0000-0000-0000D6210000}"/>
    <cellStyle name="Data 4 5 4 10" xfId="7014" xr:uid="{00000000-0005-0000-0000-0000D7210000}"/>
    <cellStyle name="Data 4 5 4 2" xfId="7015" xr:uid="{00000000-0005-0000-0000-0000D8210000}"/>
    <cellStyle name="Data 4 5 4 2 2" xfId="7016" xr:uid="{00000000-0005-0000-0000-0000D9210000}"/>
    <cellStyle name="Data 4 5 4 3" xfId="7017" xr:uid="{00000000-0005-0000-0000-0000DA210000}"/>
    <cellStyle name="Data 4 5 4 3 2" xfId="7018" xr:uid="{00000000-0005-0000-0000-0000DB210000}"/>
    <cellStyle name="Data 4 5 4 4" xfId="7019" xr:uid="{00000000-0005-0000-0000-0000DC210000}"/>
    <cellStyle name="Data 4 5 4 4 2" xfId="7020" xr:uid="{00000000-0005-0000-0000-0000DD210000}"/>
    <cellStyle name="Data 4 5 4 5" xfId="7021" xr:uid="{00000000-0005-0000-0000-0000DE210000}"/>
    <cellStyle name="Data 4 5 4 5 2" xfId="7022" xr:uid="{00000000-0005-0000-0000-0000DF210000}"/>
    <cellStyle name="Data 4 5 4 6" xfId="7023" xr:uid="{00000000-0005-0000-0000-0000E0210000}"/>
    <cellStyle name="Data 4 5 4 6 2" xfId="7024" xr:uid="{00000000-0005-0000-0000-0000E1210000}"/>
    <cellStyle name="Data 4 5 4 7" xfId="7025" xr:uid="{00000000-0005-0000-0000-0000E2210000}"/>
    <cellStyle name="Data 4 5 4 7 2" xfId="7026" xr:uid="{00000000-0005-0000-0000-0000E3210000}"/>
    <cellStyle name="Data 4 5 4 8" xfId="7027" xr:uid="{00000000-0005-0000-0000-0000E4210000}"/>
    <cellStyle name="Data 4 5 4 8 2" xfId="7028" xr:uid="{00000000-0005-0000-0000-0000E5210000}"/>
    <cellStyle name="Data 4 5 4 9" xfId="7029" xr:uid="{00000000-0005-0000-0000-0000E6210000}"/>
    <cellStyle name="Data 4 5 4 9 2" xfId="7030" xr:uid="{00000000-0005-0000-0000-0000E7210000}"/>
    <cellStyle name="Data 4 5 5" xfId="7031" xr:uid="{00000000-0005-0000-0000-0000E8210000}"/>
    <cellStyle name="Data 4 5 5 10" xfId="7032" xr:uid="{00000000-0005-0000-0000-0000E9210000}"/>
    <cellStyle name="Data 4 5 5 2" xfId="7033" xr:uid="{00000000-0005-0000-0000-0000EA210000}"/>
    <cellStyle name="Data 4 5 5 2 2" xfId="7034" xr:uid="{00000000-0005-0000-0000-0000EB210000}"/>
    <cellStyle name="Data 4 5 5 3" xfId="7035" xr:uid="{00000000-0005-0000-0000-0000EC210000}"/>
    <cellStyle name="Data 4 5 5 3 2" xfId="7036" xr:uid="{00000000-0005-0000-0000-0000ED210000}"/>
    <cellStyle name="Data 4 5 5 4" xfId="7037" xr:uid="{00000000-0005-0000-0000-0000EE210000}"/>
    <cellStyle name="Data 4 5 5 4 2" xfId="7038" xr:uid="{00000000-0005-0000-0000-0000EF210000}"/>
    <cellStyle name="Data 4 5 5 5" xfId="7039" xr:uid="{00000000-0005-0000-0000-0000F0210000}"/>
    <cellStyle name="Data 4 5 5 5 2" xfId="7040" xr:uid="{00000000-0005-0000-0000-0000F1210000}"/>
    <cellStyle name="Data 4 5 5 6" xfId="7041" xr:uid="{00000000-0005-0000-0000-0000F2210000}"/>
    <cellStyle name="Data 4 5 5 6 2" xfId="7042" xr:uid="{00000000-0005-0000-0000-0000F3210000}"/>
    <cellStyle name="Data 4 5 5 7" xfId="7043" xr:uid="{00000000-0005-0000-0000-0000F4210000}"/>
    <cellStyle name="Data 4 5 5 7 2" xfId="7044" xr:uid="{00000000-0005-0000-0000-0000F5210000}"/>
    <cellStyle name="Data 4 5 5 8" xfId="7045" xr:uid="{00000000-0005-0000-0000-0000F6210000}"/>
    <cellStyle name="Data 4 5 5 8 2" xfId="7046" xr:uid="{00000000-0005-0000-0000-0000F7210000}"/>
    <cellStyle name="Data 4 5 5 9" xfId="7047" xr:uid="{00000000-0005-0000-0000-0000F8210000}"/>
    <cellStyle name="Data 4 5 5 9 2" xfId="7048" xr:uid="{00000000-0005-0000-0000-0000F9210000}"/>
    <cellStyle name="Data 4 5 6" xfId="7049" xr:uid="{00000000-0005-0000-0000-0000FA210000}"/>
    <cellStyle name="Data 4 5 6 10" xfId="7050" xr:uid="{00000000-0005-0000-0000-0000FB210000}"/>
    <cellStyle name="Data 4 5 6 2" xfId="7051" xr:uid="{00000000-0005-0000-0000-0000FC210000}"/>
    <cellStyle name="Data 4 5 6 2 2" xfId="7052" xr:uid="{00000000-0005-0000-0000-0000FD210000}"/>
    <cellStyle name="Data 4 5 6 3" xfId="7053" xr:uid="{00000000-0005-0000-0000-0000FE210000}"/>
    <cellStyle name="Data 4 5 6 3 2" xfId="7054" xr:uid="{00000000-0005-0000-0000-0000FF210000}"/>
    <cellStyle name="Data 4 5 6 4" xfId="7055" xr:uid="{00000000-0005-0000-0000-000000220000}"/>
    <cellStyle name="Data 4 5 6 4 2" xfId="7056" xr:uid="{00000000-0005-0000-0000-000001220000}"/>
    <cellStyle name="Data 4 5 6 5" xfId="7057" xr:uid="{00000000-0005-0000-0000-000002220000}"/>
    <cellStyle name="Data 4 5 6 5 2" xfId="7058" xr:uid="{00000000-0005-0000-0000-000003220000}"/>
    <cellStyle name="Data 4 5 6 6" xfId="7059" xr:uid="{00000000-0005-0000-0000-000004220000}"/>
    <cellStyle name="Data 4 5 6 6 2" xfId="7060" xr:uid="{00000000-0005-0000-0000-000005220000}"/>
    <cellStyle name="Data 4 5 6 7" xfId="7061" xr:uid="{00000000-0005-0000-0000-000006220000}"/>
    <cellStyle name="Data 4 5 6 7 2" xfId="7062" xr:uid="{00000000-0005-0000-0000-000007220000}"/>
    <cellStyle name="Data 4 5 6 8" xfId="7063" xr:uid="{00000000-0005-0000-0000-000008220000}"/>
    <cellStyle name="Data 4 5 6 8 2" xfId="7064" xr:uid="{00000000-0005-0000-0000-000009220000}"/>
    <cellStyle name="Data 4 5 6 9" xfId="7065" xr:uid="{00000000-0005-0000-0000-00000A220000}"/>
    <cellStyle name="Data 4 5 6 9 2" xfId="7066" xr:uid="{00000000-0005-0000-0000-00000B220000}"/>
    <cellStyle name="Data 4 5 7" xfId="7067" xr:uid="{00000000-0005-0000-0000-00000C220000}"/>
    <cellStyle name="Data 4 5 7 10" xfId="7068" xr:uid="{00000000-0005-0000-0000-00000D220000}"/>
    <cellStyle name="Data 4 5 7 2" xfId="7069" xr:uid="{00000000-0005-0000-0000-00000E220000}"/>
    <cellStyle name="Data 4 5 7 2 2" xfId="7070" xr:uid="{00000000-0005-0000-0000-00000F220000}"/>
    <cellStyle name="Data 4 5 7 3" xfId="7071" xr:uid="{00000000-0005-0000-0000-000010220000}"/>
    <cellStyle name="Data 4 5 7 3 2" xfId="7072" xr:uid="{00000000-0005-0000-0000-000011220000}"/>
    <cellStyle name="Data 4 5 7 4" xfId="7073" xr:uid="{00000000-0005-0000-0000-000012220000}"/>
    <cellStyle name="Data 4 5 7 4 2" xfId="7074" xr:uid="{00000000-0005-0000-0000-000013220000}"/>
    <cellStyle name="Data 4 5 7 5" xfId="7075" xr:uid="{00000000-0005-0000-0000-000014220000}"/>
    <cellStyle name="Data 4 5 7 5 2" xfId="7076" xr:uid="{00000000-0005-0000-0000-000015220000}"/>
    <cellStyle name="Data 4 5 7 6" xfId="7077" xr:uid="{00000000-0005-0000-0000-000016220000}"/>
    <cellStyle name="Data 4 5 7 6 2" xfId="7078" xr:uid="{00000000-0005-0000-0000-000017220000}"/>
    <cellStyle name="Data 4 5 7 7" xfId="7079" xr:uid="{00000000-0005-0000-0000-000018220000}"/>
    <cellStyle name="Data 4 5 7 7 2" xfId="7080" xr:uid="{00000000-0005-0000-0000-000019220000}"/>
    <cellStyle name="Data 4 5 7 8" xfId="7081" xr:uid="{00000000-0005-0000-0000-00001A220000}"/>
    <cellStyle name="Data 4 5 7 8 2" xfId="7082" xr:uid="{00000000-0005-0000-0000-00001B220000}"/>
    <cellStyle name="Data 4 5 7 9" xfId="7083" xr:uid="{00000000-0005-0000-0000-00001C220000}"/>
    <cellStyle name="Data 4 5 7 9 2" xfId="7084" xr:uid="{00000000-0005-0000-0000-00001D220000}"/>
    <cellStyle name="Data 4 5 8" xfId="7085" xr:uid="{00000000-0005-0000-0000-00001E220000}"/>
    <cellStyle name="Data 4 5 8 10" xfId="7086" xr:uid="{00000000-0005-0000-0000-00001F220000}"/>
    <cellStyle name="Data 4 5 8 2" xfId="7087" xr:uid="{00000000-0005-0000-0000-000020220000}"/>
    <cellStyle name="Data 4 5 8 2 2" xfId="7088" xr:uid="{00000000-0005-0000-0000-000021220000}"/>
    <cellStyle name="Data 4 5 8 3" xfId="7089" xr:uid="{00000000-0005-0000-0000-000022220000}"/>
    <cellStyle name="Data 4 5 8 3 2" xfId="7090" xr:uid="{00000000-0005-0000-0000-000023220000}"/>
    <cellStyle name="Data 4 5 8 4" xfId="7091" xr:uid="{00000000-0005-0000-0000-000024220000}"/>
    <cellStyle name="Data 4 5 8 4 2" xfId="7092" xr:uid="{00000000-0005-0000-0000-000025220000}"/>
    <cellStyle name="Data 4 5 8 5" xfId="7093" xr:uid="{00000000-0005-0000-0000-000026220000}"/>
    <cellStyle name="Data 4 5 8 5 2" xfId="7094" xr:uid="{00000000-0005-0000-0000-000027220000}"/>
    <cellStyle name="Data 4 5 8 6" xfId="7095" xr:uid="{00000000-0005-0000-0000-000028220000}"/>
    <cellStyle name="Data 4 5 8 6 2" xfId="7096" xr:uid="{00000000-0005-0000-0000-000029220000}"/>
    <cellStyle name="Data 4 5 8 7" xfId="7097" xr:uid="{00000000-0005-0000-0000-00002A220000}"/>
    <cellStyle name="Data 4 5 8 7 2" xfId="7098" xr:uid="{00000000-0005-0000-0000-00002B220000}"/>
    <cellStyle name="Data 4 5 8 8" xfId="7099" xr:uid="{00000000-0005-0000-0000-00002C220000}"/>
    <cellStyle name="Data 4 5 8 8 2" xfId="7100" xr:uid="{00000000-0005-0000-0000-00002D220000}"/>
    <cellStyle name="Data 4 5 8 9" xfId="7101" xr:uid="{00000000-0005-0000-0000-00002E220000}"/>
    <cellStyle name="Data 4 5 8 9 2" xfId="7102" xr:uid="{00000000-0005-0000-0000-00002F220000}"/>
    <cellStyle name="Data 4 5 9" xfId="7103" xr:uid="{00000000-0005-0000-0000-000030220000}"/>
    <cellStyle name="Data 4 5 9 10" xfId="7104" xr:uid="{00000000-0005-0000-0000-000031220000}"/>
    <cellStyle name="Data 4 5 9 2" xfId="7105" xr:uid="{00000000-0005-0000-0000-000032220000}"/>
    <cellStyle name="Data 4 5 9 2 2" xfId="7106" xr:uid="{00000000-0005-0000-0000-000033220000}"/>
    <cellStyle name="Data 4 5 9 3" xfId="7107" xr:uid="{00000000-0005-0000-0000-000034220000}"/>
    <cellStyle name="Data 4 5 9 3 2" xfId="7108" xr:uid="{00000000-0005-0000-0000-000035220000}"/>
    <cellStyle name="Data 4 5 9 4" xfId="7109" xr:uid="{00000000-0005-0000-0000-000036220000}"/>
    <cellStyle name="Data 4 5 9 4 2" xfId="7110" xr:uid="{00000000-0005-0000-0000-000037220000}"/>
    <cellStyle name="Data 4 5 9 5" xfId="7111" xr:uid="{00000000-0005-0000-0000-000038220000}"/>
    <cellStyle name="Data 4 5 9 5 2" xfId="7112" xr:uid="{00000000-0005-0000-0000-000039220000}"/>
    <cellStyle name="Data 4 5 9 6" xfId="7113" xr:uid="{00000000-0005-0000-0000-00003A220000}"/>
    <cellStyle name="Data 4 5 9 6 2" xfId="7114" xr:uid="{00000000-0005-0000-0000-00003B220000}"/>
    <cellStyle name="Data 4 5 9 7" xfId="7115" xr:uid="{00000000-0005-0000-0000-00003C220000}"/>
    <cellStyle name="Data 4 5 9 7 2" xfId="7116" xr:uid="{00000000-0005-0000-0000-00003D220000}"/>
    <cellStyle name="Data 4 5 9 8" xfId="7117" xr:uid="{00000000-0005-0000-0000-00003E220000}"/>
    <cellStyle name="Data 4 5 9 8 2" xfId="7118" xr:uid="{00000000-0005-0000-0000-00003F220000}"/>
    <cellStyle name="Data 4 5 9 9" xfId="7119" xr:uid="{00000000-0005-0000-0000-000040220000}"/>
    <cellStyle name="Data 4 5 9 9 2" xfId="7120" xr:uid="{00000000-0005-0000-0000-000041220000}"/>
    <cellStyle name="Data 4 6" xfId="7121" xr:uid="{00000000-0005-0000-0000-000042220000}"/>
    <cellStyle name="Data 4 6 10" xfId="7122" xr:uid="{00000000-0005-0000-0000-000043220000}"/>
    <cellStyle name="Data 4 6 10 2" xfId="7123" xr:uid="{00000000-0005-0000-0000-000044220000}"/>
    <cellStyle name="Data 4 6 10 2 2" xfId="7124" xr:uid="{00000000-0005-0000-0000-000045220000}"/>
    <cellStyle name="Data 4 6 10 3" xfId="7125" xr:uid="{00000000-0005-0000-0000-000046220000}"/>
    <cellStyle name="Data 4 6 10 3 2" xfId="7126" xr:uid="{00000000-0005-0000-0000-000047220000}"/>
    <cellStyle name="Data 4 6 10 4" xfId="7127" xr:uid="{00000000-0005-0000-0000-000048220000}"/>
    <cellStyle name="Data 4 6 10 4 2" xfId="7128" xr:uid="{00000000-0005-0000-0000-000049220000}"/>
    <cellStyle name="Data 4 6 10 5" xfId="7129" xr:uid="{00000000-0005-0000-0000-00004A220000}"/>
    <cellStyle name="Data 4 6 10 5 2" xfId="7130" xr:uid="{00000000-0005-0000-0000-00004B220000}"/>
    <cellStyle name="Data 4 6 10 6" xfId="7131" xr:uid="{00000000-0005-0000-0000-00004C220000}"/>
    <cellStyle name="Data 4 6 10 6 2" xfId="7132" xr:uid="{00000000-0005-0000-0000-00004D220000}"/>
    <cellStyle name="Data 4 6 10 7" xfId="7133" xr:uid="{00000000-0005-0000-0000-00004E220000}"/>
    <cellStyle name="Data 4 6 10 7 2" xfId="7134" xr:uid="{00000000-0005-0000-0000-00004F220000}"/>
    <cellStyle name="Data 4 6 10 8" xfId="7135" xr:uid="{00000000-0005-0000-0000-000050220000}"/>
    <cellStyle name="Data 4 6 10 8 2" xfId="7136" xr:uid="{00000000-0005-0000-0000-000051220000}"/>
    <cellStyle name="Data 4 6 10 9" xfId="7137" xr:uid="{00000000-0005-0000-0000-000052220000}"/>
    <cellStyle name="Data 4 6 11" xfId="7138" xr:uid="{00000000-0005-0000-0000-000053220000}"/>
    <cellStyle name="Data 4 6 11 2" xfId="7139" xr:uid="{00000000-0005-0000-0000-000054220000}"/>
    <cellStyle name="Data 4 6 12" xfId="7140" xr:uid="{00000000-0005-0000-0000-000055220000}"/>
    <cellStyle name="Data 4 6 12 2" xfId="7141" xr:uid="{00000000-0005-0000-0000-000056220000}"/>
    <cellStyle name="Data 4 6 13" xfId="7142" xr:uid="{00000000-0005-0000-0000-000057220000}"/>
    <cellStyle name="Data 4 6 13 2" xfId="7143" xr:uid="{00000000-0005-0000-0000-000058220000}"/>
    <cellStyle name="Data 4 6 14" xfId="7144" xr:uid="{00000000-0005-0000-0000-000059220000}"/>
    <cellStyle name="Data 4 6 14 2" xfId="7145" xr:uid="{00000000-0005-0000-0000-00005A220000}"/>
    <cellStyle name="Data 4 6 15" xfId="7146" xr:uid="{00000000-0005-0000-0000-00005B220000}"/>
    <cellStyle name="Data 4 6 15 2" xfId="7147" xr:uid="{00000000-0005-0000-0000-00005C220000}"/>
    <cellStyle name="Data 4 6 16" xfId="7148" xr:uid="{00000000-0005-0000-0000-00005D220000}"/>
    <cellStyle name="Data 4 6 16 2" xfId="7149" xr:uid="{00000000-0005-0000-0000-00005E220000}"/>
    <cellStyle name="Data 4 6 17" xfId="7150" xr:uid="{00000000-0005-0000-0000-00005F220000}"/>
    <cellStyle name="Data 4 6 17 2" xfId="7151" xr:uid="{00000000-0005-0000-0000-000060220000}"/>
    <cellStyle name="Data 4 6 18" xfId="7152" xr:uid="{00000000-0005-0000-0000-000061220000}"/>
    <cellStyle name="Data 4 6 2" xfId="7153" xr:uid="{00000000-0005-0000-0000-000062220000}"/>
    <cellStyle name="Data 4 6 2 10" xfId="7154" xr:uid="{00000000-0005-0000-0000-000063220000}"/>
    <cellStyle name="Data 4 6 2 2" xfId="7155" xr:uid="{00000000-0005-0000-0000-000064220000}"/>
    <cellStyle name="Data 4 6 2 2 2" xfId="7156" xr:uid="{00000000-0005-0000-0000-000065220000}"/>
    <cellStyle name="Data 4 6 2 3" xfId="7157" xr:uid="{00000000-0005-0000-0000-000066220000}"/>
    <cellStyle name="Data 4 6 2 3 2" xfId="7158" xr:uid="{00000000-0005-0000-0000-000067220000}"/>
    <cellStyle name="Data 4 6 2 4" xfId="7159" xr:uid="{00000000-0005-0000-0000-000068220000}"/>
    <cellStyle name="Data 4 6 2 4 2" xfId="7160" xr:uid="{00000000-0005-0000-0000-000069220000}"/>
    <cellStyle name="Data 4 6 2 5" xfId="7161" xr:uid="{00000000-0005-0000-0000-00006A220000}"/>
    <cellStyle name="Data 4 6 2 5 2" xfId="7162" xr:uid="{00000000-0005-0000-0000-00006B220000}"/>
    <cellStyle name="Data 4 6 2 6" xfId="7163" xr:uid="{00000000-0005-0000-0000-00006C220000}"/>
    <cellStyle name="Data 4 6 2 6 2" xfId="7164" xr:uid="{00000000-0005-0000-0000-00006D220000}"/>
    <cellStyle name="Data 4 6 2 7" xfId="7165" xr:uid="{00000000-0005-0000-0000-00006E220000}"/>
    <cellStyle name="Data 4 6 2 7 2" xfId="7166" xr:uid="{00000000-0005-0000-0000-00006F220000}"/>
    <cellStyle name="Data 4 6 2 8" xfId="7167" xr:uid="{00000000-0005-0000-0000-000070220000}"/>
    <cellStyle name="Data 4 6 2 8 2" xfId="7168" xr:uid="{00000000-0005-0000-0000-000071220000}"/>
    <cellStyle name="Data 4 6 2 9" xfId="7169" xr:uid="{00000000-0005-0000-0000-000072220000}"/>
    <cellStyle name="Data 4 6 2 9 2" xfId="7170" xr:uid="{00000000-0005-0000-0000-000073220000}"/>
    <cellStyle name="Data 4 6 3" xfId="7171" xr:uid="{00000000-0005-0000-0000-000074220000}"/>
    <cellStyle name="Data 4 6 3 10" xfId="7172" xr:uid="{00000000-0005-0000-0000-000075220000}"/>
    <cellStyle name="Data 4 6 3 2" xfId="7173" xr:uid="{00000000-0005-0000-0000-000076220000}"/>
    <cellStyle name="Data 4 6 3 2 2" xfId="7174" xr:uid="{00000000-0005-0000-0000-000077220000}"/>
    <cellStyle name="Data 4 6 3 3" xfId="7175" xr:uid="{00000000-0005-0000-0000-000078220000}"/>
    <cellStyle name="Data 4 6 3 3 2" xfId="7176" xr:uid="{00000000-0005-0000-0000-000079220000}"/>
    <cellStyle name="Data 4 6 3 4" xfId="7177" xr:uid="{00000000-0005-0000-0000-00007A220000}"/>
    <cellStyle name="Data 4 6 3 4 2" xfId="7178" xr:uid="{00000000-0005-0000-0000-00007B220000}"/>
    <cellStyle name="Data 4 6 3 5" xfId="7179" xr:uid="{00000000-0005-0000-0000-00007C220000}"/>
    <cellStyle name="Data 4 6 3 5 2" xfId="7180" xr:uid="{00000000-0005-0000-0000-00007D220000}"/>
    <cellStyle name="Data 4 6 3 6" xfId="7181" xr:uid="{00000000-0005-0000-0000-00007E220000}"/>
    <cellStyle name="Data 4 6 3 6 2" xfId="7182" xr:uid="{00000000-0005-0000-0000-00007F220000}"/>
    <cellStyle name="Data 4 6 3 7" xfId="7183" xr:uid="{00000000-0005-0000-0000-000080220000}"/>
    <cellStyle name="Data 4 6 3 7 2" xfId="7184" xr:uid="{00000000-0005-0000-0000-000081220000}"/>
    <cellStyle name="Data 4 6 3 8" xfId="7185" xr:uid="{00000000-0005-0000-0000-000082220000}"/>
    <cellStyle name="Data 4 6 3 8 2" xfId="7186" xr:uid="{00000000-0005-0000-0000-000083220000}"/>
    <cellStyle name="Data 4 6 3 9" xfId="7187" xr:uid="{00000000-0005-0000-0000-000084220000}"/>
    <cellStyle name="Data 4 6 3 9 2" xfId="7188" xr:uid="{00000000-0005-0000-0000-000085220000}"/>
    <cellStyle name="Data 4 6 4" xfId="7189" xr:uid="{00000000-0005-0000-0000-000086220000}"/>
    <cellStyle name="Data 4 6 4 10" xfId="7190" xr:uid="{00000000-0005-0000-0000-000087220000}"/>
    <cellStyle name="Data 4 6 4 2" xfId="7191" xr:uid="{00000000-0005-0000-0000-000088220000}"/>
    <cellStyle name="Data 4 6 4 2 2" xfId="7192" xr:uid="{00000000-0005-0000-0000-000089220000}"/>
    <cellStyle name="Data 4 6 4 3" xfId="7193" xr:uid="{00000000-0005-0000-0000-00008A220000}"/>
    <cellStyle name="Data 4 6 4 3 2" xfId="7194" xr:uid="{00000000-0005-0000-0000-00008B220000}"/>
    <cellStyle name="Data 4 6 4 4" xfId="7195" xr:uid="{00000000-0005-0000-0000-00008C220000}"/>
    <cellStyle name="Data 4 6 4 4 2" xfId="7196" xr:uid="{00000000-0005-0000-0000-00008D220000}"/>
    <cellStyle name="Data 4 6 4 5" xfId="7197" xr:uid="{00000000-0005-0000-0000-00008E220000}"/>
    <cellStyle name="Data 4 6 4 5 2" xfId="7198" xr:uid="{00000000-0005-0000-0000-00008F220000}"/>
    <cellStyle name="Data 4 6 4 6" xfId="7199" xr:uid="{00000000-0005-0000-0000-000090220000}"/>
    <cellStyle name="Data 4 6 4 6 2" xfId="7200" xr:uid="{00000000-0005-0000-0000-000091220000}"/>
    <cellStyle name="Data 4 6 4 7" xfId="7201" xr:uid="{00000000-0005-0000-0000-000092220000}"/>
    <cellStyle name="Data 4 6 4 7 2" xfId="7202" xr:uid="{00000000-0005-0000-0000-000093220000}"/>
    <cellStyle name="Data 4 6 4 8" xfId="7203" xr:uid="{00000000-0005-0000-0000-000094220000}"/>
    <cellStyle name="Data 4 6 4 8 2" xfId="7204" xr:uid="{00000000-0005-0000-0000-000095220000}"/>
    <cellStyle name="Data 4 6 4 9" xfId="7205" xr:uid="{00000000-0005-0000-0000-000096220000}"/>
    <cellStyle name="Data 4 6 4 9 2" xfId="7206" xr:uid="{00000000-0005-0000-0000-000097220000}"/>
    <cellStyle name="Data 4 6 5" xfId="7207" xr:uid="{00000000-0005-0000-0000-000098220000}"/>
    <cellStyle name="Data 4 6 5 10" xfId="7208" xr:uid="{00000000-0005-0000-0000-000099220000}"/>
    <cellStyle name="Data 4 6 5 2" xfId="7209" xr:uid="{00000000-0005-0000-0000-00009A220000}"/>
    <cellStyle name="Data 4 6 5 2 2" xfId="7210" xr:uid="{00000000-0005-0000-0000-00009B220000}"/>
    <cellStyle name="Data 4 6 5 3" xfId="7211" xr:uid="{00000000-0005-0000-0000-00009C220000}"/>
    <cellStyle name="Data 4 6 5 3 2" xfId="7212" xr:uid="{00000000-0005-0000-0000-00009D220000}"/>
    <cellStyle name="Data 4 6 5 4" xfId="7213" xr:uid="{00000000-0005-0000-0000-00009E220000}"/>
    <cellStyle name="Data 4 6 5 4 2" xfId="7214" xr:uid="{00000000-0005-0000-0000-00009F220000}"/>
    <cellStyle name="Data 4 6 5 5" xfId="7215" xr:uid="{00000000-0005-0000-0000-0000A0220000}"/>
    <cellStyle name="Data 4 6 5 5 2" xfId="7216" xr:uid="{00000000-0005-0000-0000-0000A1220000}"/>
    <cellStyle name="Data 4 6 5 6" xfId="7217" xr:uid="{00000000-0005-0000-0000-0000A2220000}"/>
    <cellStyle name="Data 4 6 5 6 2" xfId="7218" xr:uid="{00000000-0005-0000-0000-0000A3220000}"/>
    <cellStyle name="Data 4 6 5 7" xfId="7219" xr:uid="{00000000-0005-0000-0000-0000A4220000}"/>
    <cellStyle name="Data 4 6 5 7 2" xfId="7220" xr:uid="{00000000-0005-0000-0000-0000A5220000}"/>
    <cellStyle name="Data 4 6 5 8" xfId="7221" xr:uid="{00000000-0005-0000-0000-0000A6220000}"/>
    <cellStyle name="Data 4 6 5 8 2" xfId="7222" xr:uid="{00000000-0005-0000-0000-0000A7220000}"/>
    <cellStyle name="Data 4 6 5 9" xfId="7223" xr:uid="{00000000-0005-0000-0000-0000A8220000}"/>
    <cellStyle name="Data 4 6 5 9 2" xfId="7224" xr:uid="{00000000-0005-0000-0000-0000A9220000}"/>
    <cellStyle name="Data 4 6 6" xfId="7225" xr:uid="{00000000-0005-0000-0000-0000AA220000}"/>
    <cellStyle name="Data 4 6 6 10" xfId="7226" xr:uid="{00000000-0005-0000-0000-0000AB220000}"/>
    <cellStyle name="Data 4 6 6 2" xfId="7227" xr:uid="{00000000-0005-0000-0000-0000AC220000}"/>
    <cellStyle name="Data 4 6 6 2 2" xfId="7228" xr:uid="{00000000-0005-0000-0000-0000AD220000}"/>
    <cellStyle name="Data 4 6 6 3" xfId="7229" xr:uid="{00000000-0005-0000-0000-0000AE220000}"/>
    <cellStyle name="Data 4 6 6 3 2" xfId="7230" xr:uid="{00000000-0005-0000-0000-0000AF220000}"/>
    <cellStyle name="Data 4 6 6 4" xfId="7231" xr:uid="{00000000-0005-0000-0000-0000B0220000}"/>
    <cellStyle name="Data 4 6 6 4 2" xfId="7232" xr:uid="{00000000-0005-0000-0000-0000B1220000}"/>
    <cellStyle name="Data 4 6 6 5" xfId="7233" xr:uid="{00000000-0005-0000-0000-0000B2220000}"/>
    <cellStyle name="Data 4 6 6 5 2" xfId="7234" xr:uid="{00000000-0005-0000-0000-0000B3220000}"/>
    <cellStyle name="Data 4 6 6 6" xfId="7235" xr:uid="{00000000-0005-0000-0000-0000B4220000}"/>
    <cellStyle name="Data 4 6 6 6 2" xfId="7236" xr:uid="{00000000-0005-0000-0000-0000B5220000}"/>
    <cellStyle name="Data 4 6 6 7" xfId="7237" xr:uid="{00000000-0005-0000-0000-0000B6220000}"/>
    <cellStyle name="Data 4 6 6 7 2" xfId="7238" xr:uid="{00000000-0005-0000-0000-0000B7220000}"/>
    <cellStyle name="Data 4 6 6 8" xfId="7239" xr:uid="{00000000-0005-0000-0000-0000B8220000}"/>
    <cellStyle name="Data 4 6 6 8 2" xfId="7240" xr:uid="{00000000-0005-0000-0000-0000B9220000}"/>
    <cellStyle name="Data 4 6 6 9" xfId="7241" xr:uid="{00000000-0005-0000-0000-0000BA220000}"/>
    <cellStyle name="Data 4 6 6 9 2" xfId="7242" xr:uid="{00000000-0005-0000-0000-0000BB220000}"/>
    <cellStyle name="Data 4 6 7" xfId="7243" xr:uid="{00000000-0005-0000-0000-0000BC220000}"/>
    <cellStyle name="Data 4 6 7 10" xfId="7244" xr:uid="{00000000-0005-0000-0000-0000BD220000}"/>
    <cellStyle name="Data 4 6 7 2" xfId="7245" xr:uid="{00000000-0005-0000-0000-0000BE220000}"/>
    <cellStyle name="Data 4 6 7 2 2" xfId="7246" xr:uid="{00000000-0005-0000-0000-0000BF220000}"/>
    <cellStyle name="Data 4 6 7 3" xfId="7247" xr:uid="{00000000-0005-0000-0000-0000C0220000}"/>
    <cellStyle name="Data 4 6 7 3 2" xfId="7248" xr:uid="{00000000-0005-0000-0000-0000C1220000}"/>
    <cellStyle name="Data 4 6 7 4" xfId="7249" xr:uid="{00000000-0005-0000-0000-0000C2220000}"/>
    <cellStyle name="Data 4 6 7 4 2" xfId="7250" xr:uid="{00000000-0005-0000-0000-0000C3220000}"/>
    <cellStyle name="Data 4 6 7 5" xfId="7251" xr:uid="{00000000-0005-0000-0000-0000C4220000}"/>
    <cellStyle name="Data 4 6 7 5 2" xfId="7252" xr:uid="{00000000-0005-0000-0000-0000C5220000}"/>
    <cellStyle name="Data 4 6 7 6" xfId="7253" xr:uid="{00000000-0005-0000-0000-0000C6220000}"/>
    <cellStyle name="Data 4 6 7 6 2" xfId="7254" xr:uid="{00000000-0005-0000-0000-0000C7220000}"/>
    <cellStyle name="Data 4 6 7 7" xfId="7255" xr:uid="{00000000-0005-0000-0000-0000C8220000}"/>
    <cellStyle name="Data 4 6 7 7 2" xfId="7256" xr:uid="{00000000-0005-0000-0000-0000C9220000}"/>
    <cellStyle name="Data 4 6 7 8" xfId="7257" xr:uid="{00000000-0005-0000-0000-0000CA220000}"/>
    <cellStyle name="Data 4 6 7 8 2" xfId="7258" xr:uid="{00000000-0005-0000-0000-0000CB220000}"/>
    <cellStyle name="Data 4 6 7 9" xfId="7259" xr:uid="{00000000-0005-0000-0000-0000CC220000}"/>
    <cellStyle name="Data 4 6 7 9 2" xfId="7260" xr:uid="{00000000-0005-0000-0000-0000CD220000}"/>
    <cellStyle name="Data 4 6 8" xfId="7261" xr:uid="{00000000-0005-0000-0000-0000CE220000}"/>
    <cellStyle name="Data 4 6 8 10" xfId="7262" xr:uid="{00000000-0005-0000-0000-0000CF220000}"/>
    <cellStyle name="Data 4 6 8 2" xfId="7263" xr:uid="{00000000-0005-0000-0000-0000D0220000}"/>
    <cellStyle name="Data 4 6 8 2 2" xfId="7264" xr:uid="{00000000-0005-0000-0000-0000D1220000}"/>
    <cellStyle name="Data 4 6 8 3" xfId="7265" xr:uid="{00000000-0005-0000-0000-0000D2220000}"/>
    <cellStyle name="Data 4 6 8 3 2" xfId="7266" xr:uid="{00000000-0005-0000-0000-0000D3220000}"/>
    <cellStyle name="Data 4 6 8 4" xfId="7267" xr:uid="{00000000-0005-0000-0000-0000D4220000}"/>
    <cellStyle name="Data 4 6 8 4 2" xfId="7268" xr:uid="{00000000-0005-0000-0000-0000D5220000}"/>
    <cellStyle name="Data 4 6 8 5" xfId="7269" xr:uid="{00000000-0005-0000-0000-0000D6220000}"/>
    <cellStyle name="Data 4 6 8 5 2" xfId="7270" xr:uid="{00000000-0005-0000-0000-0000D7220000}"/>
    <cellStyle name="Data 4 6 8 6" xfId="7271" xr:uid="{00000000-0005-0000-0000-0000D8220000}"/>
    <cellStyle name="Data 4 6 8 6 2" xfId="7272" xr:uid="{00000000-0005-0000-0000-0000D9220000}"/>
    <cellStyle name="Data 4 6 8 7" xfId="7273" xr:uid="{00000000-0005-0000-0000-0000DA220000}"/>
    <cellStyle name="Data 4 6 8 7 2" xfId="7274" xr:uid="{00000000-0005-0000-0000-0000DB220000}"/>
    <cellStyle name="Data 4 6 8 8" xfId="7275" xr:uid="{00000000-0005-0000-0000-0000DC220000}"/>
    <cellStyle name="Data 4 6 8 8 2" xfId="7276" xr:uid="{00000000-0005-0000-0000-0000DD220000}"/>
    <cellStyle name="Data 4 6 8 9" xfId="7277" xr:uid="{00000000-0005-0000-0000-0000DE220000}"/>
    <cellStyle name="Data 4 6 8 9 2" xfId="7278" xr:uid="{00000000-0005-0000-0000-0000DF220000}"/>
    <cellStyle name="Data 4 6 9" xfId="7279" xr:uid="{00000000-0005-0000-0000-0000E0220000}"/>
    <cellStyle name="Data 4 6 9 10" xfId="7280" xr:uid="{00000000-0005-0000-0000-0000E1220000}"/>
    <cellStyle name="Data 4 6 9 2" xfId="7281" xr:uid="{00000000-0005-0000-0000-0000E2220000}"/>
    <cellStyle name="Data 4 6 9 2 2" xfId="7282" xr:uid="{00000000-0005-0000-0000-0000E3220000}"/>
    <cellStyle name="Data 4 6 9 3" xfId="7283" xr:uid="{00000000-0005-0000-0000-0000E4220000}"/>
    <cellStyle name="Data 4 6 9 3 2" xfId="7284" xr:uid="{00000000-0005-0000-0000-0000E5220000}"/>
    <cellStyle name="Data 4 6 9 4" xfId="7285" xr:uid="{00000000-0005-0000-0000-0000E6220000}"/>
    <cellStyle name="Data 4 6 9 4 2" xfId="7286" xr:uid="{00000000-0005-0000-0000-0000E7220000}"/>
    <cellStyle name="Data 4 6 9 5" xfId="7287" xr:uid="{00000000-0005-0000-0000-0000E8220000}"/>
    <cellStyle name="Data 4 6 9 5 2" xfId="7288" xr:uid="{00000000-0005-0000-0000-0000E9220000}"/>
    <cellStyle name="Data 4 6 9 6" xfId="7289" xr:uid="{00000000-0005-0000-0000-0000EA220000}"/>
    <cellStyle name="Data 4 6 9 6 2" xfId="7290" xr:uid="{00000000-0005-0000-0000-0000EB220000}"/>
    <cellStyle name="Data 4 6 9 7" xfId="7291" xr:uid="{00000000-0005-0000-0000-0000EC220000}"/>
    <cellStyle name="Data 4 6 9 7 2" xfId="7292" xr:uid="{00000000-0005-0000-0000-0000ED220000}"/>
    <cellStyle name="Data 4 6 9 8" xfId="7293" xr:uid="{00000000-0005-0000-0000-0000EE220000}"/>
    <cellStyle name="Data 4 6 9 8 2" xfId="7294" xr:uid="{00000000-0005-0000-0000-0000EF220000}"/>
    <cellStyle name="Data 4 6 9 9" xfId="7295" xr:uid="{00000000-0005-0000-0000-0000F0220000}"/>
    <cellStyle name="Data 4 6 9 9 2" xfId="7296" xr:uid="{00000000-0005-0000-0000-0000F1220000}"/>
    <cellStyle name="Data 4 7" xfId="7297" xr:uid="{00000000-0005-0000-0000-0000F2220000}"/>
    <cellStyle name="Data 4 7 10" xfId="7298" xr:uid="{00000000-0005-0000-0000-0000F3220000}"/>
    <cellStyle name="Data 4 7 10 2" xfId="7299" xr:uid="{00000000-0005-0000-0000-0000F4220000}"/>
    <cellStyle name="Data 4 7 10 2 2" xfId="7300" xr:uid="{00000000-0005-0000-0000-0000F5220000}"/>
    <cellStyle name="Data 4 7 10 3" xfId="7301" xr:uid="{00000000-0005-0000-0000-0000F6220000}"/>
    <cellStyle name="Data 4 7 10 3 2" xfId="7302" xr:uid="{00000000-0005-0000-0000-0000F7220000}"/>
    <cellStyle name="Data 4 7 10 4" xfId="7303" xr:uid="{00000000-0005-0000-0000-0000F8220000}"/>
    <cellStyle name="Data 4 7 10 4 2" xfId="7304" xr:uid="{00000000-0005-0000-0000-0000F9220000}"/>
    <cellStyle name="Data 4 7 10 5" xfId="7305" xr:uid="{00000000-0005-0000-0000-0000FA220000}"/>
    <cellStyle name="Data 4 7 10 5 2" xfId="7306" xr:uid="{00000000-0005-0000-0000-0000FB220000}"/>
    <cellStyle name="Data 4 7 10 6" xfId="7307" xr:uid="{00000000-0005-0000-0000-0000FC220000}"/>
    <cellStyle name="Data 4 7 10 6 2" xfId="7308" xr:uid="{00000000-0005-0000-0000-0000FD220000}"/>
    <cellStyle name="Data 4 7 10 7" xfId="7309" xr:uid="{00000000-0005-0000-0000-0000FE220000}"/>
    <cellStyle name="Data 4 7 10 7 2" xfId="7310" xr:uid="{00000000-0005-0000-0000-0000FF220000}"/>
    <cellStyle name="Data 4 7 10 8" xfId="7311" xr:uid="{00000000-0005-0000-0000-000000230000}"/>
    <cellStyle name="Data 4 7 10 8 2" xfId="7312" xr:uid="{00000000-0005-0000-0000-000001230000}"/>
    <cellStyle name="Data 4 7 10 9" xfId="7313" xr:uid="{00000000-0005-0000-0000-000002230000}"/>
    <cellStyle name="Data 4 7 11" xfId="7314" xr:uid="{00000000-0005-0000-0000-000003230000}"/>
    <cellStyle name="Data 4 7 11 2" xfId="7315" xr:uid="{00000000-0005-0000-0000-000004230000}"/>
    <cellStyle name="Data 4 7 12" xfId="7316" xr:uid="{00000000-0005-0000-0000-000005230000}"/>
    <cellStyle name="Data 4 7 12 2" xfId="7317" xr:uid="{00000000-0005-0000-0000-000006230000}"/>
    <cellStyle name="Data 4 7 13" xfId="7318" xr:uid="{00000000-0005-0000-0000-000007230000}"/>
    <cellStyle name="Data 4 7 13 2" xfId="7319" xr:uid="{00000000-0005-0000-0000-000008230000}"/>
    <cellStyle name="Data 4 7 14" xfId="7320" xr:uid="{00000000-0005-0000-0000-000009230000}"/>
    <cellStyle name="Data 4 7 14 2" xfId="7321" xr:uid="{00000000-0005-0000-0000-00000A230000}"/>
    <cellStyle name="Data 4 7 15" xfId="7322" xr:uid="{00000000-0005-0000-0000-00000B230000}"/>
    <cellStyle name="Data 4 7 15 2" xfId="7323" xr:uid="{00000000-0005-0000-0000-00000C230000}"/>
    <cellStyle name="Data 4 7 16" xfId="7324" xr:uid="{00000000-0005-0000-0000-00000D230000}"/>
    <cellStyle name="Data 4 7 16 2" xfId="7325" xr:uid="{00000000-0005-0000-0000-00000E230000}"/>
    <cellStyle name="Data 4 7 17" xfId="7326" xr:uid="{00000000-0005-0000-0000-00000F230000}"/>
    <cellStyle name="Data 4 7 17 2" xfId="7327" xr:uid="{00000000-0005-0000-0000-000010230000}"/>
    <cellStyle name="Data 4 7 18" xfId="7328" xr:uid="{00000000-0005-0000-0000-000011230000}"/>
    <cellStyle name="Data 4 7 2" xfId="7329" xr:uid="{00000000-0005-0000-0000-000012230000}"/>
    <cellStyle name="Data 4 7 2 10" xfId="7330" xr:uid="{00000000-0005-0000-0000-000013230000}"/>
    <cellStyle name="Data 4 7 2 2" xfId="7331" xr:uid="{00000000-0005-0000-0000-000014230000}"/>
    <cellStyle name="Data 4 7 2 2 2" xfId="7332" xr:uid="{00000000-0005-0000-0000-000015230000}"/>
    <cellStyle name="Data 4 7 2 3" xfId="7333" xr:uid="{00000000-0005-0000-0000-000016230000}"/>
    <cellStyle name="Data 4 7 2 3 2" xfId="7334" xr:uid="{00000000-0005-0000-0000-000017230000}"/>
    <cellStyle name="Data 4 7 2 4" xfId="7335" xr:uid="{00000000-0005-0000-0000-000018230000}"/>
    <cellStyle name="Data 4 7 2 4 2" xfId="7336" xr:uid="{00000000-0005-0000-0000-000019230000}"/>
    <cellStyle name="Data 4 7 2 5" xfId="7337" xr:uid="{00000000-0005-0000-0000-00001A230000}"/>
    <cellStyle name="Data 4 7 2 5 2" xfId="7338" xr:uid="{00000000-0005-0000-0000-00001B230000}"/>
    <cellStyle name="Data 4 7 2 6" xfId="7339" xr:uid="{00000000-0005-0000-0000-00001C230000}"/>
    <cellStyle name="Data 4 7 2 6 2" xfId="7340" xr:uid="{00000000-0005-0000-0000-00001D230000}"/>
    <cellStyle name="Data 4 7 2 7" xfId="7341" xr:uid="{00000000-0005-0000-0000-00001E230000}"/>
    <cellStyle name="Data 4 7 2 7 2" xfId="7342" xr:uid="{00000000-0005-0000-0000-00001F230000}"/>
    <cellStyle name="Data 4 7 2 8" xfId="7343" xr:uid="{00000000-0005-0000-0000-000020230000}"/>
    <cellStyle name="Data 4 7 2 8 2" xfId="7344" xr:uid="{00000000-0005-0000-0000-000021230000}"/>
    <cellStyle name="Data 4 7 2 9" xfId="7345" xr:uid="{00000000-0005-0000-0000-000022230000}"/>
    <cellStyle name="Data 4 7 2 9 2" xfId="7346" xr:uid="{00000000-0005-0000-0000-000023230000}"/>
    <cellStyle name="Data 4 7 3" xfId="7347" xr:uid="{00000000-0005-0000-0000-000024230000}"/>
    <cellStyle name="Data 4 7 3 10" xfId="7348" xr:uid="{00000000-0005-0000-0000-000025230000}"/>
    <cellStyle name="Data 4 7 3 2" xfId="7349" xr:uid="{00000000-0005-0000-0000-000026230000}"/>
    <cellStyle name="Data 4 7 3 2 2" xfId="7350" xr:uid="{00000000-0005-0000-0000-000027230000}"/>
    <cellStyle name="Data 4 7 3 3" xfId="7351" xr:uid="{00000000-0005-0000-0000-000028230000}"/>
    <cellStyle name="Data 4 7 3 3 2" xfId="7352" xr:uid="{00000000-0005-0000-0000-000029230000}"/>
    <cellStyle name="Data 4 7 3 4" xfId="7353" xr:uid="{00000000-0005-0000-0000-00002A230000}"/>
    <cellStyle name="Data 4 7 3 4 2" xfId="7354" xr:uid="{00000000-0005-0000-0000-00002B230000}"/>
    <cellStyle name="Data 4 7 3 5" xfId="7355" xr:uid="{00000000-0005-0000-0000-00002C230000}"/>
    <cellStyle name="Data 4 7 3 5 2" xfId="7356" xr:uid="{00000000-0005-0000-0000-00002D230000}"/>
    <cellStyle name="Data 4 7 3 6" xfId="7357" xr:uid="{00000000-0005-0000-0000-00002E230000}"/>
    <cellStyle name="Data 4 7 3 6 2" xfId="7358" xr:uid="{00000000-0005-0000-0000-00002F230000}"/>
    <cellStyle name="Data 4 7 3 7" xfId="7359" xr:uid="{00000000-0005-0000-0000-000030230000}"/>
    <cellStyle name="Data 4 7 3 7 2" xfId="7360" xr:uid="{00000000-0005-0000-0000-000031230000}"/>
    <cellStyle name="Data 4 7 3 8" xfId="7361" xr:uid="{00000000-0005-0000-0000-000032230000}"/>
    <cellStyle name="Data 4 7 3 8 2" xfId="7362" xr:uid="{00000000-0005-0000-0000-000033230000}"/>
    <cellStyle name="Data 4 7 3 9" xfId="7363" xr:uid="{00000000-0005-0000-0000-000034230000}"/>
    <cellStyle name="Data 4 7 3 9 2" xfId="7364" xr:uid="{00000000-0005-0000-0000-000035230000}"/>
    <cellStyle name="Data 4 7 4" xfId="7365" xr:uid="{00000000-0005-0000-0000-000036230000}"/>
    <cellStyle name="Data 4 7 4 10" xfId="7366" xr:uid="{00000000-0005-0000-0000-000037230000}"/>
    <cellStyle name="Data 4 7 4 2" xfId="7367" xr:uid="{00000000-0005-0000-0000-000038230000}"/>
    <cellStyle name="Data 4 7 4 2 2" xfId="7368" xr:uid="{00000000-0005-0000-0000-000039230000}"/>
    <cellStyle name="Data 4 7 4 3" xfId="7369" xr:uid="{00000000-0005-0000-0000-00003A230000}"/>
    <cellStyle name="Data 4 7 4 3 2" xfId="7370" xr:uid="{00000000-0005-0000-0000-00003B230000}"/>
    <cellStyle name="Data 4 7 4 4" xfId="7371" xr:uid="{00000000-0005-0000-0000-00003C230000}"/>
    <cellStyle name="Data 4 7 4 4 2" xfId="7372" xr:uid="{00000000-0005-0000-0000-00003D230000}"/>
    <cellStyle name="Data 4 7 4 5" xfId="7373" xr:uid="{00000000-0005-0000-0000-00003E230000}"/>
    <cellStyle name="Data 4 7 4 5 2" xfId="7374" xr:uid="{00000000-0005-0000-0000-00003F230000}"/>
    <cellStyle name="Data 4 7 4 6" xfId="7375" xr:uid="{00000000-0005-0000-0000-000040230000}"/>
    <cellStyle name="Data 4 7 4 6 2" xfId="7376" xr:uid="{00000000-0005-0000-0000-000041230000}"/>
    <cellStyle name="Data 4 7 4 7" xfId="7377" xr:uid="{00000000-0005-0000-0000-000042230000}"/>
    <cellStyle name="Data 4 7 4 7 2" xfId="7378" xr:uid="{00000000-0005-0000-0000-000043230000}"/>
    <cellStyle name="Data 4 7 4 8" xfId="7379" xr:uid="{00000000-0005-0000-0000-000044230000}"/>
    <cellStyle name="Data 4 7 4 8 2" xfId="7380" xr:uid="{00000000-0005-0000-0000-000045230000}"/>
    <cellStyle name="Data 4 7 4 9" xfId="7381" xr:uid="{00000000-0005-0000-0000-000046230000}"/>
    <cellStyle name="Data 4 7 4 9 2" xfId="7382" xr:uid="{00000000-0005-0000-0000-000047230000}"/>
    <cellStyle name="Data 4 7 5" xfId="7383" xr:uid="{00000000-0005-0000-0000-000048230000}"/>
    <cellStyle name="Data 4 7 5 10" xfId="7384" xr:uid="{00000000-0005-0000-0000-000049230000}"/>
    <cellStyle name="Data 4 7 5 2" xfId="7385" xr:uid="{00000000-0005-0000-0000-00004A230000}"/>
    <cellStyle name="Data 4 7 5 2 2" xfId="7386" xr:uid="{00000000-0005-0000-0000-00004B230000}"/>
    <cellStyle name="Data 4 7 5 3" xfId="7387" xr:uid="{00000000-0005-0000-0000-00004C230000}"/>
    <cellStyle name="Data 4 7 5 3 2" xfId="7388" xr:uid="{00000000-0005-0000-0000-00004D230000}"/>
    <cellStyle name="Data 4 7 5 4" xfId="7389" xr:uid="{00000000-0005-0000-0000-00004E230000}"/>
    <cellStyle name="Data 4 7 5 4 2" xfId="7390" xr:uid="{00000000-0005-0000-0000-00004F230000}"/>
    <cellStyle name="Data 4 7 5 5" xfId="7391" xr:uid="{00000000-0005-0000-0000-000050230000}"/>
    <cellStyle name="Data 4 7 5 5 2" xfId="7392" xr:uid="{00000000-0005-0000-0000-000051230000}"/>
    <cellStyle name="Data 4 7 5 6" xfId="7393" xr:uid="{00000000-0005-0000-0000-000052230000}"/>
    <cellStyle name="Data 4 7 5 6 2" xfId="7394" xr:uid="{00000000-0005-0000-0000-000053230000}"/>
    <cellStyle name="Data 4 7 5 7" xfId="7395" xr:uid="{00000000-0005-0000-0000-000054230000}"/>
    <cellStyle name="Data 4 7 5 7 2" xfId="7396" xr:uid="{00000000-0005-0000-0000-000055230000}"/>
    <cellStyle name="Data 4 7 5 8" xfId="7397" xr:uid="{00000000-0005-0000-0000-000056230000}"/>
    <cellStyle name="Data 4 7 5 8 2" xfId="7398" xr:uid="{00000000-0005-0000-0000-000057230000}"/>
    <cellStyle name="Data 4 7 5 9" xfId="7399" xr:uid="{00000000-0005-0000-0000-000058230000}"/>
    <cellStyle name="Data 4 7 5 9 2" xfId="7400" xr:uid="{00000000-0005-0000-0000-000059230000}"/>
    <cellStyle name="Data 4 7 6" xfId="7401" xr:uid="{00000000-0005-0000-0000-00005A230000}"/>
    <cellStyle name="Data 4 7 6 10" xfId="7402" xr:uid="{00000000-0005-0000-0000-00005B230000}"/>
    <cellStyle name="Data 4 7 6 2" xfId="7403" xr:uid="{00000000-0005-0000-0000-00005C230000}"/>
    <cellStyle name="Data 4 7 6 2 2" xfId="7404" xr:uid="{00000000-0005-0000-0000-00005D230000}"/>
    <cellStyle name="Data 4 7 6 3" xfId="7405" xr:uid="{00000000-0005-0000-0000-00005E230000}"/>
    <cellStyle name="Data 4 7 6 3 2" xfId="7406" xr:uid="{00000000-0005-0000-0000-00005F230000}"/>
    <cellStyle name="Data 4 7 6 4" xfId="7407" xr:uid="{00000000-0005-0000-0000-000060230000}"/>
    <cellStyle name="Data 4 7 6 4 2" xfId="7408" xr:uid="{00000000-0005-0000-0000-000061230000}"/>
    <cellStyle name="Data 4 7 6 5" xfId="7409" xr:uid="{00000000-0005-0000-0000-000062230000}"/>
    <cellStyle name="Data 4 7 6 5 2" xfId="7410" xr:uid="{00000000-0005-0000-0000-000063230000}"/>
    <cellStyle name="Data 4 7 6 6" xfId="7411" xr:uid="{00000000-0005-0000-0000-000064230000}"/>
    <cellStyle name="Data 4 7 6 6 2" xfId="7412" xr:uid="{00000000-0005-0000-0000-000065230000}"/>
    <cellStyle name="Data 4 7 6 7" xfId="7413" xr:uid="{00000000-0005-0000-0000-000066230000}"/>
    <cellStyle name="Data 4 7 6 7 2" xfId="7414" xr:uid="{00000000-0005-0000-0000-000067230000}"/>
    <cellStyle name="Data 4 7 6 8" xfId="7415" xr:uid="{00000000-0005-0000-0000-000068230000}"/>
    <cellStyle name="Data 4 7 6 8 2" xfId="7416" xr:uid="{00000000-0005-0000-0000-000069230000}"/>
    <cellStyle name="Data 4 7 6 9" xfId="7417" xr:uid="{00000000-0005-0000-0000-00006A230000}"/>
    <cellStyle name="Data 4 7 6 9 2" xfId="7418" xr:uid="{00000000-0005-0000-0000-00006B230000}"/>
    <cellStyle name="Data 4 7 7" xfId="7419" xr:uid="{00000000-0005-0000-0000-00006C230000}"/>
    <cellStyle name="Data 4 7 7 10" xfId="7420" xr:uid="{00000000-0005-0000-0000-00006D230000}"/>
    <cellStyle name="Data 4 7 7 2" xfId="7421" xr:uid="{00000000-0005-0000-0000-00006E230000}"/>
    <cellStyle name="Data 4 7 7 2 2" xfId="7422" xr:uid="{00000000-0005-0000-0000-00006F230000}"/>
    <cellStyle name="Data 4 7 7 3" xfId="7423" xr:uid="{00000000-0005-0000-0000-000070230000}"/>
    <cellStyle name="Data 4 7 7 3 2" xfId="7424" xr:uid="{00000000-0005-0000-0000-000071230000}"/>
    <cellStyle name="Data 4 7 7 4" xfId="7425" xr:uid="{00000000-0005-0000-0000-000072230000}"/>
    <cellStyle name="Data 4 7 7 4 2" xfId="7426" xr:uid="{00000000-0005-0000-0000-000073230000}"/>
    <cellStyle name="Data 4 7 7 5" xfId="7427" xr:uid="{00000000-0005-0000-0000-000074230000}"/>
    <cellStyle name="Data 4 7 7 5 2" xfId="7428" xr:uid="{00000000-0005-0000-0000-000075230000}"/>
    <cellStyle name="Data 4 7 7 6" xfId="7429" xr:uid="{00000000-0005-0000-0000-000076230000}"/>
    <cellStyle name="Data 4 7 7 6 2" xfId="7430" xr:uid="{00000000-0005-0000-0000-000077230000}"/>
    <cellStyle name="Data 4 7 7 7" xfId="7431" xr:uid="{00000000-0005-0000-0000-000078230000}"/>
    <cellStyle name="Data 4 7 7 7 2" xfId="7432" xr:uid="{00000000-0005-0000-0000-000079230000}"/>
    <cellStyle name="Data 4 7 7 8" xfId="7433" xr:uid="{00000000-0005-0000-0000-00007A230000}"/>
    <cellStyle name="Data 4 7 7 8 2" xfId="7434" xr:uid="{00000000-0005-0000-0000-00007B230000}"/>
    <cellStyle name="Data 4 7 7 9" xfId="7435" xr:uid="{00000000-0005-0000-0000-00007C230000}"/>
    <cellStyle name="Data 4 7 7 9 2" xfId="7436" xr:uid="{00000000-0005-0000-0000-00007D230000}"/>
    <cellStyle name="Data 4 7 8" xfId="7437" xr:uid="{00000000-0005-0000-0000-00007E230000}"/>
    <cellStyle name="Data 4 7 8 10" xfId="7438" xr:uid="{00000000-0005-0000-0000-00007F230000}"/>
    <cellStyle name="Data 4 7 8 2" xfId="7439" xr:uid="{00000000-0005-0000-0000-000080230000}"/>
    <cellStyle name="Data 4 7 8 2 2" xfId="7440" xr:uid="{00000000-0005-0000-0000-000081230000}"/>
    <cellStyle name="Data 4 7 8 3" xfId="7441" xr:uid="{00000000-0005-0000-0000-000082230000}"/>
    <cellStyle name="Data 4 7 8 3 2" xfId="7442" xr:uid="{00000000-0005-0000-0000-000083230000}"/>
    <cellStyle name="Data 4 7 8 4" xfId="7443" xr:uid="{00000000-0005-0000-0000-000084230000}"/>
    <cellStyle name="Data 4 7 8 4 2" xfId="7444" xr:uid="{00000000-0005-0000-0000-000085230000}"/>
    <cellStyle name="Data 4 7 8 5" xfId="7445" xr:uid="{00000000-0005-0000-0000-000086230000}"/>
    <cellStyle name="Data 4 7 8 5 2" xfId="7446" xr:uid="{00000000-0005-0000-0000-000087230000}"/>
    <cellStyle name="Data 4 7 8 6" xfId="7447" xr:uid="{00000000-0005-0000-0000-000088230000}"/>
    <cellStyle name="Data 4 7 8 6 2" xfId="7448" xr:uid="{00000000-0005-0000-0000-000089230000}"/>
    <cellStyle name="Data 4 7 8 7" xfId="7449" xr:uid="{00000000-0005-0000-0000-00008A230000}"/>
    <cellStyle name="Data 4 7 8 7 2" xfId="7450" xr:uid="{00000000-0005-0000-0000-00008B230000}"/>
    <cellStyle name="Data 4 7 8 8" xfId="7451" xr:uid="{00000000-0005-0000-0000-00008C230000}"/>
    <cellStyle name="Data 4 7 8 8 2" xfId="7452" xr:uid="{00000000-0005-0000-0000-00008D230000}"/>
    <cellStyle name="Data 4 7 8 9" xfId="7453" xr:uid="{00000000-0005-0000-0000-00008E230000}"/>
    <cellStyle name="Data 4 7 8 9 2" xfId="7454" xr:uid="{00000000-0005-0000-0000-00008F230000}"/>
    <cellStyle name="Data 4 7 9" xfId="7455" xr:uid="{00000000-0005-0000-0000-000090230000}"/>
    <cellStyle name="Data 4 7 9 10" xfId="7456" xr:uid="{00000000-0005-0000-0000-000091230000}"/>
    <cellStyle name="Data 4 7 9 2" xfId="7457" xr:uid="{00000000-0005-0000-0000-000092230000}"/>
    <cellStyle name="Data 4 7 9 2 2" xfId="7458" xr:uid="{00000000-0005-0000-0000-000093230000}"/>
    <cellStyle name="Data 4 7 9 3" xfId="7459" xr:uid="{00000000-0005-0000-0000-000094230000}"/>
    <cellStyle name="Data 4 7 9 3 2" xfId="7460" xr:uid="{00000000-0005-0000-0000-000095230000}"/>
    <cellStyle name="Data 4 7 9 4" xfId="7461" xr:uid="{00000000-0005-0000-0000-000096230000}"/>
    <cellStyle name="Data 4 7 9 4 2" xfId="7462" xr:uid="{00000000-0005-0000-0000-000097230000}"/>
    <cellStyle name="Data 4 7 9 5" xfId="7463" xr:uid="{00000000-0005-0000-0000-000098230000}"/>
    <cellStyle name="Data 4 7 9 5 2" xfId="7464" xr:uid="{00000000-0005-0000-0000-000099230000}"/>
    <cellStyle name="Data 4 7 9 6" xfId="7465" xr:uid="{00000000-0005-0000-0000-00009A230000}"/>
    <cellStyle name="Data 4 7 9 6 2" xfId="7466" xr:uid="{00000000-0005-0000-0000-00009B230000}"/>
    <cellStyle name="Data 4 7 9 7" xfId="7467" xr:uid="{00000000-0005-0000-0000-00009C230000}"/>
    <cellStyle name="Data 4 7 9 7 2" xfId="7468" xr:uid="{00000000-0005-0000-0000-00009D230000}"/>
    <cellStyle name="Data 4 7 9 8" xfId="7469" xr:uid="{00000000-0005-0000-0000-00009E230000}"/>
    <cellStyle name="Data 4 7 9 8 2" xfId="7470" xr:uid="{00000000-0005-0000-0000-00009F230000}"/>
    <cellStyle name="Data 4 7 9 9" xfId="7471" xr:uid="{00000000-0005-0000-0000-0000A0230000}"/>
    <cellStyle name="Data 4 7 9 9 2" xfId="7472" xr:uid="{00000000-0005-0000-0000-0000A1230000}"/>
    <cellStyle name="Data 4 8" xfId="7473" xr:uid="{00000000-0005-0000-0000-0000A2230000}"/>
    <cellStyle name="Data 4 8 10" xfId="7474" xr:uid="{00000000-0005-0000-0000-0000A3230000}"/>
    <cellStyle name="Data 4 8 10 2" xfId="7475" xr:uid="{00000000-0005-0000-0000-0000A4230000}"/>
    <cellStyle name="Data 4 8 10 2 2" xfId="7476" xr:uid="{00000000-0005-0000-0000-0000A5230000}"/>
    <cellStyle name="Data 4 8 10 3" xfId="7477" xr:uid="{00000000-0005-0000-0000-0000A6230000}"/>
    <cellStyle name="Data 4 8 10 3 2" xfId="7478" xr:uid="{00000000-0005-0000-0000-0000A7230000}"/>
    <cellStyle name="Data 4 8 10 4" xfId="7479" xr:uid="{00000000-0005-0000-0000-0000A8230000}"/>
    <cellStyle name="Data 4 8 10 4 2" xfId="7480" xr:uid="{00000000-0005-0000-0000-0000A9230000}"/>
    <cellStyle name="Data 4 8 10 5" xfId="7481" xr:uid="{00000000-0005-0000-0000-0000AA230000}"/>
    <cellStyle name="Data 4 8 10 5 2" xfId="7482" xr:uid="{00000000-0005-0000-0000-0000AB230000}"/>
    <cellStyle name="Data 4 8 10 6" xfId="7483" xr:uid="{00000000-0005-0000-0000-0000AC230000}"/>
    <cellStyle name="Data 4 8 10 6 2" xfId="7484" xr:uid="{00000000-0005-0000-0000-0000AD230000}"/>
    <cellStyle name="Data 4 8 10 7" xfId="7485" xr:uid="{00000000-0005-0000-0000-0000AE230000}"/>
    <cellStyle name="Data 4 8 10 7 2" xfId="7486" xr:uid="{00000000-0005-0000-0000-0000AF230000}"/>
    <cellStyle name="Data 4 8 10 8" xfId="7487" xr:uid="{00000000-0005-0000-0000-0000B0230000}"/>
    <cellStyle name="Data 4 8 10 8 2" xfId="7488" xr:uid="{00000000-0005-0000-0000-0000B1230000}"/>
    <cellStyle name="Data 4 8 10 9" xfId="7489" xr:uid="{00000000-0005-0000-0000-0000B2230000}"/>
    <cellStyle name="Data 4 8 11" xfId="7490" xr:uid="{00000000-0005-0000-0000-0000B3230000}"/>
    <cellStyle name="Data 4 8 11 2" xfId="7491" xr:uid="{00000000-0005-0000-0000-0000B4230000}"/>
    <cellStyle name="Data 4 8 12" xfId="7492" xr:uid="{00000000-0005-0000-0000-0000B5230000}"/>
    <cellStyle name="Data 4 8 12 2" xfId="7493" xr:uid="{00000000-0005-0000-0000-0000B6230000}"/>
    <cellStyle name="Data 4 8 13" xfId="7494" xr:uid="{00000000-0005-0000-0000-0000B7230000}"/>
    <cellStyle name="Data 4 8 13 2" xfId="7495" xr:uid="{00000000-0005-0000-0000-0000B8230000}"/>
    <cellStyle name="Data 4 8 14" xfId="7496" xr:uid="{00000000-0005-0000-0000-0000B9230000}"/>
    <cellStyle name="Data 4 8 14 2" xfId="7497" xr:uid="{00000000-0005-0000-0000-0000BA230000}"/>
    <cellStyle name="Data 4 8 15" xfId="7498" xr:uid="{00000000-0005-0000-0000-0000BB230000}"/>
    <cellStyle name="Data 4 8 15 2" xfId="7499" xr:uid="{00000000-0005-0000-0000-0000BC230000}"/>
    <cellStyle name="Data 4 8 16" xfId="7500" xr:uid="{00000000-0005-0000-0000-0000BD230000}"/>
    <cellStyle name="Data 4 8 16 2" xfId="7501" xr:uid="{00000000-0005-0000-0000-0000BE230000}"/>
    <cellStyle name="Data 4 8 17" xfId="7502" xr:uid="{00000000-0005-0000-0000-0000BF230000}"/>
    <cellStyle name="Data 4 8 17 2" xfId="7503" xr:uid="{00000000-0005-0000-0000-0000C0230000}"/>
    <cellStyle name="Data 4 8 18" xfId="7504" xr:uid="{00000000-0005-0000-0000-0000C1230000}"/>
    <cellStyle name="Data 4 8 2" xfId="7505" xr:uid="{00000000-0005-0000-0000-0000C2230000}"/>
    <cellStyle name="Data 4 8 2 10" xfId="7506" xr:uid="{00000000-0005-0000-0000-0000C3230000}"/>
    <cellStyle name="Data 4 8 2 2" xfId="7507" xr:uid="{00000000-0005-0000-0000-0000C4230000}"/>
    <cellStyle name="Data 4 8 2 2 2" xfId="7508" xr:uid="{00000000-0005-0000-0000-0000C5230000}"/>
    <cellStyle name="Data 4 8 2 3" xfId="7509" xr:uid="{00000000-0005-0000-0000-0000C6230000}"/>
    <cellStyle name="Data 4 8 2 3 2" xfId="7510" xr:uid="{00000000-0005-0000-0000-0000C7230000}"/>
    <cellStyle name="Data 4 8 2 4" xfId="7511" xr:uid="{00000000-0005-0000-0000-0000C8230000}"/>
    <cellStyle name="Data 4 8 2 4 2" xfId="7512" xr:uid="{00000000-0005-0000-0000-0000C9230000}"/>
    <cellStyle name="Data 4 8 2 5" xfId="7513" xr:uid="{00000000-0005-0000-0000-0000CA230000}"/>
    <cellStyle name="Data 4 8 2 5 2" xfId="7514" xr:uid="{00000000-0005-0000-0000-0000CB230000}"/>
    <cellStyle name="Data 4 8 2 6" xfId="7515" xr:uid="{00000000-0005-0000-0000-0000CC230000}"/>
    <cellStyle name="Data 4 8 2 6 2" xfId="7516" xr:uid="{00000000-0005-0000-0000-0000CD230000}"/>
    <cellStyle name="Data 4 8 2 7" xfId="7517" xr:uid="{00000000-0005-0000-0000-0000CE230000}"/>
    <cellStyle name="Data 4 8 2 7 2" xfId="7518" xr:uid="{00000000-0005-0000-0000-0000CF230000}"/>
    <cellStyle name="Data 4 8 2 8" xfId="7519" xr:uid="{00000000-0005-0000-0000-0000D0230000}"/>
    <cellStyle name="Data 4 8 2 8 2" xfId="7520" xr:uid="{00000000-0005-0000-0000-0000D1230000}"/>
    <cellStyle name="Data 4 8 2 9" xfId="7521" xr:uid="{00000000-0005-0000-0000-0000D2230000}"/>
    <cellStyle name="Data 4 8 2 9 2" xfId="7522" xr:uid="{00000000-0005-0000-0000-0000D3230000}"/>
    <cellStyle name="Data 4 8 3" xfId="7523" xr:uid="{00000000-0005-0000-0000-0000D4230000}"/>
    <cellStyle name="Data 4 8 3 10" xfId="7524" xr:uid="{00000000-0005-0000-0000-0000D5230000}"/>
    <cellStyle name="Data 4 8 3 2" xfId="7525" xr:uid="{00000000-0005-0000-0000-0000D6230000}"/>
    <cellStyle name="Data 4 8 3 2 2" xfId="7526" xr:uid="{00000000-0005-0000-0000-0000D7230000}"/>
    <cellStyle name="Data 4 8 3 3" xfId="7527" xr:uid="{00000000-0005-0000-0000-0000D8230000}"/>
    <cellStyle name="Data 4 8 3 3 2" xfId="7528" xr:uid="{00000000-0005-0000-0000-0000D9230000}"/>
    <cellStyle name="Data 4 8 3 4" xfId="7529" xr:uid="{00000000-0005-0000-0000-0000DA230000}"/>
    <cellStyle name="Data 4 8 3 4 2" xfId="7530" xr:uid="{00000000-0005-0000-0000-0000DB230000}"/>
    <cellStyle name="Data 4 8 3 5" xfId="7531" xr:uid="{00000000-0005-0000-0000-0000DC230000}"/>
    <cellStyle name="Data 4 8 3 5 2" xfId="7532" xr:uid="{00000000-0005-0000-0000-0000DD230000}"/>
    <cellStyle name="Data 4 8 3 6" xfId="7533" xr:uid="{00000000-0005-0000-0000-0000DE230000}"/>
    <cellStyle name="Data 4 8 3 6 2" xfId="7534" xr:uid="{00000000-0005-0000-0000-0000DF230000}"/>
    <cellStyle name="Data 4 8 3 7" xfId="7535" xr:uid="{00000000-0005-0000-0000-0000E0230000}"/>
    <cellStyle name="Data 4 8 3 7 2" xfId="7536" xr:uid="{00000000-0005-0000-0000-0000E1230000}"/>
    <cellStyle name="Data 4 8 3 8" xfId="7537" xr:uid="{00000000-0005-0000-0000-0000E2230000}"/>
    <cellStyle name="Data 4 8 3 8 2" xfId="7538" xr:uid="{00000000-0005-0000-0000-0000E3230000}"/>
    <cellStyle name="Data 4 8 3 9" xfId="7539" xr:uid="{00000000-0005-0000-0000-0000E4230000}"/>
    <cellStyle name="Data 4 8 3 9 2" xfId="7540" xr:uid="{00000000-0005-0000-0000-0000E5230000}"/>
    <cellStyle name="Data 4 8 4" xfId="7541" xr:uid="{00000000-0005-0000-0000-0000E6230000}"/>
    <cellStyle name="Data 4 8 4 10" xfId="7542" xr:uid="{00000000-0005-0000-0000-0000E7230000}"/>
    <cellStyle name="Data 4 8 4 2" xfId="7543" xr:uid="{00000000-0005-0000-0000-0000E8230000}"/>
    <cellStyle name="Data 4 8 4 2 2" xfId="7544" xr:uid="{00000000-0005-0000-0000-0000E9230000}"/>
    <cellStyle name="Data 4 8 4 3" xfId="7545" xr:uid="{00000000-0005-0000-0000-0000EA230000}"/>
    <cellStyle name="Data 4 8 4 3 2" xfId="7546" xr:uid="{00000000-0005-0000-0000-0000EB230000}"/>
    <cellStyle name="Data 4 8 4 4" xfId="7547" xr:uid="{00000000-0005-0000-0000-0000EC230000}"/>
    <cellStyle name="Data 4 8 4 4 2" xfId="7548" xr:uid="{00000000-0005-0000-0000-0000ED230000}"/>
    <cellStyle name="Data 4 8 4 5" xfId="7549" xr:uid="{00000000-0005-0000-0000-0000EE230000}"/>
    <cellStyle name="Data 4 8 4 5 2" xfId="7550" xr:uid="{00000000-0005-0000-0000-0000EF230000}"/>
    <cellStyle name="Data 4 8 4 6" xfId="7551" xr:uid="{00000000-0005-0000-0000-0000F0230000}"/>
    <cellStyle name="Data 4 8 4 6 2" xfId="7552" xr:uid="{00000000-0005-0000-0000-0000F1230000}"/>
    <cellStyle name="Data 4 8 4 7" xfId="7553" xr:uid="{00000000-0005-0000-0000-0000F2230000}"/>
    <cellStyle name="Data 4 8 4 7 2" xfId="7554" xr:uid="{00000000-0005-0000-0000-0000F3230000}"/>
    <cellStyle name="Data 4 8 4 8" xfId="7555" xr:uid="{00000000-0005-0000-0000-0000F4230000}"/>
    <cellStyle name="Data 4 8 4 8 2" xfId="7556" xr:uid="{00000000-0005-0000-0000-0000F5230000}"/>
    <cellStyle name="Data 4 8 4 9" xfId="7557" xr:uid="{00000000-0005-0000-0000-0000F6230000}"/>
    <cellStyle name="Data 4 8 4 9 2" xfId="7558" xr:uid="{00000000-0005-0000-0000-0000F7230000}"/>
    <cellStyle name="Data 4 8 5" xfId="7559" xr:uid="{00000000-0005-0000-0000-0000F8230000}"/>
    <cellStyle name="Data 4 8 5 10" xfId="7560" xr:uid="{00000000-0005-0000-0000-0000F9230000}"/>
    <cellStyle name="Data 4 8 5 2" xfId="7561" xr:uid="{00000000-0005-0000-0000-0000FA230000}"/>
    <cellStyle name="Data 4 8 5 2 2" xfId="7562" xr:uid="{00000000-0005-0000-0000-0000FB230000}"/>
    <cellStyle name="Data 4 8 5 3" xfId="7563" xr:uid="{00000000-0005-0000-0000-0000FC230000}"/>
    <cellStyle name="Data 4 8 5 3 2" xfId="7564" xr:uid="{00000000-0005-0000-0000-0000FD230000}"/>
    <cellStyle name="Data 4 8 5 4" xfId="7565" xr:uid="{00000000-0005-0000-0000-0000FE230000}"/>
    <cellStyle name="Data 4 8 5 4 2" xfId="7566" xr:uid="{00000000-0005-0000-0000-0000FF230000}"/>
    <cellStyle name="Data 4 8 5 5" xfId="7567" xr:uid="{00000000-0005-0000-0000-000000240000}"/>
    <cellStyle name="Data 4 8 5 5 2" xfId="7568" xr:uid="{00000000-0005-0000-0000-000001240000}"/>
    <cellStyle name="Data 4 8 5 6" xfId="7569" xr:uid="{00000000-0005-0000-0000-000002240000}"/>
    <cellStyle name="Data 4 8 5 6 2" xfId="7570" xr:uid="{00000000-0005-0000-0000-000003240000}"/>
    <cellStyle name="Data 4 8 5 7" xfId="7571" xr:uid="{00000000-0005-0000-0000-000004240000}"/>
    <cellStyle name="Data 4 8 5 7 2" xfId="7572" xr:uid="{00000000-0005-0000-0000-000005240000}"/>
    <cellStyle name="Data 4 8 5 8" xfId="7573" xr:uid="{00000000-0005-0000-0000-000006240000}"/>
    <cellStyle name="Data 4 8 5 8 2" xfId="7574" xr:uid="{00000000-0005-0000-0000-000007240000}"/>
    <cellStyle name="Data 4 8 5 9" xfId="7575" xr:uid="{00000000-0005-0000-0000-000008240000}"/>
    <cellStyle name="Data 4 8 5 9 2" xfId="7576" xr:uid="{00000000-0005-0000-0000-000009240000}"/>
    <cellStyle name="Data 4 8 6" xfId="7577" xr:uid="{00000000-0005-0000-0000-00000A240000}"/>
    <cellStyle name="Data 4 8 6 10" xfId="7578" xr:uid="{00000000-0005-0000-0000-00000B240000}"/>
    <cellStyle name="Data 4 8 6 2" xfId="7579" xr:uid="{00000000-0005-0000-0000-00000C240000}"/>
    <cellStyle name="Data 4 8 6 2 2" xfId="7580" xr:uid="{00000000-0005-0000-0000-00000D240000}"/>
    <cellStyle name="Data 4 8 6 3" xfId="7581" xr:uid="{00000000-0005-0000-0000-00000E240000}"/>
    <cellStyle name="Data 4 8 6 3 2" xfId="7582" xr:uid="{00000000-0005-0000-0000-00000F240000}"/>
    <cellStyle name="Data 4 8 6 4" xfId="7583" xr:uid="{00000000-0005-0000-0000-000010240000}"/>
    <cellStyle name="Data 4 8 6 4 2" xfId="7584" xr:uid="{00000000-0005-0000-0000-000011240000}"/>
    <cellStyle name="Data 4 8 6 5" xfId="7585" xr:uid="{00000000-0005-0000-0000-000012240000}"/>
    <cellStyle name="Data 4 8 6 5 2" xfId="7586" xr:uid="{00000000-0005-0000-0000-000013240000}"/>
    <cellStyle name="Data 4 8 6 6" xfId="7587" xr:uid="{00000000-0005-0000-0000-000014240000}"/>
    <cellStyle name="Data 4 8 6 6 2" xfId="7588" xr:uid="{00000000-0005-0000-0000-000015240000}"/>
    <cellStyle name="Data 4 8 6 7" xfId="7589" xr:uid="{00000000-0005-0000-0000-000016240000}"/>
    <cellStyle name="Data 4 8 6 7 2" xfId="7590" xr:uid="{00000000-0005-0000-0000-000017240000}"/>
    <cellStyle name="Data 4 8 6 8" xfId="7591" xr:uid="{00000000-0005-0000-0000-000018240000}"/>
    <cellStyle name="Data 4 8 6 8 2" xfId="7592" xr:uid="{00000000-0005-0000-0000-000019240000}"/>
    <cellStyle name="Data 4 8 6 9" xfId="7593" xr:uid="{00000000-0005-0000-0000-00001A240000}"/>
    <cellStyle name="Data 4 8 6 9 2" xfId="7594" xr:uid="{00000000-0005-0000-0000-00001B240000}"/>
    <cellStyle name="Data 4 8 7" xfId="7595" xr:uid="{00000000-0005-0000-0000-00001C240000}"/>
    <cellStyle name="Data 4 8 7 10" xfId="7596" xr:uid="{00000000-0005-0000-0000-00001D240000}"/>
    <cellStyle name="Data 4 8 7 2" xfId="7597" xr:uid="{00000000-0005-0000-0000-00001E240000}"/>
    <cellStyle name="Data 4 8 7 2 2" xfId="7598" xr:uid="{00000000-0005-0000-0000-00001F240000}"/>
    <cellStyle name="Data 4 8 7 3" xfId="7599" xr:uid="{00000000-0005-0000-0000-000020240000}"/>
    <cellStyle name="Data 4 8 7 3 2" xfId="7600" xr:uid="{00000000-0005-0000-0000-000021240000}"/>
    <cellStyle name="Data 4 8 7 4" xfId="7601" xr:uid="{00000000-0005-0000-0000-000022240000}"/>
    <cellStyle name="Data 4 8 7 4 2" xfId="7602" xr:uid="{00000000-0005-0000-0000-000023240000}"/>
    <cellStyle name="Data 4 8 7 5" xfId="7603" xr:uid="{00000000-0005-0000-0000-000024240000}"/>
    <cellStyle name="Data 4 8 7 5 2" xfId="7604" xr:uid="{00000000-0005-0000-0000-000025240000}"/>
    <cellStyle name="Data 4 8 7 6" xfId="7605" xr:uid="{00000000-0005-0000-0000-000026240000}"/>
    <cellStyle name="Data 4 8 7 6 2" xfId="7606" xr:uid="{00000000-0005-0000-0000-000027240000}"/>
    <cellStyle name="Data 4 8 7 7" xfId="7607" xr:uid="{00000000-0005-0000-0000-000028240000}"/>
    <cellStyle name="Data 4 8 7 7 2" xfId="7608" xr:uid="{00000000-0005-0000-0000-000029240000}"/>
    <cellStyle name="Data 4 8 7 8" xfId="7609" xr:uid="{00000000-0005-0000-0000-00002A240000}"/>
    <cellStyle name="Data 4 8 7 8 2" xfId="7610" xr:uid="{00000000-0005-0000-0000-00002B240000}"/>
    <cellStyle name="Data 4 8 7 9" xfId="7611" xr:uid="{00000000-0005-0000-0000-00002C240000}"/>
    <cellStyle name="Data 4 8 7 9 2" xfId="7612" xr:uid="{00000000-0005-0000-0000-00002D240000}"/>
    <cellStyle name="Data 4 8 8" xfId="7613" xr:uid="{00000000-0005-0000-0000-00002E240000}"/>
    <cellStyle name="Data 4 8 8 10" xfId="7614" xr:uid="{00000000-0005-0000-0000-00002F240000}"/>
    <cellStyle name="Data 4 8 8 2" xfId="7615" xr:uid="{00000000-0005-0000-0000-000030240000}"/>
    <cellStyle name="Data 4 8 8 2 2" xfId="7616" xr:uid="{00000000-0005-0000-0000-000031240000}"/>
    <cellStyle name="Data 4 8 8 3" xfId="7617" xr:uid="{00000000-0005-0000-0000-000032240000}"/>
    <cellStyle name="Data 4 8 8 3 2" xfId="7618" xr:uid="{00000000-0005-0000-0000-000033240000}"/>
    <cellStyle name="Data 4 8 8 4" xfId="7619" xr:uid="{00000000-0005-0000-0000-000034240000}"/>
    <cellStyle name="Data 4 8 8 4 2" xfId="7620" xr:uid="{00000000-0005-0000-0000-000035240000}"/>
    <cellStyle name="Data 4 8 8 5" xfId="7621" xr:uid="{00000000-0005-0000-0000-000036240000}"/>
    <cellStyle name="Data 4 8 8 5 2" xfId="7622" xr:uid="{00000000-0005-0000-0000-000037240000}"/>
    <cellStyle name="Data 4 8 8 6" xfId="7623" xr:uid="{00000000-0005-0000-0000-000038240000}"/>
    <cellStyle name="Data 4 8 8 6 2" xfId="7624" xr:uid="{00000000-0005-0000-0000-000039240000}"/>
    <cellStyle name="Data 4 8 8 7" xfId="7625" xr:uid="{00000000-0005-0000-0000-00003A240000}"/>
    <cellStyle name="Data 4 8 8 7 2" xfId="7626" xr:uid="{00000000-0005-0000-0000-00003B240000}"/>
    <cellStyle name="Data 4 8 8 8" xfId="7627" xr:uid="{00000000-0005-0000-0000-00003C240000}"/>
    <cellStyle name="Data 4 8 8 8 2" xfId="7628" xr:uid="{00000000-0005-0000-0000-00003D240000}"/>
    <cellStyle name="Data 4 8 8 9" xfId="7629" xr:uid="{00000000-0005-0000-0000-00003E240000}"/>
    <cellStyle name="Data 4 8 8 9 2" xfId="7630" xr:uid="{00000000-0005-0000-0000-00003F240000}"/>
    <cellStyle name="Data 4 8 9" xfId="7631" xr:uid="{00000000-0005-0000-0000-000040240000}"/>
    <cellStyle name="Data 4 8 9 10" xfId="7632" xr:uid="{00000000-0005-0000-0000-000041240000}"/>
    <cellStyle name="Data 4 8 9 2" xfId="7633" xr:uid="{00000000-0005-0000-0000-000042240000}"/>
    <cellStyle name="Data 4 8 9 2 2" xfId="7634" xr:uid="{00000000-0005-0000-0000-000043240000}"/>
    <cellStyle name="Data 4 8 9 3" xfId="7635" xr:uid="{00000000-0005-0000-0000-000044240000}"/>
    <cellStyle name="Data 4 8 9 3 2" xfId="7636" xr:uid="{00000000-0005-0000-0000-000045240000}"/>
    <cellStyle name="Data 4 8 9 4" xfId="7637" xr:uid="{00000000-0005-0000-0000-000046240000}"/>
    <cellStyle name="Data 4 8 9 4 2" xfId="7638" xr:uid="{00000000-0005-0000-0000-000047240000}"/>
    <cellStyle name="Data 4 8 9 5" xfId="7639" xr:uid="{00000000-0005-0000-0000-000048240000}"/>
    <cellStyle name="Data 4 8 9 5 2" xfId="7640" xr:uid="{00000000-0005-0000-0000-000049240000}"/>
    <cellStyle name="Data 4 8 9 6" xfId="7641" xr:uid="{00000000-0005-0000-0000-00004A240000}"/>
    <cellStyle name="Data 4 8 9 6 2" xfId="7642" xr:uid="{00000000-0005-0000-0000-00004B240000}"/>
    <cellStyle name="Data 4 8 9 7" xfId="7643" xr:uid="{00000000-0005-0000-0000-00004C240000}"/>
    <cellStyle name="Data 4 8 9 7 2" xfId="7644" xr:uid="{00000000-0005-0000-0000-00004D240000}"/>
    <cellStyle name="Data 4 8 9 8" xfId="7645" xr:uid="{00000000-0005-0000-0000-00004E240000}"/>
    <cellStyle name="Data 4 8 9 8 2" xfId="7646" xr:uid="{00000000-0005-0000-0000-00004F240000}"/>
    <cellStyle name="Data 4 8 9 9" xfId="7647" xr:uid="{00000000-0005-0000-0000-000050240000}"/>
    <cellStyle name="Data 4 8 9 9 2" xfId="7648" xr:uid="{00000000-0005-0000-0000-000051240000}"/>
    <cellStyle name="Data 5" xfId="7649" xr:uid="{00000000-0005-0000-0000-000052240000}"/>
    <cellStyle name="Data 5 10" xfId="7650" xr:uid="{00000000-0005-0000-0000-000053240000}"/>
    <cellStyle name="Data 5 10 10" xfId="7651" xr:uid="{00000000-0005-0000-0000-000054240000}"/>
    <cellStyle name="Data 5 10 2" xfId="7652" xr:uid="{00000000-0005-0000-0000-000055240000}"/>
    <cellStyle name="Data 5 10 2 2" xfId="7653" xr:uid="{00000000-0005-0000-0000-000056240000}"/>
    <cellStyle name="Data 5 10 3" xfId="7654" xr:uid="{00000000-0005-0000-0000-000057240000}"/>
    <cellStyle name="Data 5 10 3 2" xfId="7655" xr:uid="{00000000-0005-0000-0000-000058240000}"/>
    <cellStyle name="Data 5 10 4" xfId="7656" xr:uid="{00000000-0005-0000-0000-000059240000}"/>
    <cellStyle name="Data 5 10 4 2" xfId="7657" xr:uid="{00000000-0005-0000-0000-00005A240000}"/>
    <cellStyle name="Data 5 10 5" xfId="7658" xr:uid="{00000000-0005-0000-0000-00005B240000}"/>
    <cellStyle name="Data 5 10 5 2" xfId="7659" xr:uid="{00000000-0005-0000-0000-00005C240000}"/>
    <cellStyle name="Data 5 10 6" xfId="7660" xr:uid="{00000000-0005-0000-0000-00005D240000}"/>
    <cellStyle name="Data 5 10 6 2" xfId="7661" xr:uid="{00000000-0005-0000-0000-00005E240000}"/>
    <cellStyle name="Data 5 10 7" xfId="7662" xr:uid="{00000000-0005-0000-0000-00005F240000}"/>
    <cellStyle name="Data 5 10 7 2" xfId="7663" xr:uid="{00000000-0005-0000-0000-000060240000}"/>
    <cellStyle name="Data 5 10 8" xfId="7664" xr:uid="{00000000-0005-0000-0000-000061240000}"/>
    <cellStyle name="Data 5 10 8 2" xfId="7665" xr:uid="{00000000-0005-0000-0000-000062240000}"/>
    <cellStyle name="Data 5 10 9" xfId="7666" xr:uid="{00000000-0005-0000-0000-000063240000}"/>
    <cellStyle name="Data 5 10 9 2" xfId="7667" xr:uid="{00000000-0005-0000-0000-000064240000}"/>
    <cellStyle name="Data 5 11" xfId="7668" xr:uid="{00000000-0005-0000-0000-000065240000}"/>
    <cellStyle name="Data 5 11 2" xfId="7669" xr:uid="{00000000-0005-0000-0000-000066240000}"/>
    <cellStyle name="Data 5 11 2 2" xfId="7670" xr:uid="{00000000-0005-0000-0000-000067240000}"/>
    <cellStyle name="Data 5 11 3" xfId="7671" xr:uid="{00000000-0005-0000-0000-000068240000}"/>
    <cellStyle name="Data 5 11 3 2" xfId="7672" xr:uid="{00000000-0005-0000-0000-000069240000}"/>
    <cellStyle name="Data 5 11 4" xfId="7673" xr:uid="{00000000-0005-0000-0000-00006A240000}"/>
    <cellStyle name="Data 5 11 4 2" xfId="7674" xr:uid="{00000000-0005-0000-0000-00006B240000}"/>
    <cellStyle name="Data 5 11 5" xfId="7675" xr:uid="{00000000-0005-0000-0000-00006C240000}"/>
    <cellStyle name="Data 5 11 5 2" xfId="7676" xr:uid="{00000000-0005-0000-0000-00006D240000}"/>
    <cellStyle name="Data 5 11 6" xfId="7677" xr:uid="{00000000-0005-0000-0000-00006E240000}"/>
    <cellStyle name="Data 5 11 6 2" xfId="7678" xr:uid="{00000000-0005-0000-0000-00006F240000}"/>
    <cellStyle name="Data 5 11 7" xfId="7679" xr:uid="{00000000-0005-0000-0000-000070240000}"/>
    <cellStyle name="Data 5 11 7 2" xfId="7680" xr:uid="{00000000-0005-0000-0000-000071240000}"/>
    <cellStyle name="Data 5 11 8" xfId="7681" xr:uid="{00000000-0005-0000-0000-000072240000}"/>
    <cellStyle name="Data 5 11 8 2" xfId="7682" xr:uid="{00000000-0005-0000-0000-000073240000}"/>
    <cellStyle name="Data 5 11 9" xfId="7683" xr:uid="{00000000-0005-0000-0000-000074240000}"/>
    <cellStyle name="Data 5 2" xfId="7684" xr:uid="{00000000-0005-0000-0000-000075240000}"/>
    <cellStyle name="Data 5 2 10" xfId="7685" xr:uid="{00000000-0005-0000-0000-000076240000}"/>
    <cellStyle name="Data 5 2 2" xfId="7686" xr:uid="{00000000-0005-0000-0000-000077240000}"/>
    <cellStyle name="Data 5 2 2 2" xfId="7687" xr:uid="{00000000-0005-0000-0000-000078240000}"/>
    <cellStyle name="Data 5 2 3" xfId="7688" xr:uid="{00000000-0005-0000-0000-000079240000}"/>
    <cellStyle name="Data 5 2 3 2" xfId="7689" xr:uid="{00000000-0005-0000-0000-00007A240000}"/>
    <cellStyle name="Data 5 2 4" xfId="7690" xr:uid="{00000000-0005-0000-0000-00007B240000}"/>
    <cellStyle name="Data 5 2 4 2" xfId="7691" xr:uid="{00000000-0005-0000-0000-00007C240000}"/>
    <cellStyle name="Data 5 2 5" xfId="7692" xr:uid="{00000000-0005-0000-0000-00007D240000}"/>
    <cellStyle name="Data 5 2 5 2" xfId="7693" xr:uid="{00000000-0005-0000-0000-00007E240000}"/>
    <cellStyle name="Data 5 2 6" xfId="7694" xr:uid="{00000000-0005-0000-0000-00007F240000}"/>
    <cellStyle name="Data 5 2 6 2" xfId="7695" xr:uid="{00000000-0005-0000-0000-000080240000}"/>
    <cellStyle name="Data 5 2 7" xfId="7696" xr:uid="{00000000-0005-0000-0000-000081240000}"/>
    <cellStyle name="Data 5 2 7 2" xfId="7697" xr:uid="{00000000-0005-0000-0000-000082240000}"/>
    <cellStyle name="Data 5 2 8" xfId="7698" xr:uid="{00000000-0005-0000-0000-000083240000}"/>
    <cellStyle name="Data 5 2 8 2" xfId="7699" xr:uid="{00000000-0005-0000-0000-000084240000}"/>
    <cellStyle name="Data 5 2 9" xfId="7700" xr:uid="{00000000-0005-0000-0000-000085240000}"/>
    <cellStyle name="Data 5 2 9 2" xfId="7701" xr:uid="{00000000-0005-0000-0000-000086240000}"/>
    <cellStyle name="Data 5 3" xfId="7702" xr:uid="{00000000-0005-0000-0000-000087240000}"/>
    <cellStyle name="Data 5 3 10" xfId="7703" xr:uid="{00000000-0005-0000-0000-000088240000}"/>
    <cellStyle name="Data 5 3 2" xfId="7704" xr:uid="{00000000-0005-0000-0000-000089240000}"/>
    <cellStyle name="Data 5 3 2 2" xfId="7705" xr:uid="{00000000-0005-0000-0000-00008A240000}"/>
    <cellStyle name="Data 5 3 3" xfId="7706" xr:uid="{00000000-0005-0000-0000-00008B240000}"/>
    <cellStyle name="Data 5 3 3 2" xfId="7707" xr:uid="{00000000-0005-0000-0000-00008C240000}"/>
    <cellStyle name="Data 5 3 4" xfId="7708" xr:uid="{00000000-0005-0000-0000-00008D240000}"/>
    <cellStyle name="Data 5 3 4 2" xfId="7709" xr:uid="{00000000-0005-0000-0000-00008E240000}"/>
    <cellStyle name="Data 5 3 5" xfId="7710" xr:uid="{00000000-0005-0000-0000-00008F240000}"/>
    <cellStyle name="Data 5 3 5 2" xfId="7711" xr:uid="{00000000-0005-0000-0000-000090240000}"/>
    <cellStyle name="Data 5 3 6" xfId="7712" xr:uid="{00000000-0005-0000-0000-000091240000}"/>
    <cellStyle name="Data 5 3 6 2" xfId="7713" xr:uid="{00000000-0005-0000-0000-000092240000}"/>
    <cellStyle name="Data 5 3 7" xfId="7714" xr:uid="{00000000-0005-0000-0000-000093240000}"/>
    <cellStyle name="Data 5 3 7 2" xfId="7715" xr:uid="{00000000-0005-0000-0000-000094240000}"/>
    <cellStyle name="Data 5 3 8" xfId="7716" xr:uid="{00000000-0005-0000-0000-000095240000}"/>
    <cellStyle name="Data 5 3 8 2" xfId="7717" xr:uid="{00000000-0005-0000-0000-000096240000}"/>
    <cellStyle name="Data 5 3 9" xfId="7718" xr:uid="{00000000-0005-0000-0000-000097240000}"/>
    <cellStyle name="Data 5 3 9 2" xfId="7719" xr:uid="{00000000-0005-0000-0000-000098240000}"/>
    <cellStyle name="Data 5 4" xfId="7720" xr:uid="{00000000-0005-0000-0000-000099240000}"/>
    <cellStyle name="Data 5 4 10" xfId="7721" xr:uid="{00000000-0005-0000-0000-00009A240000}"/>
    <cellStyle name="Data 5 4 2" xfId="7722" xr:uid="{00000000-0005-0000-0000-00009B240000}"/>
    <cellStyle name="Data 5 4 2 2" xfId="7723" xr:uid="{00000000-0005-0000-0000-00009C240000}"/>
    <cellStyle name="Data 5 4 3" xfId="7724" xr:uid="{00000000-0005-0000-0000-00009D240000}"/>
    <cellStyle name="Data 5 4 3 2" xfId="7725" xr:uid="{00000000-0005-0000-0000-00009E240000}"/>
    <cellStyle name="Data 5 4 4" xfId="7726" xr:uid="{00000000-0005-0000-0000-00009F240000}"/>
    <cellStyle name="Data 5 4 4 2" xfId="7727" xr:uid="{00000000-0005-0000-0000-0000A0240000}"/>
    <cellStyle name="Data 5 4 5" xfId="7728" xr:uid="{00000000-0005-0000-0000-0000A1240000}"/>
    <cellStyle name="Data 5 4 5 2" xfId="7729" xr:uid="{00000000-0005-0000-0000-0000A2240000}"/>
    <cellStyle name="Data 5 4 6" xfId="7730" xr:uid="{00000000-0005-0000-0000-0000A3240000}"/>
    <cellStyle name="Data 5 4 6 2" xfId="7731" xr:uid="{00000000-0005-0000-0000-0000A4240000}"/>
    <cellStyle name="Data 5 4 7" xfId="7732" xr:uid="{00000000-0005-0000-0000-0000A5240000}"/>
    <cellStyle name="Data 5 4 7 2" xfId="7733" xr:uid="{00000000-0005-0000-0000-0000A6240000}"/>
    <cellStyle name="Data 5 4 8" xfId="7734" xr:uid="{00000000-0005-0000-0000-0000A7240000}"/>
    <cellStyle name="Data 5 4 8 2" xfId="7735" xr:uid="{00000000-0005-0000-0000-0000A8240000}"/>
    <cellStyle name="Data 5 4 9" xfId="7736" xr:uid="{00000000-0005-0000-0000-0000A9240000}"/>
    <cellStyle name="Data 5 4 9 2" xfId="7737" xr:uid="{00000000-0005-0000-0000-0000AA240000}"/>
    <cellStyle name="Data 5 5" xfId="7738" xr:uid="{00000000-0005-0000-0000-0000AB240000}"/>
    <cellStyle name="Data 5 5 10" xfId="7739" xr:uid="{00000000-0005-0000-0000-0000AC240000}"/>
    <cellStyle name="Data 5 5 2" xfId="7740" xr:uid="{00000000-0005-0000-0000-0000AD240000}"/>
    <cellStyle name="Data 5 5 2 2" xfId="7741" xr:uid="{00000000-0005-0000-0000-0000AE240000}"/>
    <cellStyle name="Data 5 5 3" xfId="7742" xr:uid="{00000000-0005-0000-0000-0000AF240000}"/>
    <cellStyle name="Data 5 5 3 2" xfId="7743" xr:uid="{00000000-0005-0000-0000-0000B0240000}"/>
    <cellStyle name="Data 5 5 4" xfId="7744" xr:uid="{00000000-0005-0000-0000-0000B1240000}"/>
    <cellStyle name="Data 5 5 4 2" xfId="7745" xr:uid="{00000000-0005-0000-0000-0000B2240000}"/>
    <cellStyle name="Data 5 5 5" xfId="7746" xr:uid="{00000000-0005-0000-0000-0000B3240000}"/>
    <cellStyle name="Data 5 5 5 2" xfId="7747" xr:uid="{00000000-0005-0000-0000-0000B4240000}"/>
    <cellStyle name="Data 5 5 6" xfId="7748" xr:uid="{00000000-0005-0000-0000-0000B5240000}"/>
    <cellStyle name="Data 5 5 6 2" xfId="7749" xr:uid="{00000000-0005-0000-0000-0000B6240000}"/>
    <cellStyle name="Data 5 5 7" xfId="7750" xr:uid="{00000000-0005-0000-0000-0000B7240000}"/>
    <cellStyle name="Data 5 5 7 2" xfId="7751" xr:uid="{00000000-0005-0000-0000-0000B8240000}"/>
    <cellStyle name="Data 5 5 8" xfId="7752" xr:uid="{00000000-0005-0000-0000-0000B9240000}"/>
    <cellStyle name="Data 5 5 8 2" xfId="7753" xr:uid="{00000000-0005-0000-0000-0000BA240000}"/>
    <cellStyle name="Data 5 5 9" xfId="7754" xr:uid="{00000000-0005-0000-0000-0000BB240000}"/>
    <cellStyle name="Data 5 5 9 2" xfId="7755" xr:uid="{00000000-0005-0000-0000-0000BC240000}"/>
    <cellStyle name="Data 5 6" xfId="7756" xr:uid="{00000000-0005-0000-0000-0000BD240000}"/>
    <cellStyle name="Data 5 6 10" xfId="7757" xr:uid="{00000000-0005-0000-0000-0000BE240000}"/>
    <cellStyle name="Data 5 6 2" xfId="7758" xr:uid="{00000000-0005-0000-0000-0000BF240000}"/>
    <cellStyle name="Data 5 6 2 2" xfId="7759" xr:uid="{00000000-0005-0000-0000-0000C0240000}"/>
    <cellStyle name="Data 5 6 3" xfId="7760" xr:uid="{00000000-0005-0000-0000-0000C1240000}"/>
    <cellStyle name="Data 5 6 3 2" xfId="7761" xr:uid="{00000000-0005-0000-0000-0000C2240000}"/>
    <cellStyle name="Data 5 6 4" xfId="7762" xr:uid="{00000000-0005-0000-0000-0000C3240000}"/>
    <cellStyle name="Data 5 6 4 2" xfId="7763" xr:uid="{00000000-0005-0000-0000-0000C4240000}"/>
    <cellStyle name="Data 5 6 5" xfId="7764" xr:uid="{00000000-0005-0000-0000-0000C5240000}"/>
    <cellStyle name="Data 5 6 5 2" xfId="7765" xr:uid="{00000000-0005-0000-0000-0000C6240000}"/>
    <cellStyle name="Data 5 6 6" xfId="7766" xr:uid="{00000000-0005-0000-0000-0000C7240000}"/>
    <cellStyle name="Data 5 6 6 2" xfId="7767" xr:uid="{00000000-0005-0000-0000-0000C8240000}"/>
    <cellStyle name="Data 5 6 7" xfId="7768" xr:uid="{00000000-0005-0000-0000-0000C9240000}"/>
    <cellStyle name="Data 5 6 7 2" xfId="7769" xr:uid="{00000000-0005-0000-0000-0000CA240000}"/>
    <cellStyle name="Data 5 6 8" xfId="7770" xr:uid="{00000000-0005-0000-0000-0000CB240000}"/>
    <cellStyle name="Data 5 6 8 2" xfId="7771" xr:uid="{00000000-0005-0000-0000-0000CC240000}"/>
    <cellStyle name="Data 5 6 9" xfId="7772" xr:uid="{00000000-0005-0000-0000-0000CD240000}"/>
    <cellStyle name="Data 5 6 9 2" xfId="7773" xr:uid="{00000000-0005-0000-0000-0000CE240000}"/>
    <cellStyle name="Data 5 7" xfId="7774" xr:uid="{00000000-0005-0000-0000-0000CF240000}"/>
    <cellStyle name="Data 5 7 10" xfId="7775" xr:uid="{00000000-0005-0000-0000-0000D0240000}"/>
    <cellStyle name="Data 5 7 2" xfId="7776" xr:uid="{00000000-0005-0000-0000-0000D1240000}"/>
    <cellStyle name="Data 5 7 2 2" xfId="7777" xr:uid="{00000000-0005-0000-0000-0000D2240000}"/>
    <cellStyle name="Data 5 7 3" xfId="7778" xr:uid="{00000000-0005-0000-0000-0000D3240000}"/>
    <cellStyle name="Data 5 7 3 2" xfId="7779" xr:uid="{00000000-0005-0000-0000-0000D4240000}"/>
    <cellStyle name="Data 5 7 4" xfId="7780" xr:uid="{00000000-0005-0000-0000-0000D5240000}"/>
    <cellStyle name="Data 5 7 4 2" xfId="7781" xr:uid="{00000000-0005-0000-0000-0000D6240000}"/>
    <cellStyle name="Data 5 7 5" xfId="7782" xr:uid="{00000000-0005-0000-0000-0000D7240000}"/>
    <cellStyle name="Data 5 7 5 2" xfId="7783" xr:uid="{00000000-0005-0000-0000-0000D8240000}"/>
    <cellStyle name="Data 5 7 6" xfId="7784" xr:uid="{00000000-0005-0000-0000-0000D9240000}"/>
    <cellStyle name="Data 5 7 6 2" xfId="7785" xr:uid="{00000000-0005-0000-0000-0000DA240000}"/>
    <cellStyle name="Data 5 7 7" xfId="7786" xr:uid="{00000000-0005-0000-0000-0000DB240000}"/>
    <cellStyle name="Data 5 7 7 2" xfId="7787" xr:uid="{00000000-0005-0000-0000-0000DC240000}"/>
    <cellStyle name="Data 5 7 8" xfId="7788" xr:uid="{00000000-0005-0000-0000-0000DD240000}"/>
    <cellStyle name="Data 5 7 8 2" xfId="7789" xr:uid="{00000000-0005-0000-0000-0000DE240000}"/>
    <cellStyle name="Data 5 7 9" xfId="7790" xr:uid="{00000000-0005-0000-0000-0000DF240000}"/>
    <cellStyle name="Data 5 7 9 2" xfId="7791" xr:uid="{00000000-0005-0000-0000-0000E0240000}"/>
    <cellStyle name="Data 5 8" xfId="7792" xr:uid="{00000000-0005-0000-0000-0000E1240000}"/>
    <cellStyle name="Data 5 8 10" xfId="7793" xr:uid="{00000000-0005-0000-0000-0000E2240000}"/>
    <cellStyle name="Data 5 8 2" xfId="7794" xr:uid="{00000000-0005-0000-0000-0000E3240000}"/>
    <cellStyle name="Data 5 8 2 2" xfId="7795" xr:uid="{00000000-0005-0000-0000-0000E4240000}"/>
    <cellStyle name="Data 5 8 3" xfId="7796" xr:uid="{00000000-0005-0000-0000-0000E5240000}"/>
    <cellStyle name="Data 5 8 3 2" xfId="7797" xr:uid="{00000000-0005-0000-0000-0000E6240000}"/>
    <cellStyle name="Data 5 8 4" xfId="7798" xr:uid="{00000000-0005-0000-0000-0000E7240000}"/>
    <cellStyle name="Data 5 8 4 2" xfId="7799" xr:uid="{00000000-0005-0000-0000-0000E8240000}"/>
    <cellStyle name="Data 5 8 5" xfId="7800" xr:uid="{00000000-0005-0000-0000-0000E9240000}"/>
    <cellStyle name="Data 5 8 5 2" xfId="7801" xr:uid="{00000000-0005-0000-0000-0000EA240000}"/>
    <cellStyle name="Data 5 8 6" xfId="7802" xr:uid="{00000000-0005-0000-0000-0000EB240000}"/>
    <cellStyle name="Data 5 8 6 2" xfId="7803" xr:uid="{00000000-0005-0000-0000-0000EC240000}"/>
    <cellStyle name="Data 5 8 7" xfId="7804" xr:uid="{00000000-0005-0000-0000-0000ED240000}"/>
    <cellStyle name="Data 5 8 7 2" xfId="7805" xr:uid="{00000000-0005-0000-0000-0000EE240000}"/>
    <cellStyle name="Data 5 8 8" xfId="7806" xr:uid="{00000000-0005-0000-0000-0000EF240000}"/>
    <cellStyle name="Data 5 8 8 2" xfId="7807" xr:uid="{00000000-0005-0000-0000-0000F0240000}"/>
    <cellStyle name="Data 5 8 9" xfId="7808" xr:uid="{00000000-0005-0000-0000-0000F1240000}"/>
    <cellStyle name="Data 5 8 9 2" xfId="7809" xr:uid="{00000000-0005-0000-0000-0000F2240000}"/>
    <cellStyle name="Data 5 9" xfId="7810" xr:uid="{00000000-0005-0000-0000-0000F3240000}"/>
    <cellStyle name="Data 5 9 10" xfId="7811" xr:uid="{00000000-0005-0000-0000-0000F4240000}"/>
    <cellStyle name="Data 5 9 2" xfId="7812" xr:uid="{00000000-0005-0000-0000-0000F5240000}"/>
    <cellStyle name="Data 5 9 2 2" xfId="7813" xr:uid="{00000000-0005-0000-0000-0000F6240000}"/>
    <cellStyle name="Data 5 9 3" xfId="7814" xr:uid="{00000000-0005-0000-0000-0000F7240000}"/>
    <cellStyle name="Data 5 9 3 2" xfId="7815" xr:uid="{00000000-0005-0000-0000-0000F8240000}"/>
    <cellStyle name="Data 5 9 4" xfId="7816" xr:uid="{00000000-0005-0000-0000-0000F9240000}"/>
    <cellStyle name="Data 5 9 4 2" xfId="7817" xr:uid="{00000000-0005-0000-0000-0000FA240000}"/>
    <cellStyle name="Data 5 9 5" xfId="7818" xr:uid="{00000000-0005-0000-0000-0000FB240000}"/>
    <cellStyle name="Data 5 9 5 2" xfId="7819" xr:uid="{00000000-0005-0000-0000-0000FC240000}"/>
    <cellStyle name="Data 5 9 6" xfId="7820" xr:uid="{00000000-0005-0000-0000-0000FD240000}"/>
    <cellStyle name="Data 5 9 6 2" xfId="7821" xr:uid="{00000000-0005-0000-0000-0000FE240000}"/>
    <cellStyle name="Data 5 9 7" xfId="7822" xr:uid="{00000000-0005-0000-0000-0000FF240000}"/>
    <cellStyle name="Data 5 9 7 2" xfId="7823" xr:uid="{00000000-0005-0000-0000-000000250000}"/>
    <cellStyle name="Data 5 9 8" xfId="7824" xr:uid="{00000000-0005-0000-0000-000001250000}"/>
    <cellStyle name="Data 5 9 8 2" xfId="7825" xr:uid="{00000000-0005-0000-0000-000002250000}"/>
    <cellStyle name="Data 5 9 9" xfId="7826" xr:uid="{00000000-0005-0000-0000-000003250000}"/>
    <cellStyle name="Data 5 9 9 2" xfId="7827" xr:uid="{00000000-0005-0000-0000-000004250000}"/>
    <cellStyle name="Data 6" xfId="7828" xr:uid="{00000000-0005-0000-0000-000005250000}"/>
    <cellStyle name="Data 6 10" xfId="7829" xr:uid="{00000000-0005-0000-0000-000006250000}"/>
    <cellStyle name="Data 6 10 2" xfId="7830" xr:uid="{00000000-0005-0000-0000-000007250000}"/>
    <cellStyle name="Data 6 10 2 2" xfId="7831" xr:uid="{00000000-0005-0000-0000-000008250000}"/>
    <cellStyle name="Data 6 10 3" xfId="7832" xr:uid="{00000000-0005-0000-0000-000009250000}"/>
    <cellStyle name="Data 6 10 3 2" xfId="7833" xr:uid="{00000000-0005-0000-0000-00000A250000}"/>
    <cellStyle name="Data 6 10 4" xfId="7834" xr:uid="{00000000-0005-0000-0000-00000B250000}"/>
    <cellStyle name="Data 6 10 4 2" xfId="7835" xr:uid="{00000000-0005-0000-0000-00000C250000}"/>
    <cellStyle name="Data 6 10 5" xfId="7836" xr:uid="{00000000-0005-0000-0000-00000D250000}"/>
    <cellStyle name="Data 6 10 5 2" xfId="7837" xr:uid="{00000000-0005-0000-0000-00000E250000}"/>
    <cellStyle name="Data 6 10 6" xfId="7838" xr:uid="{00000000-0005-0000-0000-00000F250000}"/>
    <cellStyle name="Data 6 10 6 2" xfId="7839" xr:uid="{00000000-0005-0000-0000-000010250000}"/>
    <cellStyle name="Data 6 10 7" xfId="7840" xr:uid="{00000000-0005-0000-0000-000011250000}"/>
    <cellStyle name="Data 6 10 7 2" xfId="7841" xr:uid="{00000000-0005-0000-0000-000012250000}"/>
    <cellStyle name="Data 6 10 8" xfId="7842" xr:uid="{00000000-0005-0000-0000-000013250000}"/>
    <cellStyle name="Data 6 10 8 2" xfId="7843" xr:uid="{00000000-0005-0000-0000-000014250000}"/>
    <cellStyle name="Data 6 10 9" xfId="7844" xr:uid="{00000000-0005-0000-0000-000015250000}"/>
    <cellStyle name="Data 6 11" xfId="7845" xr:uid="{00000000-0005-0000-0000-000016250000}"/>
    <cellStyle name="Data 6 11 2" xfId="7846" xr:uid="{00000000-0005-0000-0000-000017250000}"/>
    <cellStyle name="Data 6 12" xfId="7847" xr:uid="{00000000-0005-0000-0000-000018250000}"/>
    <cellStyle name="Data 6 12 2" xfId="7848" xr:uid="{00000000-0005-0000-0000-000019250000}"/>
    <cellStyle name="Data 6 13" xfId="7849" xr:uid="{00000000-0005-0000-0000-00001A250000}"/>
    <cellStyle name="Data 6 13 2" xfId="7850" xr:uid="{00000000-0005-0000-0000-00001B250000}"/>
    <cellStyle name="Data 6 14" xfId="7851" xr:uid="{00000000-0005-0000-0000-00001C250000}"/>
    <cellStyle name="Data 6 14 2" xfId="7852" xr:uid="{00000000-0005-0000-0000-00001D250000}"/>
    <cellStyle name="Data 6 15" xfId="7853" xr:uid="{00000000-0005-0000-0000-00001E250000}"/>
    <cellStyle name="Data 6 15 2" xfId="7854" xr:uid="{00000000-0005-0000-0000-00001F250000}"/>
    <cellStyle name="Data 6 16" xfId="7855" xr:uid="{00000000-0005-0000-0000-000020250000}"/>
    <cellStyle name="Data 6 16 2" xfId="7856" xr:uid="{00000000-0005-0000-0000-000021250000}"/>
    <cellStyle name="Data 6 17" xfId="7857" xr:uid="{00000000-0005-0000-0000-000022250000}"/>
    <cellStyle name="Data 6 17 2" xfId="7858" xr:uid="{00000000-0005-0000-0000-000023250000}"/>
    <cellStyle name="Data 6 18" xfId="7859" xr:uid="{00000000-0005-0000-0000-000024250000}"/>
    <cellStyle name="Data 6 2" xfId="7860" xr:uid="{00000000-0005-0000-0000-000025250000}"/>
    <cellStyle name="Data 6 2 10" xfId="7861" xr:uid="{00000000-0005-0000-0000-000026250000}"/>
    <cellStyle name="Data 6 2 2" xfId="7862" xr:uid="{00000000-0005-0000-0000-000027250000}"/>
    <cellStyle name="Data 6 2 2 2" xfId="7863" xr:uid="{00000000-0005-0000-0000-000028250000}"/>
    <cellStyle name="Data 6 2 3" xfId="7864" xr:uid="{00000000-0005-0000-0000-000029250000}"/>
    <cellStyle name="Data 6 2 3 2" xfId="7865" xr:uid="{00000000-0005-0000-0000-00002A250000}"/>
    <cellStyle name="Data 6 2 4" xfId="7866" xr:uid="{00000000-0005-0000-0000-00002B250000}"/>
    <cellStyle name="Data 6 2 4 2" xfId="7867" xr:uid="{00000000-0005-0000-0000-00002C250000}"/>
    <cellStyle name="Data 6 2 5" xfId="7868" xr:uid="{00000000-0005-0000-0000-00002D250000}"/>
    <cellStyle name="Data 6 2 5 2" xfId="7869" xr:uid="{00000000-0005-0000-0000-00002E250000}"/>
    <cellStyle name="Data 6 2 6" xfId="7870" xr:uid="{00000000-0005-0000-0000-00002F250000}"/>
    <cellStyle name="Data 6 2 6 2" xfId="7871" xr:uid="{00000000-0005-0000-0000-000030250000}"/>
    <cellStyle name="Data 6 2 7" xfId="7872" xr:uid="{00000000-0005-0000-0000-000031250000}"/>
    <cellStyle name="Data 6 2 7 2" xfId="7873" xr:uid="{00000000-0005-0000-0000-000032250000}"/>
    <cellStyle name="Data 6 2 8" xfId="7874" xr:uid="{00000000-0005-0000-0000-000033250000}"/>
    <cellStyle name="Data 6 2 8 2" xfId="7875" xr:uid="{00000000-0005-0000-0000-000034250000}"/>
    <cellStyle name="Data 6 2 9" xfId="7876" xr:uid="{00000000-0005-0000-0000-000035250000}"/>
    <cellStyle name="Data 6 2 9 2" xfId="7877" xr:uid="{00000000-0005-0000-0000-000036250000}"/>
    <cellStyle name="Data 6 3" xfId="7878" xr:uid="{00000000-0005-0000-0000-000037250000}"/>
    <cellStyle name="Data 6 3 10" xfId="7879" xr:uid="{00000000-0005-0000-0000-000038250000}"/>
    <cellStyle name="Data 6 3 2" xfId="7880" xr:uid="{00000000-0005-0000-0000-000039250000}"/>
    <cellStyle name="Data 6 3 2 2" xfId="7881" xr:uid="{00000000-0005-0000-0000-00003A250000}"/>
    <cellStyle name="Data 6 3 3" xfId="7882" xr:uid="{00000000-0005-0000-0000-00003B250000}"/>
    <cellStyle name="Data 6 3 3 2" xfId="7883" xr:uid="{00000000-0005-0000-0000-00003C250000}"/>
    <cellStyle name="Data 6 3 4" xfId="7884" xr:uid="{00000000-0005-0000-0000-00003D250000}"/>
    <cellStyle name="Data 6 3 4 2" xfId="7885" xr:uid="{00000000-0005-0000-0000-00003E250000}"/>
    <cellStyle name="Data 6 3 5" xfId="7886" xr:uid="{00000000-0005-0000-0000-00003F250000}"/>
    <cellStyle name="Data 6 3 5 2" xfId="7887" xr:uid="{00000000-0005-0000-0000-000040250000}"/>
    <cellStyle name="Data 6 3 6" xfId="7888" xr:uid="{00000000-0005-0000-0000-000041250000}"/>
    <cellStyle name="Data 6 3 6 2" xfId="7889" xr:uid="{00000000-0005-0000-0000-000042250000}"/>
    <cellStyle name="Data 6 3 7" xfId="7890" xr:uid="{00000000-0005-0000-0000-000043250000}"/>
    <cellStyle name="Data 6 3 7 2" xfId="7891" xr:uid="{00000000-0005-0000-0000-000044250000}"/>
    <cellStyle name="Data 6 3 8" xfId="7892" xr:uid="{00000000-0005-0000-0000-000045250000}"/>
    <cellStyle name="Data 6 3 8 2" xfId="7893" xr:uid="{00000000-0005-0000-0000-000046250000}"/>
    <cellStyle name="Data 6 3 9" xfId="7894" xr:uid="{00000000-0005-0000-0000-000047250000}"/>
    <cellStyle name="Data 6 3 9 2" xfId="7895" xr:uid="{00000000-0005-0000-0000-000048250000}"/>
    <cellStyle name="Data 6 4" xfId="7896" xr:uid="{00000000-0005-0000-0000-000049250000}"/>
    <cellStyle name="Data 6 4 10" xfId="7897" xr:uid="{00000000-0005-0000-0000-00004A250000}"/>
    <cellStyle name="Data 6 4 2" xfId="7898" xr:uid="{00000000-0005-0000-0000-00004B250000}"/>
    <cellStyle name="Data 6 4 2 2" xfId="7899" xr:uid="{00000000-0005-0000-0000-00004C250000}"/>
    <cellStyle name="Data 6 4 3" xfId="7900" xr:uid="{00000000-0005-0000-0000-00004D250000}"/>
    <cellStyle name="Data 6 4 3 2" xfId="7901" xr:uid="{00000000-0005-0000-0000-00004E250000}"/>
    <cellStyle name="Data 6 4 4" xfId="7902" xr:uid="{00000000-0005-0000-0000-00004F250000}"/>
    <cellStyle name="Data 6 4 4 2" xfId="7903" xr:uid="{00000000-0005-0000-0000-000050250000}"/>
    <cellStyle name="Data 6 4 5" xfId="7904" xr:uid="{00000000-0005-0000-0000-000051250000}"/>
    <cellStyle name="Data 6 4 5 2" xfId="7905" xr:uid="{00000000-0005-0000-0000-000052250000}"/>
    <cellStyle name="Data 6 4 6" xfId="7906" xr:uid="{00000000-0005-0000-0000-000053250000}"/>
    <cellStyle name="Data 6 4 6 2" xfId="7907" xr:uid="{00000000-0005-0000-0000-000054250000}"/>
    <cellStyle name="Data 6 4 7" xfId="7908" xr:uid="{00000000-0005-0000-0000-000055250000}"/>
    <cellStyle name="Data 6 4 7 2" xfId="7909" xr:uid="{00000000-0005-0000-0000-000056250000}"/>
    <cellStyle name="Data 6 4 8" xfId="7910" xr:uid="{00000000-0005-0000-0000-000057250000}"/>
    <cellStyle name="Data 6 4 8 2" xfId="7911" xr:uid="{00000000-0005-0000-0000-000058250000}"/>
    <cellStyle name="Data 6 4 9" xfId="7912" xr:uid="{00000000-0005-0000-0000-000059250000}"/>
    <cellStyle name="Data 6 4 9 2" xfId="7913" xr:uid="{00000000-0005-0000-0000-00005A250000}"/>
    <cellStyle name="Data 6 5" xfId="7914" xr:uid="{00000000-0005-0000-0000-00005B250000}"/>
    <cellStyle name="Data 6 5 10" xfId="7915" xr:uid="{00000000-0005-0000-0000-00005C250000}"/>
    <cellStyle name="Data 6 5 2" xfId="7916" xr:uid="{00000000-0005-0000-0000-00005D250000}"/>
    <cellStyle name="Data 6 5 2 2" xfId="7917" xr:uid="{00000000-0005-0000-0000-00005E250000}"/>
    <cellStyle name="Data 6 5 3" xfId="7918" xr:uid="{00000000-0005-0000-0000-00005F250000}"/>
    <cellStyle name="Data 6 5 3 2" xfId="7919" xr:uid="{00000000-0005-0000-0000-000060250000}"/>
    <cellStyle name="Data 6 5 4" xfId="7920" xr:uid="{00000000-0005-0000-0000-000061250000}"/>
    <cellStyle name="Data 6 5 4 2" xfId="7921" xr:uid="{00000000-0005-0000-0000-000062250000}"/>
    <cellStyle name="Data 6 5 5" xfId="7922" xr:uid="{00000000-0005-0000-0000-000063250000}"/>
    <cellStyle name="Data 6 5 5 2" xfId="7923" xr:uid="{00000000-0005-0000-0000-000064250000}"/>
    <cellStyle name="Data 6 5 6" xfId="7924" xr:uid="{00000000-0005-0000-0000-000065250000}"/>
    <cellStyle name="Data 6 5 6 2" xfId="7925" xr:uid="{00000000-0005-0000-0000-000066250000}"/>
    <cellStyle name="Data 6 5 7" xfId="7926" xr:uid="{00000000-0005-0000-0000-000067250000}"/>
    <cellStyle name="Data 6 5 7 2" xfId="7927" xr:uid="{00000000-0005-0000-0000-000068250000}"/>
    <cellStyle name="Data 6 5 8" xfId="7928" xr:uid="{00000000-0005-0000-0000-000069250000}"/>
    <cellStyle name="Data 6 5 8 2" xfId="7929" xr:uid="{00000000-0005-0000-0000-00006A250000}"/>
    <cellStyle name="Data 6 5 9" xfId="7930" xr:uid="{00000000-0005-0000-0000-00006B250000}"/>
    <cellStyle name="Data 6 5 9 2" xfId="7931" xr:uid="{00000000-0005-0000-0000-00006C250000}"/>
    <cellStyle name="Data 6 6" xfId="7932" xr:uid="{00000000-0005-0000-0000-00006D250000}"/>
    <cellStyle name="Data 6 6 10" xfId="7933" xr:uid="{00000000-0005-0000-0000-00006E250000}"/>
    <cellStyle name="Data 6 6 2" xfId="7934" xr:uid="{00000000-0005-0000-0000-00006F250000}"/>
    <cellStyle name="Data 6 6 2 2" xfId="7935" xr:uid="{00000000-0005-0000-0000-000070250000}"/>
    <cellStyle name="Data 6 6 3" xfId="7936" xr:uid="{00000000-0005-0000-0000-000071250000}"/>
    <cellStyle name="Data 6 6 3 2" xfId="7937" xr:uid="{00000000-0005-0000-0000-000072250000}"/>
    <cellStyle name="Data 6 6 4" xfId="7938" xr:uid="{00000000-0005-0000-0000-000073250000}"/>
    <cellStyle name="Data 6 6 4 2" xfId="7939" xr:uid="{00000000-0005-0000-0000-000074250000}"/>
    <cellStyle name="Data 6 6 5" xfId="7940" xr:uid="{00000000-0005-0000-0000-000075250000}"/>
    <cellStyle name="Data 6 6 5 2" xfId="7941" xr:uid="{00000000-0005-0000-0000-000076250000}"/>
    <cellStyle name="Data 6 6 6" xfId="7942" xr:uid="{00000000-0005-0000-0000-000077250000}"/>
    <cellStyle name="Data 6 6 6 2" xfId="7943" xr:uid="{00000000-0005-0000-0000-000078250000}"/>
    <cellStyle name="Data 6 6 7" xfId="7944" xr:uid="{00000000-0005-0000-0000-000079250000}"/>
    <cellStyle name="Data 6 6 7 2" xfId="7945" xr:uid="{00000000-0005-0000-0000-00007A250000}"/>
    <cellStyle name="Data 6 6 8" xfId="7946" xr:uid="{00000000-0005-0000-0000-00007B250000}"/>
    <cellStyle name="Data 6 6 8 2" xfId="7947" xr:uid="{00000000-0005-0000-0000-00007C250000}"/>
    <cellStyle name="Data 6 6 9" xfId="7948" xr:uid="{00000000-0005-0000-0000-00007D250000}"/>
    <cellStyle name="Data 6 6 9 2" xfId="7949" xr:uid="{00000000-0005-0000-0000-00007E250000}"/>
    <cellStyle name="Data 6 7" xfId="7950" xr:uid="{00000000-0005-0000-0000-00007F250000}"/>
    <cellStyle name="Data 6 7 10" xfId="7951" xr:uid="{00000000-0005-0000-0000-000080250000}"/>
    <cellStyle name="Data 6 7 2" xfId="7952" xr:uid="{00000000-0005-0000-0000-000081250000}"/>
    <cellStyle name="Data 6 7 2 2" xfId="7953" xr:uid="{00000000-0005-0000-0000-000082250000}"/>
    <cellStyle name="Data 6 7 3" xfId="7954" xr:uid="{00000000-0005-0000-0000-000083250000}"/>
    <cellStyle name="Data 6 7 3 2" xfId="7955" xr:uid="{00000000-0005-0000-0000-000084250000}"/>
    <cellStyle name="Data 6 7 4" xfId="7956" xr:uid="{00000000-0005-0000-0000-000085250000}"/>
    <cellStyle name="Data 6 7 4 2" xfId="7957" xr:uid="{00000000-0005-0000-0000-000086250000}"/>
    <cellStyle name="Data 6 7 5" xfId="7958" xr:uid="{00000000-0005-0000-0000-000087250000}"/>
    <cellStyle name="Data 6 7 5 2" xfId="7959" xr:uid="{00000000-0005-0000-0000-000088250000}"/>
    <cellStyle name="Data 6 7 6" xfId="7960" xr:uid="{00000000-0005-0000-0000-000089250000}"/>
    <cellStyle name="Data 6 7 6 2" xfId="7961" xr:uid="{00000000-0005-0000-0000-00008A250000}"/>
    <cellStyle name="Data 6 7 7" xfId="7962" xr:uid="{00000000-0005-0000-0000-00008B250000}"/>
    <cellStyle name="Data 6 7 7 2" xfId="7963" xr:uid="{00000000-0005-0000-0000-00008C250000}"/>
    <cellStyle name="Data 6 7 8" xfId="7964" xr:uid="{00000000-0005-0000-0000-00008D250000}"/>
    <cellStyle name="Data 6 7 8 2" xfId="7965" xr:uid="{00000000-0005-0000-0000-00008E250000}"/>
    <cellStyle name="Data 6 7 9" xfId="7966" xr:uid="{00000000-0005-0000-0000-00008F250000}"/>
    <cellStyle name="Data 6 7 9 2" xfId="7967" xr:uid="{00000000-0005-0000-0000-000090250000}"/>
    <cellStyle name="Data 6 8" xfId="7968" xr:uid="{00000000-0005-0000-0000-000091250000}"/>
    <cellStyle name="Data 6 8 10" xfId="7969" xr:uid="{00000000-0005-0000-0000-000092250000}"/>
    <cellStyle name="Data 6 8 2" xfId="7970" xr:uid="{00000000-0005-0000-0000-000093250000}"/>
    <cellStyle name="Data 6 8 2 2" xfId="7971" xr:uid="{00000000-0005-0000-0000-000094250000}"/>
    <cellStyle name="Data 6 8 3" xfId="7972" xr:uid="{00000000-0005-0000-0000-000095250000}"/>
    <cellStyle name="Data 6 8 3 2" xfId="7973" xr:uid="{00000000-0005-0000-0000-000096250000}"/>
    <cellStyle name="Data 6 8 4" xfId="7974" xr:uid="{00000000-0005-0000-0000-000097250000}"/>
    <cellStyle name="Data 6 8 4 2" xfId="7975" xr:uid="{00000000-0005-0000-0000-000098250000}"/>
    <cellStyle name="Data 6 8 5" xfId="7976" xr:uid="{00000000-0005-0000-0000-000099250000}"/>
    <cellStyle name="Data 6 8 5 2" xfId="7977" xr:uid="{00000000-0005-0000-0000-00009A250000}"/>
    <cellStyle name="Data 6 8 6" xfId="7978" xr:uid="{00000000-0005-0000-0000-00009B250000}"/>
    <cellStyle name="Data 6 8 6 2" xfId="7979" xr:uid="{00000000-0005-0000-0000-00009C250000}"/>
    <cellStyle name="Data 6 8 7" xfId="7980" xr:uid="{00000000-0005-0000-0000-00009D250000}"/>
    <cellStyle name="Data 6 8 7 2" xfId="7981" xr:uid="{00000000-0005-0000-0000-00009E250000}"/>
    <cellStyle name="Data 6 8 8" xfId="7982" xr:uid="{00000000-0005-0000-0000-00009F250000}"/>
    <cellStyle name="Data 6 8 8 2" xfId="7983" xr:uid="{00000000-0005-0000-0000-0000A0250000}"/>
    <cellStyle name="Data 6 8 9" xfId="7984" xr:uid="{00000000-0005-0000-0000-0000A1250000}"/>
    <cellStyle name="Data 6 8 9 2" xfId="7985" xr:uid="{00000000-0005-0000-0000-0000A2250000}"/>
    <cellStyle name="Data 6 9" xfId="7986" xr:uid="{00000000-0005-0000-0000-0000A3250000}"/>
    <cellStyle name="Data 6 9 10" xfId="7987" xr:uid="{00000000-0005-0000-0000-0000A4250000}"/>
    <cellStyle name="Data 6 9 2" xfId="7988" xr:uid="{00000000-0005-0000-0000-0000A5250000}"/>
    <cellStyle name="Data 6 9 2 2" xfId="7989" xr:uid="{00000000-0005-0000-0000-0000A6250000}"/>
    <cellStyle name="Data 6 9 3" xfId="7990" xr:uid="{00000000-0005-0000-0000-0000A7250000}"/>
    <cellStyle name="Data 6 9 3 2" xfId="7991" xr:uid="{00000000-0005-0000-0000-0000A8250000}"/>
    <cellStyle name="Data 6 9 4" xfId="7992" xr:uid="{00000000-0005-0000-0000-0000A9250000}"/>
    <cellStyle name="Data 6 9 4 2" xfId="7993" xr:uid="{00000000-0005-0000-0000-0000AA250000}"/>
    <cellStyle name="Data 6 9 5" xfId="7994" xr:uid="{00000000-0005-0000-0000-0000AB250000}"/>
    <cellStyle name="Data 6 9 5 2" xfId="7995" xr:uid="{00000000-0005-0000-0000-0000AC250000}"/>
    <cellStyle name="Data 6 9 6" xfId="7996" xr:uid="{00000000-0005-0000-0000-0000AD250000}"/>
    <cellStyle name="Data 6 9 6 2" xfId="7997" xr:uid="{00000000-0005-0000-0000-0000AE250000}"/>
    <cellStyle name="Data 6 9 7" xfId="7998" xr:uid="{00000000-0005-0000-0000-0000AF250000}"/>
    <cellStyle name="Data 6 9 7 2" xfId="7999" xr:uid="{00000000-0005-0000-0000-0000B0250000}"/>
    <cellStyle name="Data 6 9 8" xfId="8000" xr:uid="{00000000-0005-0000-0000-0000B1250000}"/>
    <cellStyle name="Data 6 9 8 2" xfId="8001" xr:uid="{00000000-0005-0000-0000-0000B2250000}"/>
    <cellStyle name="Data 6 9 9" xfId="8002" xr:uid="{00000000-0005-0000-0000-0000B3250000}"/>
    <cellStyle name="Data 6 9 9 2" xfId="8003" xr:uid="{00000000-0005-0000-0000-0000B4250000}"/>
    <cellStyle name="Data 7" xfId="8004" xr:uid="{00000000-0005-0000-0000-0000B5250000}"/>
    <cellStyle name="Data 7 10" xfId="8005" xr:uid="{00000000-0005-0000-0000-0000B6250000}"/>
    <cellStyle name="Data 7 10 2" xfId="8006" xr:uid="{00000000-0005-0000-0000-0000B7250000}"/>
    <cellStyle name="Data 7 10 2 2" xfId="8007" xr:uid="{00000000-0005-0000-0000-0000B8250000}"/>
    <cellStyle name="Data 7 10 3" xfId="8008" xr:uid="{00000000-0005-0000-0000-0000B9250000}"/>
    <cellStyle name="Data 7 10 3 2" xfId="8009" xr:uid="{00000000-0005-0000-0000-0000BA250000}"/>
    <cellStyle name="Data 7 10 4" xfId="8010" xr:uid="{00000000-0005-0000-0000-0000BB250000}"/>
    <cellStyle name="Data 7 10 4 2" xfId="8011" xr:uid="{00000000-0005-0000-0000-0000BC250000}"/>
    <cellStyle name="Data 7 10 5" xfId="8012" xr:uid="{00000000-0005-0000-0000-0000BD250000}"/>
    <cellStyle name="Data 7 10 5 2" xfId="8013" xr:uid="{00000000-0005-0000-0000-0000BE250000}"/>
    <cellStyle name="Data 7 10 6" xfId="8014" xr:uid="{00000000-0005-0000-0000-0000BF250000}"/>
    <cellStyle name="Data 7 10 6 2" xfId="8015" xr:uid="{00000000-0005-0000-0000-0000C0250000}"/>
    <cellStyle name="Data 7 10 7" xfId="8016" xr:uid="{00000000-0005-0000-0000-0000C1250000}"/>
    <cellStyle name="Data 7 10 7 2" xfId="8017" xr:uid="{00000000-0005-0000-0000-0000C2250000}"/>
    <cellStyle name="Data 7 10 8" xfId="8018" xr:uid="{00000000-0005-0000-0000-0000C3250000}"/>
    <cellStyle name="Data 7 10 8 2" xfId="8019" xr:uid="{00000000-0005-0000-0000-0000C4250000}"/>
    <cellStyle name="Data 7 10 9" xfId="8020" xr:uid="{00000000-0005-0000-0000-0000C5250000}"/>
    <cellStyle name="Data 7 11" xfId="8021" xr:uid="{00000000-0005-0000-0000-0000C6250000}"/>
    <cellStyle name="Data 7 11 2" xfId="8022" xr:uid="{00000000-0005-0000-0000-0000C7250000}"/>
    <cellStyle name="Data 7 12" xfId="8023" xr:uid="{00000000-0005-0000-0000-0000C8250000}"/>
    <cellStyle name="Data 7 12 2" xfId="8024" xr:uid="{00000000-0005-0000-0000-0000C9250000}"/>
    <cellStyle name="Data 7 13" xfId="8025" xr:uid="{00000000-0005-0000-0000-0000CA250000}"/>
    <cellStyle name="Data 7 13 2" xfId="8026" xr:uid="{00000000-0005-0000-0000-0000CB250000}"/>
    <cellStyle name="Data 7 14" xfId="8027" xr:uid="{00000000-0005-0000-0000-0000CC250000}"/>
    <cellStyle name="Data 7 14 2" xfId="8028" xr:uid="{00000000-0005-0000-0000-0000CD250000}"/>
    <cellStyle name="Data 7 15" xfId="8029" xr:uid="{00000000-0005-0000-0000-0000CE250000}"/>
    <cellStyle name="Data 7 15 2" xfId="8030" xr:uid="{00000000-0005-0000-0000-0000CF250000}"/>
    <cellStyle name="Data 7 16" xfId="8031" xr:uid="{00000000-0005-0000-0000-0000D0250000}"/>
    <cellStyle name="Data 7 16 2" xfId="8032" xr:uid="{00000000-0005-0000-0000-0000D1250000}"/>
    <cellStyle name="Data 7 17" xfId="8033" xr:uid="{00000000-0005-0000-0000-0000D2250000}"/>
    <cellStyle name="Data 7 17 2" xfId="8034" xr:uid="{00000000-0005-0000-0000-0000D3250000}"/>
    <cellStyle name="Data 7 18" xfId="8035" xr:uid="{00000000-0005-0000-0000-0000D4250000}"/>
    <cellStyle name="Data 7 2" xfId="8036" xr:uid="{00000000-0005-0000-0000-0000D5250000}"/>
    <cellStyle name="Data 7 2 10" xfId="8037" xr:uid="{00000000-0005-0000-0000-0000D6250000}"/>
    <cellStyle name="Data 7 2 2" xfId="8038" xr:uid="{00000000-0005-0000-0000-0000D7250000}"/>
    <cellStyle name="Data 7 2 2 2" xfId="8039" xr:uid="{00000000-0005-0000-0000-0000D8250000}"/>
    <cellStyle name="Data 7 2 3" xfId="8040" xr:uid="{00000000-0005-0000-0000-0000D9250000}"/>
    <cellStyle name="Data 7 2 3 2" xfId="8041" xr:uid="{00000000-0005-0000-0000-0000DA250000}"/>
    <cellStyle name="Data 7 2 4" xfId="8042" xr:uid="{00000000-0005-0000-0000-0000DB250000}"/>
    <cellStyle name="Data 7 2 4 2" xfId="8043" xr:uid="{00000000-0005-0000-0000-0000DC250000}"/>
    <cellStyle name="Data 7 2 5" xfId="8044" xr:uid="{00000000-0005-0000-0000-0000DD250000}"/>
    <cellStyle name="Data 7 2 5 2" xfId="8045" xr:uid="{00000000-0005-0000-0000-0000DE250000}"/>
    <cellStyle name="Data 7 2 6" xfId="8046" xr:uid="{00000000-0005-0000-0000-0000DF250000}"/>
    <cellStyle name="Data 7 2 6 2" xfId="8047" xr:uid="{00000000-0005-0000-0000-0000E0250000}"/>
    <cellStyle name="Data 7 2 7" xfId="8048" xr:uid="{00000000-0005-0000-0000-0000E1250000}"/>
    <cellStyle name="Data 7 2 7 2" xfId="8049" xr:uid="{00000000-0005-0000-0000-0000E2250000}"/>
    <cellStyle name="Data 7 2 8" xfId="8050" xr:uid="{00000000-0005-0000-0000-0000E3250000}"/>
    <cellStyle name="Data 7 2 8 2" xfId="8051" xr:uid="{00000000-0005-0000-0000-0000E4250000}"/>
    <cellStyle name="Data 7 2 9" xfId="8052" xr:uid="{00000000-0005-0000-0000-0000E5250000}"/>
    <cellStyle name="Data 7 2 9 2" xfId="8053" xr:uid="{00000000-0005-0000-0000-0000E6250000}"/>
    <cellStyle name="Data 7 3" xfId="8054" xr:uid="{00000000-0005-0000-0000-0000E7250000}"/>
    <cellStyle name="Data 7 3 10" xfId="8055" xr:uid="{00000000-0005-0000-0000-0000E8250000}"/>
    <cellStyle name="Data 7 3 2" xfId="8056" xr:uid="{00000000-0005-0000-0000-0000E9250000}"/>
    <cellStyle name="Data 7 3 2 2" xfId="8057" xr:uid="{00000000-0005-0000-0000-0000EA250000}"/>
    <cellStyle name="Data 7 3 3" xfId="8058" xr:uid="{00000000-0005-0000-0000-0000EB250000}"/>
    <cellStyle name="Data 7 3 3 2" xfId="8059" xr:uid="{00000000-0005-0000-0000-0000EC250000}"/>
    <cellStyle name="Data 7 3 4" xfId="8060" xr:uid="{00000000-0005-0000-0000-0000ED250000}"/>
    <cellStyle name="Data 7 3 4 2" xfId="8061" xr:uid="{00000000-0005-0000-0000-0000EE250000}"/>
    <cellStyle name="Data 7 3 5" xfId="8062" xr:uid="{00000000-0005-0000-0000-0000EF250000}"/>
    <cellStyle name="Data 7 3 5 2" xfId="8063" xr:uid="{00000000-0005-0000-0000-0000F0250000}"/>
    <cellStyle name="Data 7 3 6" xfId="8064" xr:uid="{00000000-0005-0000-0000-0000F1250000}"/>
    <cellStyle name="Data 7 3 6 2" xfId="8065" xr:uid="{00000000-0005-0000-0000-0000F2250000}"/>
    <cellStyle name="Data 7 3 7" xfId="8066" xr:uid="{00000000-0005-0000-0000-0000F3250000}"/>
    <cellStyle name="Data 7 3 7 2" xfId="8067" xr:uid="{00000000-0005-0000-0000-0000F4250000}"/>
    <cellStyle name="Data 7 3 8" xfId="8068" xr:uid="{00000000-0005-0000-0000-0000F5250000}"/>
    <cellStyle name="Data 7 3 8 2" xfId="8069" xr:uid="{00000000-0005-0000-0000-0000F6250000}"/>
    <cellStyle name="Data 7 3 9" xfId="8070" xr:uid="{00000000-0005-0000-0000-0000F7250000}"/>
    <cellStyle name="Data 7 3 9 2" xfId="8071" xr:uid="{00000000-0005-0000-0000-0000F8250000}"/>
    <cellStyle name="Data 7 4" xfId="8072" xr:uid="{00000000-0005-0000-0000-0000F9250000}"/>
    <cellStyle name="Data 7 4 10" xfId="8073" xr:uid="{00000000-0005-0000-0000-0000FA250000}"/>
    <cellStyle name="Data 7 4 2" xfId="8074" xr:uid="{00000000-0005-0000-0000-0000FB250000}"/>
    <cellStyle name="Data 7 4 2 2" xfId="8075" xr:uid="{00000000-0005-0000-0000-0000FC250000}"/>
    <cellStyle name="Data 7 4 3" xfId="8076" xr:uid="{00000000-0005-0000-0000-0000FD250000}"/>
    <cellStyle name="Data 7 4 3 2" xfId="8077" xr:uid="{00000000-0005-0000-0000-0000FE250000}"/>
    <cellStyle name="Data 7 4 4" xfId="8078" xr:uid="{00000000-0005-0000-0000-0000FF250000}"/>
    <cellStyle name="Data 7 4 4 2" xfId="8079" xr:uid="{00000000-0005-0000-0000-000000260000}"/>
    <cellStyle name="Data 7 4 5" xfId="8080" xr:uid="{00000000-0005-0000-0000-000001260000}"/>
    <cellStyle name="Data 7 4 5 2" xfId="8081" xr:uid="{00000000-0005-0000-0000-000002260000}"/>
    <cellStyle name="Data 7 4 6" xfId="8082" xr:uid="{00000000-0005-0000-0000-000003260000}"/>
    <cellStyle name="Data 7 4 6 2" xfId="8083" xr:uid="{00000000-0005-0000-0000-000004260000}"/>
    <cellStyle name="Data 7 4 7" xfId="8084" xr:uid="{00000000-0005-0000-0000-000005260000}"/>
    <cellStyle name="Data 7 4 7 2" xfId="8085" xr:uid="{00000000-0005-0000-0000-000006260000}"/>
    <cellStyle name="Data 7 4 8" xfId="8086" xr:uid="{00000000-0005-0000-0000-000007260000}"/>
    <cellStyle name="Data 7 4 8 2" xfId="8087" xr:uid="{00000000-0005-0000-0000-000008260000}"/>
    <cellStyle name="Data 7 4 9" xfId="8088" xr:uid="{00000000-0005-0000-0000-000009260000}"/>
    <cellStyle name="Data 7 4 9 2" xfId="8089" xr:uid="{00000000-0005-0000-0000-00000A260000}"/>
    <cellStyle name="Data 7 5" xfId="8090" xr:uid="{00000000-0005-0000-0000-00000B260000}"/>
    <cellStyle name="Data 7 5 10" xfId="8091" xr:uid="{00000000-0005-0000-0000-00000C260000}"/>
    <cellStyle name="Data 7 5 2" xfId="8092" xr:uid="{00000000-0005-0000-0000-00000D260000}"/>
    <cellStyle name="Data 7 5 2 2" xfId="8093" xr:uid="{00000000-0005-0000-0000-00000E260000}"/>
    <cellStyle name="Data 7 5 3" xfId="8094" xr:uid="{00000000-0005-0000-0000-00000F260000}"/>
    <cellStyle name="Data 7 5 3 2" xfId="8095" xr:uid="{00000000-0005-0000-0000-000010260000}"/>
    <cellStyle name="Data 7 5 4" xfId="8096" xr:uid="{00000000-0005-0000-0000-000011260000}"/>
    <cellStyle name="Data 7 5 4 2" xfId="8097" xr:uid="{00000000-0005-0000-0000-000012260000}"/>
    <cellStyle name="Data 7 5 5" xfId="8098" xr:uid="{00000000-0005-0000-0000-000013260000}"/>
    <cellStyle name="Data 7 5 5 2" xfId="8099" xr:uid="{00000000-0005-0000-0000-000014260000}"/>
    <cellStyle name="Data 7 5 6" xfId="8100" xr:uid="{00000000-0005-0000-0000-000015260000}"/>
    <cellStyle name="Data 7 5 6 2" xfId="8101" xr:uid="{00000000-0005-0000-0000-000016260000}"/>
    <cellStyle name="Data 7 5 7" xfId="8102" xr:uid="{00000000-0005-0000-0000-000017260000}"/>
    <cellStyle name="Data 7 5 7 2" xfId="8103" xr:uid="{00000000-0005-0000-0000-000018260000}"/>
    <cellStyle name="Data 7 5 8" xfId="8104" xr:uid="{00000000-0005-0000-0000-000019260000}"/>
    <cellStyle name="Data 7 5 8 2" xfId="8105" xr:uid="{00000000-0005-0000-0000-00001A260000}"/>
    <cellStyle name="Data 7 5 9" xfId="8106" xr:uid="{00000000-0005-0000-0000-00001B260000}"/>
    <cellStyle name="Data 7 5 9 2" xfId="8107" xr:uid="{00000000-0005-0000-0000-00001C260000}"/>
    <cellStyle name="Data 7 6" xfId="8108" xr:uid="{00000000-0005-0000-0000-00001D260000}"/>
    <cellStyle name="Data 7 6 10" xfId="8109" xr:uid="{00000000-0005-0000-0000-00001E260000}"/>
    <cellStyle name="Data 7 6 2" xfId="8110" xr:uid="{00000000-0005-0000-0000-00001F260000}"/>
    <cellStyle name="Data 7 6 2 2" xfId="8111" xr:uid="{00000000-0005-0000-0000-000020260000}"/>
    <cellStyle name="Data 7 6 3" xfId="8112" xr:uid="{00000000-0005-0000-0000-000021260000}"/>
    <cellStyle name="Data 7 6 3 2" xfId="8113" xr:uid="{00000000-0005-0000-0000-000022260000}"/>
    <cellStyle name="Data 7 6 4" xfId="8114" xr:uid="{00000000-0005-0000-0000-000023260000}"/>
    <cellStyle name="Data 7 6 4 2" xfId="8115" xr:uid="{00000000-0005-0000-0000-000024260000}"/>
    <cellStyle name="Data 7 6 5" xfId="8116" xr:uid="{00000000-0005-0000-0000-000025260000}"/>
    <cellStyle name="Data 7 6 5 2" xfId="8117" xr:uid="{00000000-0005-0000-0000-000026260000}"/>
    <cellStyle name="Data 7 6 6" xfId="8118" xr:uid="{00000000-0005-0000-0000-000027260000}"/>
    <cellStyle name="Data 7 6 6 2" xfId="8119" xr:uid="{00000000-0005-0000-0000-000028260000}"/>
    <cellStyle name="Data 7 6 7" xfId="8120" xr:uid="{00000000-0005-0000-0000-000029260000}"/>
    <cellStyle name="Data 7 6 7 2" xfId="8121" xr:uid="{00000000-0005-0000-0000-00002A260000}"/>
    <cellStyle name="Data 7 6 8" xfId="8122" xr:uid="{00000000-0005-0000-0000-00002B260000}"/>
    <cellStyle name="Data 7 6 8 2" xfId="8123" xr:uid="{00000000-0005-0000-0000-00002C260000}"/>
    <cellStyle name="Data 7 6 9" xfId="8124" xr:uid="{00000000-0005-0000-0000-00002D260000}"/>
    <cellStyle name="Data 7 6 9 2" xfId="8125" xr:uid="{00000000-0005-0000-0000-00002E260000}"/>
    <cellStyle name="Data 7 7" xfId="8126" xr:uid="{00000000-0005-0000-0000-00002F260000}"/>
    <cellStyle name="Data 7 7 10" xfId="8127" xr:uid="{00000000-0005-0000-0000-000030260000}"/>
    <cellStyle name="Data 7 7 2" xfId="8128" xr:uid="{00000000-0005-0000-0000-000031260000}"/>
    <cellStyle name="Data 7 7 2 2" xfId="8129" xr:uid="{00000000-0005-0000-0000-000032260000}"/>
    <cellStyle name="Data 7 7 3" xfId="8130" xr:uid="{00000000-0005-0000-0000-000033260000}"/>
    <cellStyle name="Data 7 7 3 2" xfId="8131" xr:uid="{00000000-0005-0000-0000-000034260000}"/>
    <cellStyle name="Data 7 7 4" xfId="8132" xr:uid="{00000000-0005-0000-0000-000035260000}"/>
    <cellStyle name="Data 7 7 4 2" xfId="8133" xr:uid="{00000000-0005-0000-0000-000036260000}"/>
    <cellStyle name="Data 7 7 5" xfId="8134" xr:uid="{00000000-0005-0000-0000-000037260000}"/>
    <cellStyle name="Data 7 7 5 2" xfId="8135" xr:uid="{00000000-0005-0000-0000-000038260000}"/>
    <cellStyle name="Data 7 7 6" xfId="8136" xr:uid="{00000000-0005-0000-0000-000039260000}"/>
    <cellStyle name="Data 7 7 6 2" xfId="8137" xr:uid="{00000000-0005-0000-0000-00003A260000}"/>
    <cellStyle name="Data 7 7 7" xfId="8138" xr:uid="{00000000-0005-0000-0000-00003B260000}"/>
    <cellStyle name="Data 7 7 7 2" xfId="8139" xr:uid="{00000000-0005-0000-0000-00003C260000}"/>
    <cellStyle name="Data 7 7 8" xfId="8140" xr:uid="{00000000-0005-0000-0000-00003D260000}"/>
    <cellStyle name="Data 7 7 8 2" xfId="8141" xr:uid="{00000000-0005-0000-0000-00003E260000}"/>
    <cellStyle name="Data 7 7 9" xfId="8142" xr:uid="{00000000-0005-0000-0000-00003F260000}"/>
    <cellStyle name="Data 7 7 9 2" xfId="8143" xr:uid="{00000000-0005-0000-0000-000040260000}"/>
    <cellStyle name="Data 7 8" xfId="8144" xr:uid="{00000000-0005-0000-0000-000041260000}"/>
    <cellStyle name="Data 7 8 10" xfId="8145" xr:uid="{00000000-0005-0000-0000-000042260000}"/>
    <cellStyle name="Data 7 8 2" xfId="8146" xr:uid="{00000000-0005-0000-0000-000043260000}"/>
    <cellStyle name="Data 7 8 2 2" xfId="8147" xr:uid="{00000000-0005-0000-0000-000044260000}"/>
    <cellStyle name="Data 7 8 3" xfId="8148" xr:uid="{00000000-0005-0000-0000-000045260000}"/>
    <cellStyle name="Data 7 8 3 2" xfId="8149" xr:uid="{00000000-0005-0000-0000-000046260000}"/>
    <cellStyle name="Data 7 8 4" xfId="8150" xr:uid="{00000000-0005-0000-0000-000047260000}"/>
    <cellStyle name="Data 7 8 4 2" xfId="8151" xr:uid="{00000000-0005-0000-0000-000048260000}"/>
    <cellStyle name="Data 7 8 5" xfId="8152" xr:uid="{00000000-0005-0000-0000-000049260000}"/>
    <cellStyle name="Data 7 8 5 2" xfId="8153" xr:uid="{00000000-0005-0000-0000-00004A260000}"/>
    <cellStyle name="Data 7 8 6" xfId="8154" xr:uid="{00000000-0005-0000-0000-00004B260000}"/>
    <cellStyle name="Data 7 8 6 2" xfId="8155" xr:uid="{00000000-0005-0000-0000-00004C260000}"/>
    <cellStyle name="Data 7 8 7" xfId="8156" xr:uid="{00000000-0005-0000-0000-00004D260000}"/>
    <cellStyle name="Data 7 8 7 2" xfId="8157" xr:uid="{00000000-0005-0000-0000-00004E260000}"/>
    <cellStyle name="Data 7 8 8" xfId="8158" xr:uid="{00000000-0005-0000-0000-00004F260000}"/>
    <cellStyle name="Data 7 8 8 2" xfId="8159" xr:uid="{00000000-0005-0000-0000-000050260000}"/>
    <cellStyle name="Data 7 8 9" xfId="8160" xr:uid="{00000000-0005-0000-0000-000051260000}"/>
    <cellStyle name="Data 7 8 9 2" xfId="8161" xr:uid="{00000000-0005-0000-0000-000052260000}"/>
    <cellStyle name="Data 7 9" xfId="8162" xr:uid="{00000000-0005-0000-0000-000053260000}"/>
    <cellStyle name="Data 7 9 10" xfId="8163" xr:uid="{00000000-0005-0000-0000-000054260000}"/>
    <cellStyle name="Data 7 9 2" xfId="8164" xr:uid="{00000000-0005-0000-0000-000055260000}"/>
    <cellStyle name="Data 7 9 2 2" xfId="8165" xr:uid="{00000000-0005-0000-0000-000056260000}"/>
    <cellStyle name="Data 7 9 3" xfId="8166" xr:uid="{00000000-0005-0000-0000-000057260000}"/>
    <cellStyle name="Data 7 9 3 2" xfId="8167" xr:uid="{00000000-0005-0000-0000-000058260000}"/>
    <cellStyle name="Data 7 9 4" xfId="8168" xr:uid="{00000000-0005-0000-0000-000059260000}"/>
    <cellStyle name="Data 7 9 4 2" xfId="8169" xr:uid="{00000000-0005-0000-0000-00005A260000}"/>
    <cellStyle name="Data 7 9 5" xfId="8170" xr:uid="{00000000-0005-0000-0000-00005B260000}"/>
    <cellStyle name="Data 7 9 5 2" xfId="8171" xr:uid="{00000000-0005-0000-0000-00005C260000}"/>
    <cellStyle name="Data 7 9 6" xfId="8172" xr:uid="{00000000-0005-0000-0000-00005D260000}"/>
    <cellStyle name="Data 7 9 6 2" xfId="8173" xr:uid="{00000000-0005-0000-0000-00005E260000}"/>
    <cellStyle name="Data 7 9 7" xfId="8174" xr:uid="{00000000-0005-0000-0000-00005F260000}"/>
    <cellStyle name="Data 7 9 7 2" xfId="8175" xr:uid="{00000000-0005-0000-0000-000060260000}"/>
    <cellStyle name="Data 7 9 8" xfId="8176" xr:uid="{00000000-0005-0000-0000-000061260000}"/>
    <cellStyle name="Data 7 9 8 2" xfId="8177" xr:uid="{00000000-0005-0000-0000-000062260000}"/>
    <cellStyle name="Data 7 9 9" xfId="8178" xr:uid="{00000000-0005-0000-0000-000063260000}"/>
    <cellStyle name="Data 7 9 9 2" xfId="8179" xr:uid="{00000000-0005-0000-0000-000064260000}"/>
    <cellStyle name="Data no deci" xfId="62" xr:uid="{00000000-0005-0000-0000-000065260000}"/>
    <cellStyle name="Data no deci 2" xfId="159" xr:uid="{00000000-0005-0000-0000-000066260000}"/>
    <cellStyle name="Data no deci 2 2" xfId="8180" xr:uid="{00000000-0005-0000-0000-000067260000}"/>
    <cellStyle name="Data no deci 2 2 10" xfId="8181" xr:uid="{00000000-0005-0000-0000-000068260000}"/>
    <cellStyle name="Data no deci 2 2 10 10" xfId="8182" xr:uid="{00000000-0005-0000-0000-000069260000}"/>
    <cellStyle name="Data no deci 2 2 10 2" xfId="8183" xr:uid="{00000000-0005-0000-0000-00006A260000}"/>
    <cellStyle name="Data no deci 2 2 10 2 2" xfId="8184" xr:uid="{00000000-0005-0000-0000-00006B260000}"/>
    <cellStyle name="Data no deci 2 2 10 3" xfId="8185" xr:uid="{00000000-0005-0000-0000-00006C260000}"/>
    <cellStyle name="Data no deci 2 2 10 3 2" xfId="8186" xr:uid="{00000000-0005-0000-0000-00006D260000}"/>
    <cellStyle name="Data no deci 2 2 10 4" xfId="8187" xr:uid="{00000000-0005-0000-0000-00006E260000}"/>
    <cellStyle name="Data no deci 2 2 10 4 2" xfId="8188" xr:uid="{00000000-0005-0000-0000-00006F260000}"/>
    <cellStyle name="Data no deci 2 2 10 5" xfId="8189" xr:uid="{00000000-0005-0000-0000-000070260000}"/>
    <cellStyle name="Data no deci 2 2 10 5 2" xfId="8190" xr:uid="{00000000-0005-0000-0000-000071260000}"/>
    <cellStyle name="Data no deci 2 2 10 6" xfId="8191" xr:uid="{00000000-0005-0000-0000-000072260000}"/>
    <cellStyle name="Data no deci 2 2 10 6 2" xfId="8192" xr:uid="{00000000-0005-0000-0000-000073260000}"/>
    <cellStyle name="Data no deci 2 2 10 7" xfId="8193" xr:uid="{00000000-0005-0000-0000-000074260000}"/>
    <cellStyle name="Data no deci 2 2 10 7 2" xfId="8194" xr:uid="{00000000-0005-0000-0000-000075260000}"/>
    <cellStyle name="Data no deci 2 2 10 8" xfId="8195" xr:uid="{00000000-0005-0000-0000-000076260000}"/>
    <cellStyle name="Data no deci 2 2 10 8 2" xfId="8196" xr:uid="{00000000-0005-0000-0000-000077260000}"/>
    <cellStyle name="Data no deci 2 2 10 9" xfId="8197" xr:uid="{00000000-0005-0000-0000-000078260000}"/>
    <cellStyle name="Data no deci 2 2 10 9 2" xfId="8198" xr:uid="{00000000-0005-0000-0000-000079260000}"/>
    <cellStyle name="Data no deci 2 2 11" xfId="8199" xr:uid="{00000000-0005-0000-0000-00007A260000}"/>
    <cellStyle name="Data no deci 2 2 11 2" xfId="8200" xr:uid="{00000000-0005-0000-0000-00007B260000}"/>
    <cellStyle name="Data no deci 2 2 11 2 2" xfId="8201" xr:uid="{00000000-0005-0000-0000-00007C260000}"/>
    <cellStyle name="Data no deci 2 2 11 3" xfId="8202" xr:uid="{00000000-0005-0000-0000-00007D260000}"/>
    <cellStyle name="Data no deci 2 2 11 3 2" xfId="8203" xr:uid="{00000000-0005-0000-0000-00007E260000}"/>
    <cellStyle name="Data no deci 2 2 11 4" xfId="8204" xr:uid="{00000000-0005-0000-0000-00007F260000}"/>
    <cellStyle name="Data no deci 2 2 11 4 2" xfId="8205" xr:uid="{00000000-0005-0000-0000-000080260000}"/>
    <cellStyle name="Data no deci 2 2 11 5" xfId="8206" xr:uid="{00000000-0005-0000-0000-000081260000}"/>
    <cellStyle name="Data no deci 2 2 11 5 2" xfId="8207" xr:uid="{00000000-0005-0000-0000-000082260000}"/>
    <cellStyle name="Data no deci 2 2 11 6" xfId="8208" xr:uid="{00000000-0005-0000-0000-000083260000}"/>
    <cellStyle name="Data no deci 2 2 11 6 2" xfId="8209" xr:uid="{00000000-0005-0000-0000-000084260000}"/>
    <cellStyle name="Data no deci 2 2 11 7" xfId="8210" xr:uid="{00000000-0005-0000-0000-000085260000}"/>
    <cellStyle name="Data no deci 2 2 11 7 2" xfId="8211" xr:uid="{00000000-0005-0000-0000-000086260000}"/>
    <cellStyle name="Data no deci 2 2 11 8" xfId="8212" xr:uid="{00000000-0005-0000-0000-000087260000}"/>
    <cellStyle name="Data no deci 2 2 11 8 2" xfId="8213" xr:uid="{00000000-0005-0000-0000-000088260000}"/>
    <cellStyle name="Data no deci 2 2 11 9" xfId="8214" xr:uid="{00000000-0005-0000-0000-000089260000}"/>
    <cellStyle name="Data no deci 2 2 2" xfId="8215" xr:uid="{00000000-0005-0000-0000-00008A260000}"/>
    <cellStyle name="Data no deci 2 2 2 10" xfId="8216" xr:uid="{00000000-0005-0000-0000-00008B260000}"/>
    <cellStyle name="Data no deci 2 2 2 2" xfId="8217" xr:uid="{00000000-0005-0000-0000-00008C260000}"/>
    <cellStyle name="Data no deci 2 2 2 2 2" xfId="8218" xr:uid="{00000000-0005-0000-0000-00008D260000}"/>
    <cellStyle name="Data no deci 2 2 2 3" xfId="8219" xr:uid="{00000000-0005-0000-0000-00008E260000}"/>
    <cellStyle name="Data no deci 2 2 2 3 2" xfId="8220" xr:uid="{00000000-0005-0000-0000-00008F260000}"/>
    <cellStyle name="Data no deci 2 2 2 4" xfId="8221" xr:uid="{00000000-0005-0000-0000-000090260000}"/>
    <cellStyle name="Data no deci 2 2 2 4 2" xfId="8222" xr:uid="{00000000-0005-0000-0000-000091260000}"/>
    <cellStyle name="Data no deci 2 2 2 5" xfId="8223" xr:uid="{00000000-0005-0000-0000-000092260000}"/>
    <cellStyle name="Data no deci 2 2 2 5 2" xfId="8224" xr:uid="{00000000-0005-0000-0000-000093260000}"/>
    <cellStyle name="Data no deci 2 2 2 6" xfId="8225" xr:uid="{00000000-0005-0000-0000-000094260000}"/>
    <cellStyle name="Data no deci 2 2 2 6 2" xfId="8226" xr:uid="{00000000-0005-0000-0000-000095260000}"/>
    <cellStyle name="Data no deci 2 2 2 7" xfId="8227" xr:uid="{00000000-0005-0000-0000-000096260000}"/>
    <cellStyle name="Data no deci 2 2 2 7 2" xfId="8228" xr:uid="{00000000-0005-0000-0000-000097260000}"/>
    <cellStyle name="Data no deci 2 2 2 8" xfId="8229" xr:uid="{00000000-0005-0000-0000-000098260000}"/>
    <cellStyle name="Data no deci 2 2 2 8 2" xfId="8230" xr:uid="{00000000-0005-0000-0000-000099260000}"/>
    <cellStyle name="Data no deci 2 2 2 9" xfId="8231" xr:uid="{00000000-0005-0000-0000-00009A260000}"/>
    <cellStyle name="Data no deci 2 2 2 9 2" xfId="8232" xr:uid="{00000000-0005-0000-0000-00009B260000}"/>
    <cellStyle name="Data no deci 2 2 3" xfId="8233" xr:uid="{00000000-0005-0000-0000-00009C260000}"/>
    <cellStyle name="Data no deci 2 2 3 10" xfId="8234" xr:uid="{00000000-0005-0000-0000-00009D260000}"/>
    <cellStyle name="Data no deci 2 2 3 2" xfId="8235" xr:uid="{00000000-0005-0000-0000-00009E260000}"/>
    <cellStyle name="Data no deci 2 2 3 2 2" xfId="8236" xr:uid="{00000000-0005-0000-0000-00009F260000}"/>
    <cellStyle name="Data no deci 2 2 3 3" xfId="8237" xr:uid="{00000000-0005-0000-0000-0000A0260000}"/>
    <cellStyle name="Data no deci 2 2 3 3 2" xfId="8238" xr:uid="{00000000-0005-0000-0000-0000A1260000}"/>
    <cellStyle name="Data no deci 2 2 3 4" xfId="8239" xr:uid="{00000000-0005-0000-0000-0000A2260000}"/>
    <cellStyle name="Data no deci 2 2 3 4 2" xfId="8240" xr:uid="{00000000-0005-0000-0000-0000A3260000}"/>
    <cellStyle name="Data no deci 2 2 3 5" xfId="8241" xr:uid="{00000000-0005-0000-0000-0000A4260000}"/>
    <cellStyle name="Data no deci 2 2 3 5 2" xfId="8242" xr:uid="{00000000-0005-0000-0000-0000A5260000}"/>
    <cellStyle name="Data no deci 2 2 3 6" xfId="8243" xr:uid="{00000000-0005-0000-0000-0000A6260000}"/>
    <cellStyle name="Data no deci 2 2 3 6 2" xfId="8244" xr:uid="{00000000-0005-0000-0000-0000A7260000}"/>
    <cellStyle name="Data no deci 2 2 3 7" xfId="8245" xr:uid="{00000000-0005-0000-0000-0000A8260000}"/>
    <cellStyle name="Data no deci 2 2 3 7 2" xfId="8246" xr:uid="{00000000-0005-0000-0000-0000A9260000}"/>
    <cellStyle name="Data no deci 2 2 3 8" xfId="8247" xr:uid="{00000000-0005-0000-0000-0000AA260000}"/>
    <cellStyle name="Data no deci 2 2 3 8 2" xfId="8248" xr:uid="{00000000-0005-0000-0000-0000AB260000}"/>
    <cellStyle name="Data no deci 2 2 3 9" xfId="8249" xr:uid="{00000000-0005-0000-0000-0000AC260000}"/>
    <cellStyle name="Data no deci 2 2 3 9 2" xfId="8250" xr:uid="{00000000-0005-0000-0000-0000AD260000}"/>
    <cellStyle name="Data no deci 2 2 4" xfId="8251" xr:uid="{00000000-0005-0000-0000-0000AE260000}"/>
    <cellStyle name="Data no deci 2 2 4 10" xfId="8252" xr:uid="{00000000-0005-0000-0000-0000AF260000}"/>
    <cellStyle name="Data no deci 2 2 4 2" xfId="8253" xr:uid="{00000000-0005-0000-0000-0000B0260000}"/>
    <cellStyle name="Data no deci 2 2 4 2 2" xfId="8254" xr:uid="{00000000-0005-0000-0000-0000B1260000}"/>
    <cellStyle name="Data no deci 2 2 4 3" xfId="8255" xr:uid="{00000000-0005-0000-0000-0000B2260000}"/>
    <cellStyle name="Data no deci 2 2 4 3 2" xfId="8256" xr:uid="{00000000-0005-0000-0000-0000B3260000}"/>
    <cellStyle name="Data no deci 2 2 4 4" xfId="8257" xr:uid="{00000000-0005-0000-0000-0000B4260000}"/>
    <cellStyle name="Data no deci 2 2 4 4 2" xfId="8258" xr:uid="{00000000-0005-0000-0000-0000B5260000}"/>
    <cellStyle name="Data no deci 2 2 4 5" xfId="8259" xr:uid="{00000000-0005-0000-0000-0000B6260000}"/>
    <cellStyle name="Data no deci 2 2 4 5 2" xfId="8260" xr:uid="{00000000-0005-0000-0000-0000B7260000}"/>
    <cellStyle name="Data no deci 2 2 4 6" xfId="8261" xr:uid="{00000000-0005-0000-0000-0000B8260000}"/>
    <cellStyle name="Data no deci 2 2 4 6 2" xfId="8262" xr:uid="{00000000-0005-0000-0000-0000B9260000}"/>
    <cellStyle name="Data no deci 2 2 4 7" xfId="8263" xr:uid="{00000000-0005-0000-0000-0000BA260000}"/>
    <cellStyle name="Data no deci 2 2 4 7 2" xfId="8264" xr:uid="{00000000-0005-0000-0000-0000BB260000}"/>
    <cellStyle name="Data no deci 2 2 4 8" xfId="8265" xr:uid="{00000000-0005-0000-0000-0000BC260000}"/>
    <cellStyle name="Data no deci 2 2 4 8 2" xfId="8266" xr:uid="{00000000-0005-0000-0000-0000BD260000}"/>
    <cellStyle name="Data no deci 2 2 4 9" xfId="8267" xr:uid="{00000000-0005-0000-0000-0000BE260000}"/>
    <cellStyle name="Data no deci 2 2 4 9 2" xfId="8268" xr:uid="{00000000-0005-0000-0000-0000BF260000}"/>
    <cellStyle name="Data no deci 2 2 5" xfId="8269" xr:uid="{00000000-0005-0000-0000-0000C0260000}"/>
    <cellStyle name="Data no deci 2 2 5 10" xfId="8270" xr:uid="{00000000-0005-0000-0000-0000C1260000}"/>
    <cellStyle name="Data no deci 2 2 5 2" xfId="8271" xr:uid="{00000000-0005-0000-0000-0000C2260000}"/>
    <cellStyle name="Data no deci 2 2 5 2 2" xfId="8272" xr:uid="{00000000-0005-0000-0000-0000C3260000}"/>
    <cellStyle name="Data no deci 2 2 5 3" xfId="8273" xr:uid="{00000000-0005-0000-0000-0000C4260000}"/>
    <cellStyle name="Data no deci 2 2 5 3 2" xfId="8274" xr:uid="{00000000-0005-0000-0000-0000C5260000}"/>
    <cellStyle name="Data no deci 2 2 5 4" xfId="8275" xr:uid="{00000000-0005-0000-0000-0000C6260000}"/>
    <cellStyle name="Data no deci 2 2 5 4 2" xfId="8276" xr:uid="{00000000-0005-0000-0000-0000C7260000}"/>
    <cellStyle name="Data no deci 2 2 5 5" xfId="8277" xr:uid="{00000000-0005-0000-0000-0000C8260000}"/>
    <cellStyle name="Data no deci 2 2 5 5 2" xfId="8278" xr:uid="{00000000-0005-0000-0000-0000C9260000}"/>
    <cellStyle name="Data no deci 2 2 5 6" xfId="8279" xr:uid="{00000000-0005-0000-0000-0000CA260000}"/>
    <cellStyle name="Data no deci 2 2 5 6 2" xfId="8280" xr:uid="{00000000-0005-0000-0000-0000CB260000}"/>
    <cellStyle name="Data no deci 2 2 5 7" xfId="8281" xr:uid="{00000000-0005-0000-0000-0000CC260000}"/>
    <cellStyle name="Data no deci 2 2 5 7 2" xfId="8282" xr:uid="{00000000-0005-0000-0000-0000CD260000}"/>
    <cellStyle name="Data no deci 2 2 5 8" xfId="8283" xr:uid="{00000000-0005-0000-0000-0000CE260000}"/>
    <cellStyle name="Data no deci 2 2 5 8 2" xfId="8284" xr:uid="{00000000-0005-0000-0000-0000CF260000}"/>
    <cellStyle name="Data no deci 2 2 5 9" xfId="8285" xr:uid="{00000000-0005-0000-0000-0000D0260000}"/>
    <cellStyle name="Data no deci 2 2 5 9 2" xfId="8286" xr:uid="{00000000-0005-0000-0000-0000D1260000}"/>
    <cellStyle name="Data no deci 2 2 6" xfId="8287" xr:uid="{00000000-0005-0000-0000-0000D2260000}"/>
    <cellStyle name="Data no deci 2 2 6 10" xfId="8288" xr:uid="{00000000-0005-0000-0000-0000D3260000}"/>
    <cellStyle name="Data no deci 2 2 6 2" xfId="8289" xr:uid="{00000000-0005-0000-0000-0000D4260000}"/>
    <cellStyle name="Data no deci 2 2 6 2 2" xfId="8290" xr:uid="{00000000-0005-0000-0000-0000D5260000}"/>
    <cellStyle name="Data no deci 2 2 6 3" xfId="8291" xr:uid="{00000000-0005-0000-0000-0000D6260000}"/>
    <cellStyle name="Data no deci 2 2 6 3 2" xfId="8292" xr:uid="{00000000-0005-0000-0000-0000D7260000}"/>
    <cellStyle name="Data no deci 2 2 6 4" xfId="8293" xr:uid="{00000000-0005-0000-0000-0000D8260000}"/>
    <cellStyle name="Data no deci 2 2 6 4 2" xfId="8294" xr:uid="{00000000-0005-0000-0000-0000D9260000}"/>
    <cellStyle name="Data no deci 2 2 6 5" xfId="8295" xr:uid="{00000000-0005-0000-0000-0000DA260000}"/>
    <cellStyle name="Data no deci 2 2 6 5 2" xfId="8296" xr:uid="{00000000-0005-0000-0000-0000DB260000}"/>
    <cellStyle name="Data no deci 2 2 6 6" xfId="8297" xr:uid="{00000000-0005-0000-0000-0000DC260000}"/>
    <cellStyle name="Data no deci 2 2 6 6 2" xfId="8298" xr:uid="{00000000-0005-0000-0000-0000DD260000}"/>
    <cellStyle name="Data no deci 2 2 6 7" xfId="8299" xr:uid="{00000000-0005-0000-0000-0000DE260000}"/>
    <cellStyle name="Data no deci 2 2 6 7 2" xfId="8300" xr:uid="{00000000-0005-0000-0000-0000DF260000}"/>
    <cellStyle name="Data no deci 2 2 6 8" xfId="8301" xr:uid="{00000000-0005-0000-0000-0000E0260000}"/>
    <cellStyle name="Data no deci 2 2 6 8 2" xfId="8302" xr:uid="{00000000-0005-0000-0000-0000E1260000}"/>
    <cellStyle name="Data no deci 2 2 6 9" xfId="8303" xr:uid="{00000000-0005-0000-0000-0000E2260000}"/>
    <cellStyle name="Data no deci 2 2 6 9 2" xfId="8304" xr:uid="{00000000-0005-0000-0000-0000E3260000}"/>
    <cellStyle name="Data no deci 2 2 7" xfId="8305" xr:uid="{00000000-0005-0000-0000-0000E4260000}"/>
    <cellStyle name="Data no deci 2 2 7 10" xfId="8306" xr:uid="{00000000-0005-0000-0000-0000E5260000}"/>
    <cellStyle name="Data no deci 2 2 7 2" xfId="8307" xr:uid="{00000000-0005-0000-0000-0000E6260000}"/>
    <cellStyle name="Data no deci 2 2 7 2 2" xfId="8308" xr:uid="{00000000-0005-0000-0000-0000E7260000}"/>
    <cellStyle name="Data no deci 2 2 7 3" xfId="8309" xr:uid="{00000000-0005-0000-0000-0000E8260000}"/>
    <cellStyle name="Data no deci 2 2 7 3 2" xfId="8310" xr:uid="{00000000-0005-0000-0000-0000E9260000}"/>
    <cellStyle name="Data no deci 2 2 7 4" xfId="8311" xr:uid="{00000000-0005-0000-0000-0000EA260000}"/>
    <cellStyle name="Data no deci 2 2 7 4 2" xfId="8312" xr:uid="{00000000-0005-0000-0000-0000EB260000}"/>
    <cellStyle name="Data no deci 2 2 7 5" xfId="8313" xr:uid="{00000000-0005-0000-0000-0000EC260000}"/>
    <cellStyle name="Data no deci 2 2 7 5 2" xfId="8314" xr:uid="{00000000-0005-0000-0000-0000ED260000}"/>
    <cellStyle name="Data no deci 2 2 7 6" xfId="8315" xr:uid="{00000000-0005-0000-0000-0000EE260000}"/>
    <cellStyle name="Data no deci 2 2 7 6 2" xfId="8316" xr:uid="{00000000-0005-0000-0000-0000EF260000}"/>
    <cellStyle name="Data no deci 2 2 7 7" xfId="8317" xr:uid="{00000000-0005-0000-0000-0000F0260000}"/>
    <cellStyle name="Data no deci 2 2 7 7 2" xfId="8318" xr:uid="{00000000-0005-0000-0000-0000F1260000}"/>
    <cellStyle name="Data no deci 2 2 7 8" xfId="8319" xr:uid="{00000000-0005-0000-0000-0000F2260000}"/>
    <cellStyle name="Data no deci 2 2 7 8 2" xfId="8320" xr:uid="{00000000-0005-0000-0000-0000F3260000}"/>
    <cellStyle name="Data no deci 2 2 7 9" xfId="8321" xr:uid="{00000000-0005-0000-0000-0000F4260000}"/>
    <cellStyle name="Data no deci 2 2 7 9 2" xfId="8322" xr:uid="{00000000-0005-0000-0000-0000F5260000}"/>
    <cellStyle name="Data no deci 2 2 8" xfId="8323" xr:uid="{00000000-0005-0000-0000-0000F6260000}"/>
    <cellStyle name="Data no deci 2 2 8 10" xfId="8324" xr:uid="{00000000-0005-0000-0000-0000F7260000}"/>
    <cellStyle name="Data no deci 2 2 8 2" xfId="8325" xr:uid="{00000000-0005-0000-0000-0000F8260000}"/>
    <cellStyle name="Data no deci 2 2 8 2 2" xfId="8326" xr:uid="{00000000-0005-0000-0000-0000F9260000}"/>
    <cellStyle name="Data no deci 2 2 8 3" xfId="8327" xr:uid="{00000000-0005-0000-0000-0000FA260000}"/>
    <cellStyle name="Data no deci 2 2 8 3 2" xfId="8328" xr:uid="{00000000-0005-0000-0000-0000FB260000}"/>
    <cellStyle name="Data no deci 2 2 8 4" xfId="8329" xr:uid="{00000000-0005-0000-0000-0000FC260000}"/>
    <cellStyle name="Data no deci 2 2 8 4 2" xfId="8330" xr:uid="{00000000-0005-0000-0000-0000FD260000}"/>
    <cellStyle name="Data no deci 2 2 8 5" xfId="8331" xr:uid="{00000000-0005-0000-0000-0000FE260000}"/>
    <cellStyle name="Data no deci 2 2 8 5 2" xfId="8332" xr:uid="{00000000-0005-0000-0000-0000FF260000}"/>
    <cellStyle name="Data no deci 2 2 8 6" xfId="8333" xr:uid="{00000000-0005-0000-0000-000000270000}"/>
    <cellStyle name="Data no deci 2 2 8 6 2" xfId="8334" xr:uid="{00000000-0005-0000-0000-000001270000}"/>
    <cellStyle name="Data no deci 2 2 8 7" xfId="8335" xr:uid="{00000000-0005-0000-0000-000002270000}"/>
    <cellStyle name="Data no deci 2 2 8 7 2" xfId="8336" xr:uid="{00000000-0005-0000-0000-000003270000}"/>
    <cellStyle name="Data no deci 2 2 8 8" xfId="8337" xr:uid="{00000000-0005-0000-0000-000004270000}"/>
    <cellStyle name="Data no deci 2 2 8 8 2" xfId="8338" xr:uid="{00000000-0005-0000-0000-000005270000}"/>
    <cellStyle name="Data no deci 2 2 8 9" xfId="8339" xr:uid="{00000000-0005-0000-0000-000006270000}"/>
    <cellStyle name="Data no deci 2 2 8 9 2" xfId="8340" xr:uid="{00000000-0005-0000-0000-000007270000}"/>
    <cellStyle name="Data no deci 2 2 9" xfId="8341" xr:uid="{00000000-0005-0000-0000-000008270000}"/>
    <cellStyle name="Data no deci 2 2 9 10" xfId="8342" xr:uid="{00000000-0005-0000-0000-000009270000}"/>
    <cellStyle name="Data no deci 2 2 9 2" xfId="8343" xr:uid="{00000000-0005-0000-0000-00000A270000}"/>
    <cellStyle name="Data no deci 2 2 9 2 2" xfId="8344" xr:uid="{00000000-0005-0000-0000-00000B270000}"/>
    <cellStyle name="Data no deci 2 2 9 3" xfId="8345" xr:uid="{00000000-0005-0000-0000-00000C270000}"/>
    <cellStyle name="Data no deci 2 2 9 3 2" xfId="8346" xr:uid="{00000000-0005-0000-0000-00000D270000}"/>
    <cellStyle name="Data no deci 2 2 9 4" xfId="8347" xr:uid="{00000000-0005-0000-0000-00000E270000}"/>
    <cellStyle name="Data no deci 2 2 9 4 2" xfId="8348" xr:uid="{00000000-0005-0000-0000-00000F270000}"/>
    <cellStyle name="Data no deci 2 2 9 5" xfId="8349" xr:uid="{00000000-0005-0000-0000-000010270000}"/>
    <cellStyle name="Data no deci 2 2 9 5 2" xfId="8350" xr:uid="{00000000-0005-0000-0000-000011270000}"/>
    <cellStyle name="Data no deci 2 2 9 6" xfId="8351" xr:uid="{00000000-0005-0000-0000-000012270000}"/>
    <cellStyle name="Data no deci 2 2 9 6 2" xfId="8352" xr:uid="{00000000-0005-0000-0000-000013270000}"/>
    <cellStyle name="Data no deci 2 2 9 7" xfId="8353" xr:uid="{00000000-0005-0000-0000-000014270000}"/>
    <cellStyle name="Data no deci 2 2 9 7 2" xfId="8354" xr:uid="{00000000-0005-0000-0000-000015270000}"/>
    <cellStyle name="Data no deci 2 2 9 8" xfId="8355" xr:uid="{00000000-0005-0000-0000-000016270000}"/>
    <cellStyle name="Data no deci 2 2 9 8 2" xfId="8356" xr:uid="{00000000-0005-0000-0000-000017270000}"/>
    <cellStyle name="Data no deci 2 2 9 9" xfId="8357" xr:uid="{00000000-0005-0000-0000-000018270000}"/>
    <cellStyle name="Data no deci 2 2 9 9 2" xfId="8358" xr:uid="{00000000-0005-0000-0000-000019270000}"/>
    <cellStyle name="Data no deci 2 3" xfId="8359" xr:uid="{00000000-0005-0000-0000-00001A270000}"/>
    <cellStyle name="Data no deci 2 3 10" xfId="8360" xr:uid="{00000000-0005-0000-0000-00001B270000}"/>
    <cellStyle name="Data no deci 2 3 10 10" xfId="8361" xr:uid="{00000000-0005-0000-0000-00001C270000}"/>
    <cellStyle name="Data no deci 2 3 10 2" xfId="8362" xr:uid="{00000000-0005-0000-0000-00001D270000}"/>
    <cellStyle name="Data no deci 2 3 10 2 2" xfId="8363" xr:uid="{00000000-0005-0000-0000-00001E270000}"/>
    <cellStyle name="Data no deci 2 3 10 3" xfId="8364" xr:uid="{00000000-0005-0000-0000-00001F270000}"/>
    <cellStyle name="Data no deci 2 3 10 3 2" xfId="8365" xr:uid="{00000000-0005-0000-0000-000020270000}"/>
    <cellStyle name="Data no deci 2 3 10 4" xfId="8366" xr:uid="{00000000-0005-0000-0000-000021270000}"/>
    <cellStyle name="Data no deci 2 3 10 4 2" xfId="8367" xr:uid="{00000000-0005-0000-0000-000022270000}"/>
    <cellStyle name="Data no deci 2 3 10 5" xfId="8368" xr:uid="{00000000-0005-0000-0000-000023270000}"/>
    <cellStyle name="Data no deci 2 3 10 5 2" xfId="8369" xr:uid="{00000000-0005-0000-0000-000024270000}"/>
    <cellStyle name="Data no deci 2 3 10 6" xfId="8370" xr:uid="{00000000-0005-0000-0000-000025270000}"/>
    <cellStyle name="Data no deci 2 3 10 6 2" xfId="8371" xr:uid="{00000000-0005-0000-0000-000026270000}"/>
    <cellStyle name="Data no deci 2 3 10 7" xfId="8372" xr:uid="{00000000-0005-0000-0000-000027270000}"/>
    <cellStyle name="Data no deci 2 3 10 7 2" xfId="8373" xr:uid="{00000000-0005-0000-0000-000028270000}"/>
    <cellStyle name="Data no deci 2 3 10 8" xfId="8374" xr:uid="{00000000-0005-0000-0000-000029270000}"/>
    <cellStyle name="Data no deci 2 3 10 8 2" xfId="8375" xr:uid="{00000000-0005-0000-0000-00002A270000}"/>
    <cellStyle name="Data no deci 2 3 10 9" xfId="8376" xr:uid="{00000000-0005-0000-0000-00002B270000}"/>
    <cellStyle name="Data no deci 2 3 10 9 2" xfId="8377" xr:uid="{00000000-0005-0000-0000-00002C270000}"/>
    <cellStyle name="Data no deci 2 3 11" xfId="8378" xr:uid="{00000000-0005-0000-0000-00002D270000}"/>
    <cellStyle name="Data no deci 2 3 11 2" xfId="8379" xr:uid="{00000000-0005-0000-0000-00002E270000}"/>
    <cellStyle name="Data no deci 2 3 11 2 2" xfId="8380" xr:uid="{00000000-0005-0000-0000-00002F270000}"/>
    <cellStyle name="Data no deci 2 3 11 3" xfId="8381" xr:uid="{00000000-0005-0000-0000-000030270000}"/>
    <cellStyle name="Data no deci 2 3 11 3 2" xfId="8382" xr:uid="{00000000-0005-0000-0000-000031270000}"/>
    <cellStyle name="Data no deci 2 3 11 4" xfId="8383" xr:uid="{00000000-0005-0000-0000-000032270000}"/>
    <cellStyle name="Data no deci 2 3 11 4 2" xfId="8384" xr:uid="{00000000-0005-0000-0000-000033270000}"/>
    <cellStyle name="Data no deci 2 3 11 5" xfId="8385" xr:uid="{00000000-0005-0000-0000-000034270000}"/>
    <cellStyle name="Data no deci 2 3 11 5 2" xfId="8386" xr:uid="{00000000-0005-0000-0000-000035270000}"/>
    <cellStyle name="Data no deci 2 3 11 6" xfId="8387" xr:uid="{00000000-0005-0000-0000-000036270000}"/>
    <cellStyle name="Data no deci 2 3 11 6 2" xfId="8388" xr:uid="{00000000-0005-0000-0000-000037270000}"/>
    <cellStyle name="Data no deci 2 3 11 7" xfId="8389" xr:uid="{00000000-0005-0000-0000-000038270000}"/>
    <cellStyle name="Data no deci 2 3 11 7 2" xfId="8390" xr:uid="{00000000-0005-0000-0000-000039270000}"/>
    <cellStyle name="Data no deci 2 3 11 8" xfId="8391" xr:uid="{00000000-0005-0000-0000-00003A270000}"/>
    <cellStyle name="Data no deci 2 3 11 8 2" xfId="8392" xr:uid="{00000000-0005-0000-0000-00003B270000}"/>
    <cellStyle name="Data no deci 2 3 11 9" xfId="8393" xr:uid="{00000000-0005-0000-0000-00003C270000}"/>
    <cellStyle name="Data no deci 2 3 2" xfId="8394" xr:uid="{00000000-0005-0000-0000-00003D270000}"/>
    <cellStyle name="Data no deci 2 3 2 10" xfId="8395" xr:uid="{00000000-0005-0000-0000-00003E270000}"/>
    <cellStyle name="Data no deci 2 3 2 2" xfId="8396" xr:uid="{00000000-0005-0000-0000-00003F270000}"/>
    <cellStyle name="Data no deci 2 3 2 2 2" xfId="8397" xr:uid="{00000000-0005-0000-0000-000040270000}"/>
    <cellStyle name="Data no deci 2 3 2 3" xfId="8398" xr:uid="{00000000-0005-0000-0000-000041270000}"/>
    <cellStyle name="Data no deci 2 3 2 3 2" xfId="8399" xr:uid="{00000000-0005-0000-0000-000042270000}"/>
    <cellStyle name="Data no deci 2 3 2 4" xfId="8400" xr:uid="{00000000-0005-0000-0000-000043270000}"/>
    <cellStyle name="Data no deci 2 3 2 4 2" xfId="8401" xr:uid="{00000000-0005-0000-0000-000044270000}"/>
    <cellStyle name="Data no deci 2 3 2 5" xfId="8402" xr:uid="{00000000-0005-0000-0000-000045270000}"/>
    <cellStyle name="Data no deci 2 3 2 5 2" xfId="8403" xr:uid="{00000000-0005-0000-0000-000046270000}"/>
    <cellStyle name="Data no deci 2 3 2 6" xfId="8404" xr:uid="{00000000-0005-0000-0000-000047270000}"/>
    <cellStyle name="Data no deci 2 3 2 6 2" xfId="8405" xr:uid="{00000000-0005-0000-0000-000048270000}"/>
    <cellStyle name="Data no deci 2 3 2 7" xfId="8406" xr:uid="{00000000-0005-0000-0000-000049270000}"/>
    <cellStyle name="Data no deci 2 3 2 7 2" xfId="8407" xr:uid="{00000000-0005-0000-0000-00004A270000}"/>
    <cellStyle name="Data no deci 2 3 2 8" xfId="8408" xr:uid="{00000000-0005-0000-0000-00004B270000}"/>
    <cellStyle name="Data no deci 2 3 2 8 2" xfId="8409" xr:uid="{00000000-0005-0000-0000-00004C270000}"/>
    <cellStyle name="Data no deci 2 3 2 9" xfId="8410" xr:uid="{00000000-0005-0000-0000-00004D270000}"/>
    <cellStyle name="Data no deci 2 3 2 9 2" xfId="8411" xr:uid="{00000000-0005-0000-0000-00004E270000}"/>
    <cellStyle name="Data no deci 2 3 3" xfId="8412" xr:uid="{00000000-0005-0000-0000-00004F270000}"/>
    <cellStyle name="Data no deci 2 3 3 10" xfId="8413" xr:uid="{00000000-0005-0000-0000-000050270000}"/>
    <cellStyle name="Data no deci 2 3 3 2" xfId="8414" xr:uid="{00000000-0005-0000-0000-000051270000}"/>
    <cellStyle name="Data no deci 2 3 3 2 2" xfId="8415" xr:uid="{00000000-0005-0000-0000-000052270000}"/>
    <cellStyle name="Data no deci 2 3 3 3" xfId="8416" xr:uid="{00000000-0005-0000-0000-000053270000}"/>
    <cellStyle name="Data no deci 2 3 3 3 2" xfId="8417" xr:uid="{00000000-0005-0000-0000-000054270000}"/>
    <cellStyle name="Data no deci 2 3 3 4" xfId="8418" xr:uid="{00000000-0005-0000-0000-000055270000}"/>
    <cellStyle name="Data no deci 2 3 3 4 2" xfId="8419" xr:uid="{00000000-0005-0000-0000-000056270000}"/>
    <cellStyle name="Data no deci 2 3 3 5" xfId="8420" xr:uid="{00000000-0005-0000-0000-000057270000}"/>
    <cellStyle name="Data no deci 2 3 3 5 2" xfId="8421" xr:uid="{00000000-0005-0000-0000-000058270000}"/>
    <cellStyle name="Data no deci 2 3 3 6" xfId="8422" xr:uid="{00000000-0005-0000-0000-000059270000}"/>
    <cellStyle name="Data no deci 2 3 3 6 2" xfId="8423" xr:uid="{00000000-0005-0000-0000-00005A270000}"/>
    <cellStyle name="Data no deci 2 3 3 7" xfId="8424" xr:uid="{00000000-0005-0000-0000-00005B270000}"/>
    <cellStyle name="Data no deci 2 3 3 7 2" xfId="8425" xr:uid="{00000000-0005-0000-0000-00005C270000}"/>
    <cellStyle name="Data no deci 2 3 3 8" xfId="8426" xr:uid="{00000000-0005-0000-0000-00005D270000}"/>
    <cellStyle name="Data no deci 2 3 3 8 2" xfId="8427" xr:uid="{00000000-0005-0000-0000-00005E270000}"/>
    <cellStyle name="Data no deci 2 3 3 9" xfId="8428" xr:uid="{00000000-0005-0000-0000-00005F270000}"/>
    <cellStyle name="Data no deci 2 3 3 9 2" xfId="8429" xr:uid="{00000000-0005-0000-0000-000060270000}"/>
    <cellStyle name="Data no deci 2 3 4" xfId="8430" xr:uid="{00000000-0005-0000-0000-000061270000}"/>
    <cellStyle name="Data no deci 2 3 4 10" xfId="8431" xr:uid="{00000000-0005-0000-0000-000062270000}"/>
    <cellStyle name="Data no deci 2 3 4 2" xfId="8432" xr:uid="{00000000-0005-0000-0000-000063270000}"/>
    <cellStyle name="Data no deci 2 3 4 2 2" xfId="8433" xr:uid="{00000000-0005-0000-0000-000064270000}"/>
    <cellStyle name="Data no deci 2 3 4 3" xfId="8434" xr:uid="{00000000-0005-0000-0000-000065270000}"/>
    <cellStyle name="Data no deci 2 3 4 3 2" xfId="8435" xr:uid="{00000000-0005-0000-0000-000066270000}"/>
    <cellStyle name="Data no deci 2 3 4 4" xfId="8436" xr:uid="{00000000-0005-0000-0000-000067270000}"/>
    <cellStyle name="Data no deci 2 3 4 4 2" xfId="8437" xr:uid="{00000000-0005-0000-0000-000068270000}"/>
    <cellStyle name="Data no deci 2 3 4 5" xfId="8438" xr:uid="{00000000-0005-0000-0000-000069270000}"/>
    <cellStyle name="Data no deci 2 3 4 5 2" xfId="8439" xr:uid="{00000000-0005-0000-0000-00006A270000}"/>
    <cellStyle name="Data no deci 2 3 4 6" xfId="8440" xr:uid="{00000000-0005-0000-0000-00006B270000}"/>
    <cellStyle name="Data no deci 2 3 4 6 2" xfId="8441" xr:uid="{00000000-0005-0000-0000-00006C270000}"/>
    <cellStyle name="Data no deci 2 3 4 7" xfId="8442" xr:uid="{00000000-0005-0000-0000-00006D270000}"/>
    <cellStyle name="Data no deci 2 3 4 7 2" xfId="8443" xr:uid="{00000000-0005-0000-0000-00006E270000}"/>
    <cellStyle name="Data no deci 2 3 4 8" xfId="8444" xr:uid="{00000000-0005-0000-0000-00006F270000}"/>
    <cellStyle name="Data no deci 2 3 4 8 2" xfId="8445" xr:uid="{00000000-0005-0000-0000-000070270000}"/>
    <cellStyle name="Data no deci 2 3 4 9" xfId="8446" xr:uid="{00000000-0005-0000-0000-000071270000}"/>
    <cellStyle name="Data no deci 2 3 4 9 2" xfId="8447" xr:uid="{00000000-0005-0000-0000-000072270000}"/>
    <cellStyle name="Data no deci 2 3 5" xfId="8448" xr:uid="{00000000-0005-0000-0000-000073270000}"/>
    <cellStyle name="Data no deci 2 3 5 10" xfId="8449" xr:uid="{00000000-0005-0000-0000-000074270000}"/>
    <cellStyle name="Data no deci 2 3 5 2" xfId="8450" xr:uid="{00000000-0005-0000-0000-000075270000}"/>
    <cellStyle name="Data no deci 2 3 5 2 2" xfId="8451" xr:uid="{00000000-0005-0000-0000-000076270000}"/>
    <cellStyle name="Data no deci 2 3 5 3" xfId="8452" xr:uid="{00000000-0005-0000-0000-000077270000}"/>
    <cellStyle name="Data no deci 2 3 5 3 2" xfId="8453" xr:uid="{00000000-0005-0000-0000-000078270000}"/>
    <cellStyle name="Data no deci 2 3 5 4" xfId="8454" xr:uid="{00000000-0005-0000-0000-000079270000}"/>
    <cellStyle name="Data no deci 2 3 5 4 2" xfId="8455" xr:uid="{00000000-0005-0000-0000-00007A270000}"/>
    <cellStyle name="Data no deci 2 3 5 5" xfId="8456" xr:uid="{00000000-0005-0000-0000-00007B270000}"/>
    <cellStyle name="Data no deci 2 3 5 5 2" xfId="8457" xr:uid="{00000000-0005-0000-0000-00007C270000}"/>
    <cellStyle name="Data no deci 2 3 5 6" xfId="8458" xr:uid="{00000000-0005-0000-0000-00007D270000}"/>
    <cellStyle name="Data no deci 2 3 5 6 2" xfId="8459" xr:uid="{00000000-0005-0000-0000-00007E270000}"/>
    <cellStyle name="Data no deci 2 3 5 7" xfId="8460" xr:uid="{00000000-0005-0000-0000-00007F270000}"/>
    <cellStyle name="Data no deci 2 3 5 7 2" xfId="8461" xr:uid="{00000000-0005-0000-0000-000080270000}"/>
    <cellStyle name="Data no deci 2 3 5 8" xfId="8462" xr:uid="{00000000-0005-0000-0000-000081270000}"/>
    <cellStyle name="Data no deci 2 3 5 8 2" xfId="8463" xr:uid="{00000000-0005-0000-0000-000082270000}"/>
    <cellStyle name="Data no deci 2 3 5 9" xfId="8464" xr:uid="{00000000-0005-0000-0000-000083270000}"/>
    <cellStyle name="Data no deci 2 3 5 9 2" xfId="8465" xr:uid="{00000000-0005-0000-0000-000084270000}"/>
    <cellStyle name="Data no deci 2 3 6" xfId="8466" xr:uid="{00000000-0005-0000-0000-000085270000}"/>
    <cellStyle name="Data no deci 2 3 6 10" xfId="8467" xr:uid="{00000000-0005-0000-0000-000086270000}"/>
    <cellStyle name="Data no deci 2 3 6 2" xfId="8468" xr:uid="{00000000-0005-0000-0000-000087270000}"/>
    <cellStyle name="Data no deci 2 3 6 2 2" xfId="8469" xr:uid="{00000000-0005-0000-0000-000088270000}"/>
    <cellStyle name="Data no deci 2 3 6 3" xfId="8470" xr:uid="{00000000-0005-0000-0000-000089270000}"/>
    <cellStyle name="Data no deci 2 3 6 3 2" xfId="8471" xr:uid="{00000000-0005-0000-0000-00008A270000}"/>
    <cellStyle name="Data no deci 2 3 6 4" xfId="8472" xr:uid="{00000000-0005-0000-0000-00008B270000}"/>
    <cellStyle name="Data no deci 2 3 6 4 2" xfId="8473" xr:uid="{00000000-0005-0000-0000-00008C270000}"/>
    <cellStyle name="Data no deci 2 3 6 5" xfId="8474" xr:uid="{00000000-0005-0000-0000-00008D270000}"/>
    <cellStyle name="Data no deci 2 3 6 5 2" xfId="8475" xr:uid="{00000000-0005-0000-0000-00008E270000}"/>
    <cellStyle name="Data no deci 2 3 6 6" xfId="8476" xr:uid="{00000000-0005-0000-0000-00008F270000}"/>
    <cellStyle name="Data no deci 2 3 6 6 2" xfId="8477" xr:uid="{00000000-0005-0000-0000-000090270000}"/>
    <cellStyle name="Data no deci 2 3 6 7" xfId="8478" xr:uid="{00000000-0005-0000-0000-000091270000}"/>
    <cellStyle name="Data no deci 2 3 6 7 2" xfId="8479" xr:uid="{00000000-0005-0000-0000-000092270000}"/>
    <cellStyle name="Data no deci 2 3 6 8" xfId="8480" xr:uid="{00000000-0005-0000-0000-000093270000}"/>
    <cellStyle name="Data no deci 2 3 6 8 2" xfId="8481" xr:uid="{00000000-0005-0000-0000-000094270000}"/>
    <cellStyle name="Data no deci 2 3 6 9" xfId="8482" xr:uid="{00000000-0005-0000-0000-000095270000}"/>
    <cellStyle name="Data no deci 2 3 6 9 2" xfId="8483" xr:uid="{00000000-0005-0000-0000-000096270000}"/>
    <cellStyle name="Data no deci 2 3 7" xfId="8484" xr:uid="{00000000-0005-0000-0000-000097270000}"/>
    <cellStyle name="Data no deci 2 3 7 10" xfId="8485" xr:uid="{00000000-0005-0000-0000-000098270000}"/>
    <cellStyle name="Data no deci 2 3 7 2" xfId="8486" xr:uid="{00000000-0005-0000-0000-000099270000}"/>
    <cellStyle name="Data no deci 2 3 7 2 2" xfId="8487" xr:uid="{00000000-0005-0000-0000-00009A270000}"/>
    <cellStyle name="Data no deci 2 3 7 3" xfId="8488" xr:uid="{00000000-0005-0000-0000-00009B270000}"/>
    <cellStyle name="Data no deci 2 3 7 3 2" xfId="8489" xr:uid="{00000000-0005-0000-0000-00009C270000}"/>
    <cellStyle name="Data no deci 2 3 7 4" xfId="8490" xr:uid="{00000000-0005-0000-0000-00009D270000}"/>
    <cellStyle name="Data no deci 2 3 7 4 2" xfId="8491" xr:uid="{00000000-0005-0000-0000-00009E270000}"/>
    <cellStyle name="Data no deci 2 3 7 5" xfId="8492" xr:uid="{00000000-0005-0000-0000-00009F270000}"/>
    <cellStyle name="Data no deci 2 3 7 5 2" xfId="8493" xr:uid="{00000000-0005-0000-0000-0000A0270000}"/>
    <cellStyle name="Data no deci 2 3 7 6" xfId="8494" xr:uid="{00000000-0005-0000-0000-0000A1270000}"/>
    <cellStyle name="Data no deci 2 3 7 6 2" xfId="8495" xr:uid="{00000000-0005-0000-0000-0000A2270000}"/>
    <cellStyle name="Data no deci 2 3 7 7" xfId="8496" xr:uid="{00000000-0005-0000-0000-0000A3270000}"/>
    <cellStyle name="Data no deci 2 3 7 7 2" xfId="8497" xr:uid="{00000000-0005-0000-0000-0000A4270000}"/>
    <cellStyle name="Data no deci 2 3 7 8" xfId="8498" xr:uid="{00000000-0005-0000-0000-0000A5270000}"/>
    <cellStyle name="Data no deci 2 3 7 8 2" xfId="8499" xr:uid="{00000000-0005-0000-0000-0000A6270000}"/>
    <cellStyle name="Data no deci 2 3 7 9" xfId="8500" xr:uid="{00000000-0005-0000-0000-0000A7270000}"/>
    <cellStyle name="Data no deci 2 3 7 9 2" xfId="8501" xr:uid="{00000000-0005-0000-0000-0000A8270000}"/>
    <cellStyle name="Data no deci 2 3 8" xfId="8502" xr:uid="{00000000-0005-0000-0000-0000A9270000}"/>
    <cellStyle name="Data no deci 2 3 8 10" xfId="8503" xr:uid="{00000000-0005-0000-0000-0000AA270000}"/>
    <cellStyle name="Data no deci 2 3 8 2" xfId="8504" xr:uid="{00000000-0005-0000-0000-0000AB270000}"/>
    <cellStyle name="Data no deci 2 3 8 2 2" xfId="8505" xr:uid="{00000000-0005-0000-0000-0000AC270000}"/>
    <cellStyle name="Data no deci 2 3 8 3" xfId="8506" xr:uid="{00000000-0005-0000-0000-0000AD270000}"/>
    <cellStyle name="Data no deci 2 3 8 3 2" xfId="8507" xr:uid="{00000000-0005-0000-0000-0000AE270000}"/>
    <cellStyle name="Data no deci 2 3 8 4" xfId="8508" xr:uid="{00000000-0005-0000-0000-0000AF270000}"/>
    <cellStyle name="Data no deci 2 3 8 4 2" xfId="8509" xr:uid="{00000000-0005-0000-0000-0000B0270000}"/>
    <cellStyle name="Data no deci 2 3 8 5" xfId="8510" xr:uid="{00000000-0005-0000-0000-0000B1270000}"/>
    <cellStyle name="Data no deci 2 3 8 5 2" xfId="8511" xr:uid="{00000000-0005-0000-0000-0000B2270000}"/>
    <cellStyle name="Data no deci 2 3 8 6" xfId="8512" xr:uid="{00000000-0005-0000-0000-0000B3270000}"/>
    <cellStyle name="Data no deci 2 3 8 6 2" xfId="8513" xr:uid="{00000000-0005-0000-0000-0000B4270000}"/>
    <cellStyle name="Data no deci 2 3 8 7" xfId="8514" xr:uid="{00000000-0005-0000-0000-0000B5270000}"/>
    <cellStyle name="Data no deci 2 3 8 7 2" xfId="8515" xr:uid="{00000000-0005-0000-0000-0000B6270000}"/>
    <cellStyle name="Data no deci 2 3 8 8" xfId="8516" xr:uid="{00000000-0005-0000-0000-0000B7270000}"/>
    <cellStyle name="Data no deci 2 3 8 8 2" xfId="8517" xr:uid="{00000000-0005-0000-0000-0000B8270000}"/>
    <cellStyle name="Data no deci 2 3 8 9" xfId="8518" xr:uid="{00000000-0005-0000-0000-0000B9270000}"/>
    <cellStyle name="Data no deci 2 3 8 9 2" xfId="8519" xr:uid="{00000000-0005-0000-0000-0000BA270000}"/>
    <cellStyle name="Data no deci 2 3 9" xfId="8520" xr:uid="{00000000-0005-0000-0000-0000BB270000}"/>
    <cellStyle name="Data no deci 2 3 9 10" xfId="8521" xr:uid="{00000000-0005-0000-0000-0000BC270000}"/>
    <cellStyle name="Data no deci 2 3 9 2" xfId="8522" xr:uid="{00000000-0005-0000-0000-0000BD270000}"/>
    <cellStyle name="Data no deci 2 3 9 2 2" xfId="8523" xr:uid="{00000000-0005-0000-0000-0000BE270000}"/>
    <cellStyle name="Data no deci 2 3 9 3" xfId="8524" xr:uid="{00000000-0005-0000-0000-0000BF270000}"/>
    <cellStyle name="Data no deci 2 3 9 3 2" xfId="8525" xr:uid="{00000000-0005-0000-0000-0000C0270000}"/>
    <cellStyle name="Data no deci 2 3 9 4" xfId="8526" xr:uid="{00000000-0005-0000-0000-0000C1270000}"/>
    <cellStyle name="Data no deci 2 3 9 4 2" xfId="8527" xr:uid="{00000000-0005-0000-0000-0000C2270000}"/>
    <cellStyle name="Data no deci 2 3 9 5" xfId="8528" xr:uid="{00000000-0005-0000-0000-0000C3270000}"/>
    <cellStyle name="Data no deci 2 3 9 5 2" xfId="8529" xr:uid="{00000000-0005-0000-0000-0000C4270000}"/>
    <cellStyle name="Data no deci 2 3 9 6" xfId="8530" xr:uid="{00000000-0005-0000-0000-0000C5270000}"/>
    <cellStyle name="Data no deci 2 3 9 6 2" xfId="8531" xr:uid="{00000000-0005-0000-0000-0000C6270000}"/>
    <cellStyle name="Data no deci 2 3 9 7" xfId="8532" xr:uid="{00000000-0005-0000-0000-0000C7270000}"/>
    <cellStyle name="Data no deci 2 3 9 7 2" xfId="8533" xr:uid="{00000000-0005-0000-0000-0000C8270000}"/>
    <cellStyle name="Data no deci 2 3 9 8" xfId="8534" xr:uid="{00000000-0005-0000-0000-0000C9270000}"/>
    <cellStyle name="Data no deci 2 3 9 8 2" xfId="8535" xr:uid="{00000000-0005-0000-0000-0000CA270000}"/>
    <cellStyle name="Data no deci 2 3 9 9" xfId="8536" xr:uid="{00000000-0005-0000-0000-0000CB270000}"/>
    <cellStyle name="Data no deci 2 3 9 9 2" xfId="8537" xr:uid="{00000000-0005-0000-0000-0000CC270000}"/>
    <cellStyle name="Data no deci 2 4" xfId="8538" xr:uid="{00000000-0005-0000-0000-0000CD270000}"/>
    <cellStyle name="Data no deci 2 4 10" xfId="8539" xr:uid="{00000000-0005-0000-0000-0000CE270000}"/>
    <cellStyle name="Data no deci 2 4 10 2" xfId="8540" xr:uid="{00000000-0005-0000-0000-0000CF270000}"/>
    <cellStyle name="Data no deci 2 4 10 2 2" xfId="8541" xr:uid="{00000000-0005-0000-0000-0000D0270000}"/>
    <cellStyle name="Data no deci 2 4 10 3" xfId="8542" xr:uid="{00000000-0005-0000-0000-0000D1270000}"/>
    <cellStyle name="Data no deci 2 4 10 3 2" xfId="8543" xr:uid="{00000000-0005-0000-0000-0000D2270000}"/>
    <cellStyle name="Data no deci 2 4 10 4" xfId="8544" xr:uid="{00000000-0005-0000-0000-0000D3270000}"/>
    <cellStyle name="Data no deci 2 4 10 4 2" xfId="8545" xr:uid="{00000000-0005-0000-0000-0000D4270000}"/>
    <cellStyle name="Data no deci 2 4 10 5" xfId="8546" xr:uid="{00000000-0005-0000-0000-0000D5270000}"/>
    <cellStyle name="Data no deci 2 4 10 5 2" xfId="8547" xr:uid="{00000000-0005-0000-0000-0000D6270000}"/>
    <cellStyle name="Data no deci 2 4 10 6" xfId="8548" xr:uid="{00000000-0005-0000-0000-0000D7270000}"/>
    <cellStyle name="Data no deci 2 4 10 6 2" xfId="8549" xr:uid="{00000000-0005-0000-0000-0000D8270000}"/>
    <cellStyle name="Data no deci 2 4 10 7" xfId="8550" xr:uid="{00000000-0005-0000-0000-0000D9270000}"/>
    <cellStyle name="Data no deci 2 4 10 7 2" xfId="8551" xr:uid="{00000000-0005-0000-0000-0000DA270000}"/>
    <cellStyle name="Data no deci 2 4 10 8" xfId="8552" xr:uid="{00000000-0005-0000-0000-0000DB270000}"/>
    <cellStyle name="Data no deci 2 4 10 8 2" xfId="8553" xr:uid="{00000000-0005-0000-0000-0000DC270000}"/>
    <cellStyle name="Data no deci 2 4 10 9" xfId="8554" xr:uid="{00000000-0005-0000-0000-0000DD270000}"/>
    <cellStyle name="Data no deci 2 4 11" xfId="8555" xr:uid="{00000000-0005-0000-0000-0000DE270000}"/>
    <cellStyle name="Data no deci 2 4 11 2" xfId="8556" xr:uid="{00000000-0005-0000-0000-0000DF270000}"/>
    <cellStyle name="Data no deci 2 4 12" xfId="8557" xr:uid="{00000000-0005-0000-0000-0000E0270000}"/>
    <cellStyle name="Data no deci 2 4 12 2" xfId="8558" xr:uid="{00000000-0005-0000-0000-0000E1270000}"/>
    <cellStyle name="Data no deci 2 4 13" xfId="8559" xr:uid="{00000000-0005-0000-0000-0000E2270000}"/>
    <cellStyle name="Data no deci 2 4 13 2" xfId="8560" xr:uid="{00000000-0005-0000-0000-0000E3270000}"/>
    <cellStyle name="Data no deci 2 4 14" xfId="8561" xr:uid="{00000000-0005-0000-0000-0000E4270000}"/>
    <cellStyle name="Data no deci 2 4 14 2" xfId="8562" xr:uid="{00000000-0005-0000-0000-0000E5270000}"/>
    <cellStyle name="Data no deci 2 4 15" xfId="8563" xr:uid="{00000000-0005-0000-0000-0000E6270000}"/>
    <cellStyle name="Data no deci 2 4 15 2" xfId="8564" xr:uid="{00000000-0005-0000-0000-0000E7270000}"/>
    <cellStyle name="Data no deci 2 4 16" xfId="8565" xr:uid="{00000000-0005-0000-0000-0000E8270000}"/>
    <cellStyle name="Data no deci 2 4 16 2" xfId="8566" xr:uid="{00000000-0005-0000-0000-0000E9270000}"/>
    <cellStyle name="Data no deci 2 4 17" xfId="8567" xr:uid="{00000000-0005-0000-0000-0000EA270000}"/>
    <cellStyle name="Data no deci 2 4 17 2" xfId="8568" xr:uid="{00000000-0005-0000-0000-0000EB270000}"/>
    <cellStyle name="Data no deci 2 4 18" xfId="8569" xr:uid="{00000000-0005-0000-0000-0000EC270000}"/>
    <cellStyle name="Data no deci 2 4 2" xfId="8570" xr:uid="{00000000-0005-0000-0000-0000ED270000}"/>
    <cellStyle name="Data no deci 2 4 2 10" xfId="8571" xr:uid="{00000000-0005-0000-0000-0000EE270000}"/>
    <cellStyle name="Data no deci 2 4 2 2" xfId="8572" xr:uid="{00000000-0005-0000-0000-0000EF270000}"/>
    <cellStyle name="Data no deci 2 4 2 2 2" xfId="8573" xr:uid="{00000000-0005-0000-0000-0000F0270000}"/>
    <cellStyle name="Data no deci 2 4 2 3" xfId="8574" xr:uid="{00000000-0005-0000-0000-0000F1270000}"/>
    <cellStyle name="Data no deci 2 4 2 3 2" xfId="8575" xr:uid="{00000000-0005-0000-0000-0000F2270000}"/>
    <cellStyle name="Data no deci 2 4 2 4" xfId="8576" xr:uid="{00000000-0005-0000-0000-0000F3270000}"/>
    <cellStyle name="Data no deci 2 4 2 4 2" xfId="8577" xr:uid="{00000000-0005-0000-0000-0000F4270000}"/>
    <cellStyle name="Data no deci 2 4 2 5" xfId="8578" xr:uid="{00000000-0005-0000-0000-0000F5270000}"/>
    <cellStyle name="Data no deci 2 4 2 5 2" xfId="8579" xr:uid="{00000000-0005-0000-0000-0000F6270000}"/>
    <cellStyle name="Data no deci 2 4 2 6" xfId="8580" xr:uid="{00000000-0005-0000-0000-0000F7270000}"/>
    <cellStyle name="Data no deci 2 4 2 6 2" xfId="8581" xr:uid="{00000000-0005-0000-0000-0000F8270000}"/>
    <cellStyle name="Data no deci 2 4 2 7" xfId="8582" xr:uid="{00000000-0005-0000-0000-0000F9270000}"/>
    <cellStyle name="Data no deci 2 4 2 7 2" xfId="8583" xr:uid="{00000000-0005-0000-0000-0000FA270000}"/>
    <cellStyle name="Data no deci 2 4 2 8" xfId="8584" xr:uid="{00000000-0005-0000-0000-0000FB270000}"/>
    <cellStyle name="Data no deci 2 4 2 8 2" xfId="8585" xr:uid="{00000000-0005-0000-0000-0000FC270000}"/>
    <cellStyle name="Data no deci 2 4 2 9" xfId="8586" xr:uid="{00000000-0005-0000-0000-0000FD270000}"/>
    <cellStyle name="Data no deci 2 4 2 9 2" xfId="8587" xr:uid="{00000000-0005-0000-0000-0000FE270000}"/>
    <cellStyle name="Data no deci 2 4 3" xfId="8588" xr:uid="{00000000-0005-0000-0000-0000FF270000}"/>
    <cellStyle name="Data no deci 2 4 3 10" xfId="8589" xr:uid="{00000000-0005-0000-0000-000000280000}"/>
    <cellStyle name="Data no deci 2 4 3 2" xfId="8590" xr:uid="{00000000-0005-0000-0000-000001280000}"/>
    <cellStyle name="Data no deci 2 4 3 2 2" xfId="8591" xr:uid="{00000000-0005-0000-0000-000002280000}"/>
    <cellStyle name="Data no deci 2 4 3 3" xfId="8592" xr:uid="{00000000-0005-0000-0000-000003280000}"/>
    <cellStyle name="Data no deci 2 4 3 3 2" xfId="8593" xr:uid="{00000000-0005-0000-0000-000004280000}"/>
    <cellStyle name="Data no deci 2 4 3 4" xfId="8594" xr:uid="{00000000-0005-0000-0000-000005280000}"/>
    <cellStyle name="Data no deci 2 4 3 4 2" xfId="8595" xr:uid="{00000000-0005-0000-0000-000006280000}"/>
    <cellStyle name="Data no deci 2 4 3 5" xfId="8596" xr:uid="{00000000-0005-0000-0000-000007280000}"/>
    <cellStyle name="Data no deci 2 4 3 5 2" xfId="8597" xr:uid="{00000000-0005-0000-0000-000008280000}"/>
    <cellStyle name="Data no deci 2 4 3 6" xfId="8598" xr:uid="{00000000-0005-0000-0000-000009280000}"/>
    <cellStyle name="Data no deci 2 4 3 6 2" xfId="8599" xr:uid="{00000000-0005-0000-0000-00000A280000}"/>
    <cellStyle name="Data no deci 2 4 3 7" xfId="8600" xr:uid="{00000000-0005-0000-0000-00000B280000}"/>
    <cellStyle name="Data no deci 2 4 3 7 2" xfId="8601" xr:uid="{00000000-0005-0000-0000-00000C280000}"/>
    <cellStyle name="Data no deci 2 4 3 8" xfId="8602" xr:uid="{00000000-0005-0000-0000-00000D280000}"/>
    <cellStyle name="Data no deci 2 4 3 8 2" xfId="8603" xr:uid="{00000000-0005-0000-0000-00000E280000}"/>
    <cellStyle name="Data no deci 2 4 3 9" xfId="8604" xr:uid="{00000000-0005-0000-0000-00000F280000}"/>
    <cellStyle name="Data no deci 2 4 3 9 2" xfId="8605" xr:uid="{00000000-0005-0000-0000-000010280000}"/>
    <cellStyle name="Data no deci 2 4 4" xfId="8606" xr:uid="{00000000-0005-0000-0000-000011280000}"/>
    <cellStyle name="Data no deci 2 4 4 10" xfId="8607" xr:uid="{00000000-0005-0000-0000-000012280000}"/>
    <cellStyle name="Data no deci 2 4 4 2" xfId="8608" xr:uid="{00000000-0005-0000-0000-000013280000}"/>
    <cellStyle name="Data no deci 2 4 4 2 2" xfId="8609" xr:uid="{00000000-0005-0000-0000-000014280000}"/>
    <cellStyle name="Data no deci 2 4 4 3" xfId="8610" xr:uid="{00000000-0005-0000-0000-000015280000}"/>
    <cellStyle name="Data no deci 2 4 4 3 2" xfId="8611" xr:uid="{00000000-0005-0000-0000-000016280000}"/>
    <cellStyle name="Data no deci 2 4 4 4" xfId="8612" xr:uid="{00000000-0005-0000-0000-000017280000}"/>
    <cellStyle name="Data no deci 2 4 4 4 2" xfId="8613" xr:uid="{00000000-0005-0000-0000-000018280000}"/>
    <cellStyle name="Data no deci 2 4 4 5" xfId="8614" xr:uid="{00000000-0005-0000-0000-000019280000}"/>
    <cellStyle name="Data no deci 2 4 4 5 2" xfId="8615" xr:uid="{00000000-0005-0000-0000-00001A280000}"/>
    <cellStyle name="Data no deci 2 4 4 6" xfId="8616" xr:uid="{00000000-0005-0000-0000-00001B280000}"/>
    <cellStyle name="Data no deci 2 4 4 6 2" xfId="8617" xr:uid="{00000000-0005-0000-0000-00001C280000}"/>
    <cellStyle name="Data no deci 2 4 4 7" xfId="8618" xr:uid="{00000000-0005-0000-0000-00001D280000}"/>
    <cellStyle name="Data no deci 2 4 4 7 2" xfId="8619" xr:uid="{00000000-0005-0000-0000-00001E280000}"/>
    <cellStyle name="Data no deci 2 4 4 8" xfId="8620" xr:uid="{00000000-0005-0000-0000-00001F280000}"/>
    <cellStyle name="Data no deci 2 4 4 8 2" xfId="8621" xr:uid="{00000000-0005-0000-0000-000020280000}"/>
    <cellStyle name="Data no deci 2 4 4 9" xfId="8622" xr:uid="{00000000-0005-0000-0000-000021280000}"/>
    <cellStyle name="Data no deci 2 4 4 9 2" xfId="8623" xr:uid="{00000000-0005-0000-0000-000022280000}"/>
    <cellStyle name="Data no deci 2 4 5" xfId="8624" xr:uid="{00000000-0005-0000-0000-000023280000}"/>
    <cellStyle name="Data no deci 2 4 5 10" xfId="8625" xr:uid="{00000000-0005-0000-0000-000024280000}"/>
    <cellStyle name="Data no deci 2 4 5 2" xfId="8626" xr:uid="{00000000-0005-0000-0000-000025280000}"/>
    <cellStyle name="Data no deci 2 4 5 2 2" xfId="8627" xr:uid="{00000000-0005-0000-0000-000026280000}"/>
    <cellStyle name="Data no deci 2 4 5 3" xfId="8628" xr:uid="{00000000-0005-0000-0000-000027280000}"/>
    <cellStyle name="Data no deci 2 4 5 3 2" xfId="8629" xr:uid="{00000000-0005-0000-0000-000028280000}"/>
    <cellStyle name="Data no deci 2 4 5 4" xfId="8630" xr:uid="{00000000-0005-0000-0000-000029280000}"/>
    <cellStyle name="Data no deci 2 4 5 4 2" xfId="8631" xr:uid="{00000000-0005-0000-0000-00002A280000}"/>
    <cellStyle name="Data no deci 2 4 5 5" xfId="8632" xr:uid="{00000000-0005-0000-0000-00002B280000}"/>
    <cellStyle name="Data no deci 2 4 5 5 2" xfId="8633" xr:uid="{00000000-0005-0000-0000-00002C280000}"/>
    <cellStyle name="Data no deci 2 4 5 6" xfId="8634" xr:uid="{00000000-0005-0000-0000-00002D280000}"/>
    <cellStyle name="Data no deci 2 4 5 6 2" xfId="8635" xr:uid="{00000000-0005-0000-0000-00002E280000}"/>
    <cellStyle name="Data no deci 2 4 5 7" xfId="8636" xr:uid="{00000000-0005-0000-0000-00002F280000}"/>
    <cellStyle name="Data no deci 2 4 5 7 2" xfId="8637" xr:uid="{00000000-0005-0000-0000-000030280000}"/>
    <cellStyle name="Data no deci 2 4 5 8" xfId="8638" xr:uid="{00000000-0005-0000-0000-000031280000}"/>
    <cellStyle name="Data no deci 2 4 5 8 2" xfId="8639" xr:uid="{00000000-0005-0000-0000-000032280000}"/>
    <cellStyle name="Data no deci 2 4 5 9" xfId="8640" xr:uid="{00000000-0005-0000-0000-000033280000}"/>
    <cellStyle name="Data no deci 2 4 5 9 2" xfId="8641" xr:uid="{00000000-0005-0000-0000-000034280000}"/>
    <cellStyle name="Data no deci 2 4 6" xfId="8642" xr:uid="{00000000-0005-0000-0000-000035280000}"/>
    <cellStyle name="Data no deci 2 4 6 10" xfId="8643" xr:uid="{00000000-0005-0000-0000-000036280000}"/>
    <cellStyle name="Data no deci 2 4 6 2" xfId="8644" xr:uid="{00000000-0005-0000-0000-000037280000}"/>
    <cellStyle name="Data no deci 2 4 6 2 2" xfId="8645" xr:uid="{00000000-0005-0000-0000-000038280000}"/>
    <cellStyle name="Data no deci 2 4 6 3" xfId="8646" xr:uid="{00000000-0005-0000-0000-000039280000}"/>
    <cellStyle name="Data no deci 2 4 6 3 2" xfId="8647" xr:uid="{00000000-0005-0000-0000-00003A280000}"/>
    <cellStyle name="Data no deci 2 4 6 4" xfId="8648" xr:uid="{00000000-0005-0000-0000-00003B280000}"/>
    <cellStyle name="Data no deci 2 4 6 4 2" xfId="8649" xr:uid="{00000000-0005-0000-0000-00003C280000}"/>
    <cellStyle name="Data no deci 2 4 6 5" xfId="8650" xr:uid="{00000000-0005-0000-0000-00003D280000}"/>
    <cellStyle name="Data no deci 2 4 6 5 2" xfId="8651" xr:uid="{00000000-0005-0000-0000-00003E280000}"/>
    <cellStyle name="Data no deci 2 4 6 6" xfId="8652" xr:uid="{00000000-0005-0000-0000-00003F280000}"/>
    <cellStyle name="Data no deci 2 4 6 6 2" xfId="8653" xr:uid="{00000000-0005-0000-0000-000040280000}"/>
    <cellStyle name="Data no deci 2 4 6 7" xfId="8654" xr:uid="{00000000-0005-0000-0000-000041280000}"/>
    <cellStyle name="Data no deci 2 4 6 7 2" xfId="8655" xr:uid="{00000000-0005-0000-0000-000042280000}"/>
    <cellStyle name="Data no deci 2 4 6 8" xfId="8656" xr:uid="{00000000-0005-0000-0000-000043280000}"/>
    <cellStyle name="Data no deci 2 4 6 8 2" xfId="8657" xr:uid="{00000000-0005-0000-0000-000044280000}"/>
    <cellStyle name="Data no deci 2 4 6 9" xfId="8658" xr:uid="{00000000-0005-0000-0000-000045280000}"/>
    <cellStyle name="Data no deci 2 4 6 9 2" xfId="8659" xr:uid="{00000000-0005-0000-0000-000046280000}"/>
    <cellStyle name="Data no deci 2 4 7" xfId="8660" xr:uid="{00000000-0005-0000-0000-000047280000}"/>
    <cellStyle name="Data no deci 2 4 7 10" xfId="8661" xr:uid="{00000000-0005-0000-0000-000048280000}"/>
    <cellStyle name="Data no deci 2 4 7 2" xfId="8662" xr:uid="{00000000-0005-0000-0000-000049280000}"/>
    <cellStyle name="Data no deci 2 4 7 2 2" xfId="8663" xr:uid="{00000000-0005-0000-0000-00004A280000}"/>
    <cellStyle name="Data no deci 2 4 7 3" xfId="8664" xr:uid="{00000000-0005-0000-0000-00004B280000}"/>
    <cellStyle name="Data no deci 2 4 7 3 2" xfId="8665" xr:uid="{00000000-0005-0000-0000-00004C280000}"/>
    <cellStyle name="Data no deci 2 4 7 4" xfId="8666" xr:uid="{00000000-0005-0000-0000-00004D280000}"/>
    <cellStyle name="Data no deci 2 4 7 4 2" xfId="8667" xr:uid="{00000000-0005-0000-0000-00004E280000}"/>
    <cellStyle name="Data no deci 2 4 7 5" xfId="8668" xr:uid="{00000000-0005-0000-0000-00004F280000}"/>
    <cellStyle name="Data no deci 2 4 7 5 2" xfId="8669" xr:uid="{00000000-0005-0000-0000-000050280000}"/>
    <cellStyle name="Data no deci 2 4 7 6" xfId="8670" xr:uid="{00000000-0005-0000-0000-000051280000}"/>
    <cellStyle name="Data no deci 2 4 7 6 2" xfId="8671" xr:uid="{00000000-0005-0000-0000-000052280000}"/>
    <cellStyle name="Data no deci 2 4 7 7" xfId="8672" xr:uid="{00000000-0005-0000-0000-000053280000}"/>
    <cellStyle name="Data no deci 2 4 7 7 2" xfId="8673" xr:uid="{00000000-0005-0000-0000-000054280000}"/>
    <cellStyle name="Data no deci 2 4 7 8" xfId="8674" xr:uid="{00000000-0005-0000-0000-000055280000}"/>
    <cellStyle name="Data no deci 2 4 7 8 2" xfId="8675" xr:uid="{00000000-0005-0000-0000-000056280000}"/>
    <cellStyle name="Data no deci 2 4 7 9" xfId="8676" xr:uid="{00000000-0005-0000-0000-000057280000}"/>
    <cellStyle name="Data no deci 2 4 7 9 2" xfId="8677" xr:uid="{00000000-0005-0000-0000-000058280000}"/>
    <cellStyle name="Data no deci 2 4 8" xfId="8678" xr:uid="{00000000-0005-0000-0000-000059280000}"/>
    <cellStyle name="Data no deci 2 4 8 10" xfId="8679" xr:uid="{00000000-0005-0000-0000-00005A280000}"/>
    <cellStyle name="Data no deci 2 4 8 2" xfId="8680" xr:uid="{00000000-0005-0000-0000-00005B280000}"/>
    <cellStyle name="Data no deci 2 4 8 2 2" xfId="8681" xr:uid="{00000000-0005-0000-0000-00005C280000}"/>
    <cellStyle name="Data no deci 2 4 8 3" xfId="8682" xr:uid="{00000000-0005-0000-0000-00005D280000}"/>
    <cellStyle name="Data no deci 2 4 8 3 2" xfId="8683" xr:uid="{00000000-0005-0000-0000-00005E280000}"/>
    <cellStyle name="Data no deci 2 4 8 4" xfId="8684" xr:uid="{00000000-0005-0000-0000-00005F280000}"/>
    <cellStyle name="Data no deci 2 4 8 4 2" xfId="8685" xr:uid="{00000000-0005-0000-0000-000060280000}"/>
    <cellStyle name="Data no deci 2 4 8 5" xfId="8686" xr:uid="{00000000-0005-0000-0000-000061280000}"/>
    <cellStyle name="Data no deci 2 4 8 5 2" xfId="8687" xr:uid="{00000000-0005-0000-0000-000062280000}"/>
    <cellStyle name="Data no deci 2 4 8 6" xfId="8688" xr:uid="{00000000-0005-0000-0000-000063280000}"/>
    <cellStyle name="Data no deci 2 4 8 6 2" xfId="8689" xr:uid="{00000000-0005-0000-0000-000064280000}"/>
    <cellStyle name="Data no deci 2 4 8 7" xfId="8690" xr:uid="{00000000-0005-0000-0000-000065280000}"/>
    <cellStyle name="Data no deci 2 4 8 7 2" xfId="8691" xr:uid="{00000000-0005-0000-0000-000066280000}"/>
    <cellStyle name="Data no deci 2 4 8 8" xfId="8692" xr:uid="{00000000-0005-0000-0000-000067280000}"/>
    <cellStyle name="Data no deci 2 4 8 8 2" xfId="8693" xr:uid="{00000000-0005-0000-0000-000068280000}"/>
    <cellStyle name="Data no deci 2 4 8 9" xfId="8694" xr:uid="{00000000-0005-0000-0000-000069280000}"/>
    <cellStyle name="Data no deci 2 4 8 9 2" xfId="8695" xr:uid="{00000000-0005-0000-0000-00006A280000}"/>
    <cellStyle name="Data no deci 2 4 9" xfId="8696" xr:uid="{00000000-0005-0000-0000-00006B280000}"/>
    <cellStyle name="Data no deci 2 4 9 10" xfId="8697" xr:uid="{00000000-0005-0000-0000-00006C280000}"/>
    <cellStyle name="Data no deci 2 4 9 2" xfId="8698" xr:uid="{00000000-0005-0000-0000-00006D280000}"/>
    <cellStyle name="Data no deci 2 4 9 2 2" xfId="8699" xr:uid="{00000000-0005-0000-0000-00006E280000}"/>
    <cellStyle name="Data no deci 2 4 9 3" xfId="8700" xr:uid="{00000000-0005-0000-0000-00006F280000}"/>
    <cellStyle name="Data no deci 2 4 9 3 2" xfId="8701" xr:uid="{00000000-0005-0000-0000-000070280000}"/>
    <cellStyle name="Data no deci 2 4 9 4" xfId="8702" xr:uid="{00000000-0005-0000-0000-000071280000}"/>
    <cellStyle name="Data no deci 2 4 9 4 2" xfId="8703" xr:uid="{00000000-0005-0000-0000-000072280000}"/>
    <cellStyle name="Data no deci 2 4 9 5" xfId="8704" xr:uid="{00000000-0005-0000-0000-000073280000}"/>
    <cellStyle name="Data no deci 2 4 9 5 2" xfId="8705" xr:uid="{00000000-0005-0000-0000-000074280000}"/>
    <cellStyle name="Data no deci 2 4 9 6" xfId="8706" xr:uid="{00000000-0005-0000-0000-000075280000}"/>
    <cellStyle name="Data no deci 2 4 9 6 2" xfId="8707" xr:uid="{00000000-0005-0000-0000-000076280000}"/>
    <cellStyle name="Data no deci 2 4 9 7" xfId="8708" xr:uid="{00000000-0005-0000-0000-000077280000}"/>
    <cellStyle name="Data no deci 2 4 9 7 2" xfId="8709" xr:uid="{00000000-0005-0000-0000-000078280000}"/>
    <cellStyle name="Data no deci 2 4 9 8" xfId="8710" xr:uid="{00000000-0005-0000-0000-000079280000}"/>
    <cellStyle name="Data no deci 2 4 9 8 2" xfId="8711" xr:uid="{00000000-0005-0000-0000-00007A280000}"/>
    <cellStyle name="Data no deci 2 4 9 9" xfId="8712" xr:uid="{00000000-0005-0000-0000-00007B280000}"/>
    <cellStyle name="Data no deci 2 4 9 9 2" xfId="8713" xr:uid="{00000000-0005-0000-0000-00007C280000}"/>
    <cellStyle name="Data no deci 2 5" xfId="8714" xr:uid="{00000000-0005-0000-0000-00007D280000}"/>
    <cellStyle name="Data no deci 2 5 10" xfId="8715" xr:uid="{00000000-0005-0000-0000-00007E280000}"/>
    <cellStyle name="Data no deci 2 5 10 2" xfId="8716" xr:uid="{00000000-0005-0000-0000-00007F280000}"/>
    <cellStyle name="Data no deci 2 5 10 2 2" xfId="8717" xr:uid="{00000000-0005-0000-0000-000080280000}"/>
    <cellStyle name="Data no deci 2 5 10 3" xfId="8718" xr:uid="{00000000-0005-0000-0000-000081280000}"/>
    <cellStyle name="Data no deci 2 5 10 3 2" xfId="8719" xr:uid="{00000000-0005-0000-0000-000082280000}"/>
    <cellStyle name="Data no deci 2 5 10 4" xfId="8720" xr:uid="{00000000-0005-0000-0000-000083280000}"/>
    <cellStyle name="Data no deci 2 5 10 4 2" xfId="8721" xr:uid="{00000000-0005-0000-0000-000084280000}"/>
    <cellStyle name="Data no deci 2 5 10 5" xfId="8722" xr:uid="{00000000-0005-0000-0000-000085280000}"/>
    <cellStyle name="Data no deci 2 5 10 5 2" xfId="8723" xr:uid="{00000000-0005-0000-0000-000086280000}"/>
    <cellStyle name="Data no deci 2 5 10 6" xfId="8724" xr:uid="{00000000-0005-0000-0000-000087280000}"/>
    <cellStyle name="Data no deci 2 5 10 6 2" xfId="8725" xr:uid="{00000000-0005-0000-0000-000088280000}"/>
    <cellStyle name="Data no deci 2 5 10 7" xfId="8726" xr:uid="{00000000-0005-0000-0000-000089280000}"/>
    <cellStyle name="Data no deci 2 5 10 7 2" xfId="8727" xr:uid="{00000000-0005-0000-0000-00008A280000}"/>
    <cellStyle name="Data no deci 2 5 10 8" xfId="8728" xr:uid="{00000000-0005-0000-0000-00008B280000}"/>
    <cellStyle name="Data no deci 2 5 10 8 2" xfId="8729" xr:uid="{00000000-0005-0000-0000-00008C280000}"/>
    <cellStyle name="Data no deci 2 5 10 9" xfId="8730" xr:uid="{00000000-0005-0000-0000-00008D280000}"/>
    <cellStyle name="Data no deci 2 5 11" xfId="8731" xr:uid="{00000000-0005-0000-0000-00008E280000}"/>
    <cellStyle name="Data no deci 2 5 11 2" xfId="8732" xr:uid="{00000000-0005-0000-0000-00008F280000}"/>
    <cellStyle name="Data no deci 2 5 12" xfId="8733" xr:uid="{00000000-0005-0000-0000-000090280000}"/>
    <cellStyle name="Data no deci 2 5 12 2" xfId="8734" xr:uid="{00000000-0005-0000-0000-000091280000}"/>
    <cellStyle name="Data no deci 2 5 13" xfId="8735" xr:uid="{00000000-0005-0000-0000-000092280000}"/>
    <cellStyle name="Data no deci 2 5 13 2" xfId="8736" xr:uid="{00000000-0005-0000-0000-000093280000}"/>
    <cellStyle name="Data no deci 2 5 14" xfId="8737" xr:uid="{00000000-0005-0000-0000-000094280000}"/>
    <cellStyle name="Data no deci 2 5 14 2" xfId="8738" xr:uid="{00000000-0005-0000-0000-000095280000}"/>
    <cellStyle name="Data no deci 2 5 15" xfId="8739" xr:uid="{00000000-0005-0000-0000-000096280000}"/>
    <cellStyle name="Data no deci 2 5 15 2" xfId="8740" xr:uid="{00000000-0005-0000-0000-000097280000}"/>
    <cellStyle name="Data no deci 2 5 16" xfId="8741" xr:uid="{00000000-0005-0000-0000-000098280000}"/>
    <cellStyle name="Data no deci 2 5 16 2" xfId="8742" xr:uid="{00000000-0005-0000-0000-000099280000}"/>
    <cellStyle name="Data no deci 2 5 17" xfId="8743" xr:uid="{00000000-0005-0000-0000-00009A280000}"/>
    <cellStyle name="Data no deci 2 5 17 2" xfId="8744" xr:uid="{00000000-0005-0000-0000-00009B280000}"/>
    <cellStyle name="Data no deci 2 5 18" xfId="8745" xr:uid="{00000000-0005-0000-0000-00009C280000}"/>
    <cellStyle name="Data no deci 2 5 2" xfId="8746" xr:uid="{00000000-0005-0000-0000-00009D280000}"/>
    <cellStyle name="Data no deci 2 5 2 10" xfId="8747" xr:uid="{00000000-0005-0000-0000-00009E280000}"/>
    <cellStyle name="Data no deci 2 5 2 2" xfId="8748" xr:uid="{00000000-0005-0000-0000-00009F280000}"/>
    <cellStyle name="Data no deci 2 5 2 2 2" xfId="8749" xr:uid="{00000000-0005-0000-0000-0000A0280000}"/>
    <cellStyle name="Data no deci 2 5 2 3" xfId="8750" xr:uid="{00000000-0005-0000-0000-0000A1280000}"/>
    <cellStyle name="Data no deci 2 5 2 3 2" xfId="8751" xr:uid="{00000000-0005-0000-0000-0000A2280000}"/>
    <cellStyle name="Data no deci 2 5 2 4" xfId="8752" xr:uid="{00000000-0005-0000-0000-0000A3280000}"/>
    <cellStyle name="Data no deci 2 5 2 4 2" xfId="8753" xr:uid="{00000000-0005-0000-0000-0000A4280000}"/>
    <cellStyle name="Data no deci 2 5 2 5" xfId="8754" xr:uid="{00000000-0005-0000-0000-0000A5280000}"/>
    <cellStyle name="Data no deci 2 5 2 5 2" xfId="8755" xr:uid="{00000000-0005-0000-0000-0000A6280000}"/>
    <cellStyle name="Data no deci 2 5 2 6" xfId="8756" xr:uid="{00000000-0005-0000-0000-0000A7280000}"/>
    <cellStyle name="Data no deci 2 5 2 6 2" xfId="8757" xr:uid="{00000000-0005-0000-0000-0000A8280000}"/>
    <cellStyle name="Data no deci 2 5 2 7" xfId="8758" xr:uid="{00000000-0005-0000-0000-0000A9280000}"/>
    <cellStyle name="Data no deci 2 5 2 7 2" xfId="8759" xr:uid="{00000000-0005-0000-0000-0000AA280000}"/>
    <cellStyle name="Data no deci 2 5 2 8" xfId="8760" xr:uid="{00000000-0005-0000-0000-0000AB280000}"/>
    <cellStyle name="Data no deci 2 5 2 8 2" xfId="8761" xr:uid="{00000000-0005-0000-0000-0000AC280000}"/>
    <cellStyle name="Data no deci 2 5 2 9" xfId="8762" xr:uid="{00000000-0005-0000-0000-0000AD280000}"/>
    <cellStyle name="Data no deci 2 5 2 9 2" xfId="8763" xr:uid="{00000000-0005-0000-0000-0000AE280000}"/>
    <cellStyle name="Data no deci 2 5 3" xfId="8764" xr:uid="{00000000-0005-0000-0000-0000AF280000}"/>
    <cellStyle name="Data no deci 2 5 3 10" xfId="8765" xr:uid="{00000000-0005-0000-0000-0000B0280000}"/>
    <cellStyle name="Data no deci 2 5 3 2" xfId="8766" xr:uid="{00000000-0005-0000-0000-0000B1280000}"/>
    <cellStyle name="Data no deci 2 5 3 2 2" xfId="8767" xr:uid="{00000000-0005-0000-0000-0000B2280000}"/>
    <cellStyle name="Data no deci 2 5 3 3" xfId="8768" xr:uid="{00000000-0005-0000-0000-0000B3280000}"/>
    <cellStyle name="Data no deci 2 5 3 3 2" xfId="8769" xr:uid="{00000000-0005-0000-0000-0000B4280000}"/>
    <cellStyle name="Data no deci 2 5 3 4" xfId="8770" xr:uid="{00000000-0005-0000-0000-0000B5280000}"/>
    <cellStyle name="Data no deci 2 5 3 4 2" xfId="8771" xr:uid="{00000000-0005-0000-0000-0000B6280000}"/>
    <cellStyle name="Data no deci 2 5 3 5" xfId="8772" xr:uid="{00000000-0005-0000-0000-0000B7280000}"/>
    <cellStyle name="Data no deci 2 5 3 5 2" xfId="8773" xr:uid="{00000000-0005-0000-0000-0000B8280000}"/>
    <cellStyle name="Data no deci 2 5 3 6" xfId="8774" xr:uid="{00000000-0005-0000-0000-0000B9280000}"/>
    <cellStyle name="Data no deci 2 5 3 6 2" xfId="8775" xr:uid="{00000000-0005-0000-0000-0000BA280000}"/>
    <cellStyle name="Data no deci 2 5 3 7" xfId="8776" xr:uid="{00000000-0005-0000-0000-0000BB280000}"/>
    <cellStyle name="Data no deci 2 5 3 7 2" xfId="8777" xr:uid="{00000000-0005-0000-0000-0000BC280000}"/>
    <cellStyle name="Data no deci 2 5 3 8" xfId="8778" xr:uid="{00000000-0005-0000-0000-0000BD280000}"/>
    <cellStyle name="Data no deci 2 5 3 8 2" xfId="8779" xr:uid="{00000000-0005-0000-0000-0000BE280000}"/>
    <cellStyle name="Data no deci 2 5 3 9" xfId="8780" xr:uid="{00000000-0005-0000-0000-0000BF280000}"/>
    <cellStyle name="Data no deci 2 5 3 9 2" xfId="8781" xr:uid="{00000000-0005-0000-0000-0000C0280000}"/>
    <cellStyle name="Data no deci 2 5 4" xfId="8782" xr:uid="{00000000-0005-0000-0000-0000C1280000}"/>
    <cellStyle name="Data no deci 2 5 4 10" xfId="8783" xr:uid="{00000000-0005-0000-0000-0000C2280000}"/>
    <cellStyle name="Data no deci 2 5 4 2" xfId="8784" xr:uid="{00000000-0005-0000-0000-0000C3280000}"/>
    <cellStyle name="Data no deci 2 5 4 2 2" xfId="8785" xr:uid="{00000000-0005-0000-0000-0000C4280000}"/>
    <cellStyle name="Data no deci 2 5 4 3" xfId="8786" xr:uid="{00000000-0005-0000-0000-0000C5280000}"/>
    <cellStyle name="Data no deci 2 5 4 3 2" xfId="8787" xr:uid="{00000000-0005-0000-0000-0000C6280000}"/>
    <cellStyle name="Data no deci 2 5 4 4" xfId="8788" xr:uid="{00000000-0005-0000-0000-0000C7280000}"/>
    <cellStyle name="Data no deci 2 5 4 4 2" xfId="8789" xr:uid="{00000000-0005-0000-0000-0000C8280000}"/>
    <cellStyle name="Data no deci 2 5 4 5" xfId="8790" xr:uid="{00000000-0005-0000-0000-0000C9280000}"/>
    <cellStyle name="Data no deci 2 5 4 5 2" xfId="8791" xr:uid="{00000000-0005-0000-0000-0000CA280000}"/>
    <cellStyle name="Data no deci 2 5 4 6" xfId="8792" xr:uid="{00000000-0005-0000-0000-0000CB280000}"/>
    <cellStyle name="Data no deci 2 5 4 6 2" xfId="8793" xr:uid="{00000000-0005-0000-0000-0000CC280000}"/>
    <cellStyle name="Data no deci 2 5 4 7" xfId="8794" xr:uid="{00000000-0005-0000-0000-0000CD280000}"/>
    <cellStyle name="Data no deci 2 5 4 7 2" xfId="8795" xr:uid="{00000000-0005-0000-0000-0000CE280000}"/>
    <cellStyle name="Data no deci 2 5 4 8" xfId="8796" xr:uid="{00000000-0005-0000-0000-0000CF280000}"/>
    <cellStyle name="Data no deci 2 5 4 8 2" xfId="8797" xr:uid="{00000000-0005-0000-0000-0000D0280000}"/>
    <cellStyle name="Data no deci 2 5 4 9" xfId="8798" xr:uid="{00000000-0005-0000-0000-0000D1280000}"/>
    <cellStyle name="Data no deci 2 5 4 9 2" xfId="8799" xr:uid="{00000000-0005-0000-0000-0000D2280000}"/>
    <cellStyle name="Data no deci 2 5 5" xfId="8800" xr:uid="{00000000-0005-0000-0000-0000D3280000}"/>
    <cellStyle name="Data no deci 2 5 5 10" xfId="8801" xr:uid="{00000000-0005-0000-0000-0000D4280000}"/>
    <cellStyle name="Data no deci 2 5 5 2" xfId="8802" xr:uid="{00000000-0005-0000-0000-0000D5280000}"/>
    <cellStyle name="Data no deci 2 5 5 2 2" xfId="8803" xr:uid="{00000000-0005-0000-0000-0000D6280000}"/>
    <cellStyle name="Data no deci 2 5 5 3" xfId="8804" xr:uid="{00000000-0005-0000-0000-0000D7280000}"/>
    <cellStyle name="Data no deci 2 5 5 3 2" xfId="8805" xr:uid="{00000000-0005-0000-0000-0000D8280000}"/>
    <cellStyle name="Data no deci 2 5 5 4" xfId="8806" xr:uid="{00000000-0005-0000-0000-0000D9280000}"/>
    <cellStyle name="Data no deci 2 5 5 4 2" xfId="8807" xr:uid="{00000000-0005-0000-0000-0000DA280000}"/>
    <cellStyle name="Data no deci 2 5 5 5" xfId="8808" xr:uid="{00000000-0005-0000-0000-0000DB280000}"/>
    <cellStyle name="Data no deci 2 5 5 5 2" xfId="8809" xr:uid="{00000000-0005-0000-0000-0000DC280000}"/>
    <cellStyle name="Data no deci 2 5 5 6" xfId="8810" xr:uid="{00000000-0005-0000-0000-0000DD280000}"/>
    <cellStyle name="Data no deci 2 5 5 6 2" xfId="8811" xr:uid="{00000000-0005-0000-0000-0000DE280000}"/>
    <cellStyle name="Data no deci 2 5 5 7" xfId="8812" xr:uid="{00000000-0005-0000-0000-0000DF280000}"/>
    <cellStyle name="Data no deci 2 5 5 7 2" xfId="8813" xr:uid="{00000000-0005-0000-0000-0000E0280000}"/>
    <cellStyle name="Data no deci 2 5 5 8" xfId="8814" xr:uid="{00000000-0005-0000-0000-0000E1280000}"/>
    <cellStyle name="Data no deci 2 5 5 8 2" xfId="8815" xr:uid="{00000000-0005-0000-0000-0000E2280000}"/>
    <cellStyle name="Data no deci 2 5 5 9" xfId="8816" xr:uid="{00000000-0005-0000-0000-0000E3280000}"/>
    <cellStyle name="Data no deci 2 5 5 9 2" xfId="8817" xr:uid="{00000000-0005-0000-0000-0000E4280000}"/>
    <cellStyle name="Data no deci 2 5 6" xfId="8818" xr:uid="{00000000-0005-0000-0000-0000E5280000}"/>
    <cellStyle name="Data no deci 2 5 6 10" xfId="8819" xr:uid="{00000000-0005-0000-0000-0000E6280000}"/>
    <cellStyle name="Data no deci 2 5 6 2" xfId="8820" xr:uid="{00000000-0005-0000-0000-0000E7280000}"/>
    <cellStyle name="Data no deci 2 5 6 2 2" xfId="8821" xr:uid="{00000000-0005-0000-0000-0000E8280000}"/>
    <cellStyle name="Data no deci 2 5 6 3" xfId="8822" xr:uid="{00000000-0005-0000-0000-0000E9280000}"/>
    <cellStyle name="Data no deci 2 5 6 3 2" xfId="8823" xr:uid="{00000000-0005-0000-0000-0000EA280000}"/>
    <cellStyle name="Data no deci 2 5 6 4" xfId="8824" xr:uid="{00000000-0005-0000-0000-0000EB280000}"/>
    <cellStyle name="Data no deci 2 5 6 4 2" xfId="8825" xr:uid="{00000000-0005-0000-0000-0000EC280000}"/>
    <cellStyle name="Data no deci 2 5 6 5" xfId="8826" xr:uid="{00000000-0005-0000-0000-0000ED280000}"/>
    <cellStyle name="Data no deci 2 5 6 5 2" xfId="8827" xr:uid="{00000000-0005-0000-0000-0000EE280000}"/>
    <cellStyle name="Data no deci 2 5 6 6" xfId="8828" xr:uid="{00000000-0005-0000-0000-0000EF280000}"/>
    <cellStyle name="Data no deci 2 5 6 6 2" xfId="8829" xr:uid="{00000000-0005-0000-0000-0000F0280000}"/>
    <cellStyle name="Data no deci 2 5 6 7" xfId="8830" xr:uid="{00000000-0005-0000-0000-0000F1280000}"/>
    <cellStyle name="Data no deci 2 5 6 7 2" xfId="8831" xr:uid="{00000000-0005-0000-0000-0000F2280000}"/>
    <cellStyle name="Data no deci 2 5 6 8" xfId="8832" xr:uid="{00000000-0005-0000-0000-0000F3280000}"/>
    <cellStyle name="Data no deci 2 5 6 8 2" xfId="8833" xr:uid="{00000000-0005-0000-0000-0000F4280000}"/>
    <cellStyle name="Data no deci 2 5 6 9" xfId="8834" xr:uid="{00000000-0005-0000-0000-0000F5280000}"/>
    <cellStyle name="Data no deci 2 5 6 9 2" xfId="8835" xr:uid="{00000000-0005-0000-0000-0000F6280000}"/>
    <cellStyle name="Data no deci 2 5 7" xfId="8836" xr:uid="{00000000-0005-0000-0000-0000F7280000}"/>
    <cellStyle name="Data no deci 2 5 7 10" xfId="8837" xr:uid="{00000000-0005-0000-0000-0000F8280000}"/>
    <cellStyle name="Data no deci 2 5 7 2" xfId="8838" xr:uid="{00000000-0005-0000-0000-0000F9280000}"/>
    <cellStyle name="Data no deci 2 5 7 2 2" xfId="8839" xr:uid="{00000000-0005-0000-0000-0000FA280000}"/>
    <cellStyle name="Data no deci 2 5 7 3" xfId="8840" xr:uid="{00000000-0005-0000-0000-0000FB280000}"/>
    <cellStyle name="Data no deci 2 5 7 3 2" xfId="8841" xr:uid="{00000000-0005-0000-0000-0000FC280000}"/>
    <cellStyle name="Data no deci 2 5 7 4" xfId="8842" xr:uid="{00000000-0005-0000-0000-0000FD280000}"/>
    <cellStyle name="Data no deci 2 5 7 4 2" xfId="8843" xr:uid="{00000000-0005-0000-0000-0000FE280000}"/>
    <cellStyle name="Data no deci 2 5 7 5" xfId="8844" xr:uid="{00000000-0005-0000-0000-0000FF280000}"/>
    <cellStyle name="Data no deci 2 5 7 5 2" xfId="8845" xr:uid="{00000000-0005-0000-0000-000000290000}"/>
    <cellStyle name="Data no deci 2 5 7 6" xfId="8846" xr:uid="{00000000-0005-0000-0000-000001290000}"/>
    <cellStyle name="Data no deci 2 5 7 6 2" xfId="8847" xr:uid="{00000000-0005-0000-0000-000002290000}"/>
    <cellStyle name="Data no deci 2 5 7 7" xfId="8848" xr:uid="{00000000-0005-0000-0000-000003290000}"/>
    <cellStyle name="Data no deci 2 5 7 7 2" xfId="8849" xr:uid="{00000000-0005-0000-0000-000004290000}"/>
    <cellStyle name="Data no deci 2 5 7 8" xfId="8850" xr:uid="{00000000-0005-0000-0000-000005290000}"/>
    <cellStyle name="Data no deci 2 5 7 8 2" xfId="8851" xr:uid="{00000000-0005-0000-0000-000006290000}"/>
    <cellStyle name="Data no deci 2 5 7 9" xfId="8852" xr:uid="{00000000-0005-0000-0000-000007290000}"/>
    <cellStyle name="Data no deci 2 5 7 9 2" xfId="8853" xr:uid="{00000000-0005-0000-0000-000008290000}"/>
    <cellStyle name="Data no deci 2 5 8" xfId="8854" xr:uid="{00000000-0005-0000-0000-000009290000}"/>
    <cellStyle name="Data no deci 2 5 8 10" xfId="8855" xr:uid="{00000000-0005-0000-0000-00000A290000}"/>
    <cellStyle name="Data no deci 2 5 8 2" xfId="8856" xr:uid="{00000000-0005-0000-0000-00000B290000}"/>
    <cellStyle name="Data no deci 2 5 8 2 2" xfId="8857" xr:uid="{00000000-0005-0000-0000-00000C290000}"/>
    <cellStyle name="Data no deci 2 5 8 3" xfId="8858" xr:uid="{00000000-0005-0000-0000-00000D290000}"/>
    <cellStyle name="Data no deci 2 5 8 3 2" xfId="8859" xr:uid="{00000000-0005-0000-0000-00000E290000}"/>
    <cellStyle name="Data no deci 2 5 8 4" xfId="8860" xr:uid="{00000000-0005-0000-0000-00000F290000}"/>
    <cellStyle name="Data no deci 2 5 8 4 2" xfId="8861" xr:uid="{00000000-0005-0000-0000-000010290000}"/>
    <cellStyle name="Data no deci 2 5 8 5" xfId="8862" xr:uid="{00000000-0005-0000-0000-000011290000}"/>
    <cellStyle name="Data no deci 2 5 8 5 2" xfId="8863" xr:uid="{00000000-0005-0000-0000-000012290000}"/>
    <cellStyle name="Data no deci 2 5 8 6" xfId="8864" xr:uid="{00000000-0005-0000-0000-000013290000}"/>
    <cellStyle name="Data no deci 2 5 8 6 2" xfId="8865" xr:uid="{00000000-0005-0000-0000-000014290000}"/>
    <cellStyle name="Data no deci 2 5 8 7" xfId="8866" xr:uid="{00000000-0005-0000-0000-000015290000}"/>
    <cellStyle name="Data no deci 2 5 8 7 2" xfId="8867" xr:uid="{00000000-0005-0000-0000-000016290000}"/>
    <cellStyle name="Data no deci 2 5 8 8" xfId="8868" xr:uid="{00000000-0005-0000-0000-000017290000}"/>
    <cellStyle name="Data no deci 2 5 8 8 2" xfId="8869" xr:uid="{00000000-0005-0000-0000-000018290000}"/>
    <cellStyle name="Data no deci 2 5 8 9" xfId="8870" xr:uid="{00000000-0005-0000-0000-000019290000}"/>
    <cellStyle name="Data no deci 2 5 8 9 2" xfId="8871" xr:uid="{00000000-0005-0000-0000-00001A290000}"/>
    <cellStyle name="Data no deci 2 5 9" xfId="8872" xr:uid="{00000000-0005-0000-0000-00001B290000}"/>
    <cellStyle name="Data no deci 2 5 9 10" xfId="8873" xr:uid="{00000000-0005-0000-0000-00001C290000}"/>
    <cellStyle name="Data no deci 2 5 9 2" xfId="8874" xr:uid="{00000000-0005-0000-0000-00001D290000}"/>
    <cellStyle name="Data no deci 2 5 9 2 2" xfId="8875" xr:uid="{00000000-0005-0000-0000-00001E290000}"/>
    <cellStyle name="Data no deci 2 5 9 3" xfId="8876" xr:uid="{00000000-0005-0000-0000-00001F290000}"/>
    <cellStyle name="Data no deci 2 5 9 3 2" xfId="8877" xr:uid="{00000000-0005-0000-0000-000020290000}"/>
    <cellStyle name="Data no deci 2 5 9 4" xfId="8878" xr:uid="{00000000-0005-0000-0000-000021290000}"/>
    <cellStyle name="Data no deci 2 5 9 4 2" xfId="8879" xr:uid="{00000000-0005-0000-0000-000022290000}"/>
    <cellStyle name="Data no deci 2 5 9 5" xfId="8880" xr:uid="{00000000-0005-0000-0000-000023290000}"/>
    <cellStyle name="Data no deci 2 5 9 5 2" xfId="8881" xr:uid="{00000000-0005-0000-0000-000024290000}"/>
    <cellStyle name="Data no deci 2 5 9 6" xfId="8882" xr:uid="{00000000-0005-0000-0000-000025290000}"/>
    <cellStyle name="Data no deci 2 5 9 6 2" xfId="8883" xr:uid="{00000000-0005-0000-0000-000026290000}"/>
    <cellStyle name="Data no deci 2 5 9 7" xfId="8884" xr:uid="{00000000-0005-0000-0000-000027290000}"/>
    <cellStyle name="Data no deci 2 5 9 7 2" xfId="8885" xr:uid="{00000000-0005-0000-0000-000028290000}"/>
    <cellStyle name="Data no deci 2 5 9 8" xfId="8886" xr:uid="{00000000-0005-0000-0000-000029290000}"/>
    <cellStyle name="Data no deci 2 5 9 8 2" xfId="8887" xr:uid="{00000000-0005-0000-0000-00002A290000}"/>
    <cellStyle name="Data no deci 2 5 9 9" xfId="8888" xr:uid="{00000000-0005-0000-0000-00002B290000}"/>
    <cellStyle name="Data no deci 2 5 9 9 2" xfId="8889" xr:uid="{00000000-0005-0000-0000-00002C290000}"/>
    <cellStyle name="Data no deci 2 6" xfId="8890" xr:uid="{00000000-0005-0000-0000-00002D290000}"/>
    <cellStyle name="Data no deci 2 6 10" xfId="8891" xr:uid="{00000000-0005-0000-0000-00002E290000}"/>
    <cellStyle name="Data no deci 2 6 10 2" xfId="8892" xr:uid="{00000000-0005-0000-0000-00002F290000}"/>
    <cellStyle name="Data no deci 2 6 10 2 2" xfId="8893" xr:uid="{00000000-0005-0000-0000-000030290000}"/>
    <cellStyle name="Data no deci 2 6 10 3" xfId="8894" xr:uid="{00000000-0005-0000-0000-000031290000}"/>
    <cellStyle name="Data no deci 2 6 10 3 2" xfId="8895" xr:uid="{00000000-0005-0000-0000-000032290000}"/>
    <cellStyle name="Data no deci 2 6 10 4" xfId="8896" xr:uid="{00000000-0005-0000-0000-000033290000}"/>
    <cellStyle name="Data no deci 2 6 10 4 2" xfId="8897" xr:uid="{00000000-0005-0000-0000-000034290000}"/>
    <cellStyle name="Data no deci 2 6 10 5" xfId="8898" xr:uid="{00000000-0005-0000-0000-000035290000}"/>
    <cellStyle name="Data no deci 2 6 10 5 2" xfId="8899" xr:uid="{00000000-0005-0000-0000-000036290000}"/>
    <cellStyle name="Data no deci 2 6 10 6" xfId="8900" xr:uid="{00000000-0005-0000-0000-000037290000}"/>
    <cellStyle name="Data no deci 2 6 10 6 2" xfId="8901" xr:uid="{00000000-0005-0000-0000-000038290000}"/>
    <cellStyle name="Data no deci 2 6 10 7" xfId="8902" xr:uid="{00000000-0005-0000-0000-000039290000}"/>
    <cellStyle name="Data no deci 2 6 10 7 2" xfId="8903" xr:uid="{00000000-0005-0000-0000-00003A290000}"/>
    <cellStyle name="Data no deci 2 6 10 8" xfId="8904" xr:uid="{00000000-0005-0000-0000-00003B290000}"/>
    <cellStyle name="Data no deci 2 6 10 8 2" xfId="8905" xr:uid="{00000000-0005-0000-0000-00003C290000}"/>
    <cellStyle name="Data no deci 2 6 10 9" xfId="8906" xr:uid="{00000000-0005-0000-0000-00003D290000}"/>
    <cellStyle name="Data no deci 2 6 11" xfId="8907" xr:uid="{00000000-0005-0000-0000-00003E290000}"/>
    <cellStyle name="Data no deci 2 6 11 2" xfId="8908" xr:uid="{00000000-0005-0000-0000-00003F290000}"/>
    <cellStyle name="Data no deci 2 6 12" xfId="8909" xr:uid="{00000000-0005-0000-0000-000040290000}"/>
    <cellStyle name="Data no deci 2 6 12 2" xfId="8910" xr:uid="{00000000-0005-0000-0000-000041290000}"/>
    <cellStyle name="Data no deci 2 6 13" xfId="8911" xr:uid="{00000000-0005-0000-0000-000042290000}"/>
    <cellStyle name="Data no deci 2 6 13 2" xfId="8912" xr:uid="{00000000-0005-0000-0000-000043290000}"/>
    <cellStyle name="Data no deci 2 6 14" xfId="8913" xr:uid="{00000000-0005-0000-0000-000044290000}"/>
    <cellStyle name="Data no deci 2 6 14 2" xfId="8914" xr:uid="{00000000-0005-0000-0000-000045290000}"/>
    <cellStyle name="Data no deci 2 6 15" xfId="8915" xr:uid="{00000000-0005-0000-0000-000046290000}"/>
    <cellStyle name="Data no deci 2 6 15 2" xfId="8916" xr:uid="{00000000-0005-0000-0000-000047290000}"/>
    <cellStyle name="Data no deci 2 6 16" xfId="8917" xr:uid="{00000000-0005-0000-0000-000048290000}"/>
    <cellStyle name="Data no deci 2 6 16 2" xfId="8918" xr:uid="{00000000-0005-0000-0000-000049290000}"/>
    <cellStyle name="Data no deci 2 6 17" xfId="8919" xr:uid="{00000000-0005-0000-0000-00004A290000}"/>
    <cellStyle name="Data no deci 2 6 17 2" xfId="8920" xr:uid="{00000000-0005-0000-0000-00004B290000}"/>
    <cellStyle name="Data no deci 2 6 18" xfId="8921" xr:uid="{00000000-0005-0000-0000-00004C290000}"/>
    <cellStyle name="Data no deci 2 6 2" xfId="8922" xr:uid="{00000000-0005-0000-0000-00004D290000}"/>
    <cellStyle name="Data no deci 2 6 2 10" xfId="8923" xr:uid="{00000000-0005-0000-0000-00004E290000}"/>
    <cellStyle name="Data no deci 2 6 2 2" xfId="8924" xr:uid="{00000000-0005-0000-0000-00004F290000}"/>
    <cellStyle name="Data no deci 2 6 2 2 2" xfId="8925" xr:uid="{00000000-0005-0000-0000-000050290000}"/>
    <cellStyle name="Data no deci 2 6 2 3" xfId="8926" xr:uid="{00000000-0005-0000-0000-000051290000}"/>
    <cellStyle name="Data no deci 2 6 2 3 2" xfId="8927" xr:uid="{00000000-0005-0000-0000-000052290000}"/>
    <cellStyle name="Data no deci 2 6 2 4" xfId="8928" xr:uid="{00000000-0005-0000-0000-000053290000}"/>
    <cellStyle name="Data no deci 2 6 2 4 2" xfId="8929" xr:uid="{00000000-0005-0000-0000-000054290000}"/>
    <cellStyle name="Data no deci 2 6 2 5" xfId="8930" xr:uid="{00000000-0005-0000-0000-000055290000}"/>
    <cellStyle name="Data no deci 2 6 2 5 2" xfId="8931" xr:uid="{00000000-0005-0000-0000-000056290000}"/>
    <cellStyle name="Data no deci 2 6 2 6" xfId="8932" xr:uid="{00000000-0005-0000-0000-000057290000}"/>
    <cellStyle name="Data no deci 2 6 2 6 2" xfId="8933" xr:uid="{00000000-0005-0000-0000-000058290000}"/>
    <cellStyle name="Data no deci 2 6 2 7" xfId="8934" xr:uid="{00000000-0005-0000-0000-000059290000}"/>
    <cellStyle name="Data no deci 2 6 2 7 2" xfId="8935" xr:uid="{00000000-0005-0000-0000-00005A290000}"/>
    <cellStyle name="Data no deci 2 6 2 8" xfId="8936" xr:uid="{00000000-0005-0000-0000-00005B290000}"/>
    <cellStyle name="Data no deci 2 6 2 8 2" xfId="8937" xr:uid="{00000000-0005-0000-0000-00005C290000}"/>
    <cellStyle name="Data no deci 2 6 2 9" xfId="8938" xr:uid="{00000000-0005-0000-0000-00005D290000}"/>
    <cellStyle name="Data no deci 2 6 2 9 2" xfId="8939" xr:uid="{00000000-0005-0000-0000-00005E290000}"/>
    <cellStyle name="Data no deci 2 6 3" xfId="8940" xr:uid="{00000000-0005-0000-0000-00005F290000}"/>
    <cellStyle name="Data no deci 2 6 3 10" xfId="8941" xr:uid="{00000000-0005-0000-0000-000060290000}"/>
    <cellStyle name="Data no deci 2 6 3 2" xfId="8942" xr:uid="{00000000-0005-0000-0000-000061290000}"/>
    <cellStyle name="Data no deci 2 6 3 2 2" xfId="8943" xr:uid="{00000000-0005-0000-0000-000062290000}"/>
    <cellStyle name="Data no deci 2 6 3 3" xfId="8944" xr:uid="{00000000-0005-0000-0000-000063290000}"/>
    <cellStyle name="Data no deci 2 6 3 3 2" xfId="8945" xr:uid="{00000000-0005-0000-0000-000064290000}"/>
    <cellStyle name="Data no deci 2 6 3 4" xfId="8946" xr:uid="{00000000-0005-0000-0000-000065290000}"/>
    <cellStyle name="Data no deci 2 6 3 4 2" xfId="8947" xr:uid="{00000000-0005-0000-0000-000066290000}"/>
    <cellStyle name="Data no deci 2 6 3 5" xfId="8948" xr:uid="{00000000-0005-0000-0000-000067290000}"/>
    <cellStyle name="Data no deci 2 6 3 5 2" xfId="8949" xr:uid="{00000000-0005-0000-0000-000068290000}"/>
    <cellStyle name="Data no deci 2 6 3 6" xfId="8950" xr:uid="{00000000-0005-0000-0000-000069290000}"/>
    <cellStyle name="Data no deci 2 6 3 6 2" xfId="8951" xr:uid="{00000000-0005-0000-0000-00006A290000}"/>
    <cellStyle name="Data no deci 2 6 3 7" xfId="8952" xr:uid="{00000000-0005-0000-0000-00006B290000}"/>
    <cellStyle name="Data no deci 2 6 3 7 2" xfId="8953" xr:uid="{00000000-0005-0000-0000-00006C290000}"/>
    <cellStyle name="Data no deci 2 6 3 8" xfId="8954" xr:uid="{00000000-0005-0000-0000-00006D290000}"/>
    <cellStyle name="Data no deci 2 6 3 8 2" xfId="8955" xr:uid="{00000000-0005-0000-0000-00006E290000}"/>
    <cellStyle name="Data no deci 2 6 3 9" xfId="8956" xr:uid="{00000000-0005-0000-0000-00006F290000}"/>
    <cellStyle name="Data no deci 2 6 3 9 2" xfId="8957" xr:uid="{00000000-0005-0000-0000-000070290000}"/>
    <cellStyle name="Data no deci 2 6 4" xfId="8958" xr:uid="{00000000-0005-0000-0000-000071290000}"/>
    <cellStyle name="Data no deci 2 6 4 10" xfId="8959" xr:uid="{00000000-0005-0000-0000-000072290000}"/>
    <cellStyle name="Data no deci 2 6 4 2" xfId="8960" xr:uid="{00000000-0005-0000-0000-000073290000}"/>
    <cellStyle name="Data no deci 2 6 4 2 2" xfId="8961" xr:uid="{00000000-0005-0000-0000-000074290000}"/>
    <cellStyle name="Data no deci 2 6 4 3" xfId="8962" xr:uid="{00000000-0005-0000-0000-000075290000}"/>
    <cellStyle name="Data no deci 2 6 4 3 2" xfId="8963" xr:uid="{00000000-0005-0000-0000-000076290000}"/>
    <cellStyle name="Data no deci 2 6 4 4" xfId="8964" xr:uid="{00000000-0005-0000-0000-000077290000}"/>
    <cellStyle name="Data no deci 2 6 4 4 2" xfId="8965" xr:uid="{00000000-0005-0000-0000-000078290000}"/>
    <cellStyle name="Data no deci 2 6 4 5" xfId="8966" xr:uid="{00000000-0005-0000-0000-000079290000}"/>
    <cellStyle name="Data no deci 2 6 4 5 2" xfId="8967" xr:uid="{00000000-0005-0000-0000-00007A290000}"/>
    <cellStyle name="Data no deci 2 6 4 6" xfId="8968" xr:uid="{00000000-0005-0000-0000-00007B290000}"/>
    <cellStyle name="Data no deci 2 6 4 6 2" xfId="8969" xr:uid="{00000000-0005-0000-0000-00007C290000}"/>
    <cellStyle name="Data no deci 2 6 4 7" xfId="8970" xr:uid="{00000000-0005-0000-0000-00007D290000}"/>
    <cellStyle name="Data no deci 2 6 4 7 2" xfId="8971" xr:uid="{00000000-0005-0000-0000-00007E290000}"/>
    <cellStyle name="Data no deci 2 6 4 8" xfId="8972" xr:uid="{00000000-0005-0000-0000-00007F290000}"/>
    <cellStyle name="Data no deci 2 6 4 8 2" xfId="8973" xr:uid="{00000000-0005-0000-0000-000080290000}"/>
    <cellStyle name="Data no deci 2 6 4 9" xfId="8974" xr:uid="{00000000-0005-0000-0000-000081290000}"/>
    <cellStyle name="Data no deci 2 6 4 9 2" xfId="8975" xr:uid="{00000000-0005-0000-0000-000082290000}"/>
    <cellStyle name="Data no deci 2 6 5" xfId="8976" xr:uid="{00000000-0005-0000-0000-000083290000}"/>
    <cellStyle name="Data no deci 2 6 5 10" xfId="8977" xr:uid="{00000000-0005-0000-0000-000084290000}"/>
    <cellStyle name="Data no deci 2 6 5 2" xfId="8978" xr:uid="{00000000-0005-0000-0000-000085290000}"/>
    <cellStyle name="Data no deci 2 6 5 2 2" xfId="8979" xr:uid="{00000000-0005-0000-0000-000086290000}"/>
    <cellStyle name="Data no deci 2 6 5 3" xfId="8980" xr:uid="{00000000-0005-0000-0000-000087290000}"/>
    <cellStyle name="Data no deci 2 6 5 3 2" xfId="8981" xr:uid="{00000000-0005-0000-0000-000088290000}"/>
    <cellStyle name="Data no deci 2 6 5 4" xfId="8982" xr:uid="{00000000-0005-0000-0000-000089290000}"/>
    <cellStyle name="Data no deci 2 6 5 4 2" xfId="8983" xr:uid="{00000000-0005-0000-0000-00008A290000}"/>
    <cellStyle name="Data no deci 2 6 5 5" xfId="8984" xr:uid="{00000000-0005-0000-0000-00008B290000}"/>
    <cellStyle name="Data no deci 2 6 5 5 2" xfId="8985" xr:uid="{00000000-0005-0000-0000-00008C290000}"/>
    <cellStyle name="Data no deci 2 6 5 6" xfId="8986" xr:uid="{00000000-0005-0000-0000-00008D290000}"/>
    <cellStyle name="Data no deci 2 6 5 6 2" xfId="8987" xr:uid="{00000000-0005-0000-0000-00008E290000}"/>
    <cellStyle name="Data no deci 2 6 5 7" xfId="8988" xr:uid="{00000000-0005-0000-0000-00008F290000}"/>
    <cellStyle name="Data no deci 2 6 5 7 2" xfId="8989" xr:uid="{00000000-0005-0000-0000-000090290000}"/>
    <cellStyle name="Data no deci 2 6 5 8" xfId="8990" xr:uid="{00000000-0005-0000-0000-000091290000}"/>
    <cellStyle name="Data no deci 2 6 5 8 2" xfId="8991" xr:uid="{00000000-0005-0000-0000-000092290000}"/>
    <cellStyle name="Data no deci 2 6 5 9" xfId="8992" xr:uid="{00000000-0005-0000-0000-000093290000}"/>
    <cellStyle name="Data no deci 2 6 5 9 2" xfId="8993" xr:uid="{00000000-0005-0000-0000-000094290000}"/>
    <cellStyle name="Data no deci 2 6 6" xfId="8994" xr:uid="{00000000-0005-0000-0000-000095290000}"/>
    <cellStyle name="Data no deci 2 6 6 10" xfId="8995" xr:uid="{00000000-0005-0000-0000-000096290000}"/>
    <cellStyle name="Data no deci 2 6 6 2" xfId="8996" xr:uid="{00000000-0005-0000-0000-000097290000}"/>
    <cellStyle name="Data no deci 2 6 6 2 2" xfId="8997" xr:uid="{00000000-0005-0000-0000-000098290000}"/>
    <cellStyle name="Data no deci 2 6 6 3" xfId="8998" xr:uid="{00000000-0005-0000-0000-000099290000}"/>
    <cellStyle name="Data no deci 2 6 6 3 2" xfId="8999" xr:uid="{00000000-0005-0000-0000-00009A290000}"/>
    <cellStyle name="Data no deci 2 6 6 4" xfId="9000" xr:uid="{00000000-0005-0000-0000-00009B290000}"/>
    <cellStyle name="Data no deci 2 6 6 4 2" xfId="9001" xr:uid="{00000000-0005-0000-0000-00009C290000}"/>
    <cellStyle name="Data no deci 2 6 6 5" xfId="9002" xr:uid="{00000000-0005-0000-0000-00009D290000}"/>
    <cellStyle name="Data no deci 2 6 6 5 2" xfId="9003" xr:uid="{00000000-0005-0000-0000-00009E290000}"/>
    <cellStyle name="Data no deci 2 6 6 6" xfId="9004" xr:uid="{00000000-0005-0000-0000-00009F290000}"/>
    <cellStyle name="Data no deci 2 6 6 6 2" xfId="9005" xr:uid="{00000000-0005-0000-0000-0000A0290000}"/>
    <cellStyle name="Data no deci 2 6 6 7" xfId="9006" xr:uid="{00000000-0005-0000-0000-0000A1290000}"/>
    <cellStyle name="Data no deci 2 6 6 7 2" xfId="9007" xr:uid="{00000000-0005-0000-0000-0000A2290000}"/>
    <cellStyle name="Data no deci 2 6 6 8" xfId="9008" xr:uid="{00000000-0005-0000-0000-0000A3290000}"/>
    <cellStyle name="Data no deci 2 6 6 8 2" xfId="9009" xr:uid="{00000000-0005-0000-0000-0000A4290000}"/>
    <cellStyle name="Data no deci 2 6 6 9" xfId="9010" xr:uid="{00000000-0005-0000-0000-0000A5290000}"/>
    <cellStyle name="Data no deci 2 6 6 9 2" xfId="9011" xr:uid="{00000000-0005-0000-0000-0000A6290000}"/>
    <cellStyle name="Data no deci 2 6 7" xfId="9012" xr:uid="{00000000-0005-0000-0000-0000A7290000}"/>
    <cellStyle name="Data no deci 2 6 7 10" xfId="9013" xr:uid="{00000000-0005-0000-0000-0000A8290000}"/>
    <cellStyle name="Data no deci 2 6 7 2" xfId="9014" xr:uid="{00000000-0005-0000-0000-0000A9290000}"/>
    <cellStyle name="Data no deci 2 6 7 2 2" xfId="9015" xr:uid="{00000000-0005-0000-0000-0000AA290000}"/>
    <cellStyle name="Data no deci 2 6 7 3" xfId="9016" xr:uid="{00000000-0005-0000-0000-0000AB290000}"/>
    <cellStyle name="Data no deci 2 6 7 3 2" xfId="9017" xr:uid="{00000000-0005-0000-0000-0000AC290000}"/>
    <cellStyle name="Data no deci 2 6 7 4" xfId="9018" xr:uid="{00000000-0005-0000-0000-0000AD290000}"/>
    <cellStyle name="Data no deci 2 6 7 4 2" xfId="9019" xr:uid="{00000000-0005-0000-0000-0000AE290000}"/>
    <cellStyle name="Data no deci 2 6 7 5" xfId="9020" xr:uid="{00000000-0005-0000-0000-0000AF290000}"/>
    <cellStyle name="Data no deci 2 6 7 5 2" xfId="9021" xr:uid="{00000000-0005-0000-0000-0000B0290000}"/>
    <cellStyle name="Data no deci 2 6 7 6" xfId="9022" xr:uid="{00000000-0005-0000-0000-0000B1290000}"/>
    <cellStyle name="Data no deci 2 6 7 6 2" xfId="9023" xr:uid="{00000000-0005-0000-0000-0000B2290000}"/>
    <cellStyle name="Data no deci 2 6 7 7" xfId="9024" xr:uid="{00000000-0005-0000-0000-0000B3290000}"/>
    <cellStyle name="Data no deci 2 6 7 7 2" xfId="9025" xr:uid="{00000000-0005-0000-0000-0000B4290000}"/>
    <cellStyle name="Data no deci 2 6 7 8" xfId="9026" xr:uid="{00000000-0005-0000-0000-0000B5290000}"/>
    <cellStyle name="Data no deci 2 6 7 8 2" xfId="9027" xr:uid="{00000000-0005-0000-0000-0000B6290000}"/>
    <cellStyle name="Data no deci 2 6 7 9" xfId="9028" xr:uid="{00000000-0005-0000-0000-0000B7290000}"/>
    <cellStyle name="Data no deci 2 6 7 9 2" xfId="9029" xr:uid="{00000000-0005-0000-0000-0000B8290000}"/>
    <cellStyle name="Data no deci 2 6 8" xfId="9030" xr:uid="{00000000-0005-0000-0000-0000B9290000}"/>
    <cellStyle name="Data no deci 2 6 8 10" xfId="9031" xr:uid="{00000000-0005-0000-0000-0000BA290000}"/>
    <cellStyle name="Data no deci 2 6 8 2" xfId="9032" xr:uid="{00000000-0005-0000-0000-0000BB290000}"/>
    <cellStyle name="Data no deci 2 6 8 2 2" xfId="9033" xr:uid="{00000000-0005-0000-0000-0000BC290000}"/>
    <cellStyle name="Data no deci 2 6 8 3" xfId="9034" xr:uid="{00000000-0005-0000-0000-0000BD290000}"/>
    <cellStyle name="Data no deci 2 6 8 3 2" xfId="9035" xr:uid="{00000000-0005-0000-0000-0000BE290000}"/>
    <cellStyle name="Data no deci 2 6 8 4" xfId="9036" xr:uid="{00000000-0005-0000-0000-0000BF290000}"/>
    <cellStyle name="Data no deci 2 6 8 4 2" xfId="9037" xr:uid="{00000000-0005-0000-0000-0000C0290000}"/>
    <cellStyle name="Data no deci 2 6 8 5" xfId="9038" xr:uid="{00000000-0005-0000-0000-0000C1290000}"/>
    <cellStyle name="Data no deci 2 6 8 5 2" xfId="9039" xr:uid="{00000000-0005-0000-0000-0000C2290000}"/>
    <cellStyle name="Data no deci 2 6 8 6" xfId="9040" xr:uid="{00000000-0005-0000-0000-0000C3290000}"/>
    <cellStyle name="Data no deci 2 6 8 6 2" xfId="9041" xr:uid="{00000000-0005-0000-0000-0000C4290000}"/>
    <cellStyle name="Data no deci 2 6 8 7" xfId="9042" xr:uid="{00000000-0005-0000-0000-0000C5290000}"/>
    <cellStyle name="Data no deci 2 6 8 7 2" xfId="9043" xr:uid="{00000000-0005-0000-0000-0000C6290000}"/>
    <cellStyle name="Data no deci 2 6 8 8" xfId="9044" xr:uid="{00000000-0005-0000-0000-0000C7290000}"/>
    <cellStyle name="Data no deci 2 6 8 8 2" xfId="9045" xr:uid="{00000000-0005-0000-0000-0000C8290000}"/>
    <cellStyle name="Data no deci 2 6 8 9" xfId="9046" xr:uid="{00000000-0005-0000-0000-0000C9290000}"/>
    <cellStyle name="Data no deci 2 6 8 9 2" xfId="9047" xr:uid="{00000000-0005-0000-0000-0000CA290000}"/>
    <cellStyle name="Data no deci 2 6 9" xfId="9048" xr:uid="{00000000-0005-0000-0000-0000CB290000}"/>
    <cellStyle name="Data no deci 2 6 9 10" xfId="9049" xr:uid="{00000000-0005-0000-0000-0000CC290000}"/>
    <cellStyle name="Data no deci 2 6 9 2" xfId="9050" xr:uid="{00000000-0005-0000-0000-0000CD290000}"/>
    <cellStyle name="Data no deci 2 6 9 2 2" xfId="9051" xr:uid="{00000000-0005-0000-0000-0000CE290000}"/>
    <cellStyle name="Data no deci 2 6 9 3" xfId="9052" xr:uid="{00000000-0005-0000-0000-0000CF290000}"/>
    <cellStyle name="Data no deci 2 6 9 3 2" xfId="9053" xr:uid="{00000000-0005-0000-0000-0000D0290000}"/>
    <cellStyle name="Data no deci 2 6 9 4" xfId="9054" xr:uid="{00000000-0005-0000-0000-0000D1290000}"/>
    <cellStyle name="Data no deci 2 6 9 4 2" xfId="9055" xr:uid="{00000000-0005-0000-0000-0000D2290000}"/>
    <cellStyle name="Data no deci 2 6 9 5" xfId="9056" xr:uid="{00000000-0005-0000-0000-0000D3290000}"/>
    <cellStyle name="Data no deci 2 6 9 5 2" xfId="9057" xr:uid="{00000000-0005-0000-0000-0000D4290000}"/>
    <cellStyle name="Data no deci 2 6 9 6" xfId="9058" xr:uid="{00000000-0005-0000-0000-0000D5290000}"/>
    <cellStyle name="Data no deci 2 6 9 6 2" xfId="9059" xr:uid="{00000000-0005-0000-0000-0000D6290000}"/>
    <cellStyle name="Data no deci 2 6 9 7" xfId="9060" xr:uid="{00000000-0005-0000-0000-0000D7290000}"/>
    <cellStyle name="Data no deci 2 6 9 7 2" xfId="9061" xr:uid="{00000000-0005-0000-0000-0000D8290000}"/>
    <cellStyle name="Data no deci 2 6 9 8" xfId="9062" xr:uid="{00000000-0005-0000-0000-0000D9290000}"/>
    <cellStyle name="Data no deci 2 6 9 8 2" xfId="9063" xr:uid="{00000000-0005-0000-0000-0000DA290000}"/>
    <cellStyle name="Data no deci 2 6 9 9" xfId="9064" xr:uid="{00000000-0005-0000-0000-0000DB290000}"/>
    <cellStyle name="Data no deci 2 6 9 9 2" xfId="9065" xr:uid="{00000000-0005-0000-0000-0000DC290000}"/>
    <cellStyle name="Data no deci 2 7" xfId="9066" xr:uid="{00000000-0005-0000-0000-0000DD290000}"/>
    <cellStyle name="Data no deci 2 7 10" xfId="9067" xr:uid="{00000000-0005-0000-0000-0000DE290000}"/>
    <cellStyle name="Data no deci 2 7 10 2" xfId="9068" xr:uid="{00000000-0005-0000-0000-0000DF290000}"/>
    <cellStyle name="Data no deci 2 7 10 2 2" xfId="9069" xr:uid="{00000000-0005-0000-0000-0000E0290000}"/>
    <cellStyle name="Data no deci 2 7 10 3" xfId="9070" xr:uid="{00000000-0005-0000-0000-0000E1290000}"/>
    <cellStyle name="Data no deci 2 7 10 3 2" xfId="9071" xr:uid="{00000000-0005-0000-0000-0000E2290000}"/>
    <cellStyle name="Data no deci 2 7 10 4" xfId="9072" xr:uid="{00000000-0005-0000-0000-0000E3290000}"/>
    <cellStyle name="Data no deci 2 7 10 4 2" xfId="9073" xr:uid="{00000000-0005-0000-0000-0000E4290000}"/>
    <cellStyle name="Data no deci 2 7 10 5" xfId="9074" xr:uid="{00000000-0005-0000-0000-0000E5290000}"/>
    <cellStyle name="Data no deci 2 7 10 5 2" xfId="9075" xr:uid="{00000000-0005-0000-0000-0000E6290000}"/>
    <cellStyle name="Data no deci 2 7 10 6" xfId="9076" xr:uid="{00000000-0005-0000-0000-0000E7290000}"/>
    <cellStyle name="Data no deci 2 7 10 6 2" xfId="9077" xr:uid="{00000000-0005-0000-0000-0000E8290000}"/>
    <cellStyle name="Data no deci 2 7 10 7" xfId="9078" xr:uid="{00000000-0005-0000-0000-0000E9290000}"/>
    <cellStyle name="Data no deci 2 7 10 7 2" xfId="9079" xr:uid="{00000000-0005-0000-0000-0000EA290000}"/>
    <cellStyle name="Data no deci 2 7 10 8" xfId="9080" xr:uid="{00000000-0005-0000-0000-0000EB290000}"/>
    <cellStyle name="Data no deci 2 7 10 8 2" xfId="9081" xr:uid="{00000000-0005-0000-0000-0000EC290000}"/>
    <cellStyle name="Data no deci 2 7 10 9" xfId="9082" xr:uid="{00000000-0005-0000-0000-0000ED290000}"/>
    <cellStyle name="Data no deci 2 7 11" xfId="9083" xr:uid="{00000000-0005-0000-0000-0000EE290000}"/>
    <cellStyle name="Data no deci 2 7 11 2" xfId="9084" xr:uid="{00000000-0005-0000-0000-0000EF290000}"/>
    <cellStyle name="Data no deci 2 7 12" xfId="9085" xr:uid="{00000000-0005-0000-0000-0000F0290000}"/>
    <cellStyle name="Data no deci 2 7 12 2" xfId="9086" xr:uid="{00000000-0005-0000-0000-0000F1290000}"/>
    <cellStyle name="Data no deci 2 7 13" xfId="9087" xr:uid="{00000000-0005-0000-0000-0000F2290000}"/>
    <cellStyle name="Data no deci 2 7 13 2" xfId="9088" xr:uid="{00000000-0005-0000-0000-0000F3290000}"/>
    <cellStyle name="Data no deci 2 7 14" xfId="9089" xr:uid="{00000000-0005-0000-0000-0000F4290000}"/>
    <cellStyle name="Data no deci 2 7 14 2" xfId="9090" xr:uid="{00000000-0005-0000-0000-0000F5290000}"/>
    <cellStyle name="Data no deci 2 7 15" xfId="9091" xr:uid="{00000000-0005-0000-0000-0000F6290000}"/>
    <cellStyle name="Data no deci 2 7 15 2" xfId="9092" xr:uid="{00000000-0005-0000-0000-0000F7290000}"/>
    <cellStyle name="Data no deci 2 7 16" xfId="9093" xr:uid="{00000000-0005-0000-0000-0000F8290000}"/>
    <cellStyle name="Data no deci 2 7 16 2" xfId="9094" xr:uid="{00000000-0005-0000-0000-0000F9290000}"/>
    <cellStyle name="Data no deci 2 7 17" xfId="9095" xr:uid="{00000000-0005-0000-0000-0000FA290000}"/>
    <cellStyle name="Data no deci 2 7 17 2" xfId="9096" xr:uid="{00000000-0005-0000-0000-0000FB290000}"/>
    <cellStyle name="Data no deci 2 7 18" xfId="9097" xr:uid="{00000000-0005-0000-0000-0000FC290000}"/>
    <cellStyle name="Data no deci 2 7 2" xfId="9098" xr:uid="{00000000-0005-0000-0000-0000FD290000}"/>
    <cellStyle name="Data no deci 2 7 2 10" xfId="9099" xr:uid="{00000000-0005-0000-0000-0000FE290000}"/>
    <cellStyle name="Data no deci 2 7 2 2" xfId="9100" xr:uid="{00000000-0005-0000-0000-0000FF290000}"/>
    <cellStyle name="Data no deci 2 7 2 2 2" xfId="9101" xr:uid="{00000000-0005-0000-0000-0000002A0000}"/>
    <cellStyle name="Data no deci 2 7 2 3" xfId="9102" xr:uid="{00000000-0005-0000-0000-0000012A0000}"/>
    <cellStyle name="Data no deci 2 7 2 3 2" xfId="9103" xr:uid="{00000000-0005-0000-0000-0000022A0000}"/>
    <cellStyle name="Data no deci 2 7 2 4" xfId="9104" xr:uid="{00000000-0005-0000-0000-0000032A0000}"/>
    <cellStyle name="Data no deci 2 7 2 4 2" xfId="9105" xr:uid="{00000000-0005-0000-0000-0000042A0000}"/>
    <cellStyle name="Data no deci 2 7 2 5" xfId="9106" xr:uid="{00000000-0005-0000-0000-0000052A0000}"/>
    <cellStyle name="Data no deci 2 7 2 5 2" xfId="9107" xr:uid="{00000000-0005-0000-0000-0000062A0000}"/>
    <cellStyle name="Data no deci 2 7 2 6" xfId="9108" xr:uid="{00000000-0005-0000-0000-0000072A0000}"/>
    <cellStyle name="Data no deci 2 7 2 6 2" xfId="9109" xr:uid="{00000000-0005-0000-0000-0000082A0000}"/>
    <cellStyle name="Data no deci 2 7 2 7" xfId="9110" xr:uid="{00000000-0005-0000-0000-0000092A0000}"/>
    <cellStyle name="Data no deci 2 7 2 7 2" xfId="9111" xr:uid="{00000000-0005-0000-0000-00000A2A0000}"/>
    <cellStyle name="Data no deci 2 7 2 8" xfId="9112" xr:uid="{00000000-0005-0000-0000-00000B2A0000}"/>
    <cellStyle name="Data no deci 2 7 2 8 2" xfId="9113" xr:uid="{00000000-0005-0000-0000-00000C2A0000}"/>
    <cellStyle name="Data no deci 2 7 2 9" xfId="9114" xr:uid="{00000000-0005-0000-0000-00000D2A0000}"/>
    <cellStyle name="Data no deci 2 7 2 9 2" xfId="9115" xr:uid="{00000000-0005-0000-0000-00000E2A0000}"/>
    <cellStyle name="Data no deci 2 7 3" xfId="9116" xr:uid="{00000000-0005-0000-0000-00000F2A0000}"/>
    <cellStyle name="Data no deci 2 7 3 10" xfId="9117" xr:uid="{00000000-0005-0000-0000-0000102A0000}"/>
    <cellStyle name="Data no deci 2 7 3 2" xfId="9118" xr:uid="{00000000-0005-0000-0000-0000112A0000}"/>
    <cellStyle name="Data no deci 2 7 3 2 2" xfId="9119" xr:uid="{00000000-0005-0000-0000-0000122A0000}"/>
    <cellStyle name="Data no deci 2 7 3 3" xfId="9120" xr:uid="{00000000-0005-0000-0000-0000132A0000}"/>
    <cellStyle name="Data no deci 2 7 3 3 2" xfId="9121" xr:uid="{00000000-0005-0000-0000-0000142A0000}"/>
    <cellStyle name="Data no deci 2 7 3 4" xfId="9122" xr:uid="{00000000-0005-0000-0000-0000152A0000}"/>
    <cellStyle name="Data no deci 2 7 3 4 2" xfId="9123" xr:uid="{00000000-0005-0000-0000-0000162A0000}"/>
    <cellStyle name="Data no deci 2 7 3 5" xfId="9124" xr:uid="{00000000-0005-0000-0000-0000172A0000}"/>
    <cellStyle name="Data no deci 2 7 3 5 2" xfId="9125" xr:uid="{00000000-0005-0000-0000-0000182A0000}"/>
    <cellStyle name="Data no deci 2 7 3 6" xfId="9126" xr:uid="{00000000-0005-0000-0000-0000192A0000}"/>
    <cellStyle name="Data no deci 2 7 3 6 2" xfId="9127" xr:uid="{00000000-0005-0000-0000-00001A2A0000}"/>
    <cellStyle name="Data no deci 2 7 3 7" xfId="9128" xr:uid="{00000000-0005-0000-0000-00001B2A0000}"/>
    <cellStyle name="Data no deci 2 7 3 7 2" xfId="9129" xr:uid="{00000000-0005-0000-0000-00001C2A0000}"/>
    <cellStyle name="Data no deci 2 7 3 8" xfId="9130" xr:uid="{00000000-0005-0000-0000-00001D2A0000}"/>
    <cellStyle name="Data no deci 2 7 3 8 2" xfId="9131" xr:uid="{00000000-0005-0000-0000-00001E2A0000}"/>
    <cellStyle name="Data no deci 2 7 3 9" xfId="9132" xr:uid="{00000000-0005-0000-0000-00001F2A0000}"/>
    <cellStyle name="Data no deci 2 7 3 9 2" xfId="9133" xr:uid="{00000000-0005-0000-0000-0000202A0000}"/>
    <cellStyle name="Data no deci 2 7 4" xfId="9134" xr:uid="{00000000-0005-0000-0000-0000212A0000}"/>
    <cellStyle name="Data no deci 2 7 4 10" xfId="9135" xr:uid="{00000000-0005-0000-0000-0000222A0000}"/>
    <cellStyle name="Data no deci 2 7 4 2" xfId="9136" xr:uid="{00000000-0005-0000-0000-0000232A0000}"/>
    <cellStyle name="Data no deci 2 7 4 2 2" xfId="9137" xr:uid="{00000000-0005-0000-0000-0000242A0000}"/>
    <cellStyle name="Data no deci 2 7 4 3" xfId="9138" xr:uid="{00000000-0005-0000-0000-0000252A0000}"/>
    <cellStyle name="Data no deci 2 7 4 3 2" xfId="9139" xr:uid="{00000000-0005-0000-0000-0000262A0000}"/>
    <cellStyle name="Data no deci 2 7 4 4" xfId="9140" xr:uid="{00000000-0005-0000-0000-0000272A0000}"/>
    <cellStyle name="Data no deci 2 7 4 4 2" xfId="9141" xr:uid="{00000000-0005-0000-0000-0000282A0000}"/>
    <cellStyle name="Data no deci 2 7 4 5" xfId="9142" xr:uid="{00000000-0005-0000-0000-0000292A0000}"/>
    <cellStyle name="Data no deci 2 7 4 5 2" xfId="9143" xr:uid="{00000000-0005-0000-0000-00002A2A0000}"/>
    <cellStyle name="Data no deci 2 7 4 6" xfId="9144" xr:uid="{00000000-0005-0000-0000-00002B2A0000}"/>
    <cellStyle name="Data no deci 2 7 4 6 2" xfId="9145" xr:uid="{00000000-0005-0000-0000-00002C2A0000}"/>
    <cellStyle name="Data no deci 2 7 4 7" xfId="9146" xr:uid="{00000000-0005-0000-0000-00002D2A0000}"/>
    <cellStyle name="Data no deci 2 7 4 7 2" xfId="9147" xr:uid="{00000000-0005-0000-0000-00002E2A0000}"/>
    <cellStyle name="Data no deci 2 7 4 8" xfId="9148" xr:uid="{00000000-0005-0000-0000-00002F2A0000}"/>
    <cellStyle name="Data no deci 2 7 4 8 2" xfId="9149" xr:uid="{00000000-0005-0000-0000-0000302A0000}"/>
    <cellStyle name="Data no deci 2 7 4 9" xfId="9150" xr:uid="{00000000-0005-0000-0000-0000312A0000}"/>
    <cellStyle name="Data no deci 2 7 4 9 2" xfId="9151" xr:uid="{00000000-0005-0000-0000-0000322A0000}"/>
    <cellStyle name="Data no deci 2 7 5" xfId="9152" xr:uid="{00000000-0005-0000-0000-0000332A0000}"/>
    <cellStyle name="Data no deci 2 7 5 10" xfId="9153" xr:uid="{00000000-0005-0000-0000-0000342A0000}"/>
    <cellStyle name="Data no deci 2 7 5 2" xfId="9154" xr:uid="{00000000-0005-0000-0000-0000352A0000}"/>
    <cellStyle name="Data no deci 2 7 5 2 2" xfId="9155" xr:uid="{00000000-0005-0000-0000-0000362A0000}"/>
    <cellStyle name="Data no deci 2 7 5 3" xfId="9156" xr:uid="{00000000-0005-0000-0000-0000372A0000}"/>
    <cellStyle name="Data no deci 2 7 5 3 2" xfId="9157" xr:uid="{00000000-0005-0000-0000-0000382A0000}"/>
    <cellStyle name="Data no deci 2 7 5 4" xfId="9158" xr:uid="{00000000-0005-0000-0000-0000392A0000}"/>
    <cellStyle name="Data no deci 2 7 5 4 2" xfId="9159" xr:uid="{00000000-0005-0000-0000-00003A2A0000}"/>
    <cellStyle name="Data no deci 2 7 5 5" xfId="9160" xr:uid="{00000000-0005-0000-0000-00003B2A0000}"/>
    <cellStyle name="Data no deci 2 7 5 5 2" xfId="9161" xr:uid="{00000000-0005-0000-0000-00003C2A0000}"/>
    <cellStyle name="Data no deci 2 7 5 6" xfId="9162" xr:uid="{00000000-0005-0000-0000-00003D2A0000}"/>
    <cellStyle name="Data no deci 2 7 5 6 2" xfId="9163" xr:uid="{00000000-0005-0000-0000-00003E2A0000}"/>
    <cellStyle name="Data no deci 2 7 5 7" xfId="9164" xr:uid="{00000000-0005-0000-0000-00003F2A0000}"/>
    <cellStyle name="Data no deci 2 7 5 7 2" xfId="9165" xr:uid="{00000000-0005-0000-0000-0000402A0000}"/>
    <cellStyle name="Data no deci 2 7 5 8" xfId="9166" xr:uid="{00000000-0005-0000-0000-0000412A0000}"/>
    <cellStyle name="Data no deci 2 7 5 8 2" xfId="9167" xr:uid="{00000000-0005-0000-0000-0000422A0000}"/>
    <cellStyle name="Data no deci 2 7 5 9" xfId="9168" xr:uid="{00000000-0005-0000-0000-0000432A0000}"/>
    <cellStyle name="Data no deci 2 7 5 9 2" xfId="9169" xr:uid="{00000000-0005-0000-0000-0000442A0000}"/>
    <cellStyle name="Data no deci 2 7 6" xfId="9170" xr:uid="{00000000-0005-0000-0000-0000452A0000}"/>
    <cellStyle name="Data no deci 2 7 6 10" xfId="9171" xr:uid="{00000000-0005-0000-0000-0000462A0000}"/>
    <cellStyle name="Data no deci 2 7 6 2" xfId="9172" xr:uid="{00000000-0005-0000-0000-0000472A0000}"/>
    <cellStyle name="Data no deci 2 7 6 2 2" xfId="9173" xr:uid="{00000000-0005-0000-0000-0000482A0000}"/>
    <cellStyle name="Data no deci 2 7 6 3" xfId="9174" xr:uid="{00000000-0005-0000-0000-0000492A0000}"/>
    <cellStyle name="Data no deci 2 7 6 3 2" xfId="9175" xr:uid="{00000000-0005-0000-0000-00004A2A0000}"/>
    <cellStyle name="Data no deci 2 7 6 4" xfId="9176" xr:uid="{00000000-0005-0000-0000-00004B2A0000}"/>
    <cellStyle name="Data no deci 2 7 6 4 2" xfId="9177" xr:uid="{00000000-0005-0000-0000-00004C2A0000}"/>
    <cellStyle name="Data no deci 2 7 6 5" xfId="9178" xr:uid="{00000000-0005-0000-0000-00004D2A0000}"/>
    <cellStyle name="Data no deci 2 7 6 5 2" xfId="9179" xr:uid="{00000000-0005-0000-0000-00004E2A0000}"/>
    <cellStyle name="Data no deci 2 7 6 6" xfId="9180" xr:uid="{00000000-0005-0000-0000-00004F2A0000}"/>
    <cellStyle name="Data no deci 2 7 6 6 2" xfId="9181" xr:uid="{00000000-0005-0000-0000-0000502A0000}"/>
    <cellStyle name="Data no deci 2 7 6 7" xfId="9182" xr:uid="{00000000-0005-0000-0000-0000512A0000}"/>
    <cellStyle name="Data no deci 2 7 6 7 2" xfId="9183" xr:uid="{00000000-0005-0000-0000-0000522A0000}"/>
    <cellStyle name="Data no deci 2 7 6 8" xfId="9184" xr:uid="{00000000-0005-0000-0000-0000532A0000}"/>
    <cellStyle name="Data no deci 2 7 6 8 2" xfId="9185" xr:uid="{00000000-0005-0000-0000-0000542A0000}"/>
    <cellStyle name="Data no deci 2 7 6 9" xfId="9186" xr:uid="{00000000-0005-0000-0000-0000552A0000}"/>
    <cellStyle name="Data no deci 2 7 6 9 2" xfId="9187" xr:uid="{00000000-0005-0000-0000-0000562A0000}"/>
    <cellStyle name="Data no deci 2 7 7" xfId="9188" xr:uid="{00000000-0005-0000-0000-0000572A0000}"/>
    <cellStyle name="Data no deci 2 7 7 10" xfId="9189" xr:uid="{00000000-0005-0000-0000-0000582A0000}"/>
    <cellStyle name="Data no deci 2 7 7 2" xfId="9190" xr:uid="{00000000-0005-0000-0000-0000592A0000}"/>
    <cellStyle name="Data no deci 2 7 7 2 2" xfId="9191" xr:uid="{00000000-0005-0000-0000-00005A2A0000}"/>
    <cellStyle name="Data no deci 2 7 7 3" xfId="9192" xr:uid="{00000000-0005-0000-0000-00005B2A0000}"/>
    <cellStyle name="Data no deci 2 7 7 3 2" xfId="9193" xr:uid="{00000000-0005-0000-0000-00005C2A0000}"/>
    <cellStyle name="Data no deci 2 7 7 4" xfId="9194" xr:uid="{00000000-0005-0000-0000-00005D2A0000}"/>
    <cellStyle name="Data no deci 2 7 7 4 2" xfId="9195" xr:uid="{00000000-0005-0000-0000-00005E2A0000}"/>
    <cellStyle name="Data no deci 2 7 7 5" xfId="9196" xr:uid="{00000000-0005-0000-0000-00005F2A0000}"/>
    <cellStyle name="Data no deci 2 7 7 5 2" xfId="9197" xr:uid="{00000000-0005-0000-0000-0000602A0000}"/>
    <cellStyle name="Data no deci 2 7 7 6" xfId="9198" xr:uid="{00000000-0005-0000-0000-0000612A0000}"/>
    <cellStyle name="Data no deci 2 7 7 6 2" xfId="9199" xr:uid="{00000000-0005-0000-0000-0000622A0000}"/>
    <cellStyle name="Data no deci 2 7 7 7" xfId="9200" xr:uid="{00000000-0005-0000-0000-0000632A0000}"/>
    <cellStyle name="Data no deci 2 7 7 7 2" xfId="9201" xr:uid="{00000000-0005-0000-0000-0000642A0000}"/>
    <cellStyle name="Data no deci 2 7 7 8" xfId="9202" xr:uid="{00000000-0005-0000-0000-0000652A0000}"/>
    <cellStyle name="Data no deci 2 7 7 8 2" xfId="9203" xr:uid="{00000000-0005-0000-0000-0000662A0000}"/>
    <cellStyle name="Data no deci 2 7 7 9" xfId="9204" xr:uid="{00000000-0005-0000-0000-0000672A0000}"/>
    <cellStyle name="Data no deci 2 7 7 9 2" xfId="9205" xr:uid="{00000000-0005-0000-0000-0000682A0000}"/>
    <cellStyle name="Data no deci 2 7 8" xfId="9206" xr:uid="{00000000-0005-0000-0000-0000692A0000}"/>
    <cellStyle name="Data no deci 2 7 8 10" xfId="9207" xr:uid="{00000000-0005-0000-0000-00006A2A0000}"/>
    <cellStyle name="Data no deci 2 7 8 2" xfId="9208" xr:uid="{00000000-0005-0000-0000-00006B2A0000}"/>
    <cellStyle name="Data no deci 2 7 8 2 2" xfId="9209" xr:uid="{00000000-0005-0000-0000-00006C2A0000}"/>
    <cellStyle name="Data no deci 2 7 8 3" xfId="9210" xr:uid="{00000000-0005-0000-0000-00006D2A0000}"/>
    <cellStyle name="Data no deci 2 7 8 3 2" xfId="9211" xr:uid="{00000000-0005-0000-0000-00006E2A0000}"/>
    <cellStyle name="Data no deci 2 7 8 4" xfId="9212" xr:uid="{00000000-0005-0000-0000-00006F2A0000}"/>
    <cellStyle name="Data no deci 2 7 8 4 2" xfId="9213" xr:uid="{00000000-0005-0000-0000-0000702A0000}"/>
    <cellStyle name="Data no deci 2 7 8 5" xfId="9214" xr:uid="{00000000-0005-0000-0000-0000712A0000}"/>
    <cellStyle name="Data no deci 2 7 8 5 2" xfId="9215" xr:uid="{00000000-0005-0000-0000-0000722A0000}"/>
    <cellStyle name="Data no deci 2 7 8 6" xfId="9216" xr:uid="{00000000-0005-0000-0000-0000732A0000}"/>
    <cellStyle name="Data no deci 2 7 8 6 2" xfId="9217" xr:uid="{00000000-0005-0000-0000-0000742A0000}"/>
    <cellStyle name="Data no deci 2 7 8 7" xfId="9218" xr:uid="{00000000-0005-0000-0000-0000752A0000}"/>
    <cellStyle name="Data no deci 2 7 8 7 2" xfId="9219" xr:uid="{00000000-0005-0000-0000-0000762A0000}"/>
    <cellStyle name="Data no deci 2 7 8 8" xfId="9220" xr:uid="{00000000-0005-0000-0000-0000772A0000}"/>
    <cellStyle name="Data no deci 2 7 8 8 2" xfId="9221" xr:uid="{00000000-0005-0000-0000-0000782A0000}"/>
    <cellStyle name="Data no deci 2 7 8 9" xfId="9222" xr:uid="{00000000-0005-0000-0000-0000792A0000}"/>
    <cellStyle name="Data no deci 2 7 8 9 2" xfId="9223" xr:uid="{00000000-0005-0000-0000-00007A2A0000}"/>
    <cellStyle name="Data no deci 2 7 9" xfId="9224" xr:uid="{00000000-0005-0000-0000-00007B2A0000}"/>
    <cellStyle name="Data no deci 2 7 9 10" xfId="9225" xr:uid="{00000000-0005-0000-0000-00007C2A0000}"/>
    <cellStyle name="Data no deci 2 7 9 2" xfId="9226" xr:uid="{00000000-0005-0000-0000-00007D2A0000}"/>
    <cellStyle name="Data no deci 2 7 9 2 2" xfId="9227" xr:uid="{00000000-0005-0000-0000-00007E2A0000}"/>
    <cellStyle name="Data no deci 2 7 9 3" xfId="9228" xr:uid="{00000000-0005-0000-0000-00007F2A0000}"/>
    <cellStyle name="Data no deci 2 7 9 3 2" xfId="9229" xr:uid="{00000000-0005-0000-0000-0000802A0000}"/>
    <cellStyle name="Data no deci 2 7 9 4" xfId="9230" xr:uid="{00000000-0005-0000-0000-0000812A0000}"/>
    <cellStyle name="Data no deci 2 7 9 4 2" xfId="9231" xr:uid="{00000000-0005-0000-0000-0000822A0000}"/>
    <cellStyle name="Data no deci 2 7 9 5" xfId="9232" xr:uid="{00000000-0005-0000-0000-0000832A0000}"/>
    <cellStyle name="Data no deci 2 7 9 5 2" xfId="9233" xr:uid="{00000000-0005-0000-0000-0000842A0000}"/>
    <cellStyle name="Data no deci 2 7 9 6" xfId="9234" xr:uid="{00000000-0005-0000-0000-0000852A0000}"/>
    <cellStyle name="Data no deci 2 7 9 6 2" xfId="9235" xr:uid="{00000000-0005-0000-0000-0000862A0000}"/>
    <cellStyle name="Data no deci 2 7 9 7" xfId="9236" xr:uid="{00000000-0005-0000-0000-0000872A0000}"/>
    <cellStyle name="Data no deci 2 7 9 7 2" xfId="9237" xr:uid="{00000000-0005-0000-0000-0000882A0000}"/>
    <cellStyle name="Data no deci 2 7 9 8" xfId="9238" xr:uid="{00000000-0005-0000-0000-0000892A0000}"/>
    <cellStyle name="Data no deci 2 7 9 8 2" xfId="9239" xr:uid="{00000000-0005-0000-0000-00008A2A0000}"/>
    <cellStyle name="Data no deci 2 7 9 9" xfId="9240" xr:uid="{00000000-0005-0000-0000-00008B2A0000}"/>
    <cellStyle name="Data no deci 2 7 9 9 2" xfId="9241" xr:uid="{00000000-0005-0000-0000-00008C2A0000}"/>
    <cellStyle name="Data no deci 2 8" xfId="9242" xr:uid="{00000000-0005-0000-0000-00008D2A0000}"/>
    <cellStyle name="Data no deci 2 8 10" xfId="9243" xr:uid="{00000000-0005-0000-0000-00008E2A0000}"/>
    <cellStyle name="Data no deci 2 8 10 2" xfId="9244" xr:uid="{00000000-0005-0000-0000-00008F2A0000}"/>
    <cellStyle name="Data no deci 2 8 10 2 2" xfId="9245" xr:uid="{00000000-0005-0000-0000-0000902A0000}"/>
    <cellStyle name="Data no deci 2 8 10 3" xfId="9246" xr:uid="{00000000-0005-0000-0000-0000912A0000}"/>
    <cellStyle name="Data no deci 2 8 10 3 2" xfId="9247" xr:uid="{00000000-0005-0000-0000-0000922A0000}"/>
    <cellStyle name="Data no deci 2 8 10 4" xfId="9248" xr:uid="{00000000-0005-0000-0000-0000932A0000}"/>
    <cellStyle name="Data no deci 2 8 10 4 2" xfId="9249" xr:uid="{00000000-0005-0000-0000-0000942A0000}"/>
    <cellStyle name="Data no deci 2 8 10 5" xfId="9250" xr:uid="{00000000-0005-0000-0000-0000952A0000}"/>
    <cellStyle name="Data no deci 2 8 10 5 2" xfId="9251" xr:uid="{00000000-0005-0000-0000-0000962A0000}"/>
    <cellStyle name="Data no deci 2 8 10 6" xfId="9252" xr:uid="{00000000-0005-0000-0000-0000972A0000}"/>
    <cellStyle name="Data no deci 2 8 10 6 2" xfId="9253" xr:uid="{00000000-0005-0000-0000-0000982A0000}"/>
    <cellStyle name="Data no deci 2 8 10 7" xfId="9254" xr:uid="{00000000-0005-0000-0000-0000992A0000}"/>
    <cellStyle name="Data no deci 2 8 10 7 2" xfId="9255" xr:uid="{00000000-0005-0000-0000-00009A2A0000}"/>
    <cellStyle name="Data no deci 2 8 10 8" xfId="9256" xr:uid="{00000000-0005-0000-0000-00009B2A0000}"/>
    <cellStyle name="Data no deci 2 8 10 8 2" xfId="9257" xr:uid="{00000000-0005-0000-0000-00009C2A0000}"/>
    <cellStyle name="Data no deci 2 8 10 9" xfId="9258" xr:uid="{00000000-0005-0000-0000-00009D2A0000}"/>
    <cellStyle name="Data no deci 2 8 11" xfId="9259" xr:uid="{00000000-0005-0000-0000-00009E2A0000}"/>
    <cellStyle name="Data no deci 2 8 11 2" xfId="9260" xr:uid="{00000000-0005-0000-0000-00009F2A0000}"/>
    <cellStyle name="Data no deci 2 8 12" xfId="9261" xr:uid="{00000000-0005-0000-0000-0000A02A0000}"/>
    <cellStyle name="Data no deci 2 8 12 2" xfId="9262" xr:uid="{00000000-0005-0000-0000-0000A12A0000}"/>
    <cellStyle name="Data no deci 2 8 13" xfId="9263" xr:uid="{00000000-0005-0000-0000-0000A22A0000}"/>
    <cellStyle name="Data no deci 2 8 13 2" xfId="9264" xr:uid="{00000000-0005-0000-0000-0000A32A0000}"/>
    <cellStyle name="Data no deci 2 8 14" xfId="9265" xr:uid="{00000000-0005-0000-0000-0000A42A0000}"/>
    <cellStyle name="Data no deci 2 8 14 2" xfId="9266" xr:uid="{00000000-0005-0000-0000-0000A52A0000}"/>
    <cellStyle name="Data no deci 2 8 15" xfId="9267" xr:uid="{00000000-0005-0000-0000-0000A62A0000}"/>
    <cellStyle name="Data no deci 2 8 15 2" xfId="9268" xr:uid="{00000000-0005-0000-0000-0000A72A0000}"/>
    <cellStyle name="Data no deci 2 8 16" xfId="9269" xr:uid="{00000000-0005-0000-0000-0000A82A0000}"/>
    <cellStyle name="Data no deci 2 8 16 2" xfId="9270" xr:uid="{00000000-0005-0000-0000-0000A92A0000}"/>
    <cellStyle name="Data no deci 2 8 17" xfId="9271" xr:uid="{00000000-0005-0000-0000-0000AA2A0000}"/>
    <cellStyle name="Data no deci 2 8 17 2" xfId="9272" xr:uid="{00000000-0005-0000-0000-0000AB2A0000}"/>
    <cellStyle name="Data no deci 2 8 18" xfId="9273" xr:uid="{00000000-0005-0000-0000-0000AC2A0000}"/>
    <cellStyle name="Data no deci 2 8 2" xfId="9274" xr:uid="{00000000-0005-0000-0000-0000AD2A0000}"/>
    <cellStyle name="Data no deci 2 8 2 10" xfId="9275" xr:uid="{00000000-0005-0000-0000-0000AE2A0000}"/>
    <cellStyle name="Data no deci 2 8 2 2" xfId="9276" xr:uid="{00000000-0005-0000-0000-0000AF2A0000}"/>
    <cellStyle name="Data no deci 2 8 2 2 2" xfId="9277" xr:uid="{00000000-0005-0000-0000-0000B02A0000}"/>
    <cellStyle name="Data no deci 2 8 2 3" xfId="9278" xr:uid="{00000000-0005-0000-0000-0000B12A0000}"/>
    <cellStyle name="Data no deci 2 8 2 3 2" xfId="9279" xr:uid="{00000000-0005-0000-0000-0000B22A0000}"/>
    <cellStyle name="Data no deci 2 8 2 4" xfId="9280" xr:uid="{00000000-0005-0000-0000-0000B32A0000}"/>
    <cellStyle name="Data no deci 2 8 2 4 2" xfId="9281" xr:uid="{00000000-0005-0000-0000-0000B42A0000}"/>
    <cellStyle name="Data no deci 2 8 2 5" xfId="9282" xr:uid="{00000000-0005-0000-0000-0000B52A0000}"/>
    <cellStyle name="Data no deci 2 8 2 5 2" xfId="9283" xr:uid="{00000000-0005-0000-0000-0000B62A0000}"/>
    <cellStyle name="Data no deci 2 8 2 6" xfId="9284" xr:uid="{00000000-0005-0000-0000-0000B72A0000}"/>
    <cellStyle name="Data no deci 2 8 2 6 2" xfId="9285" xr:uid="{00000000-0005-0000-0000-0000B82A0000}"/>
    <cellStyle name="Data no deci 2 8 2 7" xfId="9286" xr:uid="{00000000-0005-0000-0000-0000B92A0000}"/>
    <cellStyle name="Data no deci 2 8 2 7 2" xfId="9287" xr:uid="{00000000-0005-0000-0000-0000BA2A0000}"/>
    <cellStyle name="Data no deci 2 8 2 8" xfId="9288" xr:uid="{00000000-0005-0000-0000-0000BB2A0000}"/>
    <cellStyle name="Data no deci 2 8 2 8 2" xfId="9289" xr:uid="{00000000-0005-0000-0000-0000BC2A0000}"/>
    <cellStyle name="Data no deci 2 8 2 9" xfId="9290" xr:uid="{00000000-0005-0000-0000-0000BD2A0000}"/>
    <cellStyle name="Data no deci 2 8 2 9 2" xfId="9291" xr:uid="{00000000-0005-0000-0000-0000BE2A0000}"/>
    <cellStyle name="Data no deci 2 8 3" xfId="9292" xr:uid="{00000000-0005-0000-0000-0000BF2A0000}"/>
    <cellStyle name="Data no deci 2 8 3 10" xfId="9293" xr:uid="{00000000-0005-0000-0000-0000C02A0000}"/>
    <cellStyle name="Data no deci 2 8 3 2" xfId="9294" xr:uid="{00000000-0005-0000-0000-0000C12A0000}"/>
    <cellStyle name="Data no deci 2 8 3 2 2" xfId="9295" xr:uid="{00000000-0005-0000-0000-0000C22A0000}"/>
    <cellStyle name="Data no deci 2 8 3 3" xfId="9296" xr:uid="{00000000-0005-0000-0000-0000C32A0000}"/>
    <cellStyle name="Data no deci 2 8 3 3 2" xfId="9297" xr:uid="{00000000-0005-0000-0000-0000C42A0000}"/>
    <cellStyle name="Data no deci 2 8 3 4" xfId="9298" xr:uid="{00000000-0005-0000-0000-0000C52A0000}"/>
    <cellStyle name="Data no deci 2 8 3 4 2" xfId="9299" xr:uid="{00000000-0005-0000-0000-0000C62A0000}"/>
    <cellStyle name="Data no deci 2 8 3 5" xfId="9300" xr:uid="{00000000-0005-0000-0000-0000C72A0000}"/>
    <cellStyle name="Data no deci 2 8 3 5 2" xfId="9301" xr:uid="{00000000-0005-0000-0000-0000C82A0000}"/>
    <cellStyle name="Data no deci 2 8 3 6" xfId="9302" xr:uid="{00000000-0005-0000-0000-0000C92A0000}"/>
    <cellStyle name="Data no deci 2 8 3 6 2" xfId="9303" xr:uid="{00000000-0005-0000-0000-0000CA2A0000}"/>
    <cellStyle name="Data no deci 2 8 3 7" xfId="9304" xr:uid="{00000000-0005-0000-0000-0000CB2A0000}"/>
    <cellStyle name="Data no deci 2 8 3 7 2" xfId="9305" xr:uid="{00000000-0005-0000-0000-0000CC2A0000}"/>
    <cellStyle name="Data no deci 2 8 3 8" xfId="9306" xr:uid="{00000000-0005-0000-0000-0000CD2A0000}"/>
    <cellStyle name="Data no deci 2 8 3 8 2" xfId="9307" xr:uid="{00000000-0005-0000-0000-0000CE2A0000}"/>
    <cellStyle name="Data no deci 2 8 3 9" xfId="9308" xr:uid="{00000000-0005-0000-0000-0000CF2A0000}"/>
    <cellStyle name="Data no deci 2 8 3 9 2" xfId="9309" xr:uid="{00000000-0005-0000-0000-0000D02A0000}"/>
    <cellStyle name="Data no deci 2 8 4" xfId="9310" xr:uid="{00000000-0005-0000-0000-0000D12A0000}"/>
    <cellStyle name="Data no deci 2 8 4 10" xfId="9311" xr:uid="{00000000-0005-0000-0000-0000D22A0000}"/>
    <cellStyle name="Data no deci 2 8 4 2" xfId="9312" xr:uid="{00000000-0005-0000-0000-0000D32A0000}"/>
    <cellStyle name="Data no deci 2 8 4 2 2" xfId="9313" xr:uid="{00000000-0005-0000-0000-0000D42A0000}"/>
    <cellStyle name="Data no deci 2 8 4 3" xfId="9314" xr:uid="{00000000-0005-0000-0000-0000D52A0000}"/>
    <cellStyle name="Data no deci 2 8 4 3 2" xfId="9315" xr:uid="{00000000-0005-0000-0000-0000D62A0000}"/>
    <cellStyle name="Data no deci 2 8 4 4" xfId="9316" xr:uid="{00000000-0005-0000-0000-0000D72A0000}"/>
    <cellStyle name="Data no deci 2 8 4 4 2" xfId="9317" xr:uid="{00000000-0005-0000-0000-0000D82A0000}"/>
    <cellStyle name="Data no deci 2 8 4 5" xfId="9318" xr:uid="{00000000-0005-0000-0000-0000D92A0000}"/>
    <cellStyle name="Data no deci 2 8 4 5 2" xfId="9319" xr:uid="{00000000-0005-0000-0000-0000DA2A0000}"/>
    <cellStyle name="Data no deci 2 8 4 6" xfId="9320" xr:uid="{00000000-0005-0000-0000-0000DB2A0000}"/>
    <cellStyle name="Data no deci 2 8 4 6 2" xfId="9321" xr:uid="{00000000-0005-0000-0000-0000DC2A0000}"/>
    <cellStyle name="Data no deci 2 8 4 7" xfId="9322" xr:uid="{00000000-0005-0000-0000-0000DD2A0000}"/>
    <cellStyle name="Data no deci 2 8 4 7 2" xfId="9323" xr:uid="{00000000-0005-0000-0000-0000DE2A0000}"/>
    <cellStyle name="Data no deci 2 8 4 8" xfId="9324" xr:uid="{00000000-0005-0000-0000-0000DF2A0000}"/>
    <cellStyle name="Data no deci 2 8 4 8 2" xfId="9325" xr:uid="{00000000-0005-0000-0000-0000E02A0000}"/>
    <cellStyle name="Data no deci 2 8 4 9" xfId="9326" xr:uid="{00000000-0005-0000-0000-0000E12A0000}"/>
    <cellStyle name="Data no deci 2 8 4 9 2" xfId="9327" xr:uid="{00000000-0005-0000-0000-0000E22A0000}"/>
    <cellStyle name="Data no deci 2 8 5" xfId="9328" xr:uid="{00000000-0005-0000-0000-0000E32A0000}"/>
    <cellStyle name="Data no deci 2 8 5 10" xfId="9329" xr:uid="{00000000-0005-0000-0000-0000E42A0000}"/>
    <cellStyle name="Data no deci 2 8 5 2" xfId="9330" xr:uid="{00000000-0005-0000-0000-0000E52A0000}"/>
    <cellStyle name="Data no deci 2 8 5 2 2" xfId="9331" xr:uid="{00000000-0005-0000-0000-0000E62A0000}"/>
    <cellStyle name="Data no deci 2 8 5 3" xfId="9332" xr:uid="{00000000-0005-0000-0000-0000E72A0000}"/>
    <cellStyle name="Data no deci 2 8 5 3 2" xfId="9333" xr:uid="{00000000-0005-0000-0000-0000E82A0000}"/>
    <cellStyle name="Data no deci 2 8 5 4" xfId="9334" xr:uid="{00000000-0005-0000-0000-0000E92A0000}"/>
    <cellStyle name="Data no deci 2 8 5 4 2" xfId="9335" xr:uid="{00000000-0005-0000-0000-0000EA2A0000}"/>
    <cellStyle name="Data no deci 2 8 5 5" xfId="9336" xr:uid="{00000000-0005-0000-0000-0000EB2A0000}"/>
    <cellStyle name="Data no deci 2 8 5 5 2" xfId="9337" xr:uid="{00000000-0005-0000-0000-0000EC2A0000}"/>
    <cellStyle name="Data no deci 2 8 5 6" xfId="9338" xr:uid="{00000000-0005-0000-0000-0000ED2A0000}"/>
    <cellStyle name="Data no deci 2 8 5 6 2" xfId="9339" xr:uid="{00000000-0005-0000-0000-0000EE2A0000}"/>
    <cellStyle name="Data no deci 2 8 5 7" xfId="9340" xr:uid="{00000000-0005-0000-0000-0000EF2A0000}"/>
    <cellStyle name="Data no deci 2 8 5 7 2" xfId="9341" xr:uid="{00000000-0005-0000-0000-0000F02A0000}"/>
    <cellStyle name="Data no deci 2 8 5 8" xfId="9342" xr:uid="{00000000-0005-0000-0000-0000F12A0000}"/>
    <cellStyle name="Data no deci 2 8 5 8 2" xfId="9343" xr:uid="{00000000-0005-0000-0000-0000F22A0000}"/>
    <cellStyle name="Data no deci 2 8 5 9" xfId="9344" xr:uid="{00000000-0005-0000-0000-0000F32A0000}"/>
    <cellStyle name="Data no deci 2 8 5 9 2" xfId="9345" xr:uid="{00000000-0005-0000-0000-0000F42A0000}"/>
    <cellStyle name="Data no deci 2 8 6" xfId="9346" xr:uid="{00000000-0005-0000-0000-0000F52A0000}"/>
    <cellStyle name="Data no deci 2 8 6 10" xfId="9347" xr:uid="{00000000-0005-0000-0000-0000F62A0000}"/>
    <cellStyle name="Data no deci 2 8 6 2" xfId="9348" xr:uid="{00000000-0005-0000-0000-0000F72A0000}"/>
    <cellStyle name="Data no deci 2 8 6 2 2" xfId="9349" xr:uid="{00000000-0005-0000-0000-0000F82A0000}"/>
    <cellStyle name="Data no deci 2 8 6 3" xfId="9350" xr:uid="{00000000-0005-0000-0000-0000F92A0000}"/>
    <cellStyle name="Data no deci 2 8 6 3 2" xfId="9351" xr:uid="{00000000-0005-0000-0000-0000FA2A0000}"/>
    <cellStyle name="Data no deci 2 8 6 4" xfId="9352" xr:uid="{00000000-0005-0000-0000-0000FB2A0000}"/>
    <cellStyle name="Data no deci 2 8 6 4 2" xfId="9353" xr:uid="{00000000-0005-0000-0000-0000FC2A0000}"/>
    <cellStyle name="Data no deci 2 8 6 5" xfId="9354" xr:uid="{00000000-0005-0000-0000-0000FD2A0000}"/>
    <cellStyle name="Data no deci 2 8 6 5 2" xfId="9355" xr:uid="{00000000-0005-0000-0000-0000FE2A0000}"/>
    <cellStyle name="Data no deci 2 8 6 6" xfId="9356" xr:uid="{00000000-0005-0000-0000-0000FF2A0000}"/>
    <cellStyle name="Data no deci 2 8 6 6 2" xfId="9357" xr:uid="{00000000-0005-0000-0000-0000002B0000}"/>
    <cellStyle name="Data no deci 2 8 6 7" xfId="9358" xr:uid="{00000000-0005-0000-0000-0000012B0000}"/>
    <cellStyle name="Data no deci 2 8 6 7 2" xfId="9359" xr:uid="{00000000-0005-0000-0000-0000022B0000}"/>
    <cellStyle name="Data no deci 2 8 6 8" xfId="9360" xr:uid="{00000000-0005-0000-0000-0000032B0000}"/>
    <cellStyle name="Data no deci 2 8 6 8 2" xfId="9361" xr:uid="{00000000-0005-0000-0000-0000042B0000}"/>
    <cellStyle name="Data no deci 2 8 6 9" xfId="9362" xr:uid="{00000000-0005-0000-0000-0000052B0000}"/>
    <cellStyle name="Data no deci 2 8 6 9 2" xfId="9363" xr:uid="{00000000-0005-0000-0000-0000062B0000}"/>
    <cellStyle name="Data no deci 2 8 7" xfId="9364" xr:uid="{00000000-0005-0000-0000-0000072B0000}"/>
    <cellStyle name="Data no deci 2 8 7 10" xfId="9365" xr:uid="{00000000-0005-0000-0000-0000082B0000}"/>
    <cellStyle name="Data no deci 2 8 7 2" xfId="9366" xr:uid="{00000000-0005-0000-0000-0000092B0000}"/>
    <cellStyle name="Data no deci 2 8 7 2 2" xfId="9367" xr:uid="{00000000-0005-0000-0000-00000A2B0000}"/>
    <cellStyle name="Data no deci 2 8 7 3" xfId="9368" xr:uid="{00000000-0005-0000-0000-00000B2B0000}"/>
    <cellStyle name="Data no deci 2 8 7 3 2" xfId="9369" xr:uid="{00000000-0005-0000-0000-00000C2B0000}"/>
    <cellStyle name="Data no deci 2 8 7 4" xfId="9370" xr:uid="{00000000-0005-0000-0000-00000D2B0000}"/>
    <cellStyle name="Data no deci 2 8 7 4 2" xfId="9371" xr:uid="{00000000-0005-0000-0000-00000E2B0000}"/>
    <cellStyle name="Data no deci 2 8 7 5" xfId="9372" xr:uid="{00000000-0005-0000-0000-00000F2B0000}"/>
    <cellStyle name="Data no deci 2 8 7 5 2" xfId="9373" xr:uid="{00000000-0005-0000-0000-0000102B0000}"/>
    <cellStyle name="Data no deci 2 8 7 6" xfId="9374" xr:uid="{00000000-0005-0000-0000-0000112B0000}"/>
    <cellStyle name="Data no deci 2 8 7 6 2" xfId="9375" xr:uid="{00000000-0005-0000-0000-0000122B0000}"/>
    <cellStyle name="Data no deci 2 8 7 7" xfId="9376" xr:uid="{00000000-0005-0000-0000-0000132B0000}"/>
    <cellStyle name="Data no deci 2 8 7 7 2" xfId="9377" xr:uid="{00000000-0005-0000-0000-0000142B0000}"/>
    <cellStyle name="Data no deci 2 8 7 8" xfId="9378" xr:uid="{00000000-0005-0000-0000-0000152B0000}"/>
    <cellStyle name="Data no deci 2 8 7 8 2" xfId="9379" xr:uid="{00000000-0005-0000-0000-0000162B0000}"/>
    <cellStyle name="Data no deci 2 8 7 9" xfId="9380" xr:uid="{00000000-0005-0000-0000-0000172B0000}"/>
    <cellStyle name="Data no deci 2 8 7 9 2" xfId="9381" xr:uid="{00000000-0005-0000-0000-0000182B0000}"/>
    <cellStyle name="Data no deci 2 8 8" xfId="9382" xr:uid="{00000000-0005-0000-0000-0000192B0000}"/>
    <cellStyle name="Data no deci 2 8 8 10" xfId="9383" xr:uid="{00000000-0005-0000-0000-00001A2B0000}"/>
    <cellStyle name="Data no deci 2 8 8 2" xfId="9384" xr:uid="{00000000-0005-0000-0000-00001B2B0000}"/>
    <cellStyle name="Data no deci 2 8 8 2 2" xfId="9385" xr:uid="{00000000-0005-0000-0000-00001C2B0000}"/>
    <cellStyle name="Data no deci 2 8 8 3" xfId="9386" xr:uid="{00000000-0005-0000-0000-00001D2B0000}"/>
    <cellStyle name="Data no deci 2 8 8 3 2" xfId="9387" xr:uid="{00000000-0005-0000-0000-00001E2B0000}"/>
    <cellStyle name="Data no deci 2 8 8 4" xfId="9388" xr:uid="{00000000-0005-0000-0000-00001F2B0000}"/>
    <cellStyle name="Data no deci 2 8 8 4 2" xfId="9389" xr:uid="{00000000-0005-0000-0000-0000202B0000}"/>
    <cellStyle name="Data no deci 2 8 8 5" xfId="9390" xr:uid="{00000000-0005-0000-0000-0000212B0000}"/>
    <cellStyle name="Data no deci 2 8 8 5 2" xfId="9391" xr:uid="{00000000-0005-0000-0000-0000222B0000}"/>
    <cellStyle name="Data no deci 2 8 8 6" xfId="9392" xr:uid="{00000000-0005-0000-0000-0000232B0000}"/>
    <cellStyle name="Data no deci 2 8 8 6 2" xfId="9393" xr:uid="{00000000-0005-0000-0000-0000242B0000}"/>
    <cellStyle name="Data no deci 2 8 8 7" xfId="9394" xr:uid="{00000000-0005-0000-0000-0000252B0000}"/>
    <cellStyle name="Data no deci 2 8 8 7 2" xfId="9395" xr:uid="{00000000-0005-0000-0000-0000262B0000}"/>
    <cellStyle name="Data no deci 2 8 8 8" xfId="9396" xr:uid="{00000000-0005-0000-0000-0000272B0000}"/>
    <cellStyle name="Data no deci 2 8 8 8 2" xfId="9397" xr:uid="{00000000-0005-0000-0000-0000282B0000}"/>
    <cellStyle name="Data no deci 2 8 8 9" xfId="9398" xr:uid="{00000000-0005-0000-0000-0000292B0000}"/>
    <cellStyle name="Data no deci 2 8 8 9 2" xfId="9399" xr:uid="{00000000-0005-0000-0000-00002A2B0000}"/>
    <cellStyle name="Data no deci 2 8 9" xfId="9400" xr:uid="{00000000-0005-0000-0000-00002B2B0000}"/>
    <cellStyle name="Data no deci 2 8 9 10" xfId="9401" xr:uid="{00000000-0005-0000-0000-00002C2B0000}"/>
    <cellStyle name="Data no deci 2 8 9 2" xfId="9402" xr:uid="{00000000-0005-0000-0000-00002D2B0000}"/>
    <cellStyle name="Data no deci 2 8 9 2 2" xfId="9403" xr:uid="{00000000-0005-0000-0000-00002E2B0000}"/>
    <cellStyle name="Data no deci 2 8 9 3" xfId="9404" xr:uid="{00000000-0005-0000-0000-00002F2B0000}"/>
    <cellStyle name="Data no deci 2 8 9 3 2" xfId="9405" xr:uid="{00000000-0005-0000-0000-0000302B0000}"/>
    <cellStyle name="Data no deci 2 8 9 4" xfId="9406" xr:uid="{00000000-0005-0000-0000-0000312B0000}"/>
    <cellStyle name="Data no deci 2 8 9 4 2" xfId="9407" xr:uid="{00000000-0005-0000-0000-0000322B0000}"/>
    <cellStyle name="Data no deci 2 8 9 5" xfId="9408" xr:uid="{00000000-0005-0000-0000-0000332B0000}"/>
    <cellStyle name="Data no deci 2 8 9 5 2" xfId="9409" xr:uid="{00000000-0005-0000-0000-0000342B0000}"/>
    <cellStyle name="Data no deci 2 8 9 6" xfId="9410" xr:uid="{00000000-0005-0000-0000-0000352B0000}"/>
    <cellStyle name="Data no deci 2 8 9 6 2" xfId="9411" xr:uid="{00000000-0005-0000-0000-0000362B0000}"/>
    <cellStyle name="Data no deci 2 8 9 7" xfId="9412" xr:uid="{00000000-0005-0000-0000-0000372B0000}"/>
    <cellStyle name="Data no deci 2 8 9 7 2" xfId="9413" xr:uid="{00000000-0005-0000-0000-0000382B0000}"/>
    <cellStyle name="Data no deci 2 8 9 8" xfId="9414" xr:uid="{00000000-0005-0000-0000-0000392B0000}"/>
    <cellStyle name="Data no deci 2 8 9 8 2" xfId="9415" xr:uid="{00000000-0005-0000-0000-00003A2B0000}"/>
    <cellStyle name="Data no deci 2 8 9 9" xfId="9416" xr:uid="{00000000-0005-0000-0000-00003B2B0000}"/>
    <cellStyle name="Data no deci 2 8 9 9 2" xfId="9417" xr:uid="{00000000-0005-0000-0000-00003C2B0000}"/>
    <cellStyle name="Data no deci 3" xfId="160" xr:uid="{00000000-0005-0000-0000-00003D2B0000}"/>
    <cellStyle name="Data no deci 3 2" xfId="9418" xr:uid="{00000000-0005-0000-0000-00003E2B0000}"/>
    <cellStyle name="Data no deci 3 2 10" xfId="9419" xr:uid="{00000000-0005-0000-0000-00003F2B0000}"/>
    <cellStyle name="Data no deci 3 2 10 10" xfId="9420" xr:uid="{00000000-0005-0000-0000-0000402B0000}"/>
    <cellStyle name="Data no deci 3 2 10 2" xfId="9421" xr:uid="{00000000-0005-0000-0000-0000412B0000}"/>
    <cellStyle name="Data no deci 3 2 10 2 2" xfId="9422" xr:uid="{00000000-0005-0000-0000-0000422B0000}"/>
    <cellStyle name="Data no deci 3 2 10 3" xfId="9423" xr:uid="{00000000-0005-0000-0000-0000432B0000}"/>
    <cellStyle name="Data no deci 3 2 10 3 2" xfId="9424" xr:uid="{00000000-0005-0000-0000-0000442B0000}"/>
    <cellStyle name="Data no deci 3 2 10 4" xfId="9425" xr:uid="{00000000-0005-0000-0000-0000452B0000}"/>
    <cellStyle name="Data no deci 3 2 10 4 2" xfId="9426" xr:uid="{00000000-0005-0000-0000-0000462B0000}"/>
    <cellStyle name="Data no deci 3 2 10 5" xfId="9427" xr:uid="{00000000-0005-0000-0000-0000472B0000}"/>
    <cellStyle name="Data no deci 3 2 10 5 2" xfId="9428" xr:uid="{00000000-0005-0000-0000-0000482B0000}"/>
    <cellStyle name="Data no deci 3 2 10 6" xfId="9429" xr:uid="{00000000-0005-0000-0000-0000492B0000}"/>
    <cellStyle name="Data no deci 3 2 10 6 2" xfId="9430" xr:uid="{00000000-0005-0000-0000-00004A2B0000}"/>
    <cellStyle name="Data no deci 3 2 10 7" xfId="9431" xr:uid="{00000000-0005-0000-0000-00004B2B0000}"/>
    <cellStyle name="Data no deci 3 2 10 7 2" xfId="9432" xr:uid="{00000000-0005-0000-0000-00004C2B0000}"/>
    <cellStyle name="Data no deci 3 2 10 8" xfId="9433" xr:uid="{00000000-0005-0000-0000-00004D2B0000}"/>
    <cellStyle name="Data no deci 3 2 10 8 2" xfId="9434" xr:uid="{00000000-0005-0000-0000-00004E2B0000}"/>
    <cellStyle name="Data no deci 3 2 10 9" xfId="9435" xr:uid="{00000000-0005-0000-0000-00004F2B0000}"/>
    <cellStyle name="Data no deci 3 2 10 9 2" xfId="9436" xr:uid="{00000000-0005-0000-0000-0000502B0000}"/>
    <cellStyle name="Data no deci 3 2 11" xfId="9437" xr:uid="{00000000-0005-0000-0000-0000512B0000}"/>
    <cellStyle name="Data no deci 3 2 11 2" xfId="9438" xr:uid="{00000000-0005-0000-0000-0000522B0000}"/>
    <cellStyle name="Data no deci 3 2 11 2 2" xfId="9439" xr:uid="{00000000-0005-0000-0000-0000532B0000}"/>
    <cellStyle name="Data no deci 3 2 11 3" xfId="9440" xr:uid="{00000000-0005-0000-0000-0000542B0000}"/>
    <cellStyle name="Data no deci 3 2 11 3 2" xfId="9441" xr:uid="{00000000-0005-0000-0000-0000552B0000}"/>
    <cellStyle name="Data no deci 3 2 11 4" xfId="9442" xr:uid="{00000000-0005-0000-0000-0000562B0000}"/>
    <cellStyle name="Data no deci 3 2 11 4 2" xfId="9443" xr:uid="{00000000-0005-0000-0000-0000572B0000}"/>
    <cellStyle name="Data no deci 3 2 11 5" xfId="9444" xr:uid="{00000000-0005-0000-0000-0000582B0000}"/>
    <cellStyle name="Data no deci 3 2 11 5 2" xfId="9445" xr:uid="{00000000-0005-0000-0000-0000592B0000}"/>
    <cellStyle name="Data no deci 3 2 11 6" xfId="9446" xr:uid="{00000000-0005-0000-0000-00005A2B0000}"/>
    <cellStyle name="Data no deci 3 2 11 6 2" xfId="9447" xr:uid="{00000000-0005-0000-0000-00005B2B0000}"/>
    <cellStyle name="Data no deci 3 2 11 7" xfId="9448" xr:uid="{00000000-0005-0000-0000-00005C2B0000}"/>
    <cellStyle name="Data no deci 3 2 11 7 2" xfId="9449" xr:uid="{00000000-0005-0000-0000-00005D2B0000}"/>
    <cellStyle name="Data no deci 3 2 11 8" xfId="9450" xr:uid="{00000000-0005-0000-0000-00005E2B0000}"/>
    <cellStyle name="Data no deci 3 2 11 8 2" xfId="9451" xr:uid="{00000000-0005-0000-0000-00005F2B0000}"/>
    <cellStyle name="Data no deci 3 2 11 9" xfId="9452" xr:uid="{00000000-0005-0000-0000-0000602B0000}"/>
    <cellStyle name="Data no deci 3 2 2" xfId="9453" xr:uid="{00000000-0005-0000-0000-0000612B0000}"/>
    <cellStyle name="Data no deci 3 2 2 10" xfId="9454" xr:uid="{00000000-0005-0000-0000-0000622B0000}"/>
    <cellStyle name="Data no deci 3 2 2 2" xfId="9455" xr:uid="{00000000-0005-0000-0000-0000632B0000}"/>
    <cellStyle name="Data no deci 3 2 2 2 2" xfId="9456" xr:uid="{00000000-0005-0000-0000-0000642B0000}"/>
    <cellStyle name="Data no deci 3 2 2 3" xfId="9457" xr:uid="{00000000-0005-0000-0000-0000652B0000}"/>
    <cellStyle name="Data no deci 3 2 2 3 2" xfId="9458" xr:uid="{00000000-0005-0000-0000-0000662B0000}"/>
    <cellStyle name="Data no deci 3 2 2 4" xfId="9459" xr:uid="{00000000-0005-0000-0000-0000672B0000}"/>
    <cellStyle name="Data no deci 3 2 2 4 2" xfId="9460" xr:uid="{00000000-0005-0000-0000-0000682B0000}"/>
    <cellStyle name="Data no deci 3 2 2 5" xfId="9461" xr:uid="{00000000-0005-0000-0000-0000692B0000}"/>
    <cellStyle name="Data no deci 3 2 2 5 2" xfId="9462" xr:uid="{00000000-0005-0000-0000-00006A2B0000}"/>
    <cellStyle name="Data no deci 3 2 2 6" xfId="9463" xr:uid="{00000000-0005-0000-0000-00006B2B0000}"/>
    <cellStyle name="Data no deci 3 2 2 6 2" xfId="9464" xr:uid="{00000000-0005-0000-0000-00006C2B0000}"/>
    <cellStyle name="Data no deci 3 2 2 7" xfId="9465" xr:uid="{00000000-0005-0000-0000-00006D2B0000}"/>
    <cellStyle name="Data no deci 3 2 2 7 2" xfId="9466" xr:uid="{00000000-0005-0000-0000-00006E2B0000}"/>
    <cellStyle name="Data no deci 3 2 2 8" xfId="9467" xr:uid="{00000000-0005-0000-0000-00006F2B0000}"/>
    <cellStyle name="Data no deci 3 2 2 8 2" xfId="9468" xr:uid="{00000000-0005-0000-0000-0000702B0000}"/>
    <cellStyle name="Data no deci 3 2 2 9" xfId="9469" xr:uid="{00000000-0005-0000-0000-0000712B0000}"/>
    <cellStyle name="Data no deci 3 2 2 9 2" xfId="9470" xr:uid="{00000000-0005-0000-0000-0000722B0000}"/>
    <cellStyle name="Data no deci 3 2 3" xfId="9471" xr:uid="{00000000-0005-0000-0000-0000732B0000}"/>
    <cellStyle name="Data no deci 3 2 3 10" xfId="9472" xr:uid="{00000000-0005-0000-0000-0000742B0000}"/>
    <cellStyle name="Data no deci 3 2 3 2" xfId="9473" xr:uid="{00000000-0005-0000-0000-0000752B0000}"/>
    <cellStyle name="Data no deci 3 2 3 2 2" xfId="9474" xr:uid="{00000000-0005-0000-0000-0000762B0000}"/>
    <cellStyle name="Data no deci 3 2 3 3" xfId="9475" xr:uid="{00000000-0005-0000-0000-0000772B0000}"/>
    <cellStyle name="Data no deci 3 2 3 3 2" xfId="9476" xr:uid="{00000000-0005-0000-0000-0000782B0000}"/>
    <cellStyle name="Data no deci 3 2 3 4" xfId="9477" xr:uid="{00000000-0005-0000-0000-0000792B0000}"/>
    <cellStyle name="Data no deci 3 2 3 4 2" xfId="9478" xr:uid="{00000000-0005-0000-0000-00007A2B0000}"/>
    <cellStyle name="Data no deci 3 2 3 5" xfId="9479" xr:uid="{00000000-0005-0000-0000-00007B2B0000}"/>
    <cellStyle name="Data no deci 3 2 3 5 2" xfId="9480" xr:uid="{00000000-0005-0000-0000-00007C2B0000}"/>
    <cellStyle name="Data no deci 3 2 3 6" xfId="9481" xr:uid="{00000000-0005-0000-0000-00007D2B0000}"/>
    <cellStyle name="Data no deci 3 2 3 6 2" xfId="9482" xr:uid="{00000000-0005-0000-0000-00007E2B0000}"/>
    <cellStyle name="Data no deci 3 2 3 7" xfId="9483" xr:uid="{00000000-0005-0000-0000-00007F2B0000}"/>
    <cellStyle name="Data no deci 3 2 3 7 2" xfId="9484" xr:uid="{00000000-0005-0000-0000-0000802B0000}"/>
    <cellStyle name="Data no deci 3 2 3 8" xfId="9485" xr:uid="{00000000-0005-0000-0000-0000812B0000}"/>
    <cellStyle name="Data no deci 3 2 3 8 2" xfId="9486" xr:uid="{00000000-0005-0000-0000-0000822B0000}"/>
    <cellStyle name="Data no deci 3 2 3 9" xfId="9487" xr:uid="{00000000-0005-0000-0000-0000832B0000}"/>
    <cellStyle name="Data no deci 3 2 3 9 2" xfId="9488" xr:uid="{00000000-0005-0000-0000-0000842B0000}"/>
    <cellStyle name="Data no deci 3 2 4" xfId="9489" xr:uid="{00000000-0005-0000-0000-0000852B0000}"/>
    <cellStyle name="Data no deci 3 2 4 10" xfId="9490" xr:uid="{00000000-0005-0000-0000-0000862B0000}"/>
    <cellStyle name="Data no deci 3 2 4 2" xfId="9491" xr:uid="{00000000-0005-0000-0000-0000872B0000}"/>
    <cellStyle name="Data no deci 3 2 4 2 2" xfId="9492" xr:uid="{00000000-0005-0000-0000-0000882B0000}"/>
    <cellStyle name="Data no deci 3 2 4 3" xfId="9493" xr:uid="{00000000-0005-0000-0000-0000892B0000}"/>
    <cellStyle name="Data no deci 3 2 4 3 2" xfId="9494" xr:uid="{00000000-0005-0000-0000-00008A2B0000}"/>
    <cellStyle name="Data no deci 3 2 4 4" xfId="9495" xr:uid="{00000000-0005-0000-0000-00008B2B0000}"/>
    <cellStyle name="Data no deci 3 2 4 4 2" xfId="9496" xr:uid="{00000000-0005-0000-0000-00008C2B0000}"/>
    <cellStyle name="Data no deci 3 2 4 5" xfId="9497" xr:uid="{00000000-0005-0000-0000-00008D2B0000}"/>
    <cellStyle name="Data no deci 3 2 4 5 2" xfId="9498" xr:uid="{00000000-0005-0000-0000-00008E2B0000}"/>
    <cellStyle name="Data no deci 3 2 4 6" xfId="9499" xr:uid="{00000000-0005-0000-0000-00008F2B0000}"/>
    <cellStyle name="Data no deci 3 2 4 6 2" xfId="9500" xr:uid="{00000000-0005-0000-0000-0000902B0000}"/>
    <cellStyle name="Data no deci 3 2 4 7" xfId="9501" xr:uid="{00000000-0005-0000-0000-0000912B0000}"/>
    <cellStyle name="Data no deci 3 2 4 7 2" xfId="9502" xr:uid="{00000000-0005-0000-0000-0000922B0000}"/>
    <cellStyle name="Data no deci 3 2 4 8" xfId="9503" xr:uid="{00000000-0005-0000-0000-0000932B0000}"/>
    <cellStyle name="Data no deci 3 2 4 8 2" xfId="9504" xr:uid="{00000000-0005-0000-0000-0000942B0000}"/>
    <cellStyle name="Data no deci 3 2 4 9" xfId="9505" xr:uid="{00000000-0005-0000-0000-0000952B0000}"/>
    <cellStyle name="Data no deci 3 2 4 9 2" xfId="9506" xr:uid="{00000000-0005-0000-0000-0000962B0000}"/>
    <cellStyle name="Data no deci 3 2 5" xfId="9507" xr:uid="{00000000-0005-0000-0000-0000972B0000}"/>
    <cellStyle name="Data no deci 3 2 5 10" xfId="9508" xr:uid="{00000000-0005-0000-0000-0000982B0000}"/>
    <cellStyle name="Data no deci 3 2 5 2" xfId="9509" xr:uid="{00000000-0005-0000-0000-0000992B0000}"/>
    <cellStyle name="Data no deci 3 2 5 2 2" xfId="9510" xr:uid="{00000000-0005-0000-0000-00009A2B0000}"/>
    <cellStyle name="Data no deci 3 2 5 3" xfId="9511" xr:uid="{00000000-0005-0000-0000-00009B2B0000}"/>
    <cellStyle name="Data no deci 3 2 5 3 2" xfId="9512" xr:uid="{00000000-0005-0000-0000-00009C2B0000}"/>
    <cellStyle name="Data no deci 3 2 5 4" xfId="9513" xr:uid="{00000000-0005-0000-0000-00009D2B0000}"/>
    <cellStyle name="Data no deci 3 2 5 4 2" xfId="9514" xr:uid="{00000000-0005-0000-0000-00009E2B0000}"/>
    <cellStyle name="Data no deci 3 2 5 5" xfId="9515" xr:uid="{00000000-0005-0000-0000-00009F2B0000}"/>
    <cellStyle name="Data no deci 3 2 5 5 2" xfId="9516" xr:uid="{00000000-0005-0000-0000-0000A02B0000}"/>
    <cellStyle name="Data no deci 3 2 5 6" xfId="9517" xr:uid="{00000000-0005-0000-0000-0000A12B0000}"/>
    <cellStyle name="Data no deci 3 2 5 6 2" xfId="9518" xr:uid="{00000000-0005-0000-0000-0000A22B0000}"/>
    <cellStyle name="Data no deci 3 2 5 7" xfId="9519" xr:uid="{00000000-0005-0000-0000-0000A32B0000}"/>
    <cellStyle name="Data no deci 3 2 5 7 2" xfId="9520" xr:uid="{00000000-0005-0000-0000-0000A42B0000}"/>
    <cellStyle name="Data no deci 3 2 5 8" xfId="9521" xr:uid="{00000000-0005-0000-0000-0000A52B0000}"/>
    <cellStyle name="Data no deci 3 2 5 8 2" xfId="9522" xr:uid="{00000000-0005-0000-0000-0000A62B0000}"/>
    <cellStyle name="Data no deci 3 2 5 9" xfId="9523" xr:uid="{00000000-0005-0000-0000-0000A72B0000}"/>
    <cellStyle name="Data no deci 3 2 5 9 2" xfId="9524" xr:uid="{00000000-0005-0000-0000-0000A82B0000}"/>
    <cellStyle name="Data no deci 3 2 6" xfId="9525" xr:uid="{00000000-0005-0000-0000-0000A92B0000}"/>
    <cellStyle name="Data no deci 3 2 6 10" xfId="9526" xr:uid="{00000000-0005-0000-0000-0000AA2B0000}"/>
    <cellStyle name="Data no deci 3 2 6 2" xfId="9527" xr:uid="{00000000-0005-0000-0000-0000AB2B0000}"/>
    <cellStyle name="Data no deci 3 2 6 2 2" xfId="9528" xr:uid="{00000000-0005-0000-0000-0000AC2B0000}"/>
    <cellStyle name="Data no deci 3 2 6 3" xfId="9529" xr:uid="{00000000-0005-0000-0000-0000AD2B0000}"/>
    <cellStyle name="Data no deci 3 2 6 3 2" xfId="9530" xr:uid="{00000000-0005-0000-0000-0000AE2B0000}"/>
    <cellStyle name="Data no deci 3 2 6 4" xfId="9531" xr:uid="{00000000-0005-0000-0000-0000AF2B0000}"/>
    <cellStyle name="Data no deci 3 2 6 4 2" xfId="9532" xr:uid="{00000000-0005-0000-0000-0000B02B0000}"/>
    <cellStyle name="Data no deci 3 2 6 5" xfId="9533" xr:uid="{00000000-0005-0000-0000-0000B12B0000}"/>
    <cellStyle name="Data no deci 3 2 6 5 2" xfId="9534" xr:uid="{00000000-0005-0000-0000-0000B22B0000}"/>
    <cellStyle name="Data no deci 3 2 6 6" xfId="9535" xr:uid="{00000000-0005-0000-0000-0000B32B0000}"/>
    <cellStyle name="Data no deci 3 2 6 6 2" xfId="9536" xr:uid="{00000000-0005-0000-0000-0000B42B0000}"/>
    <cellStyle name="Data no deci 3 2 6 7" xfId="9537" xr:uid="{00000000-0005-0000-0000-0000B52B0000}"/>
    <cellStyle name="Data no deci 3 2 6 7 2" xfId="9538" xr:uid="{00000000-0005-0000-0000-0000B62B0000}"/>
    <cellStyle name="Data no deci 3 2 6 8" xfId="9539" xr:uid="{00000000-0005-0000-0000-0000B72B0000}"/>
    <cellStyle name="Data no deci 3 2 6 8 2" xfId="9540" xr:uid="{00000000-0005-0000-0000-0000B82B0000}"/>
    <cellStyle name="Data no deci 3 2 6 9" xfId="9541" xr:uid="{00000000-0005-0000-0000-0000B92B0000}"/>
    <cellStyle name="Data no deci 3 2 6 9 2" xfId="9542" xr:uid="{00000000-0005-0000-0000-0000BA2B0000}"/>
    <cellStyle name="Data no deci 3 2 7" xfId="9543" xr:uid="{00000000-0005-0000-0000-0000BB2B0000}"/>
    <cellStyle name="Data no deci 3 2 7 10" xfId="9544" xr:uid="{00000000-0005-0000-0000-0000BC2B0000}"/>
    <cellStyle name="Data no deci 3 2 7 2" xfId="9545" xr:uid="{00000000-0005-0000-0000-0000BD2B0000}"/>
    <cellStyle name="Data no deci 3 2 7 2 2" xfId="9546" xr:uid="{00000000-0005-0000-0000-0000BE2B0000}"/>
    <cellStyle name="Data no deci 3 2 7 3" xfId="9547" xr:uid="{00000000-0005-0000-0000-0000BF2B0000}"/>
    <cellStyle name="Data no deci 3 2 7 3 2" xfId="9548" xr:uid="{00000000-0005-0000-0000-0000C02B0000}"/>
    <cellStyle name="Data no deci 3 2 7 4" xfId="9549" xr:uid="{00000000-0005-0000-0000-0000C12B0000}"/>
    <cellStyle name="Data no deci 3 2 7 4 2" xfId="9550" xr:uid="{00000000-0005-0000-0000-0000C22B0000}"/>
    <cellStyle name="Data no deci 3 2 7 5" xfId="9551" xr:uid="{00000000-0005-0000-0000-0000C32B0000}"/>
    <cellStyle name="Data no deci 3 2 7 5 2" xfId="9552" xr:uid="{00000000-0005-0000-0000-0000C42B0000}"/>
    <cellStyle name="Data no deci 3 2 7 6" xfId="9553" xr:uid="{00000000-0005-0000-0000-0000C52B0000}"/>
    <cellStyle name="Data no deci 3 2 7 6 2" xfId="9554" xr:uid="{00000000-0005-0000-0000-0000C62B0000}"/>
    <cellStyle name="Data no deci 3 2 7 7" xfId="9555" xr:uid="{00000000-0005-0000-0000-0000C72B0000}"/>
    <cellStyle name="Data no deci 3 2 7 7 2" xfId="9556" xr:uid="{00000000-0005-0000-0000-0000C82B0000}"/>
    <cellStyle name="Data no deci 3 2 7 8" xfId="9557" xr:uid="{00000000-0005-0000-0000-0000C92B0000}"/>
    <cellStyle name="Data no deci 3 2 7 8 2" xfId="9558" xr:uid="{00000000-0005-0000-0000-0000CA2B0000}"/>
    <cellStyle name="Data no deci 3 2 7 9" xfId="9559" xr:uid="{00000000-0005-0000-0000-0000CB2B0000}"/>
    <cellStyle name="Data no deci 3 2 7 9 2" xfId="9560" xr:uid="{00000000-0005-0000-0000-0000CC2B0000}"/>
    <cellStyle name="Data no deci 3 2 8" xfId="9561" xr:uid="{00000000-0005-0000-0000-0000CD2B0000}"/>
    <cellStyle name="Data no deci 3 2 8 10" xfId="9562" xr:uid="{00000000-0005-0000-0000-0000CE2B0000}"/>
    <cellStyle name="Data no deci 3 2 8 2" xfId="9563" xr:uid="{00000000-0005-0000-0000-0000CF2B0000}"/>
    <cellStyle name="Data no deci 3 2 8 2 2" xfId="9564" xr:uid="{00000000-0005-0000-0000-0000D02B0000}"/>
    <cellStyle name="Data no deci 3 2 8 3" xfId="9565" xr:uid="{00000000-0005-0000-0000-0000D12B0000}"/>
    <cellStyle name="Data no deci 3 2 8 3 2" xfId="9566" xr:uid="{00000000-0005-0000-0000-0000D22B0000}"/>
    <cellStyle name="Data no deci 3 2 8 4" xfId="9567" xr:uid="{00000000-0005-0000-0000-0000D32B0000}"/>
    <cellStyle name="Data no deci 3 2 8 4 2" xfId="9568" xr:uid="{00000000-0005-0000-0000-0000D42B0000}"/>
    <cellStyle name="Data no deci 3 2 8 5" xfId="9569" xr:uid="{00000000-0005-0000-0000-0000D52B0000}"/>
    <cellStyle name="Data no deci 3 2 8 5 2" xfId="9570" xr:uid="{00000000-0005-0000-0000-0000D62B0000}"/>
    <cellStyle name="Data no deci 3 2 8 6" xfId="9571" xr:uid="{00000000-0005-0000-0000-0000D72B0000}"/>
    <cellStyle name="Data no deci 3 2 8 6 2" xfId="9572" xr:uid="{00000000-0005-0000-0000-0000D82B0000}"/>
    <cellStyle name="Data no deci 3 2 8 7" xfId="9573" xr:uid="{00000000-0005-0000-0000-0000D92B0000}"/>
    <cellStyle name="Data no deci 3 2 8 7 2" xfId="9574" xr:uid="{00000000-0005-0000-0000-0000DA2B0000}"/>
    <cellStyle name="Data no deci 3 2 8 8" xfId="9575" xr:uid="{00000000-0005-0000-0000-0000DB2B0000}"/>
    <cellStyle name="Data no deci 3 2 8 8 2" xfId="9576" xr:uid="{00000000-0005-0000-0000-0000DC2B0000}"/>
    <cellStyle name="Data no deci 3 2 8 9" xfId="9577" xr:uid="{00000000-0005-0000-0000-0000DD2B0000}"/>
    <cellStyle name="Data no deci 3 2 8 9 2" xfId="9578" xr:uid="{00000000-0005-0000-0000-0000DE2B0000}"/>
    <cellStyle name="Data no deci 3 2 9" xfId="9579" xr:uid="{00000000-0005-0000-0000-0000DF2B0000}"/>
    <cellStyle name="Data no deci 3 2 9 10" xfId="9580" xr:uid="{00000000-0005-0000-0000-0000E02B0000}"/>
    <cellStyle name="Data no deci 3 2 9 2" xfId="9581" xr:uid="{00000000-0005-0000-0000-0000E12B0000}"/>
    <cellStyle name="Data no deci 3 2 9 2 2" xfId="9582" xr:uid="{00000000-0005-0000-0000-0000E22B0000}"/>
    <cellStyle name="Data no deci 3 2 9 3" xfId="9583" xr:uid="{00000000-0005-0000-0000-0000E32B0000}"/>
    <cellStyle name="Data no deci 3 2 9 3 2" xfId="9584" xr:uid="{00000000-0005-0000-0000-0000E42B0000}"/>
    <cellStyle name="Data no deci 3 2 9 4" xfId="9585" xr:uid="{00000000-0005-0000-0000-0000E52B0000}"/>
    <cellStyle name="Data no deci 3 2 9 4 2" xfId="9586" xr:uid="{00000000-0005-0000-0000-0000E62B0000}"/>
    <cellStyle name="Data no deci 3 2 9 5" xfId="9587" xr:uid="{00000000-0005-0000-0000-0000E72B0000}"/>
    <cellStyle name="Data no deci 3 2 9 5 2" xfId="9588" xr:uid="{00000000-0005-0000-0000-0000E82B0000}"/>
    <cellStyle name="Data no deci 3 2 9 6" xfId="9589" xr:uid="{00000000-0005-0000-0000-0000E92B0000}"/>
    <cellStyle name="Data no deci 3 2 9 6 2" xfId="9590" xr:uid="{00000000-0005-0000-0000-0000EA2B0000}"/>
    <cellStyle name="Data no deci 3 2 9 7" xfId="9591" xr:uid="{00000000-0005-0000-0000-0000EB2B0000}"/>
    <cellStyle name="Data no deci 3 2 9 7 2" xfId="9592" xr:uid="{00000000-0005-0000-0000-0000EC2B0000}"/>
    <cellStyle name="Data no deci 3 2 9 8" xfId="9593" xr:uid="{00000000-0005-0000-0000-0000ED2B0000}"/>
    <cellStyle name="Data no deci 3 2 9 8 2" xfId="9594" xr:uid="{00000000-0005-0000-0000-0000EE2B0000}"/>
    <cellStyle name="Data no deci 3 2 9 9" xfId="9595" xr:uid="{00000000-0005-0000-0000-0000EF2B0000}"/>
    <cellStyle name="Data no deci 3 2 9 9 2" xfId="9596" xr:uid="{00000000-0005-0000-0000-0000F02B0000}"/>
    <cellStyle name="Data no deci 3 3" xfId="9597" xr:uid="{00000000-0005-0000-0000-0000F12B0000}"/>
    <cellStyle name="Data no deci 3 3 10" xfId="9598" xr:uid="{00000000-0005-0000-0000-0000F22B0000}"/>
    <cellStyle name="Data no deci 3 3 10 10" xfId="9599" xr:uid="{00000000-0005-0000-0000-0000F32B0000}"/>
    <cellStyle name="Data no deci 3 3 10 2" xfId="9600" xr:uid="{00000000-0005-0000-0000-0000F42B0000}"/>
    <cellStyle name="Data no deci 3 3 10 2 2" xfId="9601" xr:uid="{00000000-0005-0000-0000-0000F52B0000}"/>
    <cellStyle name="Data no deci 3 3 10 3" xfId="9602" xr:uid="{00000000-0005-0000-0000-0000F62B0000}"/>
    <cellStyle name="Data no deci 3 3 10 3 2" xfId="9603" xr:uid="{00000000-0005-0000-0000-0000F72B0000}"/>
    <cellStyle name="Data no deci 3 3 10 4" xfId="9604" xr:uid="{00000000-0005-0000-0000-0000F82B0000}"/>
    <cellStyle name="Data no deci 3 3 10 4 2" xfId="9605" xr:uid="{00000000-0005-0000-0000-0000F92B0000}"/>
    <cellStyle name="Data no deci 3 3 10 5" xfId="9606" xr:uid="{00000000-0005-0000-0000-0000FA2B0000}"/>
    <cellStyle name="Data no deci 3 3 10 5 2" xfId="9607" xr:uid="{00000000-0005-0000-0000-0000FB2B0000}"/>
    <cellStyle name="Data no deci 3 3 10 6" xfId="9608" xr:uid="{00000000-0005-0000-0000-0000FC2B0000}"/>
    <cellStyle name="Data no deci 3 3 10 6 2" xfId="9609" xr:uid="{00000000-0005-0000-0000-0000FD2B0000}"/>
    <cellStyle name="Data no deci 3 3 10 7" xfId="9610" xr:uid="{00000000-0005-0000-0000-0000FE2B0000}"/>
    <cellStyle name="Data no deci 3 3 10 7 2" xfId="9611" xr:uid="{00000000-0005-0000-0000-0000FF2B0000}"/>
    <cellStyle name="Data no deci 3 3 10 8" xfId="9612" xr:uid="{00000000-0005-0000-0000-0000002C0000}"/>
    <cellStyle name="Data no deci 3 3 10 8 2" xfId="9613" xr:uid="{00000000-0005-0000-0000-0000012C0000}"/>
    <cellStyle name="Data no deci 3 3 10 9" xfId="9614" xr:uid="{00000000-0005-0000-0000-0000022C0000}"/>
    <cellStyle name="Data no deci 3 3 10 9 2" xfId="9615" xr:uid="{00000000-0005-0000-0000-0000032C0000}"/>
    <cellStyle name="Data no deci 3 3 11" xfId="9616" xr:uid="{00000000-0005-0000-0000-0000042C0000}"/>
    <cellStyle name="Data no deci 3 3 11 2" xfId="9617" xr:uid="{00000000-0005-0000-0000-0000052C0000}"/>
    <cellStyle name="Data no deci 3 3 11 2 2" xfId="9618" xr:uid="{00000000-0005-0000-0000-0000062C0000}"/>
    <cellStyle name="Data no deci 3 3 11 3" xfId="9619" xr:uid="{00000000-0005-0000-0000-0000072C0000}"/>
    <cellStyle name="Data no deci 3 3 11 3 2" xfId="9620" xr:uid="{00000000-0005-0000-0000-0000082C0000}"/>
    <cellStyle name="Data no deci 3 3 11 4" xfId="9621" xr:uid="{00000000-0005-0000-0000-0000092C0000}"/>
    <cellStyle name="Data no deci 3 3 11 4 2" xfId="9622" xr:uid="{00000000-0005-0000-0000-00000A2C0000}"/>
    <cellStyle name="Data no deci 3 3 11 5" xfId="9623" xr:uid="{00000000-0005-0000-0000-00000B2C0000}"/>
    <cellStyle name="Data no deci 3 3 11 5 2" xfId="9624" xr:uid="{00000000-0005-0000-0000-00000C2C0000}"/>
    <cellStyle name="Data no deci 3 3 11 6" xfId="9625" xr:uid="{00000000-0005-0000-0000-00000D2C0000}"/>
    <cellStyle name="Data no deci 3 3 11 6 2" xfId="9626" xr:uid="{00000000-0005-0000-0000-00000E2C0000}"/>
    <cellStyle name="Data no deci 3 3 11 7" xfId="9627" xr:uid="{00000000-0005-0000-0000-00000F2C0000}"/>
    <cellStyle name="Data no deci 3 3 11 7 2" xfId="9628" xr:uid="{00000000-0005-0000-0000-0000102C0000}"/>
    <cellStyle name="Data no deci 3 3 11 8" xfId="9629" xr:uid="{00000000-0005-0000-0000-0000112C0000}"/>
    <cellStyle name="Data no deci 3 3 11 8 2" xfId="9630" xr:uid="{00000000-0005-0000-0000-0000122C0000}"/>
    <cellStyle name="Data no deci 3 3 11 9" xfId="9631" xr:uid="{00000000-0005-0000-0000-0000132C0000}"/>
    <cellStyle name="Data no deci 3 3 2" xfId="9632" xr:uid="{00000000-0005-0000-0000-0000142C0000}"/>
    <cellStyle name="Data no deci 3 3 2 10" xfId="9633" xr:uid="{00000000-0005-0000-0000-0000152C0000}"/>
    <cellStyle name="Data no deci 3 3 2 2" xfId="9634" xr:uid="{00000000-0005-0000-0000-0000162C0000}"/>
    <cellStyle name="Data no deci 3 3 2 2 2" xfId="9635" xr:uid="{00000000-0005-0000-0000-0000172C0000}"/>
    <cellStyle name="Data no deci 3 3 2 3" xfId="9636" xr:uid="{00000000-0005-0000-0000-0000182C0000}"/>
    <cellStyle name="Data no deci 3 3 2 3 2" xfId="9637" xr:uid="{00000000-0005-0000-0000-0000192C0000}"/>
    <cellStyle name="Data no deci 3 3 2 4" xfId="9638" xr:uid="{00000000-0005-0000-0000-00001A2C0000}"/>
    <cellStyle name="Data no deci 3 3 2 4 2" xfId="9639" xr:uid="{00000000-0005-0000-0000-00001B2C0000}"/>
    <cellStyle name="Data no deci 3 3 2 5" xfId="9640" xr:uid="{00000000-0005-0000-0000-00001C2C0000}"/>
    <cellStyle name="Data no deci 3 3 2 5 2" xfId="9641" xr:uid="{00000000-0005-0000-0000-00001D2C0000}"/>
    <cellStyle name="Data no deci 3 3 2 6" xfId="9642" xr:uid="{00000000-0005-0000-0000-00001E2C0000}"/>
    <cellStyle name="Data no deci 3 3 2 6 2" xfId="9643" xr:uid="{00000000-0005-0000-0000-00001F2C0000}"/>
    <cellStyle name="Data no deci 3 3 2 7" xfId="9644" xr:uid="{00000000-0005-0000-0000-0000202C0000}"/>
    <cellStyle name="Data no deci 3 3 2 7 2" xfId="9645" xr:uid="{00000000-0005-0000-0000-0000212C0000}"/>
    <cellStyle name="Data no deci 3 3 2 8" xfId="9646" xr:uid="{00000000-0005-0000-0000-0000222C0000}"/>
    <cellStyle name="Data no deci 3 3 2 8 2" xfId="9647" xr:uid="{00000000-0005-0000-0000-0000232C0000}"/>
    <cellStyle name="Data no deci 3 3 2 9" xfId="9648" xr:uid="{00000000-0005-0000-0000-0000242C0000}"/>
    <cellStyle name="Data no deci 3 3 2 9 2" xfId="9649" xr:uid="{00000000-0005-0000-0000-0000252C0000}"/>
    <cellStyle name="Data no deci 3 3 3" xfId="9650" xr:uid="{00000000-0005-0000-0000-0000262C0000}"/>
    <cellStyle name="Data no deci 3 3 3 10" xfId="9651" xr:uid="{00000000-0005-0000-0000-0000272C0000}"/>
    <cellStyle name="Data no deci 3 3 3 2" xfId="9652" xr:uid="{00000000-0005-0000-0000-0000282C0000}"/>
    <cellStyle name="Data no deci 3 3 3 2 2" xfId="9653" xr:uid="{00000000-0005-0000-0000-0000292C0000}"/>
    <cellStyle name="Data no deci 3 3 3 3" xfId="9654" xr:uid="{00000000-0005-0000-0000-00002A2C0000}"/>
    <cellStyle name="Data no deci 3 3 3 3 2" xfId="9655" xr:uid="{00000000-0005-0000-0000-00002B2C0000}"/>
    <cellStyle name="Data no deci 3 3 3 4" xfId="9656" xr:uid="{00000000-0005-0000-0000-00002C2C0000}"/>
    <cellStyle name="Data no deci 3 3 3 4 2" xfId="9657" xr:uid="{00000000-0005-0000-0000-00002D2C0000}"/>
    <cellStyle name="Data no deci 3 3 3 5" xfId="9658" xr:uid="{00000000-0005-0000-0000-00002E2C0000}"/>
    <cellStyle name="Data no deci 3 3 3 5 2" xfId="9659" xr:uid="{00000000-0005-0000-0000-00002F2C0000}"/>
    <cellStyle name="Data no deci 3 3 3 6" xfId="9660" xr:uid="{00000000-0005-0000-0000-0000302C0000}"/>
    <cellStyle name="Data no deci 3 3 3 6 2" xfId="9661" xr:uid="{00000000-0005-0000-0000-0000312C0000}"/>
    <cellStyle name="Data no deci 3 3 3 7" xfId="9662" xr:uid="{00000000-0005-0000-0000-0000322C0000}"/>
    <cellStyle name="Data no deci 3 3 3 7 2" xfId="9663" xr:uid="{00000000-0005-0000-0000-0000332C0000}"/>
    <cellStyle name="Data no deci 3 3 3 8" xfId="9664" xr:uid="{00000000-0005-0000-0000-0000342C0000}"/>
    <cellStyle name="Data no deci 3 3 3 8 2" xfId="9665" xr:uid="{00000000-0005-0000-0000-0000352C0000}"/>
    <cellStyle name="Data no deci 3 3 3 9" xfId="9666" xr:uid="{00000000-0005-0000-0000-0000362C0000}"/>
    <cellStyle name="Data no deci 3 3 3 9 2" xfId="9667" xr:uid="{00000000-0005-0000-0000-0000372C0000}"/>
    <cellStyle name="Data no deci 3 3 4" xfId="9668" xr:uid="{00000000-0005-0000-0000-0000382C0000}"/>
    <cellStyle name="Data no deci 3 3 4 10" xfId="9669" xr:uid="{00000000-0005-0000-0000-0000392C0000}"/>
    <cellStyle name="Data no deci 3 3 4 2" xfId="9670" xr:uid="{00000000-0005-0000-0000-00003A2C0000}"/>
    <cellStyle name="Data no deci 3 3 4 2 2" xfId="9671" xr:uid="{00000000-0005-0000-0000-00003B2C0000}"/>
    <cellStyle name="Data no deci 3 3 4 3" xfId="9672" xr:uid="{00000000-0005-0000-0000-00003C2C0000}"/>
    <cellStyle name="Data no deci 3 3 4 3 2" xfId="9673" xr:uid="{00000000-0005-0000-0000-00003D2C0000}"/>
    <cellStyle name="Data no deci 3 3 4 4" xfId="9674" xr:uid="{00000000-0005-0000-0000-00003E2C0000}"/>
    <cellStyle name="Data no deci 3 3 4 4 2" xfId="9675" xr:uid="{00000000-0005-0000-0000-00003F2C0000}"/>
    <cellStyle name="Data no deci 3 3 4 5" xfId="9676" xr:uid="{00000000-0005-0000-0000-0000402C0000}"/>
    <cellStyle name="Data no deci 3 3 4 5 2" xfId="9677" xr:uid="{00000000-0005-0000-0000-0000412C0000}"/>
    <cellStyle name="Data no deci 3 3 4 6" xfId="9678" xr:uid="{00000000-0005-0000-0000-0000422C0000}"/>
    <cellStyle name="Data no deci 3 3 4 6 2" xfId="9679" xr:uid="{00000000-0005-0000-0000-0000432C0000}"/>
    <cellStyle name="Data no deci 3 3 4 7" xfId="9680" xr:uid="{00000000-0005-0000-0000-0000442C0000}"/>
    <cellStyle name="Data no deci 3 3 4 7 2" xfId="9681" xr:uid="{00000000-0005-0000-0000-0000452C0000}"/>
    <cellStyle name="Data no deci 3 3 4 8" xfId="9682" xr:uid="{00000000-0005-0000-0000-0000462C0000}"/>
    <cellStyle name="Data no deci 3 3 4 8 2" xfId="9683" xr:uid="{00000000-0005-0000-0000-0000472C0000}"/>
    <cellStyle name="Data no deci 3 3 4 9" xfId="9684" xr:uid="{00000000-0005-0000-0000-0000482C0000}"/>
    <cellStyle name="Data no deci 3 3 4 9 2" xfId="9685" xr:uid="{00000000-0005-0000-0000-0000492C0000}"/>
    <cellStyle name="Data no deci 3 3 5" xfId="9686" xr:uid="{00000000-0005-0000-0000-00004A2C0000}"/>
    <cellStyle name="Data no deci 3 3 5 10" xfId="9687" xr:uid="{00000000-0005-0000-0000-00004B2C0000}"/>
    <cellStyle name="Data no deci 3 3 5 2" xfId="9688" xr:uid="{00000000-0005-0000-0000-00004C2C0000}"/>
    <cellStyle name="Data no deci 3 3 5 2 2" xfId="9689" xr:uid="{00000000-0005-0000-0000-00004D2C0000}"/>
    <cellStyle name="Data no deci 3 3 5 3" xfId="9690" xr:uid="{00000000-0005-0000-0000-00004E2C0000}"/>
    <cellStyle name="Data no deci 3 3 5 3 2" xfId="9691" xr:uid="{00000000-0005-0000-0000-00004F2C0000}"/>
    <cellStyle name="Data no deci 3 3 5 4" xfId="9692" xr:uid="{00000000-0005-0000-0000-0000502C0000}"/>
    <cellStyle name="Data no deci 3 3 5 4 2" xfId="9693" xr:uid="{00000000-0005-0000-0000-0000512C0000}"/>
    <cellStyle name="Data no deci 3 3 5 5" xfId="9694" xr:uid="{00000000-0005-0000-0000-0000522C0000}"/>
    <cellStyle name="Data no deci 3 3 5 5 2" xfId="9695" xr:uid="{00000000-0005-0000-0000-0000532C0000}"/>
    <cellStyle name="Data no deci 3 3 5 6" xfId="9696" xr:uid="{00000000-0005-0000-0000-0000542C0000}"/>
    <cellStyle name="Data no deci 3 3 5 6 2" xfId="9697" xr:uid="{00000000-0005-0000-0000-0000552C0000}"/>
    <cellStyle name="Data no deci 3 3 5 7" xfId="9698" xr:uid="{00000000-0005-0000-0000-0000562C0000}"/>
    <cellStyle name="Data no deci 3 3 5 7 2" xfId="9699" xr:uid="{00000000-0005-0000-0000-0000572C0000}"/>
    <cellStyle name="Data no deci 3 3 5 8" xfId="9700" xr:uid="{00000000-0005-0000-0000-0000582C0000}"/>
    <cellStyle name="Data no deci 3 3 5 8 2" xfId="9701" xr:uid="{00000000-0005-0000-0000-0000592C0000}"/>
    <cellStyle name="Data no deci 3 3 5 9" xfId="9702" xr:uid="{00000000-0005-0000-0000-00005A2C0000}"/>
    <cellStyle name="Data no deci 3 3 5 9 2" xfId="9703" xr:uid="{00000000-0005-0000-0000-00005B2C0000}"/>
    <cellStyle name="Data no deci 3 3 6" xfId="9704" xr:uid="{00000000-0005-0000-0000-00005C2C0000}"/>
    <cellStyle name="Data no deci 3 3 6 10" xfId="9705" xr:uid="{00000000-0005-0000-0000-00005D2C0000}"/>
    <cellStyle name="Data no deci 3 3 6 2" xfId="9706" xr:uid="{00000000-0005-0000-0000-00005E2C0000}"/>
    <cellStyle name="Data no deci 3 3 6 2 2" xfId="9707" xr:uid="{00000000-0005-0000-0000-00005F2C0000}"/>
    <cellStyle name="Data no deci 3 3 6 3" xfId="9708" xr:uid="{00000000-0005-0000-0000-0000602C0000}"/>
    <cellStyle name="Data no deci 3 3 6 3 2" xfId="9709" xr:uid="{00000000-0005-0000-0000-0000612C0000}"/>
    <cellStyle name="Data no deci 3 3 6 4" xfId="9710" xr:uid="{00000000-0005-0000-0000-0000622C0000}"/>
    <cellStyle name="Data no deci 3 3 6 4 2" xfId="9711" xr:uid="{00000000-0005-0000-0000-0000632C0000}"/>
    <cellStyle name="Data no deci 3 3 6 5" xfId="9712" xr:uid="{00000000-0005-0000-0000-0000642C0000}"/>
    <cellStyle name="Data no deci 3 3 6 5 2" xfId="9713" xr:uid="{00000000-0005-0000-0000-0000652C0000}"/>
    <cellStyle name="Data no deci 3 3 6 6" xfId="9714" xr:uid="{00000000-0005-0000-0000-0000662C0000}"/>
    <cellStyle name="Data no deci 3 3 6 6 2" xfId="9715" xr:uid="{00000000-0005-0000-0000-0000672C0000}"/>
    <cellStyle name="Data no deci 3 3 6 7" xfId="9716" xr:uid="{00000000-0005-0000-0000-0000682C0000}"/>
    <cellStyle name="Data no deci 3 3 6 7 2" xfId="9717" xr:uid="{00000000-0005-0000-0000-0000692C0000}"/>
    <cellStyle name="Data no deci 3 3 6 8" xfId="9718" xr:uid="{00000000-0005-0000-0000-00006A2C0000}"/>
    <cellStyle name="Data no deci 3 3 6 8 2" xfId="9719" xr:uid="{00000000-0005-0000-0000-00006B2C0000}"/>
    <cellStyle name="Data no deci 3 3 6 9" xfId="9720" xr:uid="{00000000-0005-0000-0000-00006C2C0000}"/>
    <cellStyle name="Data no deci 3 3 6 9 2" xfId="9721" xr:uid="{00000000-0005-0000-0000-00006D2C0000}"/>
    <cellStyle name="Data no deci 3 3 7" xfId="9722" xr:uid="{00000000-0005-0000-0000-00006E2C0000}"/>
    <cellStyle name="Data no deci 3 3 7 10" xfId="9723" xr:uid="{00000000-0005-0000-0000-00006F2C0000}"/>
    <cellStyle name="Data no deci 3 3 7 2" xfId="9724" xr:uid="{00000000-0005-0000-0000-0000702C0000}"/>
    <cellStyle name="Data no deci 3 3 7 2 2" xfId="9725" xr:uid="{00000000-0005-0000-0000-0000712C0000}"/>
    <cellStyle name="Data no deci 3 3 7 3" xfId="9726" xr:uid="{00000000-0005-0000-0000-0000722C0000}"/>
    <cellStyle name="Data no deci 3 3 7 3 2" xfId="9727" xr:uid="{00000000-0005-0000-0000-0000732C0000}"/>
    <cellStyle name="Data no deci 3 3 7 4" xfId="9728" xr:uid="{00000000-0005-0000-0000-0000742C0000}"/>
    <cellStyle name="Data no deci 3 3 7 4 2" xfId="9729" xr:uid="{00000000-0005-0000-0000-0000752C0000}"/>
    <cellStyle name="Data no deci 3 3 7 5" xfId="9730" xr:uid="{00000000-0005-0000-0000-0000762C0000}"/>
    <cellStyle name="Data no deci 3 3 7 5 2" xfId="9731" xr:uid="{00000000-0005-0000-0000-0000772C0000}"/>
    <cellStyle name="Data no deci 3 3 7 6" xfId="9732" xr:uid="{00000000-0005-0000-0000-0000782C0000}"/>
    <cellStyle name="Data no deci 3 3 7 6 2" xfId="9733" xr:uid="{00000000-0005-0000-0000-0000792C0000}"/>
    <cellStyle name="Data no deci 3 3 7 7" xfId="9734" xr:uid="{00000000-0005-0000-0000-00007A2C0000}"/>
    <cellStyle name="Data no deci 3 3 7 7 2" xfId="9735" xr:uid="{00000000-0005-0000-0000-00007B2C0000}"/>
    <cellStyle name="Data no deci 3 3 7 8" xfId="9736" xr:uid="{00000000-0005-0000-0000-00007C2C0000}"/>
    <cellStyle name="Data no deci 3 3 7 8 2" xfId="9737" xr:uid="{00000000-0005-0000-0000-00007D2C0000}"/>
    <cellStyle name="Data no deci 3 3 7 9" xfId="9738" xr:uid="{00000000-0005-0000-0000-00007E2C0000}"/>
    <cellStyle name="Data no deci 3 3 7 9 2" xfId="9739" xr:uid="{00000000-0005-0000-0000-00007F2C0000}"/>
    <cellStyle name="Data no deci 3 3 8" xfId="9740" xr:uid="{00000000-0005-0000-0000-0000802C0000}"/>
    <cellStyle name="Data no deci 3 3 8 10" xfId="9741" xr:uid="{00000000-0005-0000-0000-0000812C0000}"/>
    <cellStyle name="Data no deci 3 3 8 2" xfId="9742" xr:uid="{00000000-0005-0000-0000-0000822C0000}"/>
    <cellStyle name="Data no deci 3 3 8 2 2" xfId="9743" xr:uid="{00000000-0005-0000-0000-0000832C0000}"/>
    <cellStyle name="Data no deci 3 3 8 3" xfId="9744" xr:uid="{00000000-0005-0000-0000-0000842C0000}"/>
    <cellStyle name="Data no deci 3 3 8 3 2" xfId="9745" xr:uid="{00000000-0005-0000-0000-0000852C0000}"/>
    <cellStyle name="Data no deci 3 3 8 4" xfId="9746" xr:uid="{00000000-0005-0000-0000-0000862C0000}"/>
    <cellStyle name="Data no deci 3 3 8 4 2" xfId="9747" xr:uid="{00000000-0005-0000-0000-0000872C0000}"/>
    <cellStyle name="Data no deci 3 3 8 5" xfId="9748" xr:uid="{00000000-0005-0000-0000-0000882C0000}"/>
    <cellStyle name="Data no deci 3 3 8 5 2" xfId="9749" xr:uid="{00000000-0005-0000-0000-0000892C0000}"/>
    <cellStyle name="Data no deci 3 3 8 6" xfId="9750" xr:uid="{00000000-0005-0000-0000-00008A2C0000}"/>
    <cellStyle name="Data no deci 3 3 8 6 2" xfId="9751" xr:uid="{00000000-0005-0000-0000-00008B2C0000}"/>
    <cellStyle name="Data no deci 3 3 8 7" xfId="9752" xr:uid="{00000000-0005-0000-0000-00008C2C0000}"/>
    <cellStyle name="Data no deci 3 3 8 7 2" xfId="9753" xr:uid="{00000000-0005-0000-0000-00008D2C0000}"/>
    <cellStyle name="Data no deci 3 3 8 8" xfId="9754" xr:uid="{00000000-0005-0000-0000-00008E2C0000}"/>
    <cellStyle name="Data no deci 3 3 8 8 2" xfId="9755" xr:uid="{00000000-0005-0000-0000-00008F2C0000}"/>
    <cellStyle name="Data no deci 3 3 8 9" xfId="9756" xr:uid="{00000000-0005-0000-0000-0000902C0000}"/>
    <cellStyle name="Data no deci 3 3 8 9 2" xfId="9757" xr:uid="{00000000-0005-0000-0000-0000912C0000}"/>
    <cellStyle name="Data no deci 3 3 9" xfId="9758" xr:uid="{00000000-0005-0000-0000-0000922C0000}"/>
    <cellStyle name="Data no deci 3 3 9 10" xfId="9759" xr:uid="{00000000-0005-0000-0000-0000932C0000}"/>
    <cellStyle name="Data no deci 3 3 9 2" xfId="9760" xr:uid="{00000000-0005-0000-0000-0000942C0000}"/>
    <cellStyle name="Data no deci 3 3 9 2 2" xfId="9761" xr:uid="{00000000-0005-0000-0000-0000952C0000}"/>
    <cellStyle name="Data no deci 3 3 9 3" xfId="9762" xr:uid="{00000000-0005-0000-0000-0000962C0000}"/>
    <cellStyle name="Data no deci 3 3 9 3 2" xfId="9763" xr:uid="{00000000-0005-0000-0000-0000972C0000}"/>
    <cellStyle name="Data no deci 3 3 9 4" xfId="9764" xr:uid="{00000000-0005-0000-0000-0000982C0000}"/>
    <cellStyle name="Data no deci 3 3 9 4 2" xfId="9765" xr:uid="{00000000-0005-0000-0000-0000992C0000}"/>
    <cellStyle name="Data no deci 3 3 9 5" xfId="9766" xr:uid="{00000000-0005-0000-0000-00009A2C0000}"/>
    <cellStyle name="Data no deci 3 3 9 5 2" xfId="9767" xr:uid="{00000000-0005-0000-0000-00009B2C0000}"/>
    <cellStyle name="Data no deci 3 3 9 6" xfId="9768" xr:uid="{00000000-0005-0000-0000-00009C2C0000}"/>
    <cellStyle name="Data no deci 3 3 9 6 2" xfId="9769" xr:uid="{00000000-0005-0000-0000-00009D2C0000}"/>
    <cellStyle name="Data no deci 3 3 9 7" xfId="9770" xr:uid="{00000000-0005-0000-0000-00009E2C0000}"/>
    <cellStyle name="Data no deci 3 3 9 7 2" xfId="9771" xr:uid="{00000000-0005-0000-0000-00009F2C0000}"/>
    <cellStyle name="Data no deci 3 3 9 8" xfId="9772" xr:uid="{00000000-0005-0000-0000-0000A02C0000}"/>
    <cellStyle name="Data no deci 3 3 9 8 2" xfId="9773" xr:uid="{00000000-0005-0000-0000-0000A12C0000}"/>
    <cellStyle name="Data no deci 3 3 9 9" xfId="9774" xr:uid="{00000000-0005-0000-0000-0000A22C0000}"/>
    <cellStyle name="Data no deci 3 3 9 9 2" xfId="9775" xr:uid="{00000000-0005-0000-0000-0000A32C0000}"/>
    <cellStyle name="Data no deci 3 4" xfId="9776" xr:uid="{00000000-0005-0000-0000-0000A42C0000}"/>
    <cellStyle name="Data no deci 3 4 10" xfId="9777" xr:uid="{00000000-0005-0000-0000-0000A52C0000}"/>
    <cellStyle name="Data no deci 3 4 10 2" xfId="9778" xr:uid="{00000000-0005-0000-0000-0000A62C0000}"/>
    <cellStyle name="Data no deci 3 4 10 2 2" xfId="9779" xr:uid="{00000000-0005-0000-0000-0000A72C0000}"/>
    <cellStyle name="Data no deci 3 4 10 3" xfId="9780" xr:uid="{00000000-0005-0000-0000-0000A82C0000}"/>
    <cellStyle name="Data no deci 3 4 10 3 2" xfId="9781" xr:uid="{00000000-0005-0000-0000-0000A92C0000}"/>
    <cellStyle name="Data no deci 3 4 10 4" xfId="9782" xr:uid="{00000000-0005-0000-0000-0000AA2C0000}"/>
    <cellStyle name="Data no deci 3 4 10 4 2" xfId="9783" xr:uid="{00000000-0005-0000-0000-0000AB2C0000}"/>
    <cellStyle name="Data no deci 3 4 10 5" xfId="9784" xr:uid="{00000000-0005-0000-0000-0000AC2C0000}"/>
    <cellStyle name="Data no deci 3 4 10 5 2" xfId="9785" xr:uid="{00000000-0005-0000-0000-0000AD2C0000}"/>
    <cellStyle name="Data no deci 3 4 10 6" xfId="9786" xr:uid="{00000000-0005-0000-0000-0000AE2C0000}"/>
    <cellStyle name="Data no deci 3 4 10 6 2" xfId="9787" xr:uid="{00000000-0005-0000-0000-0000AF2C0000}"/>
    <cellStyle name="Data no deci 3 4 10 7" xfId="9788" xr:uid="{00000000-0005-0000-0000-0000B02C0000}"/>
    <cellStyle name="Data no deci 3 4 10 7 2" xfId="9789" xr:uid="{00000000-0005-0000-0000-0000B12C0000}"/>
    <cellStyle name="Data no deci 3 4 10 8" xfId="9790" xr:uid="{00000000-0005-0000-0000-0000B22C0000}"/>
    <cellStyle name="Data no deci 3 4 10 8 2" xfId="9791" xr:uid="{00000000-0005-0000-0000-0000B32C0000}"/>
    <cellStyle name="Data no deci 3 4 10 9" xfId="9792" xr:uid="{00000000-0005-0000-0000-0000B42C0000}"/>
    <cellStyle name="Data no deci 3 4 11" xfId="9793" xr:uid="{00000000-0005-0000-0000-0000B52C0000}"/>
    <cellStyle name="Data no deci 3 4 11 2" xfId="9794" xr:uid="{00000000-0005-0000-0000-0000B62C0000}"/>
    <cellStyle name="Data no deci 3 4 12" xfId="9795" xr:uid="{00000000-0005-0000-0000-0000B72C0000}"/>
    <cellStyle name="Data no deci 3 4 12 2" xfId="9796" xr:uid="{00000000-0005-0000-0000-0000B82C0000}"/>
    <cellStyle name="Data no deci 3 4 13" xfId="9797" xr:uid="{00000000-0005-0000-0000-0000B92C0000}"/>
    <cellStyle name="Data no deci 3 4 13 2" xfId="9798" xr:uid="{00000000-0005-0000-0000-0000BA2C0000}"/>
    <cellStyle name="Data no deci 3 4 14" xfId="9799" xr:uid="{00000000-0005-0000-0000-0000BB2C0000}"/>
    <cellStyle name="Data no deci 3 4 14 2" xfId="9800" xr:uid="{00000000-0005-0000-0000-0000BC2C0000}"/>
    <cellStyle name="Data no deci 3 4 15" xfId="9801" xr:uid="{00000000-0005-0000-0000-0000BD2C0000}"/>
    <cellStyle name="Data no deci 3 4 15 2" xfId="9802" xr:uid="{00000000-0005-0000-0000-0000BE2C0000}"/>
    <cellStyle name="Data no deci 3 4 16" xfId="9803" xr:uid="{00000000-0005-0000-0000-0000BF2C0000}"/>
    <cellStyle name="Data no deci 3 4 16 2" xfId="9804" xr:uid="{00000000-0005-0000-0000-0000C02C0000}"/>
    <cellStyle name="Data no deci 3 4 17" xfId="9805" xr:uid="{00000000-0005-0000-0000-0000C12C0000}"/>
    <cellStyle name="Data no deci 3 4 17 2" xfId="9806" xr:uid="{00000000-0005-0000-0000-0000C22C0000}"/>
    <cellStyle name="Data no deci 3 4 18" xfId="9807" xr:uid="{00000000-0005-0000-0000-0000C32C0000}"/>
    <cellStyle name="Data no deci 3 4 2" xfId="9808" xr:uid="{00000000-0005-0000-0000-0000C42C0000}"/>
    <cellStyle name="Data no deci 3 4 2 10" xfId="9809" xr:uid="{00000000-0005-0000-0000-0000C52C0000}"/>
    <cellStyle name="Data no deci 3 4 2 2" xfId="9810" xr:uid="{00000000-0005-0000-0000-0000C62C0000}"/>
    <cellStyle name="Data no deci 3 4 2 2 2" xfId="9811" xr:uid="{00000000-0005-0000-0000-0000C72C0000}"/>
    <cellStyle name="Data no deci 3 4 2 3" xfId="9812" xr:uid="{00000000-0005-0000-0000-0000C82C0000}"/>
    <cellStyle name="Data no deci 3 4 2 3 2" xfId="9813" xr:uid="{00000000-0005-0000-0000-0000C92C0000}"/>
    <cellStyle name="Data no deci 3 4 2 4" xfId="9814" xr:uid="{00000000-0005-0000-0000-0000CA2C0000}"/>
    <cellStyle name="Data no deci 3 4 2 4 2" xfId="9815" xr:uid="{00000000-0005-0000-0000-0000CB2C0000}"/>
    <cellStyle name="Data no deci 3 4 2 5" xfId="9816" xr:uid="{00000000-0005-0000-0000-0000CC2C0000}"/>
    <cellStyle name="Data no deci 3 4 2 5 2" xfId="9817" xr:uid="{00000000-0005-0000-0000-0000CD2C0000}"/>
    <cellStyle name="Data no deci 3 4 2 6" xfId="9818" xr:uid="{00000000-0005-0000-0000-0000CE2C0000}"/>
    <cellStyle name="Data no deci 3 4 2 6 2" xfId="9819" xr:uid="{00000000-0005-0000-0000-0000CF2C0000}"/>
    <cellStyle name="Data no deci 3 4 2 7" xfId="9820" xr:uid="{00000000-0005-0000-0000-0000D02C0000}"/>
    <cellStyle name="Data no deci 3 4 2 7 2" xfId="9821" xr:uid="{00000000-0005-0000-0000-0000D12C0000}"/>
    <cellStyle name="Data no deci 3 4 2 8" xfId="9822" xr:uid="{00000000-0005-0000-0000-0000D22C0000}"/>
    <cellStyle name="Data no deci 3 4 2 8 2" xfId="9823" xr:uid="{00000000-0005-0000-0000-0000D32C0000}"/>
    <cellStyle name="Data no deci 3 4 2 9" xfId="9824" xr:uid="{00000000-0005-0000-0000-0000D42C0000}"/>
    <cellStyle name="Data no deci 3 4 2 9 2" xfId="9825" xr:uid="{00000000-0005-0000-0000-0000D52C0000}"/>
    <cellStyle name="Data no deci 3 4 3" xfId="9826" xr:uid="{00000000-0005-0000-0000-0000D62C0000}"/>
    <cellStyle name="Data no deci 3 4 3 10" xfId="9827" xr:uid="{00000000-0005-0000-0000-0000D72C0000}"/>
    <cellStyle name="Data no deci 3 4 3 2" xfId="9828" xr:uid="{00000000-0005-0000-0000-0000D82C0000}"/>
    <cellStyle name="Data no deci 3 4 3 2 2" xfId="9829" xr:uid="{00000000-0005-0000-0000-0000D92C0000}"/>
    <cellStyle name="Data no deci 3 4 3 3" xfId="9830" xr:uid="{00000000-0005-0000-0000-0000DA2C0000}"/>
    <cellStyle name="Data no deci 3 4 3 3 2" xfId="9831" xr:uid="{00000000-0005-0000-0000-0000DB2C0000}"/>
    <cellStyle name="Data no deci 3 4 3 4" xfId="9832" xr:uid="{00000000-0005-0000-0000-0000DC2C0000}"/>
    <cellStyle name="Data no deci 3 4 3 4 2" xfId="9833" xr:uid="{00000000-0005-0000-0000-0000DD2C0000}"/>
    <cellStyle name="Data no deci 3 4 3 5" xfId="9834" xr:uid="{00000000-0005-0000-0000-0000DE2C0000}"/>
    <cellStyle name="Data no deci 3 4 3 5 2" xfId="9835" xr:uid="{00000000-0005-0000-0000-0000DF2C0000}"/>
    <cellStyle name="Data no deci 3 4 3 6" xfId="9836" xr:uid="{00000000-0005-0000-0000-0000E02C0000}"/>
    <cellStyle name="Data no deci 3 4 3 6 2" xfId="9837" xr:uid="{00000000-0005-0000-0000-0000E12C0000}"/>
    <cellStyle name="Data no deci 3 4 3 7" xfId="9838" xr:uid="{00000000-0005-0000-0000-0000E22C0000}"/>
    <cellStyle name="Data no deci 3 4 3 7 2" xfId="9839" xr:uid="{00000000-0005-0000-0000-0000E32C0000}"/>
    <cellStyle name="Data no deci 3 4 3 8" xfId="9840" xr:uid="{00000000-0005-0000-0000-0000E42C0000}"/>
    <cellStyle name="Data no deci 3 4 3 8 2" xfId="9841" xr:uid="{00000000-0005-0000-0000-0000E52C0000}"/>
    <cellStyle name="Data no deci 3 4 3 9" xfId="9842" xr:uid="{00000000-0005-0000-0000-0000E62C0000}"/>
    <cellStyle name="Data no deci 3 4 3 9 2" xfId="9843" xr:uid="{00000000-0005-0000-0000-0000E72C0000}"/>
    <cellStyle name="Data no deci 3 4 4" xfId="9844" xr:uid="{00000000-0005-0000-0000-0000E82C0000}"/>
    <cellStyle name="Data no deci 3 4 4 10" xfId="9845" xr:uid="{00000000-0005-0000-0000-0000E92C0000}"/>
    <cellStyle name="Data no deci 3 4 4 2" xfId="9846" xr:uid="{00000000-0005-0000-0000-0000EA2C0000}"/>
    <cellStyle name="Data no deci 3 4 4 2 2" xfId="9847" xr:uid="{00000000-0005-0000-0000-0000EB2C0000}"/>
    <cellStyle name="Data no deci 3 4 4 3" xfId="9848" xr:uid="{00000000-0005-0000-0000-0000EC2C0000}"/>
    <cellStyle name="Data no deci 3 4 4 3 2" xfId="9849" xr:uid="{00000000-0005-0000-0000-0000ED2C0000}"/>
    <cellStyle name="Data no deci 3 4 4 4" xfId="9850" xr:uid="{00000000-0005-0000-0000-0000EE2C0000}"/>
    <cellStyle name="Data no deci 3 4 4 4 2" xfId="9851" xr:uid="{00000000-0005-0000-0000-0000EF2C0000}"/>
    <cellStyle name="Data no deci 3 4 4 5" xfId="9852" xr:uid="{00000000-0005-0000-0000-0000F02C0000}"/>
    <cellStyle name="Data no deci 3 4 4 5 2" xfId="9853" xr:uid="{00000000-0005-0000-0000-0000F12C0000}"/>
    <cellStyle name="Data no deci 3 4 4 6" xfId="9854" xr:uid="{00000000-0005-0000-0000-0000F22C0000}"/>
    <cellStyle name="Data no deci 3 4 4 6 2" xfId="9855" xr:uid="{00000000-0005-0000-0000-0000F32C0000}"/>
    <cellStyle name="Data no deci 3 4 4 7" xfId="9856" xr:uid="{00000000-0005-0000-0000-0000F42C0000}"/>
    <cellStyle name="Data no deci 3 4 4 7 2" xfId="9857" xr:uid="{00000000-0005-0000-0000-0000F52C0000}"/>
    <cellStyle name="Data no deci 3 4 4 8" xfId="9858" xr:uid="{00000000-0005-0000-0000-0000F62C0000}"/>
    <cellStyle name="Data no deci 3 4 4 8 2" xfId="9859" xr:uid="{00000000-0005-0000-0000-0000F72C0000}"/>
    <cellStyle name="Data no deci 3 4 4 9" xfId="9860" xr:uid="{00000000-0005-0000-0000-0000F82C0000}"/>
    <cellStyle name="Data no deci 3 4 4 9 2" xfId="9861" xr:uid="{00000000-0005-0000-0000-0000F92C0000}"/>
    <cellStyle name="Data no deci 3 4 5" xfId="9862" xr:uid="{00000000-0005-0000-0000-0000FA2C0000}"/>
    <cellStyle name="Data no deci 3 4 5 10" xfId="9863" xr:uid="{00000000-0005-0000-0000-0000FB2C0000}"/>
    <cellStyle name="Data no deci 3 4 5 2" xfId="9864" xr:uid="{00000000-0005-0000-0000-0000FC2C0000}"/>
    <cellStyle name="Data no deci 3 4 5 2 2" xfId="9865" xr:uid="{00000000-0005-0000-0000-0000FD2C0000}"/>
    <cellStyle name="Data no deci 3 4 5 3" xfId="9866" xr:uid="{00000000-0005-0000-0000-0000FE2C0000}"/>
    <cellStyle name="Data no deci 3 4 5 3 2" xfId="9867" xr:uid="{00000000-0005-0000-0000-0000FF2C0000}"/>
    <cellStyle name="Data no deci 3 4 5 4" xfId="9868" xr:uid="{00000000-0005-0000-0000-0000002D0000}"/>
    <cellStyle name="Data no deci 3 4 5 4 2" xfId="9869" xr:uid="{00000000-0005-0000-0000-0000012D0000}"/>
    <cellStyle name="Data no deci 3 4 5 5" xfId="9870" xr:uid="{00000000-0005-0000-0000-0000022D0000}"/>
    <cellStyle name="Data no deci 3 4 5 5 2" xfId="9871" xr:uid="{00000000-0005-0000-0000-0000032D0000}"/>
    <cellStyle name="Data no deci 3 4 5 6" xfId="9872" xr:uid="{00000000-0005-0000-0000-0000042D0000}"/>
    <cellStyle name="Data no deci 3 4 5 6 2" xfId="9873" xr:uid="{00000000-0005-0000-0000-0000052D0000}"/>
    <cellStyle name="Data no deci 3 4 5 7" xfId="9874" xr:uid="{00000000-0005-0000-0000-0000062D0000}"/>
    <cellStyle name="Data no deci 3 4 5 7 2" xfId="9875" xr:uid="{00000000-0005-0000-0000-0000072D0000}"/>
    <cellStyle name="Data no deci 3 4 5 8" xfId="9876" xr:uid="{00000000-0005-0000-0000-0000082D0000}"/>
    <cellStyle name="Data no deci 3 4 5 8 2" xfId="9877" xr:uid="{00000000-0005-0000-0000-0000092D0000}"/>
    <cellStyle name="Data no deci 3 4 5 9" xfId="9878" xr:uid="{00000000-0005-0000-0000-00000A2D0000}"/>
    <cellStyle name="Data no deci 3 4 5 9 2" xfId="9879" xr:uid="{00000000-0005-0000-0000-00000B2D0000}"/>
    <cellStyle name="Data no deci 3 4 6" xfId="9880" xr:uid="{00000000-0005-0000-0000-00000C2D0000}"/>
    <cellStyle name="Data no deci 3 4 6 10" xfId="9881" xr:uid="{00000000-0005-0000-0000-00000D2D0000}"/>
    <cellStyle name="Data no deci 3 4 6 2" xfId="9882" xr:uid="{00000000-0005-0000-0000-00000E2D0000}"/>
    <cellStyle name="Data no deci 3 4 6 2 2" xfId="9883" xr:uid="{00000000-0005-0000-0000-00000F2D0000}"/>
    <cellStyle name="Data no deci 3 4 6 3" xfId="9884" xr:uid="{00000000-0005-0000-0000-0000102D0000}"/>
    <cellStyle name="Data no deci 3 4 6 3 2" xfId="9885" xr:uid="{00000000-0005-0000-0000-0000112D0000}"/>
    <cellStyle name="Data no deci 3 4 6 4" xfId="9886" xr:uid="{00000000-0005-0000-0000-0000122D0000}"/>
    <cellStyle name="Data no deci 3 4 6 4 2" xfId="9887" xr:uid="{00000000-0005-0000-0000-0000132D0000}"/>
    <cellStyle name="Data no deci 3 4 6 5" xfId="9888" xr:uid="{00000000-0005-0000-0000-0000142D0000}"/>
    <cellStyle name="Data no deci 3 4 6 5 2" xfId="9889" xr:uid="{00000000-0005-0000-0000-0000152D0000}"/>
    <cellStyle name="Data no deci 3 4 6 6" xfId="9890" xr:uid="{00000000-0005-0000-0000-0000162D0000}"/>
    <cellStyle name="Data no deci 3 4 6 6 2" xfId="9891" xr:uid="{00000000-0005-0000-0000-0000172D0000}"/>
    <cellStyle name="Data no deci 3 4 6 7" xfId="9892" xr:uid="{00000000-0005-0000-0000-0000182D0000}"/>
    <cellStyle name="Data no deci 3 4 6 7 2" xfId="9893" xr:uid="{00000000-0005-0000-0000-0000192D0000}"/>
    <cellStyle name="Data no deci 3 4 6 8" xfId="9894" xr:uid="{00000000-0005-0000-0000-00001A2D0000}"/>
    <cellStyle name="Data no deci 3 4 6 8 2" xfId="9895" xr:uid="{00000000-0005-0000-0000-00001B2D0000}"/>
    <cellStyle name="Data no deci 3 4 6 9" xfId="9896" xr:uid="{00000000-0005-0000-0000-00001C2D0000}"/>
    <cellStyle name="Data no deci 3 4 6 9 2" xfId="9897" xr:uid="{00000000-0005-0000-0000-00001D2D0000}"/>
    <cellStyle name="Data no deci 3 4 7" xfId="9898" xr:uid="{00000000-0005-0000-0000-00001E2D0000}"/>
    <cellStyle name="Data no deci 3 4 7 10" xfId="9899" xr:uid="{00000000-0005-0000-0000-00001F2D0000}"/>
    <cellStyle name="Data no deci 3 4 7 2" xfId="9900" xr:uid="{00000000-0005-0000-0000-0000202D0000}"/>
    <cellStyle name="Data no deci 3 4 7 2 2" xfId="9901" xr:uid="{00000000-0005-0000-0000-0000212D0000}"/>
    <cellStyle name="Data no deci 3 4 7 3" xfId="9902" xr:uid="{00000000-0005-0000-0000-0000222D0000}"/>
    <cellStyle name="Data no deci 3 4 7 3 2" xfId="9903" xr:uid="{00000000-0005-0000-0000-0000232D0000}"/>
    <cellStyle name="Data no deci 3 4 7 4" xfId="9904" xr:uid="{00000000-0005-0000-0000-0000242D0000}"/>
    <cellStyle name="Data no deci 3 4 7 4 2" xfId="9905" xr:uid="{00000000-0005-0000-0000-0000252D0000}"/>
    <cellStyle name="Data no deci 3 4 7 5" xfId="9906" xr:uid="{00000000-0005-0000-0000-0000262D0000}"/>
    <cellStyle name="Data no deci 3 4 7 5 2" xfId="9907" xr:uid="{00000000-0005-0000-0000-0000272D0000}"/>
    <cellStyle name="Data no deci 3 4 7 6" xfId="9908" xr:uid="{00000000-0005-0000-0000-0000282D0000}"/>
    <cellStyle name="Data no deci 3 4 7 6 2" xfId="9909" xr:uid="{00000000-0005-0000-0000-0000292D0000}"/>
    <cellStyle name="Data no deci 3 4 7 7" xfId="9910" xr:uid="{00000000-0005-0000-0000-00002A2D0000}"/>
    <cellStyle name="Data no deci 3 4 7 7 2" xfId="9911" xr:uid="{00000000-0005-0000-0000-00002B2D0000}"/>
    <cellStyle name="Data no deci 3 4 7 8" xfId="9912" xr:uid="{00000000-0005-0000-0000-00002C2D0000}"/>
    <cellStyle name="Data no deci 3 4 7 8 2" xfId="9913" xr:uid="{00000000-0005-0000-0000-00002D2D0000}"/>
    <cellStyle name="Data no deci 3 4 7 9" xfId="9914" xr:uid="{00000000-0005-0000-0000-00002E2D0000}"/>
    <cellStyle name="Data no deci 3 4 7 9 2" xfId="9915" xr:uid="{00000000-0005-0000-0000-00002F2D0000}"/>
    <cellStyle name="Data no deci 3 4 8" xfId="9916" xr:uid="{00000000-0005-0000-0000-0000302D0000}"/>
    <cellStyle name="Data no deci 3 4 8 10" xfId="9917" xr:uid="{00000000-0005-0000-0000-0000312D0000}"/>
    <cellStyle name="Data no deci 3 4 8 2" xfId="9918" xr:uid="{00000000-0005-0000-0000-0000322D0000}"/>
    <cellStyle name="Data no deci 3 4 8 2 2" xfId="9919" xr:uid="{00000000-0005-0000-0000-0000332D0000}"/>
    <cellStyle name="Data no deci 3 4 8 3" xfId="9920" xr:uid="{00000000-0005-0000-0000-0000342D0000}"/>
    <cellStyle name="Data no deci 3 4 8 3 2" xfId="9921" xr:uid="{00000000-0005-0000-0000-0000352D0000}"/>
    <cellStyle name="Data no deci 3 4 8 4" xfId="9922" xr:uid="{00000000-0005-0000-0000-0000362D0000}"/>
    <cellStyle name="Data no deci 3 4 8 4 2" xfId="9923" xr:uid="{00000000-0005-0000-0000-0000372D0000}"/>
    <cellStyle name="Data no deci 3 4 8 5" xfId="9924" xr:uid="{00000000-0005-0000-0000-0000382D0000}"/>
    <cellStyle name="Data no deci 3 4 8 5 2" xfId="9925" xr:uid="{00000000-0005-0000-0000-0000392D0000}"/>
    <cellStyle name="Data no deci 3 4 8 6" xfId="9926" xr:uid="{00000000-0005-0000-0000-00003A2D0000}"/>
    <cellStyle name="Data no deci 3 4 8 6 2" xfId="9927" xr:uid="{00000000-0005-0000-0000-00003B2D0000}"/>
    <cellStyle name="Data no deci 3 4 8 7" xfId="9928" xr:uid="{00000000-0005-0000-0000-00003C2D0000}"/>
    <cellStyle name="Data no deci 3 4 8 7 2" xfId="9929" xr:uid="{00000000-0005-0000-0000-00003D2D0000}"/>
    <cellStyle name="Data no deci 3 4 8 8" xfId="9930" xr:uid="{00000000-0005-0000-0000-00003E2D0000}"/>
    <cellStyle name="Data no deci 3 4 8 8 2" xfId="9931" xr:uid="{00000000-0005-0000-0000-00003F2D0000}"/>
    <cellStyle name="Data no deci 3 4 8 9" xfId="9932" xr:uid="{00000000-0005-0000-0000-0000402D0000}"/>
    <cellStyle name="Data no deci 3 4 8 9 2" xfId="9933" xr:uid="{00000000-0005-0000-0000-0000412D0000}"/>
    <cellStyle name="Data no deci 3 4 9" xfId="9934" xr:uid="{00000000-0005-0000-0000-0000422D0000}"/>
    <cellStyle name="Data no deci 3 4 9 10" xfId="9935" xr:uid="{00000000-0005-0000-0000-0000432D0000}"/>
    <cellStyle name="Data no deci 3 4 9 2" xfId="9936" xr:uid="{00000000-0005-0000-0000-0000442D0000}"/>
    <cellStyle name="Data no deci 3 4 9 2 2" xfId="9937" xr:uid="{00000000-0005-0000-0000-0000452D0000}"/>
    <cellStyle name="Data no deci 3 4 9 3" xfId="9938" xr:uid="{00000000-0005-0000-0000-0000462D0000}"/>
    <cellStyle name="Data no deci 3 4 9 3 2" xfId="9939" xr:uid="{00000000-0005-0000-0000-0000472D0000}"/>
    <cellStyle name="Data no deci 3 4 9 4" xfId="9940" xr:uid="{00000000-0005-0000-0000-0000482D0000}"/>
    <cellStyle name="Data no deci 3 4 9 4 2" xfId="9941" xr:uid="{00000000-0005-0000-0000-0000492D0000}"/>
    <cellStyle name="Data no deci 3 4 9 5" xfId="9942" xr:uid="{00000000-0005-0000-0000-00004A2D0000}"/>
    <cellStyle name="Data no deci 3 4 9 5 2" xfId="9943" xr:uid="{00000000-0005-0000-0000-00004B2D0000}"/>
    <cellStyle name="Data no deci 3 4 9 6" xfId="9944" xr:uid="{00000000-0005-0000-0000-00004C2D0000}"/>
    <cellStyle name="Data no deci 3 4 9 6 2" xfId="9945" xr:uid="{00000000-0005-0000-0000-00004D2D0000}"/>
    <cellStyle name="Data no deci 3 4 9 7" xfId="9946" xr:uid="{00000000-0005-0000-0000-00004E2D0000}"/>
    <cellStyle name="Data no deci 3 4 9 7 2" xfId="9947" xr:uid="{00000000-0005-0000-0000-00004F2D0000}"/>
    <cellStyle name="Data no deci 3 4 9 8" xfId="9948" xr:uid="{00000000-0005-0000-0000-0000502D0000}"/>
    <cellStyle name="Data no deci 3 4 9 8 2" xfId="9949" xr:uid="{00000000-0005-0000-0000-0000512D0000}"/>
    <cellStyle name="Data no deci 3 4 9 9" xfId="9950" xr:uid="{00000000-0005-0000-0000-0000522D0000}"/>
    <cellStyle name="Data no deci 3 4 9 9 2" xfId="9951" xr:uid="{00000000-0005-0000-0000-0000532D0000}"/>
    <cellStyle name="Data no deci 3 5" xfId="9952" xr:uid="{00000000-0005-0000-0000-0000542D0000}"/>
    <cellStyle name="Data no deci 3 5 10" xfId="9953" xr:uid="{00000000-0005-0000-0000-0000552D0000}"/>
    <cellStyle name="Data no deci 3 5 10 2" xfId="9954" xr:uid="{00000000-0005-0000-0000-0000562D0000}"/>
    <cellStyle name="Data no deci 3 5 10 2 2" xfId="9955" xr:uid="{00000000-0005-0000-0000-0000572D0000}"/>
    <cellStyle name="Data no deci 3 5 10 3" xfId="9956" xr:uid="{00000000-0005-0000-0000-0000582D0000}"/>
    <cellStyle name="Data no deci 3 5 10 3 2" xfId="9957" xr:uid="{00000000-0005-0000-0000-0000592D0000}"/>
    <cellStyle name="Data no deci 3 5 10 4" xfId="9958" xr:uid="{00000000-0005-0000-0000-00005A2D0000}"/>
    <cellStyle name="Data no deci 3 5 10 4 2" xfId="9959" xr:uid="{00000000-0005-0000-0000-00005B2D0000}"/>
    <cellStyle name="Data no deci 3 5 10 5" xfId="9960" xr:uid="{00000000-0005-0000-0000-00005C2D0000}"/>
    <cellStyle name="Data no deci 3 5 10 5 2" xfId="9961" xr:uid="{00000000-0005-0000-0000-00005D2D0000}"/>
    <cellStyle name="Data no deci 3 5 10 6" xfId="9962" xr:uid="{00000000-0005-0000-0000-00005E2D0000}"/>
    <cellStyle name="Data no deci 3 5 10 6 2" xfId="9963" xr:uid="{00000000-0005-0000-0000-00005F2D0000}"/>
    <cellStyle name="Data no deci 3 5 10 7" xfId="9964" xr:uid="{00000000-0005-0000-0000-0000602D0000}"/>
    <cellStyle name="Data no deci 3 5 10 7 2" xfId="9965" xr:uid="{00000000-0005-0000-0000-0000612D0000}"/>
    <cellStyle name="Data no deci 3 5 10 8" xfId="9966" xr:uid="{00000000-0005-0000-0000-0000622D0000}"/>
    <cellStyle name="Data no deci 3 5 10 8 2" xfId="9967" xr:uid="{00000000-0005-0000-0000-0000632D0000}"/>
    <cellStyle name="Data no deci 3 5 10 9" xfId="9968" xr:uid="{00000000-0005-0000-0000-0000642D0000}"/>
    <cellStyle name="Data no deci 3 5 11" xfId="9969" xr:uid="{00000000-0005-0000-0000-0000652D0000}"/>
    <cellStyle name="Data no deci 3 5 11 2" xfId="9970" xr:uid="{00000000-0005-0000-0000-0000662D0000}"/>
    <cellStyle name="Data no deci 3 5 12" xfId="9971" xr:uid="{00000000-0005-0000-0000-0000672D0000}"/>
    <cellStyle name="Data no deci 3 5 12 2" xfId="9972" xr:uid="{00000000-0005-0000-0000-0000682D0000}"/>
    <cellStyle name="Data no deci 3 5 13" xfId="9973" xr:uid="{00000000-0005-0000-0000-0000692D0000}"/>
    <cellStyle name="Data no deci 3 5 13 2" xfId="9974" xr:uid="{00000000-0005-0000-0000-00006A2D0000}"/>
    <cellStyle name="Data no deci 3 5 14" xfId="9975" xr:uid="{00000000-0005-0000-0000-00006B2D0000}"/>
    <cellStyle name="Data no deci 3 5 14 2" xfId="9976" xr:uid="{00000000-0005-0000-0000-00006C2D0000}"/>
    <cellStyle name="Data no deci 3 5 15" xfId="9977" xr:uid="{00000000-0005-0000-0000-00006D2D0000}"/>
    <cellStyle name="Data no deci 3 5 15 2" xfId="9978" xr:uid="{00000000-0005-0000-0000-00006E2D0000}"/>
    <cellStyle name="Data no deci 3 5 16" xfId="9979" xr:uid="{00000000-0005-0000-0000-00006F2D0000}"/>
    <cellStyle name="Data no deci 3 5 16 2" xfId="9980" xr:uid="{00000000-0005-0000-0000-0000702D0000}"/>
    <cellStyle name="Data no deci 3 5 17" xfId="9981" xr:uid="{00000000-0005-0000-0000-0000712D0000}"/>
    <cellStyle name="Data no deci 3 5 17 2" xfId="9982" xr:uid="{00000000-0005-0000-0000-0000722D0000}"/>
    <cellStyle name="Data no deci 3 5 18" xfId="9983" xr:uid="{00000000-0005-0000-0000-0000732D0000}"/>
    <cellStyle name="Data no deci 3 5 2" xfId="9984" xr:uid="{00000000-0005-0000-0000-0000742D0000}"/>
    <cellStyle name="Data no deci 3 5 2 10" xfId="9985" xr:uid="{00000000-0005-0000-0000-0000752D0000}"/>
    <cellStyle name="Data no deci 3 5 2 2" xfId="9986" xr:uid="{00000000-0005-0000-0000-0000762D0000}"/>
    <cellStyle name="Data no deci 3 5 2 2 2" xfId="9987" xr:uid="{00000000-0005-0000-0000-0000772D0000}"/>
    <cellStyle name="Data no deci 3 5 2 3" xfId="9988" xr:uid="{00000000-0005-0000-0000-0000782D0000}"/>
    <cellStyle name="Data no deci 3 5 2 3 2" xfId="9989" xr:uid="{00000000-0005-0000-0000-0000792D0000}"/>
    <cellStyle name="Data no deci 3 5 2 4" xfId="9990" xr:uid="{00000000-0005-0000-0000-00007A2D0000}"/>
    <cellStyle name="Data no deci 3 5 2 4 2" xfId="9991" xr:uid="{00000000-0005-0000-0000-00007B2D0000}"/>
    <cellStyle name="Data no deci 3 5 2 5" xfId="9992" xr:uid="{00000000-0005-0000-0000-00007C2D0000}"/>
    <cellStyle name="Data no deci 3 5 2 5 2" xfId="9993" xr:uid="{00000000-0005-0000-0000-00007D2D0000}"/>
    <cellStyle name="Data no deci 3 5 2 6" xfId="9994" xr:uid="{00000000-0005-0000-0000-00007E2D0000}"/>
    <cellStyle name="Data no deci 3 5 2 6 2" xfId="9995" xr:uid="{00000000-0005-0000-0000-00007F2D0000}"/>
    <cellStyle name="Data no deci 3 5 2 7" xfId="9996" xr:uid="{00000000-0005-0000-0000-0000802D0000}"/>
    <cellStyle name="Data no deci 3 5 2 7 2" xfId="9997" xr:uid="{00000000-0005-0000-0000-0000812D0000}"/>
    <cellStyle name="Data no deci 3 5 2 8" xfId="9998" xr:uid="{00000000-0005-0000-0000-0000822D0000}"/>
    <cellStyle name="Data no deci 3 5 2 8 2" xfId="9999" xr:uid="{00000000-0005-0000-0000-0000832D0000}"/>
    <cellStyle name="Data no deci 3 5 2 9" xfId="10000" xr:uid="{00000000-0005-0000-0000-0000842D0000}"/>
    <cellStyle name="Data no deci 3 5 2 9 2" xfId="10001" xr:uid="{00000000-0005-0000-0000-0000852D0000}"/>
    <cellStyle name="Data no deci 3 5 3" xfId="10002" xr:uid="{00000000-0005-0000-0000-0000862D0000}"/>
    <cellStyle name="Data no deci 3 5 3 10" xfId="10003" xr:uid="{00000000-0005-0000-0000-0000872D0000}"/>
    <cellStyle name="Data no deci 3 5 3 2" xfId="10004" xr:uid="{00000000-0005-0000-0000-0000882D0000}"/>
    <cellStyle name="Data no deci 3 5 3 2 2" xfId="10005" xr:uid="{00000000-0005-0000-0000-0000892D0000}"/>
    <cellStyle name="Data no deci 3 5 3 3" xfId="10006" xr:uid="{00000000-0005-0000-0000-00008A2D0000}"/>
    <cellStyle name="Data no deci 3 5 3 3 2" xfId="10007" xr:uid="{00000000-0005-0000-0000-00008B2D0000}"/>
    <cellStyle name="Data no deci 3 5 3 4" xfId="10008" xr:uid="{00000000-0005-0000-0000-00008C2D0000}"/>
    <cellStyle name="Data no deci 3 5 3 4 2" xfId="10009" xr:uid="{00000000-0005-0000-0000-00008D2D0000}"/>
    <cellStyle name="Data no deci 3 5 3 5" xfId="10010" xr:uid="{00000000-0005-0000-0000-00008E2D0000}"/>
    <cellStyle name="Data no deci 3 5 3 5 2" xfId="10011" xr:uid="{00000000-0005-0000-0000-00008F2D0000}"/>
    <cellStyle name="Data no deci 3 5 3 6" xfId="10012" xr:uid="{00000000-0005-0000-0000-0000902D0000}"/>
    <cellStyle name="Data no deci 3 5 3 6 2" xfId="10013" xr:uid="{00000000-0005-0000-0000-0000912D0000}"/>
    <cellStyle name="Data no deci 3 5 3 7" xfId="10014" xr:uid="{00000000-0005-0000-0000-0000922D0000}"/>
    <cellStyle name="Data no deci 3 5 3 7 2" xfId="10015" xr:uid="{00000000-0005-0000-0000-0000932D0000}"/>
    <cellStyle name="Data no deci 3 5 3 8" xfId="10016" xr:uid="{00000000-0005-0000-0000-0000942D0000}"/>
    <cellStyle name="Data no deci 3 5 3 8 2" xfId="10017" xr:uid="{00000000-0005-0000-0000-0000952D0000}"/>
    <cellStyle name="Data no deci 3 5 3 9" xfId="10018" xr:uid="{00000000-0005-0000-0000-0000962D0000}"/>
    <cellStyle name="Data no deci 3 5 3 9 2" xfId="10019" xr:uid="{00000000-0005-0000-0000-0000972D0000}"/>
    <cellStyle name="Data no deci 3 5 4" xfId="10020" xr:uid="{00000000-0005-0000-0000-0000982D0000}"/>
    <cellStyle name="Data no deci 3 5 4 10" xfId="10021" xr:uid="{00000000-0005-0000-0000-0000992D0000}"/>
    <cellStyle name="Data no deci 3 5 4 2" xfId="10022" xr:uid="{00000000-0005-0000-0000-00009A2D0000}"/>
    <cellStyle name="Data no deci 3 5 4 2 2" xfId="10023" xr:uid="{00000000-0005-0000-0000-00009B2D0000}"/>
    <cellStyle name="Data no deci 3 5 4 3" xfId="10024" xr:uid="{00000000-0005-0000-0000-00009C2D0000}"/>
    <cellStyle name="Data no deci 3 5 4 3 2" xfId="10025" xr:uid="{00000000-0005-0000-0000-00009D2D0000}"/>
    <cellStyle name="Data no deci 3 5 4 4" xfId="10026" xr:uid="{00000000-0005-0000-0000-00009E2D0000}"/>
    <cellStyle name="Data no deci 3 5 4 4 2" xfId="10027" xr:uid="{00000000-0005-0000-0000-00009F2D0000}"/>
    <cellStyle name="Data no deci 3 5 4 5" xfId="10028" xr:uid="{00000000-0005-0000-0000-0000A02D0000}"/>
    <cellStyle name="Data no deci 3 5 4 5 2" xfId="10029" xr:uid="{00000000-0005-0000-0000-0000A12D0000}"/>
    <cellStyle name="Data no deci 3 5 4 6" xfId="10030" xr:uid="{00000000-0005-0000-0000-0000A22D0000}"/>
    <cellStyle name="Data no deci 3 5 4 6 2" xfId="10031" xr:uid="{00000000-0005-0000-0000-0000A32D0000}"/>
    <cellStyle name="Data no deci 3 5 4 7" xfId="10032" xr:uid="{00000000-0005-0000-0000-0000A42D0000}"/>
    <cellStyle name="Data no deci 3 5 4 7 2" xfId="10033" xr:uid="{00000000-0005-0000-0000-0000A52D0000}"/>
    <cellStyle name="Data no deci 3 5 4 8" xfId="10034" xr:uid="{00000000-0005-0000-0000-0000A62D0000}"/>
    <cellStyle name="Data no deci 3 5 4 8 2" xfId="10035" xr:uid="{00000000-0005-0000-0000-0000A72D0000}"/>
    <cellStyle name="Data no deci 3 5 4 9" xfId="10036" xr:uid="{00000000-0005-0000-0000-0000A82D0000}"/>
    <cellStyle name="Data no deci 3 5 4 9 2" xfId="10037" xr:uid="{00000000-0005-0000-0000-0000A92D0000}"/>
    <cellStyle name="Data no deci 3 5 5" xfId="10038" xr:uid="{00000000-0005-0000-0000-0000AA2D0000}"/>
    <cellStyle name="Data no deci 3 5 5 10" xfId="10039" xr:uid="{00000000-0005-0000-0000-0000AB2D0000}"/>
    <cellStyle name="Data no deci 3 5 5 2" xfId="10040" xr:uid="{00000000-0005-0000-0000-0000AC2D0000}"/>
    <cellStyle name="Data no deci 3 5 5 2 2" xfId="10041" xr:uid="{00000000-0005-0000-0000-0000AD2D0000}"/>
    <cellStyle name="Data no deci 3 5 5 3" xfId="10042" xr:uid="{00000000-0005-0000-0000-0000AE2D0000}"/>
    <cellStyle name="Data no deci 3 5 5 3 2" xfId="10043" xr:uid="{00000000-0005-0000-0000-0000AF2D0000}"/>
    <cellStyle name="Data no deci 3 5 5 4" xfId="10044" xr:uid="{00000000-0005-0000-0000-0000B02D0000}"/>
    <cellStyle name="Data no deci 3 5 5 4 2" xfId="10045" xr:uid="{00000000-0005-0000-0000-0000B12D0000}"/>
    <cellStyle name="Data no deci 3 5 5 5" xfId="10046" xr:uid="{00000000-0005-0000-0000-0000B22D0000}"/>
    <cellStyle name="Data no deci 3 5 5 5 2" xfId="10047" xr:uid="{00000000-0005-0000-0000-0000B32D0000}"/>
    <cellStyle name="Data no deci 3 5 5 6" xfId="10048" xr:uid="{00000000-0005-0000-0000-0000B42D0000}"/>
    <cellStyle name="Data no deci 3 5 5 6 2" xfId="10049" xr:uid="{00000000-0005-0000-0000-0000B52D0000}"/>
    <cellStyle name="Data no deci 3 5 5 7" xfId="10050" xr:uid="{00000000-0005-0000-0000-0000B62D0000}"/>
    <cellStyle name="Data no deci 3 5 5 7 2" xfId="10051" xr:uid="{00000000-0005-0000-0000-0000B72D0000}"/>
    <cellStyle name="Data no deci 3 5 5 8" xfId="10052" xr:uid="{00000000-0005-0000-0000-0000B82D0000}"/>
    <cellStyle name="Data no deci 3 5 5 8 2" xfId="10053" xr:uid="{00000000-0005-0000-0000-0000B92D0000}"/>
    <cellStyle name="Data no deci 3 5 5 9" xfId="10054" xr:uid="{00000000-0005-0000-0000-0000BA2D0000}"/>
    <cellStyle name="Data no deci 3 5 5 9 2" xfId="10055" xr:uid="{00000000-0005-0000-0000-0000BB2D0000}"/>
    <cellStyle name="Data no deci 3 5 6" xfId="10056" xr:uid="{00000000-0005-0000-0000-0000BC2D0000}"/>
    <cellStyle name="Data no deci 3 5 6 10" xfId="10057" xr:uid="{00000000-0005-0000-0000-0000BD2D0000}"/>
    <cellStyle name="Data no deci 3 5 6 2" xfId="10058" xr:uid="{00000000-0005-0000-0000-0000BE2D0000}"/>
    <cellStyle name="Data no deci 3 5 6 2 2" xfId="10059" xr:uid="{00000000-0005-0000-0000-0000BF2D0000}"/>
    <cellStyle name="Data no deci 3 5 6 3" xfId="10060" xr:uid="{00000000-0005-0000-0000-0000C02D0000}"/>
    <cellStyle name="Data no deci 3 5 6 3 2" xfId="10061" xr:uid="{00000000-0005-0000-0000-0000C12D0000}"/>
    <cellStyle name="Data no deci 3 5 6 4" xfId="10062" xr:uid="{00000000-0005-0000-0000-0000C22D0000}"/>
    <cellStyle name="Data no deci 3 5 6 4 2" xfId="10063" xr:uid="{00000000-0005-0000-0000-0000C32D0000}"/>
    <cellStyle name="Data no deci 3 5 6 5" xfId="10064" xr:uid="{00000000-0005-0000-0000-0000C42D0000}"/>
    <cellStyle name="Data no deci 3 5 6 5 2" xfId="10065" xr:uid="{00000000-0005-0000-0000-0000C52D0000}"/>
    <cellStyle name="Data no deci 3 5 6 6" xfId="10066" xr:uid="{00000000-0005-0000-0000-0000C62D0000}"/>
    <cellStyle name="Data no deci 3 5 6 6 2" xfId="10067" xr:uid="{00000000-0005-0000-0000-0000C72D0000}"/>
    <cellStyle name="Data no deci 3 5 6 7" xfId="10068" xr:uid="{00000000-0005-0000-0000-0000C82D0000}"/>
    <cellStyle name="Data no deci 3 5 6 7 2" xfId="10069" xr:uid="{00000000-0005-0000-0000-0000C92D0000}"/>
    <cellStyle name="Data no deci 3 5 6 8" xfId="10070" xr:uid="{00000000-0005-0000-0000-0000CA2D0000}"/>
    <cellStyle name="Data no deci 3 5 6 8 2" xfId="10071" xr:uid="{00000000-0005-0000-0000-0000CB2D0000}"/>
    <cellStyle name="Data no deci 3 5 6 9" xfId="10072" xr:uid="{00000000-0005-0000-0000-0000CC2D0000}"/>
    <cellStyle name="Data no deci 3 5 6 9 2" xfId="10073" xr:uid="{00000000-0005-0000-0000-0000CD2D0000}"/>
    <cellStyle name="Data no deci 3 5 7" xfId="10074" xr:uid="{00000000-0005-0000-0000-0000CE2D0000}"/>
    <cellStyle name="Data no deci 3 5 7 10" xfId="10075" xr:uid="{00000000-0005-0000-0000-0000CF2D0000}"/>
    <cellStyle name="Data no deci 3 5 7 2" xfId="10076" xr:uid="{00000000-0005-0000-0000-0000D02D0000}"/>
    <cellStyle name="Data no deci 3 5 7 2 2" xfId="10077" xr:uid="{00000000-0005-0000-0000-0000D12D0000}"/>
    <cellStyle name="Data no deci 3 5 7 3" xfId="10078" xr:uid="{00000000-0005-0000-0000-0000D22D0000}"/>
    <cellStyle name="Data no deci 3 5 7 3 2" xfId="10079" xr:uid="{00000000-0005-0000-0000-0000D32D0000}"/>
    <cellStyle name="Data no deci 3 5 7 4" xfId="10080" xr:uid="{00000000-0005-0000-0000-0000D42D0000}"/>
    <cellStyle name="Data no deci 3 5 7 4 2" xfId="10081" xr:uid="{00000000-0005-0000-0000-0000D52D0000}"/>
    <cellStyle name="Data no deci 3 5 7 5" xfId="10082" xr:uid="{00000000-0005-0000-0000-0000D62D0000}"/>
    <cellStyle name="Data no deci 3 5 7 5 2" xfId="10083" xr:uid="{00000000-0005-0000-0000-0000D72D0000}"/>
    <cellStyle name="Data no deci 3 5 7 6" xfId="10084" xr:uid="{00000000-0005-0000-0000-0000D82D0000}"/>
    <cellStyle name="Data no deci 3 5 7 6 2" xfId="10085" xr:uid="{00000000-0005-0000-0000-0000D92D0000}"/>
    <cellStyle name="Data no deci 3 5 7 7" xfId="10086" xr:uid="{00000000-0005-0000-0000-0000DA2D0000}"/>
    <cellStyle name="Data no deci 3 5 7 7 2" xfId="10087" xr:uid="{00000000-0005-0000-0000-0000DB2D0000}"/>
    <cellStyle name="Data no deci 3 5 7 8" xfId="10088" xr:uid="{00000000-0005-0000-0000-0000DC2D0000}"/>
    <cellStyle name="Data no deci 3 5 7 8 2" xfId="10089" xr:uid="{00000000-0005-0000-0000-0000DD2D0000}"/>
    <cellStyle name="Data no deci 3 5 7 9" xfId="10090" xr:uid="{00000000-0005-0000-0000-0000DE2D0000}"/>
    <cellStyle name="Data no deci 3 5 7 9 2" xfId="10091" xr:uid="{00000000-0005-0000-0000-0000DF2D0000}"/>
    <cellStyle name="Data no deci 3 5 8" xfId="10092" xr:uid="{00000000-0005-0000-0000-0000E02D0000}"/>
    <cellStyle name="Data no deci 3 5 8 10" xfId="10093" xr:uid="{00000000-0005-0000-0000-0000E12D0000}"/>
    <cellStyle name="Data no deci 3 5 8 2" xfId="10094" xr:uid="{00000000-0005-0000-0000-0000E22D0000}"/>
    <cellStyle name="Data no deci 3 5 8 2 2" xfId="10095" xr:uid="{00000000-0005-0000-0000-0000E32D0000}"/>
    <cellStyle name="Data no deci 3 5 8 3" xfId="10096" xr:uid="{00000000-0005-0000-0000-0000E42D0000}"/>
    <cellStyle name="Data no deci 3 5 8 3 2" xfId="10097" xr:uid="{00000000-0005-0000-0000-0000E52D0000}"/>
    <cellStyle name="Data no deci 3 5 8 4" xfId="10098" xr:uid="{00000000-0005-0000-0000-0000E62D0000}"/>
    <cellStyle name="Data no deci 3 5 8 4 2" xfId="10099" xr:uid="{00000000-0005-0000-0000-0000E72D0000}"/>
    <cellStyle name="Data no deci 3 5 8 5" xfId="10100" xr:uid="{00000000-0005-0000-0000-0000E82D0000}"/>
    <cellStyle name="Data no deci 3 5 8 5 2" xfId="10101" xr:uid="{00000000-0005-0000-0000-0000E92D0000}"/>
    <cellStyle name="Data no deci 3 5 8 6" xfId="10102" xr:uid="{00000000-0005-0000-0000-0000EA2D0000}"/>
    <cellStyle name="Data no deci 3 5 8 6 2" xfId="10103" xr:uid="{00000000-0005-0000-0000-0000EB2D0000}"/>
    <cellStyle name="Data no deci 3 5 8 7" xfId="10104" xr:uid="{00000000-0005-0000-0000-0000EC2D0000}"/>
    <cellStyle name="Data no deci 3 5 8 7 2" xfId="10105" xr:uid="{00000000-0005-0000-0000-0000ED2D0000}"/>
    <cellStyle name="Data no deci 3 5 8 8" xfId="10106" xr:uid="{00000000-0005-0000-0000-0000EE2D0000}"/>
    <cellStyle name="Data no deci 3 5 8 8 2" xfId="10107" xr:uid="{00000000-0005-0000-0000-0000EF2D0000}"/>
    <cellStyle name="Data no deci 3 5 8 9" xfId="10108" xr:uid="{00000000-0005-0000-0000-0000F02D0000}"/>
    <cellStyle name="Data no deci 3 5 8 9 2" xfId="10109" xr:uid="{00000000-0005-0000-0000-0000F12D0000}"/>
    <cellStyle name="Data no deci 3 5 9" xfId="10110" xr:uid="{00000000-0005-0000-0000-0000F22D0000}"/>
    <cellStyle name="Data no deci 3 5 9 10" xfId="10111" xr:uid="{00000000-0005-0000-0000-0000F32D0000}"/>
    <cellStyle name="Data no deci 3 5 9 2" xfId="10112" xr:uid="{00000000-0005-0000-0000-0000F42D0000}"/>
    <cellStyle name="Data no deci 3 5 9 2 2" xfId="10113" xr:uid="{00000000-0005-0000-0000-0000F52D0000}"/>
    <cellStyle name="Data no deci 3 5 9 3" xfId="10114" xr:uid="{00000000-0005-0000-0000-0000F62D0000}"/>
    <cellStyle name="Data no deci 3 5 9 3 2" xfId="10115" xr:uid="{00000000-0005-0000-0000-0000F72D0000}"/>
    <cellStyle name="Data no deci 3 5 9 4" xfId="10116" xr:uid="{00000000-0005-0000-0000-0000F82D0000}"/>
    <cellStyle name="Data no deci 3 5 9 4 2" xfId="10117" xr:uid="{00000000-0005-0000-0000-0000F92D0000}"/>
    <cellStyle name="Data no deci 3 5 9 5" xfId="10118" xr:uid="{00000000-0005-0000-0000-0000FA2D0000}"/>
    <cellStyle name="Data no deci 3 5 9 5 2" xfId="10119" xr:uid="{00000000-0005-0000-0000-0000FB2D0000}"/>
    <cellStyle name="Data no deci 3 5 9 6" xfId="10120" xr:uid="{00000000-0005-0000-0000-0000FC2D0000}"/>
    <cellStyle name="Data no deci 3 5 9 6 2" xfId="10121" xr:uid="{00000000-0005-0000-0000-0000FD2D0000}"/>
    <cellStyle name="Data no deci 3 5 9 7" xfId="10122" xr:uid="{00000000-0005-0000-0000-0000FE2D0000}"/>
    <cellStyle name="Data no deci 3 5 9 7 2" xfId="10123" xr:uid="{00000000-0005-0000-0000-0000FF2D0000}"/>
    <cellStyle name="Data no deci 3 5 9 8" xfId="10124" xr:uid="{00000000-0005-0000-0000-0000002E0000}"/>
    <cellStyle name="Data no deci 3 5 9 8 2" xfId="10125" xr:uid="{00000000-0005-0000-0000-0000012E0000}"/>
    <cellStyle name="Data no deci 3 5 9 9" xfId="10126" xr:uid="{00000000-0005-0000-0000-0000022E0000}"/>
    <cellStyle name="Data no deci 3 5 9 9 2" xfId="10127" xr:uid="{00000000-0005-0000-0000-0000032E0000}"/>
    <cellStyle name="Data no deci 3 6" xfId="10128" xr:uid="{00000000-0005-0000-0000-0000042E0000}"/>
    <cellStyle name="Data no deci 3 6 10" xfId="10129" xr:uid="{00000000-0005-0000-0000-0000052E0000}"/>
    <cellStyle name="Data no deci 3 6 10 2" xfId="10130" xr:uid="{00000000-0005-0000-0000-0000062E0000}"/>
    <cellStyle name="Data no deci 3 6 10 2 2" xfId="10131" xr:uid="{00000000-0005-0000-0000-0000072E0000}"/>
    <cellStyle name="Data no deci 3 6 10 3" xfId="10132" xr:uid="{00000000-0005-0000-0000-0000082E0000}"/>
    <cellStyle name="Data no deci 3 6 10 3 2" xfId="10133" xr:uid="{00000000-0005-0000-0000-0000092E0000}"/>
    <cellStyle name="Data no deci 3 6 10 4" xfId="10134" xr:uid="{00000000-0005-0000-0000-00000A2E0000}"/>
    <cellStyle name="Data no deci 3 6 10 4 2" xfId="10135" xr:uid="{00000000-0005-0000-0000-00000B2E0000}"/>
    <cellStyle name="Data no deci 3 6 10 5" xfId="10136" xr:uid="{00000000-0005-0000-0000-00000C2E0000}"/>
    <cellStyle name="Data no deci 3 6 10 5 2" xfId="10137" xr:uid="{00000000-0005-0000-0000-00000D2E0000}"/>
    <cellStyle name="Data no deci 3 6 10 6" xfId="10138" xr:uid="{00000000-0005-0000-0000-00000E2E0000}"/>
    <cellStyle name="Data no deci 3 6 10 6 2" xfId="10139" xr:uid="{00000000-0005-0000-0000-00000F2E0000}"/>
    <cellStyle name="Data no deci 3 6 10 7" xfId="10140" xr:uid="{00000000-0005-0000-0000-0000102E0000}"/>
    <cellStyle name="Data no deci 3 6 10 7 2" xfId="10141" xr:uid="{00000000-0005-0000-0000-0000112E0000}"/>
    <cellStyle name="Data no deci 3 6 10 8" xfId="10142" xr:uid="{00000000-0005-0000-0000-0000122E0000}"/>
    <cellStyle name="Data no deci 3 6 10 8 2" xfId="10143" xr:uid="{00000000-0005-0000-0000-0000132E0000}"/>
    <cellStyle name="Data no deci 3 6 10 9" xfId="10144" xr:uid="{00000000-0005-0000-0000-0000142E0000}"/>
    <cellStyle name="Data no deci 3 6 11" xfId="10145" xr:uid="{00000000-0005-0000-0000-0000152E0000}"/>
    <cellStyle name="Data no deci 3 6 11 2" xfId="10146" xr:uid="{00000000-0005-0000-0000-0000162E0000}"/>
    <cellStyle name="Data no deci 3 6 12" xfId="10147" xr:uid="{00000000-0005-0000-0000-0000172E0000}"/>
    <cellStyle name="Data no deci 3 6 12 2" xfId="10148" xr:uid="{00000000-0005-0000-0000-0000182E0000}"/>
    <cellStyle name="Data no deci 3 6 13" xfId="10149" xr:uid="{00000000-0005-0000-0000-0000192E0000}"/>
    <cellStyle name="Data no deci 3 6 13 2" xfId="10150" xr:uid="{00000000-0005-0000-0000-00001A2E0000}"/>
    <cellStyle name="Data no deci 3 6 14" xfId="10151" xr:uid="{00000000-0005-0000-0000-00001B2E0000}"/>
    <cellStyle name="Data no deci 3 6 14 2" xfId="10152" xr:uid="{00000000-0005-0000-0000-00001C2E0000}"/>
    <cellStyle name="Data no deci 3 6 15" xfId="10153" xr:uid="{00000000-0005-0000-0000-00001D2E0000}"/>
    <cellStyle name="Data no deci 3 6 15 2" xfId="10154" xr:uid="{00000000-0005-0000-0000-00001E2E0000}"/>
    <cellStyle name="Data no deci 3 6 16" xfId="10155" xr:uid="{00000000-0005-0000-0000-00001F2E0000}"/>
    <cellStyle name="Data no deci 3 6 16 2" xfId="10156" xr:uid="{00000000-0005-0000-0000-0000202E0000}"/>
    <cellStyle name="Data no deci 3 6 17" xfId="10157" xr:uid="{00000000-0005-0000-0000-0000212E0000}"/>
    <cellStyle name="Data no deci 3 6 17 2" xfId="10158" xr:uid="{00000000-0005-0000-0000-0000222E0000}"/>
    <cellStyle name="Data no deci 3 6 18" xfId="10159" xr:uid="{00000000-0005-0000-0000-0000232E0000}"/>
    <cellStyle name="Data no deci 3 6 2" xfId="10160" xr:uid="{00000000-0005-0000-0000-0000242E0000}"/>
    <cellStyle name="Data no deci 3 6 2 10" xfId="10161" xr:uid="{00000000-0005-0000-0000-0000252E0000}"/>
    <cellStyle name="Data no deci 3 6 2 2" xfId="10162" xr:uid="{00000000-0005-0000-0000-0000262E0000}"/>
    <cellStyle name="Data no deci 3 6 2 2 2" xfId="10163" xr:uid="{00000000-0005-0000-0000-0000272E0000}"/>
    <cellStyle name="Data no deci 3 6 2 3" xfId="10164" xr:uid="{00000000-0005-0000-0000-0000282E0000}"/>
    <cellStyle name="Data no deci 3 6 2 3 2" xfId="10165" xr:uid="{00000000-0005-0000-0000-0000292E0000}"/>
    <cellStyle name="Data no deci 3 6 2 4" xfId="10166" xr:uid="{00000000-0005-0000-0000-00002A2E0000}"/>
    <cellStyle name="Data no deci 3 6 2 4 2" xfId="10167" xr:uid="{00000000-0005-0000-0000-00002B2E0000}"/>
    <cellStyle name="Data no deci 3 6 2 5" xfId="10168" xr:uid="{00000000-0005-0000-0000-00002C2E0000}"/>
    <cellStyle name="Data no deci 3 6 2 5 2" xfId="10169" xr:uid="{00000000-0005-0000-0000-00002D2E0000}"/>
    <cellStyle name="Data no deci 3 6 2 6" xfId="10170" xr:uid="{00000000-0005-0000-0000-00002E2E0000}"/>
    <cellStyle name="Data no deci 3 6 2 6 2" xfId="10171" xr:uid="{00000000-0005-0000-0000-00002F2E0000}"/>
    <cellStyle name="Data no deci 3 6 2 7" xfId="10172" xr:uid="{00000000-0005-0000-0000-0000302E0000}"/>
    <cellStyle name="Data no deci 3 6 2 7 2" xfId="10173" xr:uid="{00000000-0005-0000-0000-0000312E0000}"/>
    <cellStyle name="Data no deci 3 6 2 8" xfId="10174" xr:uid="{00000000-0005-0000-0000-0000322E0000}"/>
    <cellStyle name="Data no deci 3 6 2 8 2" xfId="10175" xr:uid="{00000000-0005-0000-0000-0000332E0000}"/>
    <cellStyle name="Data no deci 3 6 2 9" xfId="10176" xr:uid="{00000000-0005-0000-0000-0000342E0000}"/>
    <cellStyle name="Data no deci 3 6 2 9 2" xfId="10177" xr:uid="{00000000-0005-0000-0000-0000352E0000}"/>
    <cellStyle name="Data no deci 3 6 3" xfId="10178" xr:uid="{00000000-0005-0000-0000-0000362E0000}"/>
    <cellStyle name="Data no deci 3 6 3 10" xfId="10179" xr:uid="{00000000-0005-0000-0000-0000372E0000}"/>
    <cellStyle name="Data no deci 3 6 3 2" xfId="10180" xr:uid="{00000000-0005-0000-0000-0000382E0000}"/>
    <cellStyle name="Data no deci 3 6 3 2 2" xfId="10181" xr:uid="{00000000-0005-0000-0000-0000392E0000}"/>
    <cellStyle name="Data no deci 3 6 3 3" xfId="10182" xr:uid="{00000000-0005-0000-0000-00003A2E0000}"/>
    <cellStyle name="Data no deci 3 6 3 3 2" xfId="10183" xr:uid="{00000000-0005-0000-0000-00003B2E0000}"/>
    <cellStyle name="Data no deci 3 6 3 4" xfId="10184" xr:uid="{00000000-0005-0000-0000-00003C2E0000}"/>
    <cellStyle name="Data no deci 3 6 3 4 2" xfId="10185" xr:uid="{00000000-0005-0000-0000-00003D2E0000}"/>
    <cellStyle name="Data no deci 3 6 3 5" xfId="10186" xr:uid="{00000000-0005-0000-0000-00003E2E0000}"/>
    <cellStyle name="Data no deci 3 6 3 5 2" xfId="10187" xr:uid="{00000000-0005-0000-0000-00003F2E0000}"/>
    <cellStyle name="Data no deci 3 6 3 6" xfId="10188" xr:uid="{00000000-0005-0000-0000-0000402E0000}"/>
    <cellStyle name="Data no deci 3 6 3 6 2" xfId="10189" xr:uid="{00000000-0005-0000-0000-0000412E0000}"/>
    <cellStyle name="Data no deci 3 6 3 7" xfId="10190" xr:uid="{00000000-0005-0000-0000-0000422E0000}"/>
    <cellStyle name="Data no deci 3 6 3 7 2" xfId="10191" xr:uid="{00000000-0005-0000-0000-0000432E0000}"/>
    <cellStyle name="Data no deci 3 6 3 8" xfId="10192" xr:uid="{00000000-0005-0000-0000-0000442E0000}"/>
    <cellStyle name="Data no deci 3 6 3 8 2" xfId="10193" xr:uid="{00000000-0005-0000-0000-0000452E0000}"/>
    <cellStyle name="Data no deci 3 6 3 9" xfId="10194" xr:uid="{00000000-0005-0000-0000-0000462E0000}"/>
    <cellStyle name="Data no deci 3 6 3 9 2" xfId="10195" xr:uid="{00000000-0005-0000-0000-0000472E0000}"/>
    <cellStyle name="Data no deci 3 6 4" xfId="10196" xr:uid="{00000000-0005-0000-0000-0000482E0000}"/>
    <cellStyle name="Data no deci 3 6 4 10" xfId="10197" xr:uid="{00000000-0005-0000-0000-0000492E0000}"/>
    <cellStyle name="Data no deci 3 6 4 2" xfId="10198" xr:uid="{00000000-0005-0000-0000-00004A2E0000}"/>
    <cellStyle name="Data no deci 3 6 4 2 2" xfId="10199" xr:uid="{00000000-0005-0000-0000-00004B2E0000}"/>
    <cellStyle name="Data no deci 3 6 4 3" xfId="10200" xr:uid="{00000000-0005-0000-0000-00004C2E0000}"/>
    <cellStyle name="Data no deci 3 6 4 3 2" xfId="10201" xr:uid="{00000000-0005-0000-0000-00004D2E0000}"/>
    <cellStyle name="Data no deci 3 6 4 4" xfId="10202" xr:uid="{00000000-0005-0000-0000-00004E2E0000}"/>
    <cellStyle name="Data no deci 3 6 4 4 2" xfId="10203" xr:uid="{00000000-0005-0000-0000-00004F2E0000}"/>
    <cellStyle name="Data no deci 3 6 4 5" xfId="10204" xr:uid="{00000000-0005-0000-0000-0000502E0000}"/>
    <cellStyle name="Data no deci 3 6 4 5 2" xfId="10205" xr:uid="{00000000-0005-0000-0000-0000512E0000}"/>
    <cellStyle name="Data no deci 3 6 4 6" xfId="10206" xr:uid="{00000000-0005-0000-0000-0000522E0000}"/>
    <cellStyle name="Data no deci 3 6 4 6 2" xfId="10207" xr:uid="{00000000-0005-0000-0000-0000532E0000}"/>
    <cellStyle name="Data no deci 3 6 4 7" xfId="10208" xr:uid="{00000000-0005-0000-0000-0000542E0000}"/>
    <cellStyle name="Data no deci 3 6 4 7 2" xfId="10209" xr:uid="{00000000-0005-0000-0000-0000552E0000}"/>
    <cellStyle name="Data no deci 3 6 4 8" xfId="10210" xr:uid="{00000000-0005-0000-0000-0000562E0000}"/>
    <cellStyle name="Data no deci 3 6 4 8 2" xfId="10211" xr:uid="{00000000-0005-0000-0000-0000572E0000}"/>
    <cellStyle name="Data no deci 3 6 4 9" xfId="10212" xr:uid="{00000000-0005-0000-0000-0000582E0000}"/>
    <cellStyle name="Data no deci 3 6 4 9 2" xfId="10213" xr:uid="{00000000-0005-0000-0000-0000592E0000}"/>
    <cellStyle name="Data no deci 3 6 5" xfId="10214" xr:uid="{00000000-0005-0000-0000-00005A2E0000}"/>
    <cellStyle name="Data no deci 3 6 5 10" xfId="10215" xr:uid="{00000000-0005-0000-0000-00005B2E0000}"/>
    <cellStyle name="Data no deci 3 6 5 2" xfId="10216" xr:uid="{00000000-0005-0000-0000-00005C2E0000}"/>
    <cellStyle name="Data no deci 3 6 5 2 2" xfId="10217" xr:uid="{00000000-0005-0000-0000-00005D2E0000}"/>
    <cellStyle name="Data no deci 3 6 5 3" xfId="10218" xr:uid="{00000000-0005-0000-0000-00005E2E0000}"/>
    <cellStyle name="Data no deci 3 6 5 3 2" xfId="10219" xr:uid="{00000000-0005-0000-0000-00005F2E0000}"/>
    <cellStyle name="Data no deci 3 6 5 4" xfId="10220" xr:uid="{00000000-0005-0000-0000-0000602E0000}"/>
    <cellStyle name="Data no deci 3 6 5 4 2" xfId="10221" xr:uid="{00000000-0005-0000-0000-0000612E0000}"/>
    <cellStyle name="Data no deci 3 6 5 5" xfId="10222" xr:uid="{00000000-0005-0000-0000-0000622E0000}"/>
    <cellStyle name="Data no deci 3 6 5 5 2" xfId="10223" xr:uid="{00000000-0005-0000-0000-0000632E0000}"/>
    <cellStyle name="Data no deci 3 6 5 6" xfId="10224" xr:uid="{00000000-0005-0000-0000-0000642E0000}"/>
    <cellStyle name="Data no deci 3 6 5 6 2" xfId="10225" xr:uid="{00000000-0005-0000-0000-0000652E0000}"/>
    <cellStyle name="Data no deci 3 6 5 7" xfId="10226" xr:uid="{00000000-0005-0000-0000-0000662E0000}"/>
    <cellStyle name="Data no deci 3 6 5 7 2" xfId="10227" xr:uid="{00000000-0005-0000-0000-0000672E0000}"/>
    <cellStyle name="Data no deci 3 6 5 8" xfId="10228" xr:uid="{00000000-0005-0000-0000-0000682E0000}"/>
    <cellStyle name="Data no deci 3 6 5 8 2" xfId="10229" xr:uid="{00000000-0005-0000-0000-0000692E0000}"/>
    <cellStyle name="Data no deci 3 6 5 9" xfId="10230" xr:uid="{00000000-0005-0000-0000-00006A2E0000}"/>
    <cellStyle name="Data no deci 3 6 5 9 2" xfId="10231" xr:uid="{00000000-0005-0000-0000-00006B2E0000}"/>
    <cellStyle name="Data no deci 3 6 6" xfId="10232" xr:uid="{00000000-0005-0000-0000-00006C2E0000}"/>
    <cellStyle name="Data no deci 3 6 6 10" xfId="10233" xr:uid="{00000000-0005-0000-0000-00006D2E0000}"/>
    <cellStyle name="Data no deci 3 6 6 2" xfId="10234" xr:uid="{00000000-0005-0000-0000-00006E2E0000}"/>
    <cellStyle name="Data no deci 3 6 6 2 2" xfId="10235" xr:uid="{00000000-0005-0000-0000-00006F2E0000}"/>
    <cellStyle name="Data no deci 3 6 6 3" xfId="10236" xr:uid="{00000000-0005-0000-0000-0000702E0000}"/>
    <cellStyle name="Data no deci 3 6 6 3 2" xfId="10237" xr:uid="{00000000-0005-0000-0000-0000712E0000}"/>
    <cellStyle name="Data no deci 3 6 6 4" xfId="10238" xr:uid="{00000000-0005-0000-0000-0000722E0000}"/>
    <cellStyle name="Data no deci 3 6 6 4 2" xfId="10239" xr:uid="{00000000-0005-0000-0000-0000732E0000}"/>
    <cellStyle name="Data no deci 3 6 6 5" xfId="10240" xr:uid="{00000000-0005-0000-0000-0000742E0000}"/>
    <cellStyle name="Data no deci 3 6 6 5 2" xfId="10241" xr:uid="{00000000-0005-0000-0000-0000752E0000}"/>
    <cellStyle name="Data no deci 3 6 6 6" xfId="10242" xr:uid="{00000000-0005-0000-0000-0000762E0000}"/>
    <cellStyle name="Data no deci 3 6 6 6 2" xfId="10243" xr:uid="{00000000-0005-0000-0000-0000772E0000}"/>
    <cellStyle name="Data no deci 3 6 6 7" xfId="10244" xr:uid="{00000000-0005-0000-0000-0000782E0000}"/>
    <cellStyle name="Data no deci 3 6 6 7 2" xfId="10245" xr:uid="{00000000-0005-0000-0000-0000792E0000}"/>
    <cellStyle name="Data no deci 3 6 6 8" xfId="10246" xr:uid="{00000000-0005-0000-0000-00007A2E0000}"/>
    <cellStyle name="Data no deci 3 6 6 8 2" xfId="10247" xr:uid="{00000000-0005-0000-0000-00007B2E0000}"/>
    <cellStyle name="Data no deci 3 6 6 9" xfId="10248" xr:uid="{00000000-0005-0000-0000-00007C2E0000}"/>
    <cellStyle name="Data no deci 3 6 6 9 2" xfId="10249" xr:uid="{00000000-0005-0000-0000-00007D2E0000}"/>
    <cellStyle name="Data no deci 3 6 7" xfId="10250" xr:uid="{00000000-0005-0000-0000-00007E2E0000}"/>
    <cellStyle name="Data no deci 3 6 7 10" xfId="10251" xr:uid="{00000000-0005-0000-0000-00007F2E0000}"/>
    <cellStyle name="Data no deci 3 6 7 2" xfId="10252" xr:uid="{00000000-0005-0000-0000-0000802E0000}"/>
    <cellStyle name="Data no deci 3 6 7 2 2" xfId="10253" xr:uid="{00000000-0005-0000-0000-0000812E0000}"/>
    <cellStyle name="Data no deci 3 6 7 3" xfId="10254" xr:uid="{00000000-0005-0000-0000-0000822E0000}"/>
    <cellStyle name="Data no deci 3 6 7 3 2" xfId="10255" xr:uid="{00000000-0005-0000-0000-0000832E0000}"/>
    <cellStyle name="Data no deci 3 6 7 4" xfId="10256" xr:uid="{00000000-0005-0000-0000-0000842E0000}"/>
    <cellStyle name="Data no deci 3 6 7 4 2" xfId="10257" xr:uid="{00000000-0005-0000-0000-0000852E0000}"/>
    <cellStyle name="Data no deci 3 6 7 5" xfId="10258" xr:uid="{00000000-0005-0000-0000-0000862E0000}"/>
    <cellStyle name="Data no deci 3 6 7 5 2" xfId="10259" xr:uid="{00000000-0005-0000-0000-0000872E0000}"/>
    <cellStyle name="Data no deci 3 6 7 6" xfId="10260" xr:uid="{00000000-0005-0000-0000-0000882E0000}"/>
    <cellStyle name="Data no deci 3 6 7 6 2" xfId="10261" xr:uid="{00000000-0005-0000-0000-0000892E0000}"/>
    <cellStyle name="Data no deci 3 6 7 7" xfId="10262" xr:uid="{00000000-0005-0000-0000-00008A2E0000}"/>
    <cellStyle name="Data no deci 3 6 7 7 2" xfId="10263" xr:uid="{00000000-0005-0000-0000-00008B2E0000}"/>
    <cellStyle name="Data no deci 3 6 7 8" xfId="10264" xr:uid="{00000000-0005-0000-0000-00008C2E0000}"/>
    <cellStyle name="Data no deci 3 6 7 8 2" xfId="10265" xr:uid="{00000000-0005-0000-0000-00008D2E0000}"/>
    <cellStyle name="Data no deci 3 6 7 9" xfId="10266" xr:uid="{00000000-0005-0000-0000-00008E2E0000}"/>
    <cellStyle name="Data no deci 3 6 7 9 2" xfId="10267" xr:uid="{00000000-0005-0000-0000-00008F2E0000}"/>
    <cellStyle name="Data no deci 3 6 8" xfId="10268" xr:uid="{00000000-0005-0000-0000-0000902E0000}"/>
    <cellStyle name="Data no deci 3 6 8 10" xfId="10269" xr:uid="{00000000-0005-0000-0000-0000912E0000}"/>
    <cellStyle name="Data no deci 3 6 8 2" xfId="10270" xr:uid="{00000000-0005-0000-0000-0000922E0000}"/>
    <cellStyle name="Data no deci 3 6 8 2 2" xfId="10271" xr:uid="{00000000-0005-0000-0000-0000932E0000}"/>
    <cellStyle name="Data no deci 3 6 8 3" xfId="10272" xr:uid="{00000000-0005-0000-0000-0000942E0000}"/>
    <cellStyle name="Data no deci 3 6 8 3 2" xfId="10273" xr:uid="{00000000-0005-0000-0000-0000952E0000}"/>
    <cellStyle name="Data no deci 3 6 8 4" xfId="10274" xr:uid="{00000000-0005-0000-0000-0000962E0000}"/>
    <cellStyle name="Data no deci 3 6 8 4 2" xfId="10275" xr:uid="{00000000-0005-0000-0000-0000972E0000}"/>
    <cellStyle name="Data no deci 3 6 8 5" xfId="10276" xr:uid="{00000000-0005-0000-0000-0000982E0000}"/>
    <cellStyle name="Data no deci 3 6 8 5 2" xfId="10277" xr:uid="{00000000-0005-0000-0000-0000992E0000}"/>
    <cellStyle name="Data no deci 3 6 8 6" xfId="10278" xr:uid="{00000000-0005-0000-0000-00009A2E0000}"/>
    <cellStyle name="Data no deci 3 6 8 6 2" xfId="10279" xr:uid="{00000000-0005-0000-0000-00009B2E0000}"/>
    <cellStyle name="Data no deci 3 6 8 7" xfId="10280" xr:uid="{00000000-0005-0000-0000-00009C2E0000}"/>
    <cellStyle name="Data no deci 3 6 8 7 2" xfId="10281" xr:uid="{00000000-0005-0000-0000-00009D2E0000}"/>
    <cellStyle name="Data no deci 3 6 8 8" xfId="10282" xr:uid="{00000000-0005-0000-0000-00009E2E0000}"/>
    <cellStyle name="Data no deci 3 6 8 8 2" xfId="10283" xr:uid="{00000000-0005-0000-0000-00009F2E0000}"/>
    <cellStyle name="Data no deci 3 6 8 9" xfId="10284" xr:uid="{00000000-0005-0000-0000-0000A02E0000}"/>
    <cellStyle name="Data no deci 3 6 8 9 2" xfId="10285" xr:uid="{00000000-0005-0000-0000-0000A12E0000}"/>
    <cellStyle name="Data no deci 3 6 9" xfId="10286" xr:uid="{00000000-0005-0000-0000-0000A22E0000}"/>
    <cellStyle name="Data no deci 3 6 9 10" xfId="10287" xr:uid="{00000000-0005-0000-0000-0000A32E0000}"/>
    <cellStyle name="Data no deci 3 6 9 2" xfId="10288" xr:uid="{00000000-0005-0000-0000-0000A42E0000}"/>
    <cellStyle name="Data no deci 3 6 9 2 2" xfId="10289" xr:uid="{00000000-0005-0000-0000-0000A52E0000}"/>
    <cellStyle name="Data no deci 3 6 9 3" xfId="10290" xr:uid="{00000000-0005-0000-0000-0000A62E0000}"/>
    <cellStyle name="Data no deci 3 6 9 3 2" xfId="10291" xr:uid="{00000000-0005-0000-0000-0000A72E0000}"/>
    <cellStyle name="Data no deci 3 6 9 4" xfId="10292" xr:uid="{00000000-0005-0000-0000-0000A82E0000}"/>
    <cellStyle name="Data no deci 3 6 9 4 2" xfId="10293" xr:uid="{00000000-0005-0000-0000-0000A92E0000}"/>
    <cellStyle name="Data no deci 3 6 9 5" xfId="10294" xr:uid="{00000000-0005-0000-0000-0000AA2E0000}"/>
    <cellStyle name="Data no deci 3 6 9 5 2" xfId="10295" xr:uid="{00000000-0005-0000-0000-0000AB2E0000}"/>
    <cellStyle name="Data no deci 3 6 9 6" xfId="10296" xr:uid="{00000000-0005-0000-0000-0000AC2E0000}"/>
    <cellStyle name="Data no deci 3 6 9 6 2" xfId="10297" xr:uid="{00000000-0005-0000-0000-0000AD2E0000}"/>
    <cellStyle name="Data no deci 3 6 9 7" xfId="10298" xr:uid="{00000000-0005-0000-0000-0000AE2E0000}"/>
    <cellStyle name="Data no deci 3 6 9 7 2" xfId="10299" xr:uid="{00000000-0005-0000-0000-0000AF2E0000}"/>
    <cellStyle name="Data no deci 3 6 9 8" xfId="10300" xr:uid="{00000000-0005-0000-0000-0000B02E0000}"/>
    <cellStyle name="Data no deci 3 6 9 8 2" xfId="10301" xr:uid="{00000000-0005-0000-0000-0000B12E0000}"/>
    <cellStyle name="Data no deci 3 6 9 9" xfId="10302" xr:uid="{00000000-0005-0000-0000-0000B22E0000}"/>
    <cellStyle name="Data no deci 3 6 9 9 2" xfId="10303" xr:uid="{00000000-0005-0000-0000-0000B32E0000}"/>
    <cellStyle name="Data no deci 3 7" xfId="10304" xr:uid="{00000000-0005-0000-0000-0000B42E0000}"/>
    <cellStyle name="Data no deci 3 7 10" xfId="10305" xr:uid="{00000000-0005-0000-0000-0000B52E0000}"/>
    <cellStyle name="Data no deci 3 7 10 2" xfId="10306" xr:uid="{00000000-0005-0000-0000-0000B62E0000}"/>
    <cellStyle name="Data no deci 3 7 10 2 2" xfId="10307" xr:uid="{00000000-0005-0000-0000-0000B72E0000}"/>
    <cellStyle name="Data no deci 3 7 10 3" xfId="10308" xr:uid="{00000000-0005-0000-0000-0000B82E0000}"/>
    <cellStyle name="Data no deci 3 7 10 3 2" xfId="10309" xr:uid="{00000000-0005-0000-0000-0000B92E0000}"/>
    <cellStyle name="Data no deci 3 7 10 4" xfId="10310" xr:uid="{00000000-0005-0000-0000-0000BA2E0000}"/>
    <cellStyle name="Data no deci 3 7 10 4 2" xfId="10311" xr:uid="{00000000-0005-0000-0000-0000BB2E0000}"/>
    <cellStyle name="Data no deci 3 7 10 5" xfId="10312" xr:uid="{00000000-0005-0000-0000-0000BC2E0000}"/>
    <cellStyle name="Data no deci 3 7 10 5 2" xfId="10313" xr:uid="{00000000-0005-0000-0000-0000BD2E0000}"/>
    <cellStyle name="Data no deci 3 7 10 6" xfId="10314" xr:uid="{00000000-0005-0000-0000-0000BE2E0000}"/>
    <cellStyle name="Data no deci 3 7 10 6 2" xfId="10315" xr:uid="{00000000-0005-0000-0000-0000BF2E0000}"/>
    <cellStyle name="Data no deci 3 7 10 7" xfId="10316" xr:uid="{00000000-0005-0000-0000-0000C02E0000}"/>
    <cellStyle name="Data no deci 3 7 10 7 2" xfId="10317" xr:uid="{00000000-0005-0000-0000-0000C12E0000}"/>
    <cellStyle name="Data no deci 3 7 10 8" xfId="10318" xr:uid="{00000000-0005-0000-0000-0000C22E0000}"/>
    <cellStyle name="Data no deci 3 7 10 8 2" xfId="10319" xr:uid="{00000000-0005-0000-0000-0000C32E0000}"/>
    <cellStyle name="Data no deci 3 7 10 9" xfId="10320" xr:uid="{00000000-0005-0000-0000-0000C42E0000}"/>
    <cellStyle name="Data no deci 3 7 11" xfId="10321" xr:uid="{00000000-0005-0000-0000-0000C52E0000}"/>
    <cellStyle name="Data no deci 3 7 11 2" xfId="10322" xr:uid="{00000000-0005-0000-0000-0000C62E0000}"/>
    <cellStyle name="Data no deci 3 7 12" xfId="10323" xr:uid="{00000000-0005-0000-0000-0000C72E0000}"/>
    <cellStyle name="Data no deci 3 7 12 2" xfId="10324" xr:uid="{00000000-0005-0000-0000-0000C82E0000}"/>
    <cellStyle name="Data no deci 3 7 13" xfId="10325" xr:uid="{00000000-0005-0000-0000-0000C92E0000}"/>
    <cellStyle name="Data no deci 3 7 13 2" xfId="10326" xr:uid="{00000000-0005-0000-0000-0000CA2E0000}"/>
    <cellStyle name="Data no deci 3 7 14" xfId="10327" xr:uid="{00000000-0005-0000-0000-0000CB2E0000}"/>
    <cellStyle name="Data no deci 3 7 14 2" xfId="10328" xr:uid="{00000000-0005-0000-0000-0000CC2E0000}"/>
    <cellStyle name="Data no deci 3 7 15" xfId="10329" xr:uid="{00000000-0005-0000-0000-0000CD2E0000}"/>
    <cellStyle name="Data no deci 3 7 15 2" xfId="10330" xr:uid="{00000000-0005-0000-0000-0000CE2E0000}"/>
    <cellStyle name="Data no deci 3 7 16" xfId="10331" xr:uid="{00000000-0005-0000-0000-0000CF2E0000}"/>
    <cellStyle name="Data no deci 3 7 16 2" xfId="10332" xr:uid="{00000000-0005-0000-0000-0000D02E0000}"/>
    <cellStyle name="Data no deci 3 7 17" xfId="10333" xr:uid="{00000000-0005-0000-0000-0000D12E0000}"/>
    <cellStyle name="Data no deci 3 7 17 2" xfId="10334" xr:uid="{00000000-0005-0000-0000-0000D22E0000}"/>
    <cellStyle name="Data no deci 3 7 18" xfId="10335" xr:uid="{00000000-0005-0000-0000-0000D32E0000}"/>
    <cellStyle name="Data no deci 3 7 2" xfId="10336" xr:uid="{00000000-0005-0000-0000-0000D42E0000}"/>
    <cellStyle name="Data no deci 3 7 2 10" xfId="10337" xr:uid="{00000000-0005-0000-0000-0000D52E0000}"/>
    <cellStyle name="Data no deci 3 7 2 2" xfId="10338" xr:uid="{00000000-0005-0000-0000-0000D62E0000}"/>
    <cellStyle name="Data no deci 3 7 2 2 2" xfId="10339" xr:uid="{00000000-0005-0000-0000-0000D72E0000}"/>
    <cellStyle name="Data no deci 3 7 2 3" xfId="10340" xr:uid="{00000000-0005-0000-0000-0000D82E0000}"/>
    <cellStyle name="Data no deci 3 7 2 3 2" xfId="10341" xr:uid="{00000000-0005-0000-0000-0000D92E0000}"/>
    <cellStyle name="Data no deci 3 7 2 4" xfId="10342" xr:uid="{00000000-0005-0000-0000-0000DA2E0000}"/>
    <cellStyle name="Data no deci 3 7 2 4 2" xfId="10343" xr:uid="{00000000-0005-0000-0000-0000DB2E0000}"/>
    <cellStyle name="Data no deci 3 7 2 5" xfId="10344" xr:uid="{00000000-0005-0000-0000-0000DC2E0000}"/>
    <cellStyle name="Data no deci 3 7 2 5 2" xfId="10345" xr:uid="{00000000-0005-0000-0000-0000DD2E0000}"/>
    <cellStyle name="Data no deci 3 7 2 6" xfId="10346" xr:uid="{00000000-0005-0000-0000-0000DE2E0000}"/>
    <cellStyle name="Data no deci 3 7 2 6 2" xfId="10347" xr:uid="{00000000-0005-0000-0000-0000DF2E0000}"/>
    <cellStyle name="Data no deci 3 7 2 7" xfId="10348" xr:uid="{00000000-0005-0000-0000-0000E02E0000}"/>
    <cellStyle name="Data no deci 3 7 2 7 2" xfId="10349" xr:uid="{00000000-0005-0000-0000-0000E12E0000}"/>
    <cellStyle name="Data no deci 3 7 2 8" xfId="10350" xr:uid="{00000000-0005-0000-0000-0000E22E0000}"/>
    <cellStyle name="Data no deci 3 7 2 8 2" xfId="10351" xr:uid="{00000000-0005-0000-0000-0000E32E0000}"/>
    <cellStyle name="Data no deci 3 7 2 9" xfId="10352" xr:uid="{00000000-0005-0000-0000-0000E42E0000}"/>
    <cellStyle name="Data no deci 3 7 2 9 2" xfId="10353" xr:uid="{00000000-0005-0000-0000-0000E52E0000}"/>
    <cellStyle name="Data no deci 3 7 3" xfId="10354" xr:uid="{00000000-0005-0000-0000-0000E62E0000}"/>
    <cellStyle name="Data no deci 3 7 3 10" xfId="10355" xr:uid="{00000000-0005-0000-0000-0000E72E0000}"/>
    <cellStyle name="Data no deci 3 7 3 2" xfId="10356" xr:uid="{00000000-0005-0000-0000-0000E82E0000}"/>
    <cellStyle name="Data no deci 3 7 3 2 2" xfId="10357" xr:uid="{00000000-0005-0000-0000-0000E92E0000}"/>
    <cellStyle name="Data no deci 3 7 3 3" xfId="10358" xr:uid="{00000000-0005-0000-0000-0000EA2E0000}"/>
    <cellStyle name="Data no deci 3 7 3 3 2" xfId="10359" xr:uid="{00000000-0005-0000-0000-0000EB2E0000}"/>
    <cellStyle name="Data no deci 3 7 3 4" xfId="10360" xr:uid="{00000000-0005-0000-0000-0000EC2E0000}"/>
    <cellStyle name="Data no deci 3 7 3 4 2" xfId="10361" xr:uid="{00000000-0005-0000-0000-0000ED2E0000}"/>
    <cellStyle name="Data no deci 3 7 3 5" xfId="10362" xr:uid="{00000000-0005-0000-0000-0000EE2E0000}"/>
    <cellStyle name="Data no deci 3 7 3 5 2" xfId="10363" xr:uid="{00000000-0005-0000-0000-0000EF2E0000}"/>
    <cellStyle name="Data no deci 3 7 3 6" xfId="10364" xr:uid="{00000000-0005-0000-0000-0000F02E0000}"/>
    <cellStyle name="Data no deci 3 7 3 6 2" xfId="10365" xr:uid="{00000000-0005-0000-0000-0000F12E0000}"/>
    <cellStyle name="Data no deci 3 7 3 7" xfId="10366" xr:uid="{00000000-0005-0000-0000-0000F22E0000}"/>
    <cellStyle name="Data no deci 3 7 3 7 2" xfId="10367" xr:uid="{00000000-0005-0000-0000-0000F32E0000}"/>
    <cellStyle name="Data no deci 3 7 3 8" xfId="10368" xr:uid="{00000000-0005-0000-0000-0000F42E0000}"/>
    <cellStyle name="Data no deci 3 7 3 8 2" xfId="10369" xr:uid="{00000000-0005-0000-0000-0000F52E0000}"/>
    <cellStyle name="Data no deci 3 7 3 9" xfId="10370" xr:uid="{00000000-0005-0000-0000-0000F62E0000}"/>
    <cellStyle name="Data no deci 3 7 3 9 2" xfId="10371" xr:uid="{00000000-0005-0000-0000-0000F72E0000}"/>
    <cellStyle name="Data no deci 3 7 4" xfId="10372" xr:uid="{00000000-0005-0000-0000-0000F82E0000}"/>
    <cellStyle name="Data no deci 3 7 4 10" xfId="10373" xr:uid="{00000000-0005-0000-0000-0000F92E0000}"/>
    <cellStyle name="Data no deci 3 7 4 2" xfId="10374" xr:uid="{00000000-0005-0000-0000-0000FA2E0000}"/>
    <cellStyle name="Data no deci 3 7 4 2 2" xfId="10375" xr:uid="{00000000-0005-0000-0000-0000FB2E0000}"/>
    <cellStyle name="Data no deci 3 7 4 3" xfId="10376" xr:uid="{00000000-0005-0000-0000-0000FC2E0000}"/>
    <cellStyle name="Data no deci 3 7 4 3 2" xfId="10377" xr:uid="{00000000-0005-0000-0000-0000FD2E0000}"/>
    <cellStyle name="Data no deci 3 7 4 4" xfId="10378" xr:uid="{00000000-0005-0000-0000-0000FE2E0000}"/>
    <cellStyle name="Data no deci 3 7 4 4 2" xfId="10379" xr:uid="{00000000-0005-0000-0000-0000FF2E0000}"/>
    <cellStyle name="Data no deci 3 7 4 5" xfId="10380" xr:uid="{00000000-0005-0000-0000-0000002F0000}"/>
    <cellStyle name="Data no deci 3 7 4 5 2" xfId="10381" xr:uid="{00000000-0005-0000-0000-0000012F0000}"/>
    <cellStyle name="Data no deci 3 7 4 6" xfId="10382" xr:uid="{00000000-0005-0000-0000-0000022F0000}"/>
    <cellStyle name="Data no deci 3 7 4 6 2" xfId="10383" xr:uid="{00000000-0005-0000-0000-0000032F0000}"/>
    <cellStyle name="Data no deci 3 7 4 7" xfId="10384" xr:uid="{00000000-0005-0000-0000-0000042F0000}"/>
    <cellStyle name="Data no deci 3 7 4 7 2" xfId="10385" xr:uid="{00000000-0005-0000-0000-0000052F0000}"/>
    <cellStyle name="Data no deci 3 7 4 8" xfId="10386" xr:uid="{00000000-0005-0000-0000-0000062F0000}"/>
    <cellStyle name="Data no deci 3 7 4 8 2" xfId="10387" xr:uid="{00000000-0005-0000-0000-0000072F0000}"/>
    <cellStyle name="Data no deci 3 7 4 9" xfId="10388" xr:uid="{00000000-0005-0000-0000-0000082F0000}"/>
    <cellStyle name="Data no deci 3 7 4 9 2" xfId="10389" xr:uid="{00000000-0005-0000-0000-0000092F0000}"/>
    <cellStyle name="Data no deci 3 7 5" xfId="10390" xr:uid="{00000000-0005-0000-0000-00000A2F0000}"/>
    <cellStyle name="Data no deci 3 7 5 10" xfId="10391" xr:uid="{00000000-0005-0000-0000-00000B2F0000}"/>
    <cellStyle name="Data no deci 3 7 5 2" xfId="10392" xr:uid="{00000000-0005-0000-0000-00000C2F0000}"/>
    <cellStyle name="Data no deci 3 7 5 2 2" xfId="10393" xr:uid="{00000000-0005-0000-0000-00000D2F0000}"/>
    <cellStyle name="Data no deci 3 7 5 3" xfId="10394" xr:uid="{00000000-0005-0000-0000-00000E2F0000}"/>
    <cellStyle name="Data no deci 3 7 5 3 2" xfId="10395" xr:uid="{00000000-0005-0000-0000-00000F2F0000}"/>
    <cellStyle name="Data no deci 3 7 5 4" xfId="10396" xr:uid="{00000000-0005-0000-0000-0000102F0000}"/>
    <cellStyle name="Data no deci 3 7 5 4 2" xfId="10397" xr:uid="{00000000-0005-0000-0000-0000112F0000}"/>
    <cellStyle name="Data no deci 3 7 5 5" xfId="10398" xr:uid="{00000000-0005-0000-0000-0000122F0000}"/>
    <cellStyle name="Data no deci 3 7 5 5 2" xfId="10399" xr:uid="{00000000-0005-0000-0000-0000132F0000}"/>
    <cellStyle name="Data no deci 3 7 5 6" xfId="10400" xr:uid="{00000000-0005-0000-0000-0000142F0000}"/>
    <cellStyle name="Data no deci 3 7 5 6 2" xfId="10401" xr:uid="{00000000-0005-0000-0000-0000152F0000}"/>
    <cellStyle name="Data no deci 3 7 5 7" xfId="10402" xr:uid="{00000000-0005-0000-0000-0000162F0000}"/>
    <cellStyle name="Data no deci 3 7 5 7 2" xfId="10403" xr:uid="{00000000-0005-0000-0000-0000172F0000}"/>
    <cellStyle name="Data no deci 3 7 5 8" xfId="10404" xr:uid="{00000000-0005-0000-0000-0000182F0000}"/>
    <cellStyle name="Data no deci 3 7 5 8 2" xfId="10405" xr:uid="{00000000-0005-0000-0000-0000192F0000}"/>
    <cellStyle name="Data no deci 3 7 5 9" xfId="10406" xr:uid="{00000000-0005-0000-0000-00001A2F0000}"/>
    <cellStyle name="Data no deci 3 7 5 9 2" xfId="10407" xr:uid="{00000000-0005-0000-0000-00001B2F0000}"/>
    <cellStyle name="Data no deci 3 7 6" xfId="10408" xr:uid="{00000000-0005-0000-0000-00001C2F0000}"/>
    <cellStyle name="Data no deci 3 7 6 10" xfId="10409" xr:uid="{00000000-0005-0000-0000-00001D2F0000}"/>
    <cellStyle name="Data no deci 3 7 6 2" xfId="10410" xr:uid="{00000000-0005-0000-0000-00001E2F0000}"/>
    <cellStyle name="Data no deci 3 7 6 2 2" xfId="10411" xr:uid="{00000000-0005-0000-0000-00001F2F0000}"/>
    <cellStyle name="Data no deci 3 7 6 3" xfId="10412" xr:uid="{00000000-0005-0000-0000-0000202F0000}"/>
    <cellStyle name="Data no deci 3 7 6 3 2" xfId="10413" xr:uid="{00000000-0005-0000-0000-0000212F0000}"/>
    <cellStyle name="Data no deci 3 7 6 4" xfId="10414" xr:uid="{00000000-0005-0000-0000-0000222F0000}"/>
    <cellStyle name="Data no deci 3 7 6 4 2" xfId="10415" xr:uid="{00000000-0005-0000-0000-0000232F0000}"/>
    <cellStyle name="Data no deci 3 7 6 5" xfId="10416" xr:uid="{00000000-0005-0000-0000-0000242F0000}"/>
    <cellStyle name="Data no deci 3 7 6 5 2" xfId="10417" xr:uid="{00000000-0005-0000-0000-0000252F0000}"/>
    <cellStyle name="Data no deci 3 7 6 6" xfId="10418" xr:uid="{00000000-0005-0000-0000-0000262F0000}"/>
    <cellStyle name="Data no deci 3 7 6 6 2" xfId="10419" xr:uid="{00000000-0005-0000-0000-0000272F0000}"/>
    <cellStyle name="Data no deci 3 7 6 7" xfId="10420" xr:uid="{00000000-0005-0000-0000-0000282F0000}"/>
    <cellStyle name="Data no deci 3 7 6 7 2" xfId="10421" xr:uid="{00000000-0005-0000-0000-0000292F0000}"/>
    <cellStyle name="Data no deci 3 7 6 8" xfId="10422" xr:uid="{00000000-0005-0000-0000-00002A2F0000}"/>
    <cellStyle name="Data no deci 3 7 6 8 2" xfId="10423" xr:uid="{00000000-0005-0000-0000-00002B2F0000}"/>
    <cellStyle name="Data no deci 3 7 6 9" xfId="10424" xr:uid="{00000000-0005-0000-0000-00002C2F0000}"/>
    <cellStyle name="Data no deci 3 7 6 9 2" xfId="10425" xr:uid="{00000000-0005-0000-0000-00002D2F0000}"/>
    <cellStyle name="Data no deci 3 7 7" xfId="10426" xr:uid="{00000000-0005-0000-0000-00002E2F0000}"/>
    <cellStyle name="Data no deci 3 7 7 10" xfId="10427" xr:uid="{00000000-0005-0000-0000-00002F2F0000}"/>
    <cellStyle name="Data no deci 3 7 7 2" xfId="10428" xr:uid="{00000000-0005-0000-0000-0000302F0000}"/>
    <cellStyle name="Data no deci 3 7 7 2 2" xfId="10429" xr:uid="{00000000-0005-0000-0000-0000312F0000}"/>
    <cellStyle name="Data no deci 3 7 7 3" xfId="10430" xr:uid="{00000000-0005-0000-0000-0000322F0000}"/>
    <cellStyle name="Data no deci 3 7 7 3 2" xfId="10431" xr:uid="{00000000-0005-0000-0000-0000332F0000}"/>
    <cellStyle name="Data no deci 3 7 7 4" xfId="10432" xr:uid="{00000000-0005-0000-0000-0000342F0000}"/>
    <cellStyle name="Data no deci 3 7 7 4 2" xfId="10433" xr:uid="{00000000-0005-0000-0000-0000352F0000}"/>
    <cellStyle name="Data no deci 3 7 7 5" xfId="10434" xr:uid="{00000000-0005-0000-0000-0000362F0000}"/>
    <cellStyle name="Data no deci 3 7 7 5 2" xfId="10435" xr:uid="{00000000-0005-0000-0000-0000372F0000}"/>
    <cellStyle name="Data no deci 3 7 7 6" xfId="10436" xr:uid="{00000000-0005-0000-0000-0000382F0000}"/>
    <cellStyle name="Data no deci 3 7 7 6 2" xfId="10437" xr:uid="{00000000-0005-0000-0000-0000392F0000}"/>
    <cellStyle name="Data no deci 3 7 7 7" xfId="10438" xr:uid="{00000000-0005-0000-0000-00003A2F0000}"/>
    <cellStyle name="Data no deci 3 7 7 7 2" xfId="10439" xr:uid="{00000000-0005-0000-0000-00003B2F0000}"/>
    <cellStyle name="Data no deci 3 7 7 8" xfId="10440" xr:uid="{00000000-0005-0000-0000-00003C2F0000}"/>
    <cellStyle name="Data no deci 3 7 7 8 2" xfId="10441" xr:uid="{00000000-0005-0000-0000-00003D2F0000}"/>
    <cellStyle name="Data no deci 3 7 7 9" xfId="10442" xr:uid="{00000000-0005-0000-0000-00003E2F0000}"/>
    <cellStyle name="Data no deci 3 7 7 9 2" xfId="10443" xr:uid="{00000000-0005-0000-0000-00003F2F0000}"/>
    <cellStyle name="Data no deci 3 7 8" xfId="10444" xr:uid="{00000000-0005-0000-0000-0000402F0000}"/>
    <cellStyle name="Data no deci 3 7 8 10" xfId="10445" xr:uid="{00000000-0005-0000-0000-0000412F0000}"/>
    <cellStyle name="Data no deci 3 7 8 2" xfId="10446" xr:uid="{00000000-0005-0000-0000-0000422F0000}"/>
    <cellStyle name="Data no deci 3 7 8 2 2" xfId="10447" xr:uid="{00000000-0005-0000-0000-0000432F0000}"/>
    <cellStyle name="Data no deci 3 7 8 3" xfId="10448" xr:uid="{00000000-0005-0000-0000-0000442F0000}"/>
    <cellStyle name="Data no deci 3 7 8 3 2" xfId="10449" xr:uid="{00000000-0005-0000-0000-0000452F0000}"/>
    <cellStyle name="Data no deci 3 7 8 4" xfId="10450" xr:uid="{00000000-0005-0000-0000-0000462F0000}"/>
    <cellStyle name="Data no deci 3 7 8 4 2" xfId="10451" xr:uid="{00000000-0005-0000-0000-0000472F0000}"/>
    <cellStyle name="Data no deci 3 7 8 5" xfId="10452" xr:uid="{00000000-0005-0000-0000-0000482F0000}"/>
    <cellStyle name="Data no deci 3 7 8 5 2" xfId="10453" xr:uid="{00000000-0005-0000-0000-0000492F0000}"/>
    <cellStyle name="Data no deci 3 7 8 6" xfId="10454" xr:uid="{00000000-0005-0000-0000-00004A2F0000}"/>
    <cellStyle name="Data no deci 3 7 8 6 2" xfId="10455" xr:uid="{00000000-0005-0000-0000-00004B2F0000}"/>
    <cellStyle name="Data no deci 3 7 8 7" xfId="10456" xr:uid="{00000000-0005-0000-0000-00004C2F0000}"/>
    <cellStyle name="Data no deci 3 7 8 7 2" xfId="10457" xr:uid="{00000000-0005-0000-0000-00004D2F0000}"/>
    <cellStyle name="Data no deci 3 7 8 8" xfId="10458" xr:uid="{00000000-0005-0000-0000-00004E2F0000}"/>
    <cellStyle name="Data no deci 3 7 8 8 2" xfId="10459" xr:uid="{00000000-0005-0000-0000-00004F2F0000}"/>
    <cellStyle name="Data no deci 3 7 8 9" xfId="10460" xr:uid="{00000000-0005-0000-0000-0000502F0000}"/>
    <cellStyle name="Data no deci 3 7 8 9 2" xfId="10461" xr:uid="{00000000-0005-0000-0000-0000512F0000}"/>
    <cellStyle name="Data no deci 3 7 9" xfId="10462" xr:uid="{00000000-0005-0000-0000-0000522F0000}"/>
    <cellStyle name="Data no deci 3 7 9 10" xfId="10463" xr:uid="{00000000-0005-0000-0000-0000532F0000}"/>
    <cellStyle name="Data no deci 3 7 9 2" xfId="10464" xr:uid="{00000000-0005-0000-0000-0000542F0000}"/>
    <cellStyle name="Data no deci 3 7 9 2 2" xfId="10465" xr:uid="{00000000-0005-0000-0000-0000552F0000}"/>
    <cellStyle name="Data no deci 3 7 9 3" xfId="10466" xr:uid="{00000000-0005-0000-0000-0000562F0000}"/>
    <cellStyle name="Data no deci 3 7 9 3 2" xfId="10467" xr:uid="{00000000-0005-0000-0000-0000572F0000}"/>
    <cellStyle name="Data no deci 3 7 9 4" xfId="10468" xr:uid="{00000000-0005-0000-0000-0000582F0000}"/>
    <cellStyle name="Data no deci 3 7 9 4 2" xfId="10469" xr:uid="{00000000-0005-0000-0000-0000592F0000}"/>
    <cellStyle name="Data no deci 3 7 9 5" xfId="10470" xr:uid="{00000000-0005-0000-0000-00005A2F0000}"/>
    <cellStyle name="Data no deci 3 7 9 5 2" xfId="10471" xr:uid="{00000000-0005-0000-0000-00005B2F0000}"/>
    <cellStyle name="Data no deci 3 7 9 6" xfId="10472" xr:uid="{00000000-0005-0000-0000-00005C2F0000}"/>
    <cellStyle name="Data no deci 3 7 9 6 2" xfId="10473" xr:uid="{00000000-0005-0000-0000-00005D2F0000}"/>
    <cellStyle name="Data no deci 3 7 9 7" xfId="10474" xr:uid="{00000000-0005-0000-0000-00005E2F0000}"/>
    <cellStyle name="Data no deci 3 7 9 7 2" xfId="10475" xr:uid="{00000000-0005-0000-0000-00005F2F0000}"/>
    <cellStyle name="Data no deci 3 7 9 8" xfId="10476" xr:uid="{00000000-0005-0000-0000-0000602F0000}"/>
    <cellStyle name="Data no deci 3 7 9 8 2" xfId="10477" xr:uid="{00000000-0005-0000-0000-0000612F0000}"/>
    <cellStyle name="Data no deci 3 7 9 9" xfId="10478" xr:uid="{00000000-0005-0000-0000-0000622F0000}"/>
    <cellStyle name="Data no deci 3 7 9 9 2" xfId="10479" xr:uid="{00000000-0005-0000-0000-0000632F0000}"/>
    <cellStyle name="Data no deci 3 8" xfId="10480" xr:uid="{00000000-0005-0000-0000-0000642F0000}"/>
    <cellStyle name="Data no deci 3 8 10" xfId="10481" xr:uid="{00000000-0005-0000-0000-0000652F0000}"/>
    <cellStyle name="Data no deci 3 8 10 2" xfId="10482" xr:uid="{00000000-0005-0000-0000-0000662F0000}"/>
    <cellStyle name="Data no deci 3 8 10 2 2" xfId="10483" xr:uid="{00000000-0005-0000-0000-0000672F0000}"/>
    <cellStyle name="Data no deci 3 8 10 3" xfId="10484" xr:uid="{00000000-0005-0000-0000-0000682F0000}"/>
    <cellStyle name="Data no deci 3 8 10 3 2" xfId="10485" xr:uid="{00000000-0005-0000-0000-0000692F0000}"/>
    <cellStyle name="Data no deci 3 8 10 4" xfId="10486" xr:uid="{00000000-0005-0000-0000-00006A2F0000}"/>
    <cellStyle name="Data no deci 3 8 10 4 2" xfId="10487" xr:uid="{00000000-0005-0000-0000-00006B2F0000}"/>
    <cellStyle name="Data no deci 3 8 10 5" xfId="10488" xr:uid="{00000000-0005-0000-0000-00006C2F0000}"/>
    <cellStyle name="Data no deci 3 8 10 5 2" xfId="10489" xr:uid="{00000000-0005-0000-0000-00006D2F0000}"/>
    <cellStyle name="Data no deci 3 8 10 6" xfId="10490" xr:uid="{00000000-0005-0000-0000-00006E2F0000}"/>
    <cellStyle name="Data no deci 3 8 10 6 2" xfId="10491" xr:uid="{00000000-0005-0000-0000-00006F2F0000}"/>
    <cellStyle name="Data no deci 3 8 10 7" xfId="10492" xr:uid="{00000000-0005-0000-0000-0000702F0000}"/>
    <cellStyle name="Data no deci 3 8 10 7 2" xfId="10493" xr:uid="{00000000-0005-0000-0000-0000712F0000}"/>
    <cellStyle name="Data no deci 3 8 10 8" xfId="10494" xr:uid="{00000000-0005-0000-0000-0000722F0000}"/>
    <cellStyle name="Data no deci 3 8 10 8 2" xfId="10495" xr:uid="{00000000-0005-0000-0000-0000732F0000}"/>
    <cellStyle name="Data no deci 3 8 10 9" xfId="10496" xr:uid="{00000000-0005-0000-0000-0000742F0000}"/>
    <cellStyle name="Data no deci 3 8 11" xfId="10497" xr:uid="{00000000-0005-0000-0000-0000752F0000}"/>
    <cellStyle name="Data no deci 3 8 11 2" xfId="10498" xr:uid="{00000000-0005-0000-0000-0000762F0000}"/>
    <cellStyle name="Data no deci 3 8 12" xfId="10499" xr:uid="{00000000-0005-0000-0000-0000772F0000}"/>
    <cellStyle name="Data no deci 3 8 12 2" xfId="10500" xr:uid="{00000000-0005-0000-0000-0000782F0000}"/>
    <cellStyle name="Data no deci 3 8 13" xfId="10501" xr:uid="{00000000-0005-0000-0000-0000792F0000}"/>
    <cellStyle name="Data no deci 3 8 13 2" xfId="10502" xr:uid="{00000000-0005-0000-0000-00007A2F0000}"/>
    <cellStyle name="Data no deci 3 8 14" xfId="10503" xr:uid="{00000000-0005-0000-0000-00007B2F0000}"/>
    <cellStyle name="Data no deci 3 8 14 2" xfId="10504" xr:uid="{00000000-0005-0000-0000-00007C2F0000}"/>
    <cellStyle name="Data no deci 3 8 15" xfId="10505" xr:uid="{00000000-0005-0000-0000-00007D2F0000}"/>
    <cellStyle name="Data no deci 3 8 15 2" xfId="10506" xr:uid="{00000000-0005-0000-0000-00007E2F0000}"/>
    <cellStyle name="Data no deci 3 8 16" xfId="10507" xr:uid="{00000000-0005-0000-0000-00007F2F0000}"/>
    <cellStyle name="Data no deci 3 8 16 2" xfId="10508" xr:uid="{00000000-0005-0000-0000-0000802F0000}"/>
    <cellStyle name="Data no deci 3 8 17" xfId="10509" xr:uid="{00000000-0005-0000-0000-0000812F0000}"/>
    <cellStyle name="Data no deci 3 8 17 2" xfId="10510" xr:uid="{00000000-0005-0000-0000-0000822F0000}"/>
    <cellStyle name="Data no deci 3 8 18" xfId="10511" xr:uid="{00000000-0005-0000-0000-0000832F0000}"/>
    <cellStyle name="Data no deci 3 8 2" xfId="10512" xr:uid="{00000000-0005-0000-0000-0000842F0000}"/>
    <cellStyle name="Data no deci 3 8 2 10" xfId="10513" xr:uid="{00000000-0005-0000-0000-0000852F0000}"/>
    <cellStyle name="Data no deci 3 8 2 2" xfId="10514" xr:uid="{00000000-0005-0000-0000-0000862F0000}"/>
    <cellStyle name="Data no deci 3 8 2 2 2" xfId="10515" xr:uid="{00000000-0005-0000-0000-0000872F0000}"/>
    <cellStyle name="Data no deci 3 8 2 3" xfId="10516" xr:uid="{00000000-0005-0000-0000-0000882F0000}"/>
    <cellStyle name="Data no deci 3 8 2 3 2" xfId="10517" xr:uid="{00000000-0005-0000-0000-0000892F0000}"/>
    <cellStyle name="Data no deci 3 8 2 4" xfId="10518" xr:uid="{00000000-0005-0000-0000-00008A2F0000}"/>
    <cellStyle name="Data no deci 3 8 2 4 2" xfId="10519" xr:uid="{00000000-0005-0000-0000-00008B2F0000}"/>
    <cellStyle name="Data no deci 3 8 2 5" xfId="10520" xr:uid="{00000000-0005-0000-0000-00008C2F0000}"/>
    <cellStyle name="Data no deci 3 8 2 5 2" xfId="10521" xr:uid="{00000000-0005-0000-0000-00008D2F0000}"/>
    <cellStyle name="Data no deci 3 8 2 6" xfId="10522" xr:uid="{00000000-0005-0000-0000-00008E2F0000}"/>
    <cellStyle name="Data no deci 3 8 2 6 2" xfId="10523" xr:uid="{00000000-0005-0000-0000-00008F2F0000}"/>
    <cellStyle name="Data no deci 3 8 2 7" xfId="10524" xr:uid="{00000000-0005-0000-0000-0000902F0000}"/>
    <cellStyle name="Data no deci 3 8 2 7 2" xfId="10525" xr:uid="{00000000-0005-0000-0000-0000912F0000}"/>
    <cellStyle name="Data no deci 3 8 2 8" xfId="10526" xr:uid="{00000000-0005-0000-0000-0000922F0000}"/>
    <cellStyle name="Data no deci 3 8 2 8 2" xfId="10527" xr:uid="{00000000-0005-0000-0000-0000932F0000}"/>
    <cellStyle name="Data no deci 3 8 2 9" xfId="10528" xr:uid="{00000000-0005-0000-0000-0000942F0000}"/>
    <cellStyle name="Data no deci 3 8 2 9 2" xfId="10529" xr:uid="{00000000-0005-0000-0000-0000952F0000}"/>
    <cellStyle name="Data no deci 3 8 3" xfId="10530" xr:uid="{00000000-0005-0000-0000-0000962F0000}"/>
    <cellStyle name="Data no deci 3 8 3 10" xfId="10531" xr:uid="{00000000-0005-0000-0000-0000972F0000}"/>
    <cellStyle name="Data no deci 3 8 3 2" xfId="10532" xr:uid="{00000000-0005-0000-0000-0000982F0000}"/>
    <cellStyle name="Data no deci 3 8 3 2 2" xfId="10533" xr:uid="{00000000-0005-0000-0000-0000992F0000}"/>
    <cellStyle name="Data no deci 3 8 3 3" xfId="10534" xr:uid="{00000000-0005-0000-0000-00009A2F0000}"/>
    <cellStyle name="Data no deci 3 8 3 3 2" xfId="10535" xr:uid="{00000000-0005-0000-0000-00009B2F0000}"/>
    <cellStyle name="Data no deci 3 8 3 4" xfId="10536" xr:uid="{00000000-0005-0000-0000-00009C2F0000}"/>
    <cellStyle name="Data no deci 3 8 3 4 2" xfId="10537" xr:uid="{00000000-0005-0000-0000-00009D2F0000}"/>
    <cellStyle name="Data no deci 3 8 3 5" xfId="10538" xr:uid="{00000000-0005-0000-0000-00009E2F0000}"/>
    <cellStyle name="Data no deci 3 8 3 5 2" xfId="10539" xr:uid="{00000000-0005-0000-0000-00009F2F0000}"/>
    <cellStyle name="Data no deci 3 8 3 6" xfId="10540" xr:uid="{00000000-0005-0000-0000-0000A02F0000}"/>
    <cellStyle name="Data no deci 3 8 3 6 2" xfId="10541" xr:uid="{00000000-0005-0000-0000-0000A12F0000}"/>
    <cellStyle name="Data no deci 3 8 3 7" xfId="10542" xr:uid="{00000000-0005-0000-0000-0000A22F0000}"/>
    <cellStyle name="Data no deci 3 8 3 7 2" xfId="10543" xr:uid="{00000000-0005-0000-0000-0000A32F0000}"/>
    <cellStyle name="Data no deci 3 8 3 8" xfId="10544" xr:uid="{00000000-0005-0000-0000-0000A42F0000}"/>
    <cellStyle name="Data no deci 3 8 3 8 2" xfId="10545" xr:uid="{00000000-0005-0000-0000-0000A52F0000}"/>
    <cellStyle name="Data no deci 3 8 3 9" xfId="10546" xr:uid="{00000000-0005-0000-0000-0000A62F0000}"/>
    <cellStyle name="Data no deci 3 8 3 9 2" xfId="10547" xr:uid="{00000000-0005-0000-0000-0000A72F0000}"/>
    <cellStyle name="Data no deci 3 8 4" xfId="10548" xr:uid="{00000000-0005-0000-0000-0000A82F0000}"/>
    <cellStyle name="Data no deci 3 8 4 10" xfId="10549" xr:uid="{00000000-0005-0000-0000-0000A92F0000}"/>
    <cellStyle name="Data no deci 3 8 4 2" xfId="10550" xr:uid="{00000000-0005-0000-0000-0000AA2F0000}"/>
    <cellStyle name="Data no deci 3 8 4 2 2" xfId="10551" xr:uid="{00000000-0005-0000-0000-0000AB2F0000}"/>
    <cellStyle name="Data no deci 3 8 4 3" xfId="10552" xr:uid="{00000000-0005-0000-0000-0000AC2F0000}"/>
    <cellStyle name="Data no deci 3 8 4 3 2" xfId="10553" xr:uid="{00000000-0005-0000-0000-0000AD2F0000}"/>
    <cellStyle name="Data no deci 3 8 4 4" xfId="10554" xr:uid="{00000000-0005-0000-0000-0000AE2F0000}"/>
    <cellStyle name="Data no deci 3 8 4 4 2" xfId="10555" xr:uid="{00000000-0005-0000-0000-0000AF2F0000}"/>
    <cellStyle name="Data no deci 3 8 4 5" xfId="10556" xr:uid="{00000000-0005-0000-0000-0000B02F0000}"/>
    <cellStyle name="Data no deci 3 8 4 5 2" xfId="10557" xr:uid="{00000000-0005-0000-0000-0000B12F0000}"/>
    <cellStyle name="Data no deci 3 8 4 6" xfId="10558" xr:uid="{00000000-0005-0000-0000-0000B22F0000}"/>
    <cellStyle name="Data no deci 3 8 4 6 2" xfId="10559" xr:uid="{00000000-0005-0000-0000-0000B32F0000}"/>
    <cellStyle name="Data no deci 3 8 4 7" xfId="10560" xr:uid="{00000000-0005-0000-0000-0000B42F0000}"/>
    <cellStyle name="Data no deci 3 8 4 7 2" xfId="10561" xr:uid="{00000000-0005-0000-0000-0000B52F0000}"/>
    <cellStyle name="Data no deci 3 8 4 8" xfId="10562" xr:uid="{00000000-0005-0000-0000-0000B62F0000}"/>
    <cellStyle name="Data no deci 3 8 4 8 2" xfId="10563" xr:uid="{00000000-0005-0000-0000-0000B72F0000}"/>
    <cellStyle name="Data no deci 3 8 4 9" xfId="10564" xr:uid="{00000000-0005-0000-0000-0000B82F0000}"/>
    <cellStyle name="Data no deci 3 8 4 9 2" xfId="10565" xr:uid="{00000000-0005-0000-0000-0000B92F0000}"/>
    <cellStyle name="Data no deci 3 8 5" xfId="10566" xr:uid="{00000000-0005-0000-0000-0000BA2F0000}"/>
    <cellStyle name="Data no deci 3 8 5 10" xfId="10567" xr:uid="{00000000-0005-0000-0000-0000BB2F0000}"/>
    <cellStyle name="Data no deci 3 8 5 2" xfId="10568" xr:uid="{00000000-0005-0000-0000-0000BC2F0000}"/>
    <cellStyle name="Data no deci 3 8 5 2 2" xfId="10569" xr:uid="{00000000-0005-0000-0000-0000BD2F0000}"/>
    <cellStyle name="Data no deci 3 8 5 3" xfId="10570" xr:uid="{00000000-0005-0000-0000-0000BE2F0000}"/>
    <cellStyle name="Data no deci 3 8 5 3 2" xfId="10571" xr:uid="{00000000-0005-0000-0000-0000BF2F0000}"/>
    <cellStyle name="Data no deci 3 8 5 4" xfId="10572" xr:uid="{00000000-0005-0000-0000-0000C02F0000}"/>
    <cellStyle name="Data no deci 3 8 5 4 2" xfId="10573" xr:uid="{00000000-0005-0000-0000-0000C12F0000}"/>
    <cellStyle name="Data no deci 3 8 5 5" xfId="10574" xr:uid="{00000000-0005-0000-0000-0000C22F0000}"/>
    <cellStyle name="Data no deci 3 8 5 5 2" xfId="10575" xr:uid="{00000000-0005-0000-0000-0000C32F0000}"/>
    <cellStyle name="Data no deci 3 8 5 6" xfId="10576" xr:uid="{00000000-0005-0000-0000-0000C42F0000}"/>
    <cellStyle name="Data no deci 3 8 5 6 2" xfId="10577" xr:uid="{00000000-0005-0000-0000-0000C52F0000}"/>
    <cellStyle name="Data no deci 3 8 5 7" xfId="10578" xr:uid="{00000000-0005-0000-0000-0000C62F0000}"/>
    <cellStyle name="Data no deci 3 8 5 7 2" xfId="10579" xr:uid="{00000000-0005-0000-0000-0000C72F0000}"/>
    <cellStyle name="Data no deci 3 8 5 8" xfId="10580" xr:uid="{00000000-0005-0000-0000-0000C82F0000}"/>
    <cellStyle name="Data no deci 3 8 5 8 2" xfId="10581" xr:uid="{00000000-0005-0000-0000-0000C92F0000}"/>
    <cellStyle name="Data no deci 3 8 5 9" xfId="10582" xr:uid="{00000000-0005-0000-0000-0000CA2F0000}"/>
    <cellStyle name="Data no deci 3 8 5 9 2" xfId="10583" xr:uid="{00000000-0005-0000-0000-0000CB2F0000}"/>
    <cellStyle name="Data no deci 3 8 6" xfId="10584" xr:uid="{00000000-0005-0000-0000-0000CC2F0000}"/>
    <cellStyle name="Data no deci 3 8 6 10" xfId="10585" xr:uid="{00000000-0005-0000-0000-0000CD2F0000}"/>
    <cellStyle name="Data no deci 3 8 6 2" xfId="10586" xr:uid="{00000000-0005-0000-0000-0000CE2F0000}"/>
    <cellStyle name="Data no deci 3 8 6 2 2" xfId="10587" xr:uid="{00000000-0005-0000-0000-0000CF2F0000}"/>
    <cellStyle name="Data no deci 3 8 6 3" xfId="10588" xr:uid="{00000000-0005-0000-0000-0000D02F0000}"/>
    <cellStyle name="Data no deci 3 8 6 3 2" xfId="10589" xr:uid="{00000000-0005-0000-0000-0000D12F0000}"/>
    <cellStyle name="Data no deci 3 8 6 4" xfId="10590" xr:uid="{00000000-0005-0000-0000-0000D22F0000}"/>
    <cellStyle name="Data no deci 3 8 6 4 2" xfId="10591" xr:uid="{00000000-0005-0000-0000-0000D32F0000}"/>
    <cellStyle name="Data no deci 3 8 6 5" xfId="10592" xr:uid="{00000000-0005-0000-0000-0000D42F0000}"/>
    <cellStyle name="Data no deci 3 8 6 5 2" xfId="10593" xr:uid="{00000000-0005-0000-0000-0000D52F0000}"/>
    <cellStyle name="Data no deci 3 8 6 6" xfId="10594" xr:uid="{00000000-0005-0000-0000-0000D62F0000}"/>
    <cellStyle name="Data no deci 3 8 6 6 2" xfId="10595" xr:uid="{00000000-0005-0000-0000-0000D72F0000}"/>
    <cellStyle name="Data no deci 3 8 6 7" xfId="10596" xr:uid="{00000000-0005-0000-0000-0000D82F0000}"/>
    <cellStyle name="Data no deci 3 8 6 7 2" xfId="10597" xr:uid="{00000000-0005-0000-0000-0000D92F0000}"/>
    <cellStyle name="Data no deci 3 8 6 8" xfId="10598" xr:uid="{00000000-0005-0000-0000-0000DA2F0000}"/>
    <cellStyle name="Data no deci 3 8 6 8 2" xfId="10599" xr:uid="{00000000-0005-0000-0000-0000DB2F0000}"/>
    <cellStyle name="Data no deci 3 8 6 9" xfId="10600" xr:uid="{00000000-0005-0000-0000-0000DC2F0000}"/>
    <cellStyle name="Data no deci 3 8 6 9 2" xfId="10601" xr:uid="{00000000-0005-0000-0000-0000DD2F0000}"/>
    <cellStyle name="Data no deci 3 8 7" xfId="10602" xr:uid="{00000000-0005-0000-0000-0000DE2F0000}"/>
    <cellStyle name="Data no deci 3 8 7 10" xfId="10603" xr:uid="{00000000-0005-0000-0000-0000DF2F0000}"/>
    <cellStyle name="Data no deci 3 8 7 2" xfId="10604" xr:uid="{00000000-0005-0000-0000-0000E02F0000}"/>
    <cellStyle name="Data no deci 3 8 7 2 2" xfId="10605" xr:uid="{00000000-0005-0000-0000-0000E12F0000}"/>
    <cellStyle name="Data no deci 3 8 7 3" xfId="10606" xr:uid="{00000000-0005-0000-0000-0000E22F0000}"/>
    <cellStyle name="Data no deci 3 8 7 3 2" xfId="10607" xr:uid="{00000000-0005-0000-0000-0000E32F0000}"/>
    <cellStyle name="Data no deci 3 8 7 4" xfId="10608" xr:uid="{00000000-0005-0000-0000-0000E42F0000}"/>
    <cellStyle name="Data no deci 3 8 7 4 2" xfId="10609" xr:uid="{00000000-0005-0000-0000-0000E52F0000}"/>
    <cellStyle name="Data no deci 3 8 7 5" xfId="10610" xr:uid="{00000000-0005-0000-0000-0000E62F0000}"/>
    <cellStyle name="Data no deci 3 8 7 5 2" xfId="10611" xr:uid="{00000000-0005-0000-0000-0000E72F0000}"/>
    <cellStyle name="Data no deci 3 8 7 6" xfId="10612" xr:uid="{00000000-0005-0000-0000-0000E82F0000}"/>
    <cellStyle name="Data no deci 3 8 7 6 2" xfId="10613" xr:uid="{00000000-0005-0000-0000-0000E92F0000}"/>
    <cellStyle name="Data no deci 3 8 7 7" xfId="10614" xr:uid="{00000000-0005-0000-0000-0000EA2F0000}"/>
    <cellStyle name="Data no deci 3 8 7 7 2" xfId="10615" xr:uid="{00000000-0005-0000-0000-0000EB2F0000}"/>
    <cellStyle name="Data no deci 3 8 7 8" xfId="10616" xr:uid="{00000000-0005-0000-0000-0000EC2F0000}"/>
    <cellStyle name="Data no deci 3 8 7 8 2" xfId="10617" xr:uid="{00000000-0005-0000-0000-0000ED2F0000}"/>
    <cellStyle name="Data no deci 3 8 7 9" xfId="10618" xr:uid="{00000000-0005-0000-0000-0000EE2F0000}"/>
    <cellStyle name="Data no deci 3 8 7 9 2" xfId="10619" xr:uid="{00000000-0005-0000-0000-0000EF2F0000}"/>
    <cellStyle name="Data no deci 3 8 8" xfId="10620" xr:uid="{00000000-0005-0000-0000-0000F02F0000}"/>
    <cellStyle name="Data no deci 3 8 8 10" xfId="10621" xr:uid="{00000000-0005-0000-0000-0000F12F0000}"/>
    <cellStyle name="Data no deci 3 8 8 2" xfId="10622" xr:uid="{00000000-0005-0000-0000-0000F22F0000}"/>
    <cellStyle name="Data no deci 3 8 8 2 2" xfId="10623" xr:uid="{00000000-0005-0000-0000-0000F32F0000}"/>
    <cellStyle name="Data no deci 3 8 8 3" xfId="10624" xr:uid="{00000000-0005-0000-0000-0000F42F0000}"/>
    <cellStyle name="Data no deci 3 8 8 3 2" xfId="10625" xr:uid="{00000000-0005-0000-0000-0000F52F0000}"/>
    <cellStyle name="Data no deci 3 8 8 4" xfId="10626" xr:uid="{00000000-0005-0000-0000-0000F62F0000}"/>
    <cellStyle name="Data no deci 3 8 8 4 2" xfId="10627" xr:uid="{00000000-0005-0000-0000-0000F72F0000}"/>
    <cellStyle name="Data no deci 3 8 8 5" xfId="10628" xr:uid="{00000000-0005-0000-0000-0000F82F0000}"/>
    <cellStyle name="Data no deci 3 8 8 5 2" xfId="10629" xr:uid="{00000000-0005-0000-0000-0000F92F0000}"/>
    <cellStyle name="Data no deci 3 8 8 6" xfId="10630" xr:uid="{00000000-0005-0000-0000-0000FA2F0000}"/>
    <cellStyle name="Data no deci 3 8 8 6 2" xfId="10631" xr:uid="{00000000-0005-0000-0000-0000FB2F0000}"/>
    <cellStyle name="Data no deci 3 8 8 7" xfId="10632" xr:uid="{00000000-0005-0000-0000-0000FC2F0000}"/>
    <cellStyle name="Data no deci 3 8 8 7 2" xfId="10633" xr:uid="{00000000-0005-0000-0000-0000FD2F0000}"/>
    <cellStyle name="Data no deci 3 8 8 8" xfId="10634" xr:uid="{00000000-0005-0000-0000-0000FE2F0000}"/>
    <cellStyle name="Data no deci 3 8 8 8 2" xfId="10635" xr:uid="{00000000-0005-0000-0000-0000FF2F0000}"/>
    <cellStyle name="Data no deci 3 8 8 9" xfId="10636" xr:uid="{00000000-0005-0000-0000-000000300000}"/>
    <cellStyle name="Data no deci 3 8 8 9 2" xfId="10637" xr:uid="{00000000-0005-0000-0000-000001300000}"/>
    <cellStyle name="Data no deci 3 8 9" xfId="10638" xr:uid="{00000000-0005-0000-0000-000002300000}"/>
    <cellStyle name="Data no deci 3 8 9 10" xfId="10639" xr:uid="{00000000-0005-0000-0000-000003300000}"/>
    <cellStyle name="Data no deci 3 8 9 2" xfId="10640" xr:uid="{00000000-0005-0000-0000-000004300000}"/>
    <cellStyle name="Data no deci 3 8 9 2 2" xfId="10641" xr:uid="{00000000-0005-0000-0000-000005300000}"/>
    <cellStyle name="Data no deci 3 8 9 3" xfId="10642" xr:uid="{00000000-0005-0000-0000-000006300000}"/>
    <cellStyle name="Data no deci 3 8 9 3 2" xfId="10643" xr:uid="{00000000-0005-0000-0000-000007300000}"/>
    <cellStyle name="Data no deci 3 8 9 4" xfId="10644" xr:uid="{00000000-0005-0000-0000-000008300000}"/>
    <cellStyle name="Data no deci 3 8 9 4 2" xfId="10645" xr:uid="{00000000-0005-0000-0000-000009300000}"/>
    <cellStyle name="Data no deci 3 8 9 5" xfId="10646" xr:uid="{00000000-0005-0000-0000-00000A300000}"/>
    <cellStyle name="Data no deci 3 8 9 5 2" xfId="10647" xr:uid="{00000000-0005-0000-0000-00000B300000}"/>
    <cellStyle name="Data no deci 3 8 9 6" xfId="10648" xr:uid="{00000000-0005-0000-0000-00000C300000}"/>
    <cellStyle name="Data no deci 3 8 9 6 2" xfId="10649" xr:uid="{00000000-0005-0000-0000-00000D300000}"/>
    <cellStyle name="Data no deci 3 8 9 7" xfId="10650" xr:uid="{00000000-0005-0000-0000-00000E300000}"/>
    <cellStyle name="Data no deci 3 8 9 7 2" xfId="10651" xr:uid="{00000000-0005-0000-0000-00000F300000}"/>
    <cellStyle name="Data no deci 3 8 9 8" xfId="10652" xr:uid="{00000000-0005-0000-0000-000010300000}"/>
    <cellStyle name="Data no deci 3 8 9 8 2" xfId="10653" xr:uid="{00000000-0005-0000-0000-000011300000}"/>
    <cellStyle name="Data no deci 3 8 9 9" xfId="10654" xr:uid="{00000000-0005-0000-0000-000012300000}"/>
    <cellStyle name="Data no deci 3 8 9 9 2" xfId="10655" xr:uid="{00000000-0005-0000-0000-000013300000}"/>
    <cellStyle name="Data Superscript" xfId="63" xr:uid="{00000000-0005-0000-0000-000014300000}"/>
    <cellStyle name="Data Superscript 2" xfId="161" xr:uid="{00000000-0005-0000-0000-000015300000}"/>
    <cellStyle name="Data Superscript 2 2" xfId="10656" xr:uid="{00000000-0005-0000-0000-000016300000}"/>
    <cellStyle name="Data Superscript 2 2 10" xfId="10657" xr:uid="{00000000-0005-0000-0000-000017300000}"/>
    <cellStyle name="Data Superscript 2 2 10 10" xfId="10658" xr:uid="{00000000-0005-0000-0000-000018300000}"/>
    <cellStyle name="Data Superscript 2 2 10 2" xfId="10659" xr:uid="{00000000-0005-0000-0000-000019300000}"/>
    <cellStyle name="Data Superscript 2 2 10 2 2" xfId="10660" xr:uid="{00000000-0005-0000-0000-00001A300000}"/>
    <cellStyle name="Data Superscript 2 2 10 3" xfId="10661" xr:uid="{00000000-0005-0000-0000-00001B300000}"/>
    <cellStyle name="Data Superscript 2 2 10 3 2" xfId="10662" xr:uid="{00000000-0005-0000-0000-00001C300000}"/>
    <cellStyle name="Data Superscript 2 2 10 4" xfId="10663" xr:uid="{00000000-0005-0000-0000-00001D300000}"/>
    <cellStyle name="Data Superscript 2 2 10 4 2" xfId="10664" xr:uid="{00000000-0005-0000-0000-00001E300000}"/>
    <cellStyle name="Data Superscript 2 2 10 5" xfId="10665" xr:uid="{00000000-0005-0000-0000-00001F300000}"/>
    <cellStyle name="Data Superscript 2 2 10 5 2" xfId="10666" xr:uid="{00000000-0005-0000-0000-000020300000}"/>
    <cellStyle name="Data Superscript 2 2 10 6" xfId="10667" xr:uid="{00000000-0005-0000-0000-000021300000}"/>
    <cellStyle name="Data Superscript 2 2 10 6 2" xfId="10668" xr:uid="{00000000-0005-0000-0000-000022300000}"/>
    <cellStyle name="Data Superscript 2 2 10 7" xfId="10669" xr:uid="{00000000-0005-0000-0000-000023300000}"/>
    <cellStyle name="Data Superscript 2 2 10 7 2" xfId="10670" xr:uid="{00000000-0005-0000-0000-000024300000}"/>
    <cellStyle name="Data Superscript 2 2 10 8" xfId="10671" xr:uid="{00000000-0005-0000-0000-000025300000}"/>
    <cellStyle name="Data Superscript 2 2 10 8 2" xfId="10672" xr:uid="{00000000-0005-0000-0000-000026300000}"/>
    <cellStyle name="Data Superscript 2 2 10 9" xfId="10673" xr:uid="{00000000-0005-0000-0000-000027300000}"/>
    <cellStyle name="Data Superscript 2 2 10 9 2" xfId="10674" xr:uid="{00000000-0005-0000-0000-000028300000}"/>
    <cellStyle name="Data Superscript 2 2 11" xfId="10675" xr:uid="{00000000-0005-0000-0000-000029300000}"/>
    <cellStyle name="Data Superscript 2 2 11 2" xfId="10676" xr:uid="{00000000-0005-0000-0000-00002A300000}"/>
    <cellStyle name="Data Superscript 2 2 11 2 2" xfId="10677" xr:uid="{00000000-0005-0000-0000-00002B300000}"/>
    <cellStyle name="Data Superscript 2 2 11 3" xfId="10678" xr:uid="{00000000-0005-0000-0000-00002C300000}"/>
    <cellStyle name="Data Superscript 2 2 11 3 2" xfId="10679" xr:uid="{00000000-0005-0000-0000-00002D300000}"/>
    <cellStyle name="Data Superscript 2 2 11 4" xfId="10680" xr:uid="{00000000-0005-0000-0000-00002E300000}"/>
    <cellStyle name="Data Superscript 2 2 11 4 2" xfId="10681" xr:uid="{00000000-0005-0000-0000-00002F300000}"/>
    <cellStyle name="Data Superscript 2 2 11 5" xfId="10682" xr:uid="{00000000-0005-0000-0000-000030300000}"/>
    <cellStyle name="Data Superscript 2 2 11 5 2" xfId="10683" xr:uid="{00000000-0005-0000-0000-000031300000}"/>
    <cellStyle name="Data Superscript 2 2 11 6" xfId="10684" xr:uid="{00000000-0005-0000-0000-000032300000}"/>
    <cellStyle name="Data Superscript 2 2 11 6 2" xfId="10685" xr:uid="{00000000-0005-0000-0000-000033300000}"/>
    <cellStyle name="Data Superscript 2 2 11 7" xfId="10686" xr:uid="{00000000-0005-0000-0000-000034300000}"/>
    <cellStyle name="Data Superscript 2 2 11 7 2" xfId="10687" xr:uid="{00000000-0005-0000-0000-000035300000}"/>
    <cellStyle name="Data Superscript 2 2 11 8" xfId="10688" xr:uid="{00000000-0005-0000-0000-000036300000}"/>
    <cellStyle name="Data Superscript 2 2 11 8 2" xfId="10689" xr:uid="{00000000-0005-0000-0000-000037300000}"/>
    <cellStyle name="Data Superscript 2 2 11 9" xfId="10690" xr:uid="{00000000-0005-0000-0000-000038300000}"/>
    <cellStyle name="Data Superscript 2 2 2" xfId="10691" xr:uid="{00000000-0005-0000-0000-000039300000}"/>
    <cellStyle name="Data Superscript 2 2 2 10" xfId="10692" xr:uid="{00000000-0005-0000-0000-00003A300000}"/>
    <cellStyle name="Data Superscript 2 2 2 2" xfId="10693" xr:uid="{00000000-0005-0000-0000-00003B300000}"/>
    <cellStyle name="Data Superscript 2 2 2 2 2" xfId="10694" xr:uid="{00000000-0005-0000-0000-00003C300000}"/>
    <cellStyle name="Data Superscript 2 2 2 3" xfId="10695" xr:uid="{00000000-0005-0000-0000-00003D300000}"/>
    <cellStyle name="Data Superscript 2 2 2 3 2" xfId="10696" xr:uid="{00000000-0005-0000-0000-00003E300000}"/>
    <cellStyle name="Data Superscript 2 2 2 4" xfId="10697" xr:uid="{00000000-0005-0000-0000-00003F300000}"/>
    <cellStyle name="Data Superscript 2 2 2 4 2" xfId="10698" xr:uid="{00000000-0005-0000-0000-000040300000}"/>
    <cellStyle name="Data Superscript 2 2 2 5" xfId="10699" xr:uid="{00000000-0005-0000-0000-000041300000}"/>
    <cellStyle name="Data Superscript 2 2 2 5 2" xfId="10700" xr:uid="{00000000-0005-0000-0000-000042300000}"/>
    <cellStyle name="Data Superscript 2 2 2 6" xfId="10701" xr:uid="{00000000-0005-0000-0000-000043300000}"/>
    <cellStyle name="Data Superscript 2 2 2 6 2" xfId="10702" xr:uid="{00000000-0005-0000-0000-000044300000}"/>
    <cellStyle name="Data Superscript 2 2 2 7" xfId="10703" xr:uid="{00000000-0005-0000-0000-000045300000}"/>
    <cellStyle name="Data Superscript 2 2 2 7 2" xfId="10704" xr:uid="{00000000-0005-0000-0000-000046300000}"/>
    <cellStyle name="Data Superscript 2 2 2 8" xfId="10705" xr:uid="{00000000-0005-0000-0000-000047300000}"/>
    <cellStyle name="Data Superscript 2 2 2 8 2" xfId="10706" xr:uid="{00000000-0005-0000-0000-000048300000}"/>
    <cellStyle name="Data Superscript 2 2 2 9" xfId="10707" xr:uid="{00000000-0005-0000-0000-000049300000}"/>
    <cellStyle name="Data Superscript 2 2 2 9 2" xfId="10708" xr:uid="{00000000-0005-0000-0000-00004A300000}"/>
    <cellStyle name="Data Superscript 2 2 3" xfId="10709" xr:uid="{00000000-0005-0000-0000-00004B300000}"/>
    <cellStyle name="Data Superscript 2 2 3 10" xfId="10710" xr:uid="{00000000-0005-0000-0000-00004C300000}"/>
    <cellStyle name="Data Superscript 2 2 3 2" xfId="10711" xr:uid="{00000000-0005-0000-0000-00004D300000}"/>
    <cellStyle name="Data Superscript 2 2 3 2 2" xfId="10712" xr:uid="{00000000-0005-0000-0000-00004E300000}"/>
    <cellStyle name="Data Superscript 2 2 3 3" xfId="10713" xr:uid="{00000000-0005-0000-0000-00004F300000}"/>
    <cellStyle name="Data Superscript 2 2 3 3 2" xfId="10714" xr:uid="{00000000-0005-0000-0000-000050300000}"/>
    <cellStyle name="Data Superscript 2 2 3 4" xfId="10715" xr:uid="{00000000-0005-0000-0000-000051300000}"/>
    <cellStyle name="Data Superscript 2 2 3 4 2" xfId="10716" xr:uid="{00000000-0005-0000-0000-000052300000}"/>
    <cellStyle name="Data Superscript 2 2 3 5" xfId="10717" xr:uid="{00000000-0005-0000-0000-000053300000}"/>
    <cellStyle name="Data Superscript 2 2 3 5 2" xfId="10718" xr:uid="{00000000-0005-0000-0000-000054300000}"/>
    <cellStyle name="Data Superscript 2 2 3 6" xfId="10719" xr:uid="{00000000-0005-0000-0000-000055300000}"/>
    <cellStyle name="Data Superscript 2 2 3 6 2" xfId="10720" xr:uid="{00000000-0005-0000-0000-000056300000}"/>
    <cellStyle name="Data Superscript 2 2 3 7" xfId="10721" xr:uid="{00000000-0005-0000-0000-000057300000}"/>
    <cellStyle name="Data Superscript 2 2 3 7 2" xfId="10722" xr:uid="{00000000-0005-0000-0000-000058300000}"/>
    <cellStyle name="Data Superscript 2 2 3 8" xfId="10723" xr:uid="{00000000-0005-0000-0000-000059300000}"/>
    <cellStyle name="Data Superscript 2 2 3 8 2" xfId="10724" xr:uid="{00000000-0005-0000-0000-00005A300000}"/>
    <cellStyle name="Data Superscript 2 2 3 9" xfId="10725" xr:uid="{00000000-0005-0000-0000-00005B300000}"/>
    <cellStyle name="Data Superscript 2 2 3 9 2" xfId="10726" xr:uid="{00000000-0005-0000-0000-00005C300000}"/>
    <cellStyle name="Data Superscript 2 2 4" xfId="10727" xr:uid="{00000000-0005-0000-0000-00005D300000}"/>
    <cellStyle name="Data Superscript 2 2 4 10" xfId="10728" xr:uid="{00000000-0005-0000-0000-00005E300000}"/>
    <cellStyle name="Data Superscript 2 2 4 2" xfId="10729" xr:uid="{00000000-0005-0000-0000-00005F300000}"/>
    <cellStyle name="Data Superscript 2 2 4 2 2" xfId="10730" xr:uid="{00000000-0005-0000-0000-000060300000}"/>
    <cellStyle name="Data Superscript 2 2 4 3" xfId="10731" xr:uid="{00000000-0005-0000-0000-000061300000}"/>
    <cellStyle name="Data Superscript 2 2 4 3 2" xfId="10732" xr:uid="{00000000-0005-0000-0000-000062300000}"/>
    <cellStyle name="Data Superscript 2 2 4 4" xfId="10733" xr:uid="{00000000-0005-0000-0000-000063300000}"/>
    <cellStyle name="Data Superscript 2 2 4 4 2" xfId="10734" xr:uid="{00000000-0005-0000-0000-000064300000}"/>
    <cellStyle name="Data Superscript 2 2 4 5" xfId="10735" xr:uid="{00000000-0005-0000-0000-000065300000}"/>
    <cellStyle name="Data Superscript 2 2 4 5 2" xfId="10736" xr:uid="{00000000-0005-0000-0000-000066300000}"/>
    <cellStyle name="Data Superscript 2 2 4 6" xfId="10737" xr:uid="{00000000-0005-0000-0000-000067300000}"/>
    <cellStyle name="Data Superscript 2 2 4 6 2" xfId="10738" xr:uid="{00000000-0005-0000-0000-000068300000}"/>
    <cellStyle name="Data Superscript 2 2 4 7" xfId="10739" xr:uid="{00000000-0005-0000-0000-000069300000}"/>
    <cellStyle name="Data Superscript 2 2 4 7 2" xfId="10740" xr:uid="{00000000-0005-0000-0000-00006A300000}"/>
    <cellStyle name="Data Superscript 2 2 4 8" xfId="10741" xr:uid="{00000000-0005-0000-0000-00006B300000}"/>
    <cellStyle name="Data Superscript 2 2 4 8 2" xfId="10742" xr:uid="{00000000-0005-0000-0000-00006C300000}"/>
    <cellStyle name="Data Superscript 2 2 4 9" xfId="10743" xr:uid="{00000000-0005-0000-0000-00006D300000}"/>
    <cellStyle name="Data Superscript 2 2 4 9 2" xfId="10744" xr:uid="{00000000-0005-0000-0000-00006E300000}"/>
    <cellStyle name="Data Superscript 2 2 5" xfId="10745" xr:uid="{00000000-0005-0000-0000-00006F300000}"/>
    <cellStyle name="Data Superscript 2 2 5 10" xfId="10746" xr:uid="{00000000-0005-0000-0000-000070300000}"/>
    <cellStyle name="Data Superscript 2 2 5 2" xfId="10747" xr:uid="{00000000-0005-0000-0000-000071300000}"/>
    <cellStyle name="Data Superscript 2 2 5 2 2" xfId="10748" xr:uid="{00000000-0005-0000-0000-000072300000}"/>
    <cellStyle name="Data Superscript 2 2 5 3" xfId="10749" xr:uid="{00000000-0005-0000-0000-000073300000}"/>
    <cellStyle name="Data Superscript 2 2 5 3 2" xfId="10750" xr:uid="{00000000-0005-0000-0000-000074300000}"/>
    <cellStyle name="Data Superscript 2 2 5 4" xfId="10751" xr:uid="{00000000-0005-0000-0000-000075300000}"/>
    <cellStyle name="Data Superscript 2 2 5 4 2" xfId="10752" xr:uid="{00000000-0005-0000-0000-000076300000}"/>
    <cellStyle name="Data Superscript 2 2 5 5" xfId="10753" xr:uid="{00000000-0005-0000-0000-000077300000}"/>
    <cellStyle name="Data Superscript 2 2 5 5 2" xfId="10754" xr:uid="{00000000-0005-0000-0000-000078300000}"/>
    <cellStyle name="Data Superscript 2 2 5 6" xfId="10755" xr:uid="{00000000-0005-0000-0000-000079300000}"/>
    <cellStyle name="Data Superscript 2 2 5 6 2" xfId="10756" xr:uid="{00000000-0005-0000-0000-00007A300000}"/>
    <cellStyle name="Data Superscript 2 2 5 7" xfId="10757" xr:uid="{00000000-0005-0000-0000-00007B300000}"/>
    <cellStyle name="Data Superscript 2 2 5 7 2" xfId="10758" xr:uid="{00000000-0005-0000-0000-00007C300000}"/>
    <cellStyle name="Data Superscript 2 2 5 8" xfId="10759" xr:uid="{00000000-0005-0000-0000-00007D300000}"/>
    <cellStyle name="Data Superscript 2 2 5 8 2" xfId="10760" xr:uid="{00000000-0005-0000-0000-00007E300000}"/>
    <cellStyle name="Data Superscript 2 2 5 9" xfId="10761" xr:uid="{00000000-0005-0000-0000-00007F300000}"/>
    <cellStyle name="Data Superscript 2 2 5 9 2" xfId="10762" xr:uid="{00000000-0005-0000-0000-000080300000}"/>
    <cellStyle name="Data Superscript 2 2 6" xfId="10763" xr:uid="{00000000-0005-0000-0000-000081300000}"/>
    <cellStyle name="Data Superscript 2 2 6 10" xfId="10764" xr:uid="{00000000-0005-0000-0000-000082300000}"/>
    <cellStyle name="Data Superscript 2 2 6 2" xfId="10765" xr:uid="{00000000-0005-0000-0000-000083300000}"/>
    <cellStyle name="Data Superscript 2 2 6 2 2" xfId="10766" xr:uid="{00000000-0005-0000-0000-000084300000}"/>
    <cellStyle name="Data Superscript 2 2 6 3" xfId="10767" xr:uid="{00000000-0005-0000-0000-000085300000}"/>
    <cellStyle name="Data Superscript 2 2 6 3 2" xfId="10768" xr:uid="{00000000-0005-0000-0000-000086300000}"/>
    <cellStyle name="Data Superscript 2 2 6 4" xfId="10769" xr:uid="{00000000-0005-0000-0000-000087300000}"/>
    <cellStyle name="Data Superscript 2 2 6 4 2" xfId="10770" xr:uid="{00000000-0005-0000-0000-000088300000}"/>
    <cellStyle name="Data Superscript 2 2 6 5" xfId="10771" xr:uid="{00000000-0005-0000-0000-000089300000}"/>
    <cellStyle name="Data Superscript 2 2 6 5 2" xfId="10772" xr:uid="{00000000-0005-0000-0000-00008A300000}"/>
    <cellStyle name="Data Superscript 2 2 6 6" xfId="10773" xr:uid="{00000000-0005-0000-0000-00008B300000}"/>
    <cellStyle name="Data Superscript 2 2 6 6 2" xfId="10774" xr:uid="{00000000-0005-0000-0000-00008C300000}"/>
    <cellStyle name="Data Superscript 2 2 6 7" xfId="10775" xr:uid="{00000000-0005-0000-0000-00008D300000}"/>
    <cellStyle name="Data Superscript 2 2 6 7 2" xfId="10776" xr:uid="{00000000-0005-0000-0000-00008E300000}"/>
    <cellStyle name="Data Superscript 2 2 6 8" xfId="10777" xr:uid="{00000000-0005-0000-0000-00008F300000}"/>
    <cellStyle name="Data Superscript 2 2 6 8 2" xfId="10778" xr:uid="{00000000-0005-0000-0000-000090300000}"/>
    <cellStyle name="Data Superscript 2 2 6 9" xfId="10779" xr:uid="{00000000-0005-0000-0000-000091300000}"/>
    <cellStyle name="Data Superscript 2 2 6 9 2" xfId="10780" xr:uid="{00000000-0005-0000-0000-000092300000}"/>
    <cellStyle name="Data Superscript 2 2 7" xfId="10781" xr:uid="{00000000-0005-0000-0000-000093300000}"/>
    <cellStyle name="Data Superscript 2 2 7 10" xfId="10782" xr:uid="{00000000-0005-0000-0000-000094300000}"/>
    <cellStyle name="Data Superscript 2 2 7 2" xfId="10783" xr:uid="{00000000-0005-0000-0000-000095300000}"/>
    <cellStyle name="Data Superscript 2 2 7 2 2" xfId="10784" xr:uid="{00000000-0005-0000-0000-000096300000}"/>
    <cellStyle name="Data Superscript 2 2 7 3" xfId="10785" xr:uid="{00000000-0005-0000-0000-000097300000}"/>
    <cellStyle name="Data Superscript 2 2 7 3 2" xfId="10786" xr:uid="{00000000-0005-0000-0000-000098300000}"/>
    <cellStyle name="Data Superscript 2 2 7 4" xfId="10787" xr:uid="{00000000-0005-0000-0000-000099300000}"/>
    <cellStyle name="Data Superscript 2 2 7 4 2" xfId="10788" xr:uid="{00000000-0005-0000-0000-00009A300000}"/>
    <cellStyle name="Data Superscript 2 2 7 5" xfId="10789" xr:uid="{00000000-0005-0000-0000-00009B300000}"/>
    <cellStyle name="Data Superscript 2 2 7 5 2" xfId="10790" xr:uid="{00000000-0005-0000-0000-00009C300000}"/>
    <cellStyle name="Data Superscript 2 2 7 6" xfId="10791" xr:uid="{00000000-0005-0000-0000-00009D300000}"/>
    <cellStyle name="Data Superscript 2 2 7 6 2" xfId="10792" xr:uid="{00000000-0005-0000-0000-00009E300000}"/>
    <cellStyle name="Data Superscript 2 2 7 7" xfId="10793" xr:uid="{00000000-0005-0000-0000-00009F300000}"/>
    <cellStyle name="Data Superscript 2 2 7 7 2" xfId="10794" xr:uid="{00000000-0005-0000-0000-0000A0300000}"/>
    <cellStyle name="Data Superscript 2 2 7 8" xfId="10795" xr:uid="{00000000-0005-0000-0000-0000A1300000}"/>
    <cellStyle name="Data Superscript 2 2 7 8 2" xfId="10796" xr:uid="{00000000-0005-0000-0000-0000A2300000}"/>
    <cellStyle name="Data Superscript 2 2 7 9" xfId="10797" xr:uid="{00000000-0005-0000-0000-0000A3300000}"/>
    <cellStyle name="Data Superscript 2 2 7 9 2" xfId="10798" xr:uid="{00000000-0005-0000-0000-0000A4300000}"/>
    <cellStyle name="Data Superscript 2 2 8" xfId="10799" xr:uid="{00000000-0005-0000-0000-0000A5300000}"/>
    <cellStyle name="Data Superscript 2 2 8 10" xfId="10800" xr:uid="{00000000-0005-0000-0000-0000A6300000}"/>
    <cellStyle name="Data Superscript 2 2 8 2" xfId="10801" xr:uid="{00000000-0005-0000-0000-0000A7300000}"/>
    <cellStyle name="Data Superscript 2 2 8 2 2" xfId="10802" xr:uid="{00000000-0005-0000-0000-0000A8300000}"/>
    <cellStyle name="Data Superscript 2 2 8 3" xfId="10803" xr:uid="{00000000-0005-0000-0000-0000A9300000}"/>
    <cellStyle name="Data Superscript 2 2 8 3 2" xfId="10804" xr:uid="{00000000-0005-0000-0000-0000AA300000}"/>
    <cellStyle name="Data Superscript 2 2 8 4" xfId="10805" xr:uid="{00000000-0005-0000-0000-0000AB300000}"/>
    <cellStyle name="Data Superscript 2 2 8 4 2" xfId="10806" xr:uid="{00000000-0005-0000-0000-0000AC300000}"/>
    <cellStyle name="Data Superscript 2 2 8 5" xfId="10807" xr:uid="{00000000-0005-0000-0000-0000AD300000}"/>
    <cellStyle name="Data Superscript 2 2 8 5 2" xfId="10808" xr:uid="{00000000-0005-0000-0000-0000AE300000}"/>
    <cellStyle name="Data Superscript 2 2 8 6" xfId="10809" xr:uid="{00000000-0005-0000-0000-0000AF300000}"/>
    <cellStyle name="Data Superscript 2 2 8 6 2" xfId="10810" xr:uid="{00000000-0005-0000-0000-0000B0300000}"/>
    <cellStyle name="Data Superscript 2 2 8 7" xfId="10811" xr:uid="{00000000-0005-0000-0000-0000B1300000}"/>
    <cellStyle name="Data Superscript 2 2 8 7 2" xfId="10812" xr:uid="{00000000-0005-0000-0000-0000B2300000}"/>
    <cellStyle name="Data Superscript 2 2 8 8" xfId="10813" xr:uid="{00000000-0005-0000-0000-0000B3300000}"/>
    <cellStyle name="Data Superscript 2 2 8 8 2" xfId="10814" xr:uid="{00000000-0005-0000-0000-0000B4300000}"/>
    <cellStyle name="Data Superscript 2 2 8 9" xfId="10815" xr:uid="{00000000-0005-0000-0000-0000B5300000}"/>
    <cellStyle name="Data Superscript 2 2 8 9 2" xfId="10816" xr:uid="{00000000-0005-0000-0000-0000B6300000}"/>
    <cellStyle name="Data Superscript 2 2 9" xfId="10817" xr:uid="{00000000-0005-0000-0000-0000B7300000}"/>
    <cellStyle name="Data Superscript 2 2 9 10" xfId="10818" xr:uid="{00000000-0005-0000-0000-0000B8300000}"/>
    <cellStyle name="Data Superscript 2 2 9 2" xfId="10819" xr:uid="{00000000-0005-0000-0000-0000B9300000}"/>
    <cellStyle name="Data Superscript 2 2 9 2 2" xfId="10820" xr:uid="{00000000-0005-0000-0000-0000BA300000}"/>
    <cellStyle name="Data Superscript 2 2 9 3" xfId="10821" xr:uid="{00000000-0005-0000-0000-0000BB300000}"/>
    <cellStyle name="Data Superscript 2 2 9 3 2" xfId="10822" xr:uid="{00000000-0005-0000-0000-0000BC300000}"/>
    <cellStyle name="Data Superscript 2 2 9 4" xfId="10823" xr:uid="{00000000-0005-0000-0000-0000BD300000}"/>
    <cellStyle name="Data Superscript 2 2 9 4 2" xfId="10824" xr:uid="{00000000-0005-0000-0000-0000BE300000}"/>
    <cellStyle name="Data Superscript 2 2 9 5" xfId="10825" xr:uid="{00000000-0005-0000-0000-0000BF300000}"/>
    <cellStyle name="Data Superscript 2 2 9 5 2" xfId="10826" xr:uid="{00000000-0005-0000-0000-0000C0300000}"/>
    <cellStyle name="Data Superscript 2 2 9 6" xfId="10827" xr:uid="{00000000-0005-0000-0000-0000C1300000}"/>
    <cellStyle name="Data Superscript 2 2 9 6 2" xfId="10828" xr:uid="{00000000-0005-0000-0000-0000C2300000}"/>
    <cellStyle name="Data Superscript 2 2 9 7" xfId="10829" xr:uid="{00000000-0005-0000-0000-0000C3300000}"/>
    <cellStyle name="Data Superscript 2 2 9 7 2" xfId="10830" xr:uid="{00000000-0005-0000-0000-0000C4300000}"/>
    <cellStyle name="Data Superscript 2 2 9 8" xfId="10831" xr:uid="{00000000-0005-0000-0000-0000C5300000}"/>
    <cellStyle name="Data Superscript 2 2 9 8 2" xfId="10832" xr:uid="{00000000-0005-0000-0000-0000C6300000}"/>
    <cellStyle name="Data Superscript 2 2 9 9" xfId="10833" xr:uid="{00000000-0005-0000-0000-0000C7300000}"/>
    <cellStyle name="Data Superscript 2 2 9 9 2" xfId="10834" xr:uid="{00000000-0005-0000-0000-0000C8300000}"/>
    <cellStyle name="Data Superscript 2 3" xfId="10835" xr:uid="{00000000-0005-0000-0000-0000C9300000}"/>
    <cellStyle name="Data Superscript 2 3 10" xfId="10836" xr:uid="{00000000-0005-0000-0000-0000CA300000}"/>
    <cellStyle name="Data Superscript 2 3 10 10" xfId="10837" xr:uid="{00000000-0005-0000-0000-0000CB300000}"/>
    <cellStyle name="Data Superscript 2 3 10 2" xfId="10838" xr:uid="{00000000-0005-0000-0000-0000CC300000}"/>
    <cellStyle name="Data Superscript 2 3 10 2 2" xfId="10839" xr:uid="{00000000-0005-0000-0000-0000CD300000}"/>
    <cellStyle name="Data Superscript 2 3 10 3" xfId="10840" xr:uid="{00000000-0005-0000-0000-0000CE300000}"/>
    <cellStyle name="Data Superscript 2 3 10 3 2" xfId="10841" xr:uid="{00000000-0005-0000-0000-0000CF300000}"/>
    <cellStyle name="Data Superscript 2 3 10 4" xfId="10842" xr:uid="{00000000-0005-0000-0000-0000D0300000}"/>
    <cellStyle name="Data Superscript 2 3 10 4 2" xfId="10843" xr:uid="{00000000-0005-0000-0000-0000D1300000}"/>
    <cellStyle name="Data Superscript 2 3 10 5" xfId="10844" xr:uid="{00000000-0005-0000-0000-0000D2300000}"/>
    <cellStyle name="Data Superscript 2 3 10 5 2" xfId="10845" xr:uid="{00000000-0005-0000-0000-0000D3300000}"/>
    <cellStyle name="Data Superscript 2 3 10 6" xfId="10846" xr:uid="{00000000-0005-0000-0000-0000D4300000}"/>
    <cellStyle name="Data Superscript 2 3 10 6 2" xfId="10847" xr:uid="{00000000-0005-0000-0000-0000D5300000}"/>
    <cellStyle name="Data Superscript 2 3 10 7" xfId="10848" xr:uid="{00000000-0005-0000-0000-0000D6300000}"/>
    <cellStyle name="Data Superscript 2 3 10 7 2" xfId="10849" xr:uid="{00000000-0005-0000-0000-0000D7300000}"/>
    <cellStyle name="Data Superscript 2 3 10 8" xfId="10850" xr:uid="{00000000-0005-0000-0000-0000D8300000}"/>
    <cellStyle name="Data Superscript 2 3 10 8 2" xfId="10851" xr:uid="{00000000-0005-0000-0000-0000D9300000}"/>
    <cellStyle name="Data Superscript 2 3 10 9" xfId="10852" xr:uid="{00000000-0005-0000-0000-0000DA300000}"/>
    <cellStyle name="Data Superscript 2 3 10 9 2" xfId="10853" xr:uid="{00000000-0005-0000-0000-0000DB300000}"/>
    <cellStyle name="Data Superscript 2 3 11" xfId="10854" xr:uid="{00000000-0005-0000-0000-0000DC300000}"/>
    <cellStyle name="Data Superscript 2 3 11 2" xfId="10855" xr:uid="{00000000-0005-0000-0000-0000DD300000}"/>
    <cellStyle name="Data Superscript 2 3 11 2 2" xfId="10856" xr:uid="{00000000-0005-0000-0000-0000DE300000}"/>
    <cellStyle name="Data Superscript 2 3 11 3" xfId="10857" xr:uid="{00000000-0005-0000-0000-0000DF300000}"/>
    <cellStyle name="Data Superscript 2 3 11 3 2" xfId="10858" xr:uid="{00000000-0005-0000-0000-0000E0300000}"/>
    <cellStyle name="Data Superscript 2 3 11 4" xfId="10859" xr:uid="{00000000-0005-0000-0000-0000E1300000}"/>
    <cellStyle name="Data Superscript 2 3 11 4 2" xfId="10860" xr:uid="{00000000-0005-0000-0000-0000E2300000}"/>
    <cellStyle name="Data Superscript 2 3 11 5" xfId="10861" xr:uid="{00000000-0005-0000-0000-0000E3300000}"/>
    <cellStyle name="Data Superscript 2 3 11 5 2" xfId="10862" xr:uid="{00000000-0005-0000-0000-0000E4300000}"/>
    <cellStyle name="Data Superscript 2 3 11 6" xfId="10863" xr:uid="{00000000-0005-0000-0000-0000E5300000}"/>
    <cellStyle name="Data Superscript 2 3 11 6 2" xfId="10864" xr:uid="{00000000-0005-0000-0000-0000E6300000}"/>
    <cellStyle name="Data Superscript 2 3 11 7" xfId="10865" xr:uid="{00000000-0005-0000-0000-0000E7300000}"/>
    <cellStyle name="Data Superscript 2 3 11 7 2" xfId="10866" xr:uid="{00000000-0005-0000-0000-0000E8300000}"/>
    <cellStyle name="Data Superscript 2 3 11 8" xfId="10867" xr:uid="{00000000-0005-0000-0000-0000E9300000}"/>
    <cellStyle name="Data Superscript 2 3 11 8 2" xfId="10868" xr:uid="{00000000-0005-0000-0000-0000EA300000}"/>
    <cellStyle name="Data Superscript 2 3 11 9" xfId="10869" xr:uid="{00000000-0005-0000-0000-0000EB300000}"/>
    <cellStyle name="Data Superscript 2 3 2" xfId="10870" xr:uid="{00000000-0005-0000-0000-0000EC300000}"/>
    <cellStyle name="Data Superscript 2 3 2 10" xfId="10871" xr:uid="{00000000-0005-0000-0000-0000ED300000}"/>
    <cellStyle name="Data Superscript 2 3 2 2" xfId="10872" xr:uid="{00000000-0005-0000-0000-0000EE300000}"/>
    <cellStyle name="Data Superscript 2 3 2 2 2" xfId="10873" xr:uid="{00000000-0005-0000-0000-0000EF300000}"/>
    <cellStyle name="Data Superscript 2 3 2 3" xfId="10874" xr:uid="{00000000-0005-0000-0000-0000F0300000}"/>
    <cellStyle name="Data Superscript 2 3 2 3 2" xfId="10875" xr:uid="{00000000-0005-0000-0000-0000F1300000}"/>
    <cellStyle name="Data Superscript 2 3 2 4" xfId="10876" xr:uid="{00000000-0005-0000-0000-0000F2300000}"/>
    <cellStyle name="Data Superscript 2 3 2 4 2" xfId="10877" xr:uid="{00000000-0005-0000-0000-0000F3300000}"/>
    <cellStyle name="Data Superscript 2 3 2 5" xfId="10878" xr:uid="{00000000-0005-0000-0000-0000F4300000}"/>
    <cellStyle name="Data Superscript 2 3 2 5 2" xfId="10879" xr:uid="{00000000-0005-0000-0000-0000F5300000}"/>
    <cellStyle name="Data Superscript 2 3 2 6" xfId="10880" xr:uid="{00000000-0005-0000-0000-0000F6300000}"/>
    <cellStyle name="Data Superscript 2 3 2 6 2" xfId="10881" xr:uid="{00000000-0005-0000-0000-0000F7300000}"/>
    <cellStyle name="Data Superscript 2 3 2 7" xfId="10882" xr:uid="{00000000-0005-0000-0000-0000F8300000}"/>
    <cellStyle name="Data Superscript 2 3 2 7 2" xfId="10883" xr:uid="{00000000-0005-0000-0000-0000F9300000}"/>
    <cellStyle name="Data Superscript 2 3 2 8" xfId="10884" xr:uid="{00000000-0005-0000-0000-0000FA300000}"/>
    <cellStyle name="Data Superscript 2 3 2 8 2" xfId="10885" xr:uid="{00000000-0005-0000-0000-0000FB300000}"/>
    <cellStyle name="Data Superscript 2 3 2 9" xfId="10886" xr:uid="{00000000-0005-0000-0000-0000FC300000}"/>
    <cellStyle name="Data Superscript 2 3 2 9 2" xfId="10887" xr:uid="{00000000-0005-0000-0000-0000FD300000}"/>
    <cellStyle name="Data Superscript 2 3 3" xfId="10888" xr:uid="{00000000-0005-0000-0000-0000FE300000}"/>
    <cellStyle name="Data Superscript 2 3 3 10" xfId="10889" xr:uid="{00000000-0005-0000-0000-0000FF300000}"/>
    <cellStyle name="Data Superscript 2 3 3 2" xfId="10890" xr:uid="{00000000-0005-0000-0000-000000310000}"/>
    <cellStyle name="Data Superscript 2 3 3 2 2" xfId="10891" xr:uid="{00000000-0005-0000-0000-000001310000}"/>
    <cellStyle name="Data Superscript 2 3 3 3" xfId="10892" xr:uid="{00000000-0005-0000-0000-000002310000}"/>
    <cellStyle name="Data Superscript 2 3 3 3 2" xfId="10893" xr:uid="{00000000-0005-0000-0000-000003310000}"/>
    <cellStyle name="Data Superscript 2 3 3 4" xfId="10894" xr:uid="{00000000-0005-0000-0000-000004310000}"/>
    <cellStyle name="Data Superscript 2 3 3 4 2" xfId="10895" xr:uid="{00000000-0005-0000-0000-000005310000}"/>
    <cellStyle name="Data Superscript 2 3 3 5" xfId="10896" xr:uid="{00000000-0005-0000-0000-000006310000}"/>
    <cellStyle name="Data Superscript 2 3 3 5 2" xfId="10897" xr:uid="{00000000-0005-0000-0000-000007310000}"/>
    <cellStyle name="Data Superscript 2 3 3 6" xfId="10898" xr:uid="{00000000-0005-0000-0000-000008310000}"/>
    <cellStyle name="Data Superscript 2 3 3 6 2" xfId="10899" xr:uid="{00000000-0005-0000-0000-000009310000}"/>
    <cellStyle name="Data Superscript 2 3 3 7" xfId="10900" xr:uid="{00000000-0005-0000-0000-00000A310000}"/>
    <cellStyle name="Data Superscript 2 3 3 7 2" xfId="10901" xr:uid="{00000000-0005-0000-0000-00000B310000}"/>
    <cellStyle name="Data Superscript 2 3 3 8" xfId="10902" xr:uid="{00000000-0005-0000-0000-00000C310000}"/>
    <cellStyle name="Data Superscript 2 3 3 8 2" xfId="10903" xr:uid="{00000000-0005-0000-0000-00000D310000}"/>
    <cellStyle name="Data Superscript 2 3 3 9" xfId="10904" xr:uid="{00000000-0005-0000-0000-00000E310000}"/>
    <cellStyle name="Data Superscript 2 3 3 9 2" xfId="10905" xr:uid="{00000000-0005-0000-0000-00000F310000}"/>
    <cellStyle name="Data Superscript 2 3 4" xfId="10906" xr:uid="{00000000-0005-0000-0000-000010310000}"/>
    <cellStyle name="Data Superscript 2 3 4 10" xfId="10907" xr:uid="{00000000-0005-0000-0000-000011310000}"/>
    <cellStyle name="Data Superscript 2 3 4 2" xfId="10908" xr:uid="{00000000-0005-0000-0000-000012310000}"/>
    <cellStyle name="Data Superscript 2 3 4 2 2" xfId="10909" xr:uid="{00000000-0005-0000-0000-000013310000}"/>
    <cellStyle name="Data Superscript 2 3 4 3" xfId="10910" xr:uid="{00000000-0005-0000-0000-000014310000}"/>
    <cellStyle name="Data Superscript 2 3 4 3 2" xfId="10911" xr:uid="{00000000-0005-0000-0000-000015310000}"/>
    <cellStyle name="Data Superscript 2 3 4 4" xfId="10912" xr:uid="{00000000-0005-0000-0000-000016310000}"/>
    <cellStyle name="Data Superscript 2 3 4 4 2" xfId="10913" xr:uid="{00000000-0005-0000-0000-000017310000}"/>
    <cellStyle name="Data Superscript 2 3 4 5" xfId="10914" xr:uid="{00000000-0005-0000-0000-000018310000}"/>
    <cellStyle name="Data Superscript 2 3 4 5 2" xfId="10915" xr:uid="{00000000-0005-0000-0000-000019310000}"/>
    <cellStyle name="Data Superscript 2 3 4 6" xfId="10916" xr:uid="{00000000-0005-0000-0000-00001A310000}"/>
    <cellStyle name="Data Superscript 2 3 4 6 2" xfId="10917" xr:uid="{00000000-0005-0000-0000-00001B310000}"/>
    <cellStyle name="Data Superscript 2 3 4 7" xfId="10918" xr:uid="{00000000-0005-0000-0000-00001C310000}"/>
    <cellStyle name="Data Superscript 2 3 4 7 2" xfId="10919" xr:uid="{00000000-0005-0000-0000-00001D310000}"/>
    <cellStyle name="Data Superscript 2 3 4 8" xfId="10920" xr:uid="{00000000-0005-0000-0000-00001E310000}"/>
    <cellStyle name="Data Superscript 2 3 4 8 2" xfId="10921" xr:uid="{00000000-0005-0000-0000-00001F310000}"/>
    <cellStyle name="Data Superscript 2 3 4 9" xfId="10922" xr:uid="{00000000-0005-0000-0000-000020310000}"/>
    <cellStyle name="Data Superscript 2 3 4 9 2" xfId="10923" xr:uid="{00000000-0005-0000-0000-000021310000}"/>
    <cellStyle name="Data Superscript 2 3 5" xfId="10924" xr:uid="{00000000-0005-0000-0000-000022310000}"/>
    <cellStyle name="Data Superscript 2 3 5 10" xfId="10925" xr:uid="{00000000-0005-0000-0000-000023310000}"/>
    <cellStyle name="Data Superscript 2 3 5 2" xfId="10926" xr:uid="{00000000-0005-0000-0000-000024310000}"/>
    <cellStyle name="Data Superscript 2 3 5 2 2" xfId="10927" xr:uid="{00000000-0005-0000-0000-000025310000}"/>
    <cellStyle name="Data Superscript 2 3 5 3" xfId="10928" xr:uid="{00000000-0005-0000-0000-000026310000}"/>
    <cellStyle name="Data Superscript 2 3 5 3 2" xfId="10929" xr:uid="{00000000-0005-0000-0000-000027310000}"/>
    <cellStyle name="Data Superscript 2 3 5 4" xfId="10930" xr:uid="{00000000-0005-0000-0000-000028310000}"/>
    <cellStyle name="Data Superscript 2 3 5 4 2" xfId="10931" xr:uid="{00000000-0005-0000-0000-000029310000}"/>
    <cellStyle name="Data Superscript 2 3 5 5" xfId="10932" xr:uid="{00000000-0005-0000-0000-00002A310000}"/>
    <cellStyle name="Data Superscript 2 3 5 5 2" xfId="10933" xr:uid="{00000000-0005-0000-0000-00002B310000}"/>
    <cellStyle name="Data Superscript 2 3 5 6" xfId="10934" xr:uid="{00000000-0005-0000-0000-00002C310000}"/>
    <cellStyle name="Data Superscript 2 3 5 6 2" xfId="10935" xr:uid="{00000000-0005-0000-0000-00002D310000}"/>
    <cellStyle name="Data Superscript 2 3 5 7" xfId="10936" xr:uid="{00000000-0005-0000-0000-00002E310000}"/>
    <cellStyle name="Data Superscript 2 3 5 7 2" xfId="10937" xr:uid="{00000000-0005-0000-0000-00002F310000}"/>
    <cellStyle name="Data Superscript 2 3 5 8" xfId="10938" xr:uid="{00000000-0005-0000-0000-000030310000}"/>
    <cellStyle name="Data Superscript 2 3 5 8 2" xfId="10939" xr:uid="{00000000-0005-0000-0000-000031310000}"/>
    <cellStyle name="Data Superscript 2 3 5 9" xfId="10940" xr:uid="{00000000-0005-0000-0000-000032310000}"/>
    <cellStyle name="Data Superscript 2 3 5 9 2" xfId="10941" xr:uid="{00000000-0005-0000-0000-000033310000}"/>
    <cellStyle name="Data Superscript 2 3 6" xfId="10942" xr:uid="{00000000-0005-0000-0000-000034310000}"/>
    <cellStyle name="Data Superscript 2 3 6 10" xfId="10943" xr:uid="{00000000-0005-0000-0000-000035310000}"/>
    <cellStyle name="Data Superscript 2 3 6 2" xfId="10944" xr:uid="{00000000-0005-0000-0000-000036310000}"/>
    <cellStyle name="Data Superscript 2 3 6 2 2" xfId="10945" xr:uid="{00000000-0005-0000-0000-000037310000}"/>
    <cellStyle name="Data Superscript 2 3 6 3" xfId="10946" xr:uid="{00000000-0005-0000-0000-000038310000}"/>
    <cellStyle name="Data Superscript 2 3 6 3 2" xfId="10947" xr:uid="{00000000-0005-0000-0000-000039310000}"/>
    <cellStyle name="Data Superscript 2 3 6 4" xfId="10948" xr:uid="{00000000-0005-0000-0000-00003A310000}"/>
    <cellStyle name="Data Superscript 2 3 6 4 2" xfId="10949" xr:uid="{00000000-0005-0000-0000-00003B310000}"/>
    <cellStyle name="Data Superscript 2 3 6 5" xfId="10950" xr:uid="{00000000-0005-0000-0000-00003C310000}"/>
    <cellStyle name="Data Superscript 2 3 6 5 2" xfId="10951" xr:uid="{00000000-0005-0000-0000-00003D310000}"/>
    <cellStyle name="Data Superscript 2 3 6 6" xfId="10952" xr:uid="{00000000-0005-0000-0000-00003E310000}"/>
    <cellStyle name="Data Superscript 2 3 6 6 2" xfId="10953" xr:uid="{00000000-0005-0000-0000-00003F310000}"/>
    <cellStyle name="Data Superscript 2 3 6 7" xfId="10954" xr:uid="{00000000-0005-0000-0000-000040310000}"/>
    <cellStyle name="Data Superscript 2 3 6 7 2" xfId="10955" xr:uid="{00000000-0005-0000-0000-000041310000}"/>
    <cellStyle name="Data Superscript 2 3 6 8" xfId="10956" xr:uid="{00000000-0005-0000-0000-000042310000}"/>
    <cellStyle name="Data Superscript 2 3 6 8 2" xfId="10957" xr:uid="{00000000-0005-0000-0000-000043310000}"/>
    <cellStyle name="Data Superscript 2 3 6 9" xfId="10958" xr:uid="{00000000-0005-0000-0000-000044310000}"/>
    <cellStyle name="Data Superscript 2 3 6 9 2" xfId="10959" xr:uid="{00000000-0005-0000-0000-000045310000}"/>
    <cellStyle name="Data Superscript 2 3 7" xfId="10960" xr:uid="{00000000-0005-0000-0000-000046310000}"/>
    <cellStyle name="Data Superscript 2 3 7 10" xfId="10961" xr:uid="{00000000-0005-0000-0000-000047310000}"/>
    <cellStyle name="Data Superscript 2 3 7 2" xfId="10962" xr:uid="{00000000-0005-0000-0000-000048310000}"/>
    <cellStyle name="Data Superscript 2 3 7 2 2" xfId="10963" xr:uid="{00000000-0005-0000-0000-000049310000}"/>
    <cellStyle name="Data Superscript 2 3 7 3" xfId="10964" xr:uid="{00000000-0005-0000-0000-00004A310000}"/>
    <cellStyle name="Data Superscript 2 3 7 3 2" xfId="10965" xr:uid="{00000000-0005-0000-0000-00004B310000}"/>
    <cellStyle name="Data Superscript 2 3 7 4" xfId="10966" xr:uid="{00000000-0005-0000-0000-00004C310000}"/>
    <cellStyle name="Data Superscript 2 3 7 4 2" xfId="10967" xr:uid="{00000000-0005-0000-0000-00004D310000}"/>
    <cellStyle name="Data Superscript 2 3 7 5" xfId="10968" xr:uid="{00000000-0005-0000-0000-00004E310000}"/>
    <cellStyle name="Data Superscript 2 3 7 5 2" xfId="10969" xr:uid="{00000000-0005-0000-0000-00004F310000}"/>
    <cellStyle name="Data Superscript 2 3 7 6" xfId="10970" xr:uid="{00000000-0005-0000-0000-000050310000}"/>
    <cellStyle name="Data Superscript 2 3 7 6 2" xfId="10971" xr:uid="{00000000-0005-0000-0000-000051310000}"/>
    <cellStyle name="Data Superscript 2 3 7 7" xfId="10972" xr:uid="{00000000-0005-0000-0000-000052310000}"/>
    <cellStyle name="Data Superscript 2 3 7 7 2" xfId="10973" xr:uid="{00000000-0005-0000-0000-000053310000}"/>
    <cellStyle name="Data Superscript 2 3 7 8" xfId="10974" xr:uid="{00000000-0005-0000-0000-000054310000}"/>
    <cellStyle name="Data Superscript 2 3 7 8 2" xfId="10975" xr:uid="{00000000-0005-0000-0000-000055310000}"/>
    <cellStyle name="Data Superscript 2 3 7 9" xfId="10976" xr:uid="{00000000-0005-0000-0000-000056310000}"/>
    <cellStyle name="Data Superscript 2 3 7 9 2" xfId="10977" xr:uid="{00000000-0005-0000-0000-000057310000}"/>
    <cellStyle name="Data Superscript 2 3 8" xfId="10978" xr:uid="{00000000-0005-0000-0000-000058310000}"/>
    <cellStyle name="Data Superscript 2 3 8 10" xfId="10979" xr:uid="{00000000-0005-0000-0000-000059310000}"/>
    <cellStyle name="Data Superscript 2 3 8 2" xfId="10980" xr:uid="{00000000-0005-0000-0000-00005A310000}"/>
    <cellStyle name="Data Superscript 2 3 8 2 2" xfId="10981" xr:uid="{00000000-0005-0000-0000-00005B310000}"/>
    <cellStyle name="Data Superscript 2 3 8 3" xfId="10982" xr:uid="{00000000-0005-0000-0000-00005C310000}"/>
    <cellStyle name="Data Superscript 2 3 8 3 2" xfId="10983" xr:uid="{00000000-0005-0000-0000-00005D310000}"/>
    <cellStyle name="Data Superscript 2 3 8 4" xfId="10984" xr:uid="{00000000-0005-0000-0000-00005E310000}"/>
    <cellStyle name="Data Superscript 2 3 8 4 2" xfId="10985" xr:uid="{00000000-0005-0000-0000-00005F310000}"/>
    <cellStyle name="Data Superscript 2 3 8 5" xfId="10986" xr:uid="{00000000-0005-0000-0000-000060310000}"/>
    <cellStyle name="Data Superscript 2 3 8 5 2" xfId="10987" xr:uid="{00000000-0005-0000-0000-000061310000}"/>
    <cellStyle name="Data Superscript 2 3 8 6" xfId="10988" xr:uid="{00000000-0005-0000-0000-000062310000}"/>
    <cellStyle name="Data Superscript 2 3 8 6 2" xfId="10989" xr:uid="{00000000-0005-0000-0000-000063310000}"/>
    <cellStyle name="Data Superscript 2 3 8 7" xfId="10990" xr:uid="{00000000-0005-0000-0000-000064310000}"/>
    <cellStyle name="Data Superscript 2 3 8 7 2" xfId="10991" xr:uid="{00000000-0005-0000-0000-000065310000}"/>
    <cellStyle name="Data Superscript 2 3 8 8" xfId="10992" xr:uid="{00000000-0005-0000-0000-000066310000}"/>
    <cellStyle name="Data Superscript 2 3 8 8 2" xfId="10993" xr:uid="{00000000-0005-0000-0000-000067310000}"/>
    <cellStyle name="Data Superscript 2 3 8 9" xfId="10994" xr:uid="{00000000-0005-0000-0000-000068310000}"/>
    <cellStyle name="Data Superscript 2 3 8 9 2" xfId="10995" xr:uid="{00000000-0005-0000-0000-000069310000}"/>
    <cellStyle name="Data Superscript 2 3 9" xfId="10996" xr:uid="{00000000-0005-0000-0000-00006A310000}"/>
    <cellStyle name="Data Superscript 2 3 9 10" xfId="10997" xr:uid="{00000000-0005-0000-0000-00006B310000}"/>
    <cellStyle name="Data Superscript 2 3 9 2" xfId="10998" xr:uid="{00000000-0005-0000-0000-00006C310000}"/>
    <cellStyle name="Data Superscript 2 3 9 2 2" xfId="10999" xr:uid="{00000000-0005-0000-0000-00006D310000}"/>
    <cellStyle name="Data Superscript 2 3 9 3" xfId="11000" xr:uid="{00000000-0005-0000-0000-00006E310000}"/>
    <cellStyle name="Data Superscript 2 3 9 3 2" xfId="11001" xr:uid="{00000000-0005-0000-0000-00006F310000}"/>
    <cellStyle name="Data Superscript 2 3 9 4" xfId="11002" xr:uid="{00000000-0005-0000-0000-000070310000}"/>
    <cellStyle name="Data Superscript 2 3 9 4 2" xfId="11003" xr:uid="{00000000-0005-0000-0000-000071310000}"/>
    <cellStyle name="Data Superscript 2 3 9 5" xfId="11004" xr:uid="{00000000-0005-0000-0000-000072310000}"/>
    <cellStyle name="Data Superscript 2 3 9 5 2" xfId="11005" xr:uid="{00000000-0005-0000-0000-000073310000}"/>
    <cellStyle name="Data Superscript 2 3 9 6" xfId="11006" xr:uid="{00000000-0005-0000-0000-000074310000}"/>
    <cellStyle name="Data Superscript 2 3 9 6 2" xfId="11007" xr:uid="{00000000-0005-0000-0000-000075310000}"/>
    <cellStyle name="Data Superscript 2 3 9 7" xfId="11008" xr:uid="{00000000-0005-0000-0000-000076310000}"/>
    <cellStyle name="Data Superscript 2 3 9 7 2" xfId="11009" xr:uid="{00000000-0005-0000-0000-000077310000}"/>
    <cellStyle name="Data Superscript 2 3 9 8" xfId="11010" xr:uid="{00000000-0005-0000-0000-000078310000}"/>
    <cellStyle name="Data Superscript 2 3 9 8 2" xfId="11011" xr:uid="{00000000-0005-0000-0000-000079310000}"/>
    <cellStyle name="Data Superscript 2 3 9 9" xfId="11012" xr:uid="{00000000-0005-0000-0000-00007A310000}"/>
    <cellStyle name="Data Superscript 2 3 9 9 2" xfId="11013" xr:uid="{00000000-0005-0000-0000-00007B310000}"/>
    <cellStyle name="Data Superscript 2 4" xfId="11014" xr:uid="{00000000-0005-0000-0000-00007C310000}"/>
    <cellStyle name="Data Superscript 2 4 10" xfId="11015" xr:uid="{00000000-0005-0000-0000-00007D310000}"/>
    <cellStyle name="Data Superscript 2 4 10 2" xfId="11016" xr:uid="{00000000-0005-0000-0000-00007E310000}"/>
    <cellStyle name="Data Superscript 2 4 10 2 2" xfId="11017" xr:uid="{00000000-0005-0000-0000-00007F310000}"/>
    <cellStyle name="Data Superscript 2 4 10 3" xfId="11018" xr:uid="{00000000-0005-0000-0000-000080310000}"/>
    <cellStyle name="Data Superscript 2 4 10 3 2" xfId="11019" xr:uid="{00000000-0005-0000-0000-000081310000}"/>
    <cellStyle name="Data Superscript 2 4 10 4" xfId="11020" xr:uid="{00000000-0005-0000-0000-000082310000}"/>
    <cellStyle name="Data Superscript 2 4 10 4 2" xfId="11021" xr:uid="{00000000-0005-0000-0000-000083310000}"/>
    <cellStyle name="Data Superscript 2 4 10 5" xfId="11022" xr:uid="{00000000-0005-0000-0000-000084310000}"/>
    <cellStyle name="Data Superscript 2 4 10 5 2" xfId="11023" xr:uid="{00000000-0005-0000-0000-000085310000}"/>
    <cellStyle name="Data Superscript 2 4 10 6" xfId="11024" xr:uid="{00000000-0005-0000-0000-000086310000}"/>
    <cellStyle name="Data Superscript 2 4 10 6 2" xfId="11025" xr:uid="{00000000-0005-0000-0000-000087310000}"/>
    <cellStyle name="Data Superscript 2 4 10 7" xfId="11026" xr:uid="{00000000-0005-0000-0000-000088310000}"/>
    <cellStyle name="Data Superscript 2 4 10 7 2" xfId="11027" xr:uid="{00000000-0005-0000-0000-000089310000}"/>
    <cellStyle name="Data Superscript 2 4 10 8" xfId="11028" xr:uid="{00000000-0005-0000-0000-00008A310000}"/>
    <cellStyle name="Data Superscript 2 4 10 8 2" xfId="11029" xr:uid="{00000000-0005-0000-0000-00008B310000}"/>
    <cellStyle name="Data Superscript 2 4 10 9" xfId="11030" xr:uid="{00000000-0005-0000-0000-00008C310000}"/>
    <cellStyle name="Data Superscript 2 4 11" xfId="11031" xr:uid="{00000000-0005-0000-0000-00008D310000}"/>
    <cellStyle name="Data Superscript 2 4 11 2" xfId="11032" xr:uid="{00000000-0005-0000-0000-00008E310000}"/>
    <cellStyle name="Data Superscript 2 4 12" xfId="11033" xr:uid="{00000000-0005-0000-0000-00008F310000}"/>
    <cellStyle name="Data Superscript 2 4 12 2" xfId="11034" xr:uid="{00000000-0005-0000-0000-000090310000}"/>
    <cellStyle name="Data Superscript 2 4 13" xfId="11035" xr:uid="{00000000-0005-0000-0000-000091310000}"/>
    <cellStyle name="Data Superscript 2 4 13 2" xfId="11036" xr:uid="{00000000-0005-0000-0000-000092310000}"/>
    <cellStyle name="Data Superscript 2 4 14" xfId="11037" xr:uid="{00000000-0005-0000-0000-000093310000}"/>
    <cellStyle name="Data Superscript 2 4 14 2" xfId="11038" xr:uid="{00000000-0005-0000-0000-000094310000}"/>
    <cellStyle name="Data Superscript 2 4 15" xfId="11039" xr:uid="{00000000-0005-0000-0000-000095310000}"/>
    <cellStyle name="Data Superscript 2 4 15 2" xfId="11040" xr:uid="{00000000-0005-0000-0000-000096310000}"/>
    <cellStyle name="Data Superscript 2 4 16" xfId="11041" xr:uid="{00000000-0005-0000-0000-000097310000}"/>
    <cellStyle name="Data Superscript 2 4 16 2" xfId="11042" xr:uid="{00000000-0005-0000-0000-000098310000}"/>
    <cellStyle name="Data Superscript 2 4 17" xfId="11043" xr:uid="{00000000-0005-0000-0000-000099310000}"/>
    <cellStyle name="Data Superscript 2 4 17 2" xfId="11044" xr:uid="{00000000-0005-0000-0000-00009A310000}"/>
    <cellStyle name="Data Superscript 2 4 18" xfId="11045" xr:uid="{00000000-0005-0000-0000-00009B310000}"/>
    <cellStyle name="Data Superscript 2 4 2" xfId="11046" xr:uid="{00000000-0005-0000-0000-00009C310000}"/>
    <cellStyle name="Data Superscript 2 4 2 10" xfId="11047" xr:uid="{00000000-0005-0000-0000-00009D310000}"/>
    <cellStyle name="Data Superscript 2 4 2 2" xfId="11048" xr:uid="{00000000-0005-0000-0000-00009E310000}"/>
    <cellStyle name="Data Superscript 2 4 2 2 2" xfId="11049" xr:uid="{00000000-0005-0000-0000-00009F310000}"/>
    <cellStyle name="Data Superscript 2 4 2 3" xfId="11050" xr:uid="{00000000-0005-0000-0000-0000A0310000}"/>
    <cellStyle name="Data Superscript 2 4 2 3 2" xfId="11051" xr:uid="{00000000-0005-0000-0000-0000A1310000}"/>
    <cellStyle name="Data Superscript 2 4 2 4" xfId="11052" xr:uid="{00000000-0005-0000-0000-0000A2310000}"/>
    <cellStyle name="Data Superscript 2 4 2 4 2" xfId="11053" xr:uid="{00000000-0005-0000-0000-0000A3310000}"/>
    <cellStyle name="Data Superscript 2 4 2 5" xfId="11054" xr:uid="{00000000-0005-0000-0000-0000A4310000}"/>
    <cellStyle name="Data Superscript 2 4 2 5 2" xfId="11055" xr:uid="{00000000-0005-0000-0000-0000A5310000}"/>
    <cellStyle name="Data Superscript 2 4 2 6" xfId="11056" xr:uid="{00000000-0005-0000-0000-0000A6310000}"/>
    <cellStyle name="Data Superscript 2 4 2 6 2" xfId="11057" xr:uid="{00000000-0005-0000-0000-0000A7310000}"/>
    <cellStyle name="Data Superscript 2 4 2 7" xfId="11058" xr:uid="{00000000-0005-0000-0000-0000A8310000}"/>
    <cellStyle name="Data Superscript 2 4 2 7 2" xfId="11059" xr:uid="{00000000-0005-0000-0000-0000A9310000}"/>
    <cellStyle name="Data Superscript 2 4 2 8" xfId="11060" xr:uid="{00000000-0005-0000-0000-0000AA310000}"/>
    <cellStyle name="Data Superscript 2 4 2 8 2" xfId="11061" xr:uid="{00000000-0005-0000-0000-0000AB310000}"/>
    <cellStyle name="Data Superscript 2 4 2 9" xfId="11062" xr:uid="{00000000-0005-0000-0000-0000AC310000}"/>
    <cellStyle name="Data Superscript 2 4 2 9 2" xfId="11063" xr:uid="{00000000-0005-0000-0000-0000AD310000}"/>
    <cellStyle name="Data Superscript 2 4 3" xfId="11064" xr:uid="{00000000-0005-0000-0000-0000AE310000}"/>
    <cellStyle name="Data Superscript 2 4 3 10" xfId="11065" xr:uid="{00000000-0005-0000-0000-0000AF310000}"/>
    <cellStyle name="Data Superscript 2 4 3 2" xfId="11066" xr:uid="{00000000-0005-0000-0000-0000B0310000}"/>
    <cellStyle name="Data Superscript 2 4 3 2 2" xfId="11067" xr:uid="{00000000-0005-0000-0000-0000B1310000}"/>
    <cellStyle name="Data Superscript 2 4 3 3" xfId="11068" xr:uid="{00000000-0005-0000-0000-0000B2310000}"/>
    <cellStyle name="Data Superscript 2 4 3 3 2" xfId="11069" xr:uid="{00000000-0005-0000-0000-0000B3310000}"/>
    <cellStyle name="Data Superscript 2 4 3 4" xfId="11070" xr:uid="{00000000-0005-0000-0000-0000B4310000}"/>
    <cellStyle name="Data Superscript 2 4 3 4 2" xfId="11071" xr:uid="{00000000-0005-0000-0000-0000B5310000}"/>
    <cellStyle name="Data Superscript 2 4 3 5" xfId="11072" xr:uid="{00000000-0005-0000-0000-0000B6310000}"/>
    <cellStyle name="Data Superscript 2 4 3 5 2" xfId="11073" xr:uid="{00000000-0005-0000-0000-0000B7310000}"/>
    <cellStyle name="Data Superscript 2 4 3 6" xfId="11074" xr:uid="{00000000-0005-0000-0000-0000B8310000}"/>
    <cellStyle name="Data Superscript 2 4 3 6 2" xfId="11075" xr:uid="{00000000-0005-0000-0000-0000B9310000}"/>
    <cellStyle name="Data Superscript 2 4 3 7" xfId="11076" xr:uid="{00000000-0005-0000-0000-0000BA310000}"/>
    <cellStyle name="Data Superscript 2 4 3 7 2" xfId="11077" xr:uid="{00000000-0005-0000-0000-0000BB310000}"/>
    <cellStyle name="Data Superscript 2 4 3 8" xfId="11078" xr:uid="{00000000-0005-0000-0000-0000BC310000}"/>
    <cellStyle name="Data Superscript 2 4 3 8 2" xfId="11079" xr:uid="{00000000-0005-0000-0000-0000BD310000}"/>
    <cellStyle name="Data Superscript 2 4 3 9" xfId="11080" xr:uid="{00000000-0005-0000-0000-0000BE310000}"/>
    <cellStyle name="Data Superscript 2 4 3 9 2" xfId="11081" xr:uid="{00000000-0005-0000-0000-0000BF310000}"/>
    <cellStyle name="Data Superscript 2 4 4" xfId="11082" xr:uid="{00000000-0005-0000-0000-0000C0310000}"/>
    <cellStyle name="Data Superscript 2 4 4 10" xfId="11083" xr:uid="{00000000-0005-0000-0000-0000C1310000}"/>
    <cellStyle name="Data Superscript 2 4 4 2" xfId="11084" xr:uid="{00000000-0005-0000-0000-0000C2310000}"/>
    <cellStyle name="Data Superscript 2 4 4 2 2" xfId="11085" xr:uid="{00000000-0005-0000-0000-0000C3310000}"/>
    <cellStyle name="Data Superscript 2 4 4 3" xfId="11086" xr:uid="{00000000-0005-0000-0000-0000C4310000}"/>
    <cellStyle name="Data Superscript 2 4 4 3 2" xfId="11087" xr:uid="{00000000-0005-0000-0000-0000C5310000}"/>
    <cellStyle name="Data Superscript 2 4 4 4" xfId="11088" xr:uid="{00000000-0005-0000-0000-0000C6310000}"/>
    <cellStyle name="Data Superscript 2 4 4 4 2" xfId="11089" xr:uid="{00000000-0005-0000-0000-0000C7310000}"/>
    <cellStyle name="Data Superscript 2 4 4 5" xfId="11090" xr:uid="{00000000-0005-0000-0000-0000C8310000}"/>
    <cellStyle name="Data Superscript 2 4 4 5 2" xfId="11091" xr:uid="{00000000-0005-0000-0000-0000C9310000}"/>
    <cellStyle name="Data Superscript 2 4 4 6" xfId="11092" xr:uid="{00000000-0005-0000-0000-0000CA310000}"/>
    <cellStyle name="Data Superscript 2 4 4 6 2" xfId="11093" xr:uid="{00000000-0005-0000-0000-0000CB310000}"/>
    <cellStyle name="Data Superscript 2 4 4 7" xfId="11094" xr:uid="{00000000-0005-0000-0000-0000CC310000}"/>
    <cellStyle name="Data Superscript 2 4 4 7 2" xfId="11095" xr:uid="{00000000-0005-0000-0000-0000CD310000}"/>
    <cellStyle name="Data Superscript 2 4 4 8" xfId="11096" xr:uid="{00000000-0005-0000-0000-0000CE310000}"/>
    <cellStyle name="Data Superscript 2 4 4 8 2" xfId="11097" xr:uid="{00000000-0005-0000-0000-0000CF310000}"/>
    <cellStyle name="Data Superscript 2 4 4 9" xfId="11098" xr:uid="{00000000-0005-0000-0000-0000D0310000}"/>
    <cellStyle name="Data Superscript 2 4 4 9 2" xfId="11099" xr:uid="{00000000-0005-0000-0000-0000D1310000}"/>
    <cellStyle name="Data Superscript 2 4 5" xfId="11100" xr:uid="{00000000-0005-0000-0000-0000D2310000}"/>
    <cellStyle name="Data Superscript 2 4 5 10" xfId="11101" xr:uid="{00000000-0005-0000-0000-0000D3310000}"/>
    <cellStyle name="Data Superscript 2 4 5 2" xfId="11102" xr:uid="{00000000-0005-0000-0000-0000D4310000}"/>
    <cellStyle name="Data Superscript 2 4 5 2 2" xfId="11103" xr:uid="{00000000-0005-0000-0000-0000D5310000}"/>
    <cellStyle name="Data Superscript 2 4 5 3" xfId="11104" xr:uid="{00000000-0005-0000-0000-0000D6310000}"/>
    <cellStyle name="Data Superscript 2 4 5 3 2" xfId="11105" xr:uid="{00000000-0005-0000-0000-0000D7310000}"/>
    <cellStyle name="Data Superscript 2 4 5 4" xfId="11106" xr:uid="{00000000-0005-0000-0000-0000D8310000}"/>
    <cellStyle name="Data Superscript 2 4 5 4 2" xfId="11107" xr:uid="{00000000-0005-0000-0000-0000D9310000}"/>
    <cellStyle name="Data Superscript 2 4 5 5" xfId="11108" xr:uid="{00000000-0005-0000-0000-0000DA310000}"/>
    <cellStyle name="Data Superscript 2 4 5 5 2" xfId="11109" xr:uid="{00000000-0005-0000-0000-0000DB310000}"/>
    <cellStyle name="Data Superscript 2 4 5 6" xfId="11110" xr:uid="{00000000-0005-0000-0000-0000DC310000}"/>
    <cellStyle name="Data Superscript 2 4 5 6 2" xfId="11111" xr:uid="{00000000-0005-0000-0000-0000DD310000}"/>
    <cellStyle name="Data Superscript 2 4 5 7" xfId="11112" xr:uid="{00000000-0005-0000-0000-0000DE310000}"/>
    <cellStyle name="Data Superscript 2 4 5 7 2" xfId="11113" xr:uid="{00000000-0005-0000-0000-0000DF310000}"/>
    <cellStyle name="Data Superscript 2 4 5 8" xfId="11114" xr:uid="{00000000-0005-0000-0000-0000E0310000}"/>
    <cellStyle name="Data Superscript 2 4 5 8 2" xfId="11115" xr:uid="{00000000-0005-0000-0000-0000E1310000}"/>
    <cellStyle name="Data Superscript 2 4 5 9" xfId="11116" xr:uid="{00000000-0005-0000-0000-0000E2310000}"/>
    <cellStyle name="Data Superscript 2 4 5 9 2" xfId="11117" xr:uid="{00000000-0005-0000-0000-0000E3310000}"/>
    <cellStyle name="Data Superscript 2 4 6" xfId="11118" xr:uid="{00000000-0005-0000-0000-0000E4310000}"/>
    <cellStyle name="Data Superscript 2 4 6 10" xfId="11119" xr:uid="{00000000-0005-0000-0000-0000E5310000}"/>
    <cellStyle name="Data Superscript 2 4 6 2" xfId="11120" xr:uid="{00000000-0005-0000-0000-0000E6310000}"/>
    <cellStyle name="Data Superscript 2 4 6 2 2" xfId="11121" xr:uid="{00000000-0005-0000-0000-0000E7310000}"/>
    <cellStyle name="Data Superscript 2 4 6 3" xfId="11122" xr:uid="{00000000-0005-0000-0000-0000E8310000}"/>
    <cellStyle name="Data Superscript 2 4 6 3 2" xfId="11123" xr:uid="{00000000-0005-0000-0000-0000E9310000}"/>
    <cellStyle name="Data Superscript 2 4 6 4" xfId="11124" xr:uid="{00000000-0005-0000-0000-0000EA310000}"/>
    <cellStyle name="Data Superscript 2 4 6 4 2" xfId="11125" xr:uid="{00000000-0005-0000-0000-0000EB310000}"/>
    <cellStyle name="Data Superscript 2 4 6 5" xfId="11126" xr:uid="{00000000-0005-0000-0000-0000EC310000}"/>
    <cellStyle name="Data Superscript 2 4 6 5 2" xfId="11127" xr:uid="{00000000-0005-0000-0000-0000ED310000}"/>
    <cellStyle name="Data Superscript 2 4 6 6" xfId="11128" xr:uid="{00000000-0005-0000-0000-0000EE310000}"/>
    <cellStyle name="Data Superscript 2 4 6 6 2" xfId="11129" xr:uid="{00000000-0005-0000-0000-0000EF310000}"/>
    <cellStyle name="Data Superscript 2 4 6 7" xfId="11130" xr:uid="{00000000-0005-0000-0000-0000F0310000}"/>
    <cellStyle name="Data Superscript 2 4 6 7 2" xfId="11131" xr:uid="{00000000-0005-0000-0000-0000F1310000}"/>
    <cellStyle name="Data Superscript 2 4 6 8" xfId="11132" xr:uid="{00000000-0005-0000-0000-0000F2310000}"/>
    <cellStyle name="Data Superscript 2 4 6 8 2" xfId="11133" xr:uid="{00000000-0005-0000-0000-0000F3310000}"/>
    <cellStyle name="Data Superscript 2 4 6 9" xfId="11134" xr:uid="{00000000-0005-0000-0000-0000F4310000}"/>
    <cellStyle name="Data Superscript 2 4 6 9 2" xfId="11135" xr:uid="{00000000-0005-0000-0000-0000F5310000}"/>
    <cellStyle name="Data Superscript 2 4 7" xfId="11136" xr:uid="{00000000-0005-0000-0000-0000F6310000}"/>
    <cellStyle name="Data Superscript 2 4 7 10" xfId="11137" xr:uid="{00000000-0005-0000-0000-0000F7310000}"/>
    <cellStyle name="Data Superscript 2 4 7 2" xfId="11138" xr:uid="{00000000-0005-0000-0000-0000F8310000}"/>
    <cellStyle name="Data Superscript 2 4 7 2 2" xfId="11139" xr:uid="{00000000-0005-0000-0000-0000F9310000}"/>
    <cellStyle name="Data Superscript 2 4 7 3" xfId="11140" xr:uid="{00000000-0005-0000-0000-0000FA310000}"/>
    <cellStyle name="Data Superscript 2 4 7 3 2" xfId="11141" xr:uid="{00000000-0005-0000-0000-0000FB310000}"/>
    <cellStyle name="Data Superscript 2 4 7 4" xfId="11142" xr:uid="{00000000-0005-0000-0000-0000FC310000}"/>
    <cellStyle name="Data Superscript 2 4 7 4 2" xfId="11143" xr:uid="{00000000-0005-0000-0000-0000FD310000}"/>
    <cellStyle name="Data Superscript 2 4 7 5" xfId="11144" xr:uid="{00000000-0005-0000-0000-0000FE310000}"/>
    <cellStyle name="Data Superscript 2 4 7 5 2" xfId="11145" xr:uid="{00000000-0005-0000-0000-0000FF310000}"/>
    <cellStyle name="Data Superscript 2 4 7 6" xfId="11146" xr:uid="{00000000-0005-0000-0000-000000320000}"/>
    <cellStyle name="Data Superscript 2 4 7 6 2" xfId="11147" xr:uid="{00000000-0005-0000-0000-000001320000}"/>
    <cellStyle name="Data Superscript 2 4 7 7" xfId="11148" xr:uid="{00000000-0005-0000-0000-000002320000}"/>
    <cellStyle name="Data Superscript 2 4 7 7 2" xfId="11149" xr:uid="{00000000-0005-0000-0000-000003320000}"/>
    <cellStyle name="Data Superscript 2 4 7 8" xfId="11150" xr:uid="{00000000-0005-0000-0000-000004320000}"/>
    <cellStyle name="Data Superscript 2 4 7 8 2" xfId="11151" xr:uid="{00000000-0005-0000-0000-000005320000}"/>
    <cellStyle name="Data Superscript 2 4 7 9" xfId="11152" xr:uid="{00000000-0005-0000-0000-000006320000}"/>
    <cellStyle name="Data Superscript 2 4 7 9 2" xfId="11153" xr:uid="{00000000-0005-0000-0000-000007320000}"/>
    <cellStyle name="Data Superscript 2 4 8" xfId="11154" xr:uid="{00000000-0005-0000-0000-000008320000}"/>
    <cellStyle name="Data Superscript 2 4 8 10" xfId="11155" xr:uid="{00000000-0005-0000-0000-000009320000}"/>
    <cellStyle name="Data Superscript 2 4 8 2" xfId="11156" xr:uid="{00000000-0005-0000-0000-00000A320000}"/>
    <cellStyle name="Data Superscript 2 4 8 2 2" xfId="11157" xr:uid="{00000000-0005-0000-0000-00000B320000}"/>
    <cellStyle name="Data Superscript 2 4 8 3" xfId="11158" xr:uid="{00000000-0005-0000-0000-00000C320000}"/>
    <cellStyle name="Data Superscript 2 4 8 3 2" xfId="11159" xr:uid="{00000000-0005-0000-0000-00000D320000}"/>
    <cellStyle name="Data Superscript 2 4 8 4" xfId="11160" xr:uid="{00000000-0005-0000-0000-00000E320000}"/>
    <cellStyle name="Data Superscript 2 4 8 4 2" xfId="11161" xr:uid="{00000000-0005-0000-0000-00000F320000}"/>
    <cellStyle name="Data Superscript 2 4 8 5" xfId="11162" xr:uid="{00000000-0005-0000-0000-000010320000}"/>
    <cellStyle name="Data Superscript 2 4 8 5 2" xfId="11163" xr:uid="{00000000-0005-0000-0000-000011320000}"/>
    <cellStyle name="Data Superscript 2 4 8 6" xfId="11164" xr:uid="{00000000-0005-0000-0000-000012320000}"/>
    <cellStyle name="Data Superscript 2 4 8 6 2" xfId="11165" xr:uid="{00000000-0005-0000-0000-000013320000}"/>
    <cellStyle name="Data Superscript 2 4 8 7" xfId="11166" xr:uid="{00000000-0005-0000-0000-000014320000}"/>
    <cellStyle name="Data Superscript 2 4 8 7 2" xfId="11167" xr:uid="{00000000-0005-0000-0000-000015320000}"/>
    <cellStyle name="Data Superscript 2 4 8 8" xfId="11168" xr:uid="{00000000-0005-0000-0000-000016320000}"/>
    <cellStyle name="Data Superscript 2 4 8 8 2" xfId="11169" xr:uid="{00000000-0005-0000-0000-000017320000}"/>
    <cellStyle name="Data Superscript 2 4 8 9" xfId="11170" xr:uid="{00000000-0005-0000-0000-000018320000}"/>
    <cellStyle name="Data Superscript 2 4 8 9 2" xfId="11171" xr:uid="{00000000-0005-0000-0000-000019320000}"/>
    <cellStyle name="Data Superscript 2 4 9" xfId="11172" xr:uid="{00000000-0005-0000-0000-00001A320000}"/>
    <cellStyle name="Data Superscript 2 4 9 10" xfId="11173" xr:uid="{00000000-0005-0000-0000-00001B320000}"/>
    <cellStyle name="Data Superscript 2 4 9 2" xfId="11174" xr:uid="{00000000-0005-0000-0000-00001C320000}"/>
    <cellStyle name="Data Superscript 2 4 9 2 2" xfId="11175" xr:uid="{00000000-0005-0000-0000-00001D320000}"/>
    <cellStyle name="Data Superscript 2 4 9 3" xfId="11176" xr:uid="{00000000-0005-0000-0000-00001E320000}"/>
    <cellStyle name="Data Superscript 2 4 9 3 2" xfId="11177" xr:uid="{00000000-0005-0000-0000-00001F320000}"/>
    <cellStyle name="Data Superscript 2 4 9 4" xfId="11178" xr:uid="{00000000-0005-0000-0000-000020320000}"/>
    <cellStyle name="Data Superscript 2 4 9 4 2" xfId="11179" xr:uid="{00000000-0005-0000-0000-000021320000}"/>
    <cellStyle name="Data Superscript 2 4 9 5" xfId="11180" xr:uid="{00000000-0005-0000-0000-000022320000}"/>
    <cellStyle name="Data Superscript 2 4 9 5 2" xfId="11181" xr:uid="{00000000-0005-0000-0000-000023320000}"/>
    <cellStyle name="Data Superscript 2 4 9 6" xfId="11182" xr:uid="{00000000-0005-0000-0000-000024320000}"/>
    <cellStyle name="Data Superscript 2 4 9 6 2" xfId="11183" xr:uid="{00000000-0005-0000-0000-000025320000}"/>
    <cellStyle name="Data Superscript 2 4 9 7" xfId="11184" xr:uid="{00000000-0005-0000-0000-000026320000}"/>
    <cellStyle name="Data Superscript 2 4 9 7 2" xfId="11185" xr:uid="{00000000-0005-0000-0000-000027320000}"/>
    <cellStyle name="Data Superscript 2 4 9 8" xfId="11186" xr:uid="{00000000-0005-0000-0000-000028320000}"/>
    <cellStyle name="Data Superscript 2 4 9 8 2" xfId="11187" xr:uid="{00000000-0005-0000-0000-000029320000}"/>
    <cellStyle name="Data Superscript 2 4 9 9" xfId="11188" xr:uid="{00000000-0005-0000-0000-00002A320000}"/>
    <cellStyle name="Data Superscript 2 4 9 9 2" xfId="11189" xr:uid="{00000000-0005-0000-0000-00002B320000}"/>
    <cellStyle name="Data Superscript 2 5" xfId="11190" xr:uid="{00000000-0005-0000-0000-00002C320000}"/>
    <cellStyle name="Data Superscript 2 5 10" xfId="11191" xr:uid="{00000000-0005-0000-0000-00002D320000}"/>
    <cellStyle name="Data Superscript 2 5 10 2" xfId="11192" xr:uid="{00000000-0005-0000-0000-00002E320000}"/>
    <cellStyle name="Data Superscript 2 5 10 2 2" xfId="11193" xr:uid="{00000000-0005-0000-0000-00002F320000}"/>
    <cellStyle name="Data Superscript 2 5 10 3" xfId="11194" xr:uid="{00000000-0005-0000-0000-000030320000}"/>
    <cellStyle name="Data Superscript 2 5 10 3 2" xfId="11195" xr:uid="{00000000-0005-0000-0000-000031320000}"/>
    <cellStyle name="Data Superscript 2 5 10 4" xfId="11196" xr:uid="{00000000-0005-0000-0000-000032320000}"/>
    <cellStyle name="Data Superscript 2 5 10 4 2" xfId="11197" xr:uid="{00000000-0005-0000-0000-000033320000}"/>
    <cellStyle name="Data Superscript 2 5 10 5" xfId="11198" xr:uid="{00000000-0005-0000-0000-000034320000}"/>
    <cellStyle name="Data Superscript 2 5 10 5 2" xfId="11199" xr:uid="{00000000-0005-0000-0000-000035320000}"/>
    <cellStyle name="Data Superscript 2 5 10 6" xfId="11200" xr:uid="{00000000-0005-0000-0000-000036320000}"/>
    <cellStyle name="Data Superscript 2 5 10 6 2" xfId="11201" xr:uid="{00000000-0005-0000-0000-000037320000}"/>
    <cellStyle name="Data Superscript 2 5 10 7" xfId="11202" xr:uid="{00000000-0005-0000-0000-000038320000}"/>
    <cellStyle name="Data Superscript 2 5 10 7 2" xfId="11203" xr:uid="{00000000-0005-0000-0000-000039320000}"/>
    <cellStyle name="Data Superscript 2 5 10 8" xfId="11204" xr:uid="{00000000-0005-0000-0000-00003A320000}"/>
    <cellStyle name="Data Superscript 2 5 10 8 2" xfId="11205" xr:uid="{00000000-0005-0000-0000-00003B320000}"/>
    <cellStyle name="Data Superscript 2 5 10 9" xfId="11206" xr:uid="{00000000-0005-0000-0000-00003C320000}"/>
    <cellStyle name="Data Superscript 2 5 11" xfId="11207" xr:uid="{00000000-0005-0000-0000-00003D320000}"/>
    <cellStyle name="Data Superscript 2 5 11 2" xfId="11208" xr:uid="{00000000-0005-0000-0000-00003E320000}"/>
    <cellStyle name="Data Superscript 2 5 12" xfId="11209" xr:uid="{00000000-0005-0000-0000-00003F320000}"/>
    <cellStyle name="Data Superscript 2 5 12 2" xfId="11210" xr:uid="{00000000-0005-0000-0000-000040320000}"/>
    <cellStyle name="Data Superscript 2 5 13" xfId="11211" xr:uid="{00000000-0005-0000-0000-000041320000}"/>
    <cellStyle name="Data Superscript 2 5 13 2" xfId="11212" xr:uid="{00000000-0005-0000-0000-000042320000}"/>
    <cellStyle name="Data Superscript 2 5 14" xfId="11213" xr:uid="{00000000-0005-0000-0000-000043320000}"/>
    <cellStyle name="Data Superscript 2 5 14 2" xfId="11214" xr:uid="{00000000-0005-0000-0000-000044320000}"/>
    <cellStyle name="Data Superscript 2 5 15" xfId="11215" xr:uid="{00000000-0005-0000-0000-000045320000}"/>
    <cellStyle name="Data Superscript 2 5 15 2" xfId="11216" xr:uid="{00000000-0005-0000-0000-000046320000}"/>
    <cellStyle name="Data Superscript 2 5 16" xfId="11217" xr:uid="{00000000-0005-0000-0000-000047320000}"/>
    <cellStyle name="Data Superscript 2 5 16 2" xfId="11218" xr:uid="{00000000-0005-0000-0000-000048320000}"/>
    <cellStyle name="Data Superscript 2 5 17" xfId="11219" xr:uid="{00000000-0005-0000-0000-000049320000}"/>
    <cellStyle name="Data Superscript 2 5 17 2" xfId="11220" xr:uid="{00000000-0005-0000-0000-00004A320000}"/>
    <cellStyle name="Data Superscript 2 5 18" xfId="11221" xr:uid="{00000000-0005-0000-0000-00004B320000}"/>
    <cellStyle name="Data Superscript 2 5 2" xfId="11222" xr:uid="{00000000-0005-0000-0000-00004C320000}"/>
    <cellStyle name="Data Superscript 2 5 2 10" xfId="11223" xr:uid="{00000000-0005-0000-0000-00004D320000}"/>
    <cellStyle name="Data Superscript 2 5 2 2" xfId="11224" xr:uid="{00000000-0005-0000-0000-00004E320000}"/>
    <cellStyle name="Data Superscript 2 5 2 2 2" xfId="11225" xr:uid="{00000000-0005-0000-0000-00004F320000}"/>
    <cellStyle name="Data Superscript 2 5 2 3" xfId="11226" xr:uid="{00000000-0005-0000-0000-000050320000}"/>
    <cellStyle name="Data Superscript 2 5 2 3 2" xfId="11227" xr:uid="{00000000-0005-0000-0000-000051320000}"/>
    <cellStyle name="Data Superscript 2 5 2 4" xfId="11228" xr:uid="{00000000-0005-0000-0000-000052320000}"/>
    <cellStyle name="Data Superscript 2 5 2 4 2" xfId="11229" xr:uid="{00000000-0005-0000-0000-000053320000}"/>
    <cellStyle name="Data Superscript 2 5 2 5" xfId="11230" xr:uid="{00000000-0005-0000-0000-000054320000}"/>
    <cellStyle name="Data Superscript 2 5 2 5 2" xfId="11231" xr:uid="{00000000-0005-0000-0000-000055320000}"/>
    <cellStyle name="Data Superscript 2 5 2 6" xfId="11232" xr:uid="{00000000-0005-0000-0000-000056320000}"/>
    <cellStyle name="Data Superscript 2 5 2 6 2" xfId="11233" xr:uid="{00000000-0005-0000-0000-000057320000}"/>
    <cellStyle name="Data Superscript 2 5 2 7" xfId="11234" xr:uid="{00000000-0005-0000-0000-000058320000}"/>
    <cellStyle name="Data Superscript 2 5 2 7 2" xfId="11235" xr:uid="{00000000-0005-0000-0000-000059320000}"/>
    <cellStyle name="Data Superscript 2 5 2 8" xfId="11236" xr:uid="{00000000-0005-0000-0000-00005A320000}"/>
    <cellStyle name="Data Superscript 2 5 2 8 2" xfId="11237" xr:uid="{00000000-0005-0000-0000-00005B320000}"/>
    <cellStyle name="Data Superscript 2 5 2 9" xfId="11238" xr:uid="{00000000-0005-0000-0000-00005C320000}"/>
    <cellStyle name="Data Superscript 2 5 2 9 2" xfId="11239" xr:uid="{00000000-0005-0000-0000-00005D320000}"/>
    <cellStyle name="Data Superscript 2 5 3" xfId="11240" xr:uid="{00000000-0005-0000-0000-00005E320000}"/>
    <cellStyle name="Data Superscript 2 5 3 10" xfId="11241" xr:uid="{00000000-0005-0000-0000-00005F320000}"/>
    <cellStyle name="Data Superscript 2 5 3 2" xfId="11242" xr:uid="{00000000-0005-0000-0000-000060320000}"/>
    <cellStyle name="Data Superscript 2 5 3 2 2" xfId="11243" xr:uid="{00000000-0005-0000-0000-000061320000}"/>
    <cellStyle name="Data Superscript 2 5 3 3" xfId="11244" xr:uid="{00000000-0005-0000-0000-000062320000}"/>
    <cellStyle name="Data Superscript 2 5 3 3 2" xfId="11245" xr:uid="{00000000-0005-0000-0000-000063320000}"/>
    <cellStyle name="Data Superscript 2 5 3 4" xfId="11246" xr:uid="{00000000-0005-0000-0000-000064320000}"/>
    <cellStyle name="Data Superscript 2 5 3 4 2" xfId="11247" xr:uid="{00000000-0005-0000-0000-000065320000}"/>
    <cellStyle name="Data Superscript 2 5 3 5" xfId="11248" xr:uid="{00000000-0005-0000-0000-000066320000}"/>
    <cellStyle name="Data Superscript 2 5 3 5 2" xfId="11249" xr:uid="{00000000-0005-0000-0000-000067320000}"/>
    <cellStyle name="Data Superscript 2 5 3 6" xfId="11250" xr:uid="{00000000-0005-0000-0000-000068320000}"/>
    <cellStyle name="Data Superscript 2 5 3 6 2" xfId="11251" xr:uid="{00000000-0005-0000-0000-000069320000}"/>
    <cellStyle name="Data Superscript 2 5 3 7" xfId="11252" xr:uid="{00000000-0005-0000-0000-00006A320000}"/>
    <cellStyle name="Data Superscript 2 5 3 7 2" xfId="11253" xr:uid="{00000000-0005-0000-0000-00006B320000}"/>
    <cellStyle name="Data Superscript 2 5 3 8" xfId="11254" xr:uid="{00000000-0005-0000-0000-00006C320000}"/>
    <cellStyle name="Data Superscript 2 5 3 8 2" xfId="11255" xr:uid="{00000000-0005-0000-0000-00006D320000}"/>
    <cellStyle name="Data Superscript 2 5 3 9" xfId="11256" xr:uid="{00000000-0005-0000-0000-00006E320000}"/>
    <cellStyle name="Data Superscript 2 5 3 9 2" xfId="11257" xr:uid="{00000000-0005-0000-0000-00006F320000}"/>
    <cellStyle name="Data Superscript 2 5 4" xfId="11258" xr:uid="{00000000-0005-0000-0000-000070320000}"/>
    <cellStyle name="Data Superscript 2 5 4 10" xfId="11259" xr:uid="{00000000-0005-0000-0000-000071320000}"/>
    <cellStyle name="Data Superscript 2 5 4 2" xfId="11260" xr:uid="{00000000-0005-0000-0000-000072320000}"/>
    <cellStyle name="Data Superscript 2 5 4 2 2" xfId="11261" xr:uid="{00000000-0005-0000-0000-000073320000}"/>
    <cellStyle name="Data Superscript 2 5 4 3" xfId="11262" xr:uid="{00000000-0005-0000-0000-000074320000}"/>
    <cellStyle name="Data Superscript 2 5 4 3 2" xfId="11263" xr:uid="{00000000-0005-0000-0000-000075320000}"/>
    <cellStyle name="Data Superscript 2 5 4 4" xfId="11264" xr:uid="{00000000-0005-0000-0000-000076320000}"/>
    <cellStyle name="Data Superscript 2 5 4 4 2" xfId="11265" xr:uid="{00000000-0005-0000-0000-000077320000}"/>
    <cellStyle name="Data Superscript 2 5 4 5" xfId="11266" xr:uid="{00000000-0005-0000-0000-000078320000}"/>
    <cellStyle name="Data Superscript 2 5 4 5 2" xfId="11267" xr:uid="{00000000-0005-0000-0000-000079320000}"/>
    <cellStyle name="Data Superscript 2 5 4 6" xfId="11268" xr:uid="{00000000-0005-0000-0000-00007A320000}"/>
    <cellStyle name="Data Superscript 2 5 4 6 2" xfId="11269" xr:uid="{00000000-0005-0000-0000-00007B320000}"/>
    <cellStyle name="Data Superscript 2 5 4 7" xfId="11270" xr:uid="{00000000-0005-0000-0000-00007C320000}"/>
    <cellStyle name="Data Superscript 2 5 4 7 2" xfId="11271" xr:uid="{00000000-0005-0000-0000-00007D320000}"/>
    <cellStyle name="Data Superscript 2 5 4 8" xfId="11272" xr:uid="{00000000-0005-0000-0000-00007E320000}"/>
    <cellStyle name="Data Superscript 2 5 4 8 2" xfId="11273" xr:uid="{00000000-0005-0000-0000-00007F320000}"/>
    <cellStyle name="Data Superscript 2 5 4 9" xfId="11274" xr:uid="{00000000-0005-0000-0000-000080320000}"/>
    <cellStyle name="Data Superscript 2 5 4 9 2" xfId="11275" xr:uid="{00000000-0005-0000-0000-000081320000}"/>
    <cellStyle name="Data Superscript 2 5 5" xfId="11276" xr:uid="{00000000-0005-0000-0000-000082320000}"/>
    <cellStyle name="Data Superscript 2 5 5 10" xfId="11277" xr:uid="{00000000-0005-0000-0000-000083320000}"/>
    <cellStyle name="Data Superscript 2 5 5 2" xfId="11278" xr:uid="{00000000-0005-0000-0000-000084320000}"/>
    <cellStyle name="Data Superscript 2 5 5 2 2" xfId="11279" xr:uid="{00000000-0005-0000-0000-000085320000}"/>
    <cellStyle name="Data Superscript 2 5 5 3" xfId="11280" xr:uid="{00000000-0005-0000-0000-000086320000}"/>
    <cellStyle name="Data Superscript 2 5 5 3 2" xfId="11281" xr:uid="{00000000-0005-0000-0000-000087320000}"/>
    <cellStyle name="Data Superscript 2 5 5 4" xfId="11282" xr:uid="{00000000-0005-0000-0000-000088320000}"/>
    <cellStyle name="Data Superscript 2 5 5 4 2" xfId="11283" xr:uid="{00000000-0005-0000-0000-000089320000}"/>
    <cellStyle name="Data Superscript 2 5 5 5" xfId="11284" xr:uid="{00000000-0005-0000-0000-00008A320000}"/>
    <cellStyle name="Data Superscript 2 5 5 5 2" xfId="11285" xr:uid="{00000000-0005-0000-0000-00008B320000}"/>
    <cellStyle name="Data Superscript 2 5 5 6" xfId="11286" xr:uid="{00000000-0005-0000-0000-00008C320000}"/>
    <cellStyle name="Data Superscript 2 5 5 6 2" xfId="11287" xr:uid="{00000000-0005-0000-0000-00008D320000}"/>
    <cellStyle name="Data Superscript 2 5 5 7" xfId="11288" xr:uid="{00000000-0005-0000-0000-00008E320000}"/>
    <cellStyle name="Data Superscript 2 5 5 7 2" xfId="11289" xr:uid="{00000000-0005-0000-0000-00008F320000}"/>
    <cellStyle name="Data Superscript 2 5 5 8" xfId="11290" xr:uid="{00000000-0005-0000-0000-000090320000}"/>
    <cellStyle name="Data Superscript 2 5 5 8 2" xfId="11291" xr:uid="{00000000-0005-0000-0000-000091320000}"/>
    <cellStyle name="Data Superscript 2 5 5 9" xfId="11292" xr:uid="{00000000-0005-0000-0000-000092320000}"/>
    <cellStyle name="Data Superscript 2 5 5 9 2" xfId="11293" xr:uid="{00000000-0005-0000-0000-000093320000}"/>
    <cellStyle name="Data Superscript 2 5 6" xfId="11294" xr:uid="{00000000-0005-0000-0000-000094320000}"/>
    <cellStyle name="Data Superscript 2 5 6 10" xfId="11295" xr:uid="{00000000-0005-0000-0000-000095320000}"/>
    <cellStyle name="Data Superscript 2 5 6 2" xfId="11296" xr:uid="{00000000-0005-0000-0000-000096320000}"/>
    <cellStyle name="Data Superscript 2 5 6 2 2" xfId="11297" xr:uid="{00000000-0005-0000-0000-000097320000}"/>
    <cellStyle name="Data Superscript 2 5 6 3" xfId="11298" xr:uid="{00000000-0005-0000-0000-000098320000}"/>
    <cellStyle name="Data Superscript 2 5 6 3 2" xfId="11299" xr:uid="{00000000-0005-0000-0000-000099320000}"/>
    <cellStyle name="Data Superscript 2 5 6 4" xfId="11300" xr:uid="{00000000-0005-0000-0000-00009A320000}"/>
    <cellStyle name="Data Superscript 2 5 6 4 2" xfId="11301" xr:uid="{00000000-0005-0000-0000-00009B320000}"/>
    <cellStyle name="Data Superscript 2 5 6 5" xfId="11302" xr:uid="{00000000-0005-0000-0000-00009C320000}"/>
    <cellStyle name="Data Superscript 2 5 6 5 2" xfId="11303" xr:uid="{00000000-0005-0000-0000-00009D320000}"/>
    <cellStyle name="Data Superscript 2 5 6 6" xfId="11304" xr:uid="{00000000-0005-0000-0000-00009E320000}"/>
    <cellStyle name="Data Superscript 2 5 6 6 2" xfId="11305" xr:uid="{00000000-0005-0000-0000-00009F320000}"/>
    <cellStyle name="Data Superscript 2 5 6 7" xfId="11306" xr:uid="{00000000-0005-0000-0000-0000A0320000}"/>
    <cellStyle name="Data Superscript 2 5 6 7 2" xfId="11307" xr:uid="{00000000-0005-0000-0000-0000A1320000}"/>
    <cellStyle name="Data Superscript 2 5 6 8" xfId="11308" xr:uid="{00000000-0005-0000-0000-0000A2320000}"/>
    <cellStyle name="Data Superscript 2 5 6 8 2" xfId="11309" xr:uid="{00000000-0005-0000-0000-0000A3320000}"/>
    <cellStyle name="Data Superscript 2 5 6 9" xfId="11310" xr:uid="{00000000-0005-0000-0000-0000A4320000}"/>
    <cellStyle name="Data Superscript 2 5 6 9 2" xfId="11311" xr:uid="{00000000-0005-0000-0000-0000A5320000}"/>
    <cellStyle name="Data Superscript 2 5 7" xfId="11312" xr:uid="{00000000-0005-0000-0000-0000A6320000}"/>
    <cellStyle name="Data Superscript 2 5 7 10" xfId="11313" xr:uid="{00000000-0005-0000-0000-0000A7320000}"/>
    <cellStyle name="Data Superscript 2 5 7 2" xfId="11314" xr:uid="{00000000-0005-0000-0000-0000A8320000}"/>
    <cellStyle name="Data Superscript 2 5 7 2 2" xfId="11315" xr:uid="{00000000-0005-0000-0000-0000A9320000}"/>
    <cellStyle name="Data Superscript 2 5 7 3" xfId="11316" xr:uid="{00000000-0005-0000-0000-0000AA320000}"/>
    <cellStyle name="Data Superscript 2 5 7 3 2" xfId="11317" xr:uid="{00000000-0005-0000-0000-0000AB320000}"/>
    <cellStyle name="Data Superscript 2 5 7 4" xfId="11318" xr:uid="{00000000-0005-0000-0000-0000AC320000}"/>
    <cellStyle name="Data Superscript 2 5 7 4 2" xfId="11319" xr:uid="{00000000-0005-0000-0000-0000AD320000}"/>
    <cellStyle name="Data Superscript 2 5 7 5" xfId="11320" xr:uid="{00000000-0005-0000-0000-0000AE320000}"/>
    <cellStyle name="Data Superscript 2 5 7 5 2" xfId="11321" xr:uid="{00000000-0005-0000-0000-0000AF320000}"/>
    <cellStyle name="Data Superscript 2 5 7 6" xfId="11322" xr:uid="{00000000-0005-0000-0000-0000B0320000}"/>
    <cellStyle name="Data Superscript 2 5 7 6 2" xfId="11323" xr:uid="{00000000-0005-0000-0000-0000B1320000}"/>
    <cellStyle name="Data Superscript 2 5 7 7" xfId="11324" xr:uid="{00000000-0005-0000-0000-0000B2320000}"/>
    <cellStyle name="Data Superscript 2 5 7 7 2" xfId="11325" xr:uid="{00000000-0005-0000-0000-0000B3320000}"/>
    <cellStyle name="Data Superscript 2 5 7 8" xfId="11326" xr:uid="{00000000-0005-0000-0000-0000B4320000}"/>
    <cellStyle name="Data Superscript 2 5 7 8 2" xfId="11327" xr:uid="{00000000-0005-0000-0000-0000B5320000}"/>
    <cellStyle name="Data Superscript 2 5 7 9" xfId="11328" xr:uid="{00000000-0005-0000-0000-0000B6320000}"/>
    <cellStyle name="Data Superscript 2 5 7 9 2" xfId="11329" xr:uid="{00000000-0005-0000-0000-0000B7320000}"/>
    <cellStyle name="Data Superscript 2 5 8" xfId="11330" xr:uid="{00000000-0005-0000-0000-0000B8320000}"/>
    <cellStyle name="Data Superscript 2 5 8 10" xfId="11331" xr:uid="{00000000-0005-0000-0000-0000B9320000}"/>
    <cellStyle name="Data Superscript 2 5 8 2" xfId="11332" xr:uid="{00000000-0005-0000-0000-0000BA320000}"/>
    <cellStyle name="Data Superscript 2 5 8 2 2" xfId="11333" xr:uid="{00000000-0005-0000-0000-0000BB320000}"/>
    <cellStyle name="Data Superscript 2 5 8 3" xfId="11334" xr:uid="{00000000-0005-0000-0000-0000BC320000}"/>
    <cellStyle name="Data Superscript 2 5 8 3 2" xfId="11335" xr:uid="{00000000-0005-0000-0000-0000BD320000}"/>
    <cellStyle name="Data Superscript 2 5 8 4" xfId="11336" xr:uid="{00000000-0005-0000-0000-0000BE320000}"/>
    <cellStyle name="Data Superscript 2 5 8 4 2" xfId="11337" xr:uid="{00000000-0005-0000-0000-0000BF320000}"/>
    <cellStyle name="Data Superscript 2 5 8 5" xfId="11338" xr:uid="{00000000-0005-0000-0000-0000C0320000}"/>
    <cellStyle name="Data Superscript 2 5 8 5 2" xfId="11339" xr:uid="{00000000-0005-0000-0000-0000C1320000}"/>
    <cellStyle name="Data Superscript 2 5 8 6" xfId="11340" xr:uid="{00000000-0005-0000-0000-0000C2320000}"/>
    <cellStyle name="Data Superscript 2 5 8 6 2" xfId="11341" xr:uid="{00000000-0005-0000-0000-0000C3320000}"/>
    <cellStyle name="Data Superscript 2 5 8 7" xfId="11342" xr:uid="{00000000-0005-0000-0000-0000C4320000}"/>
    <cellStyle name="Data Superscript 2 5 8 7 2" xfId="11343" xr:uid="{00000000-0005-0000-0000-0000C5320000}"/>
    <cellStyle name="Data Superscript 2 5 8 8" xfId="11344" xr:uid="{00000000-0005-0000-0000-0000C6320000}"/>
    <cellStyle name="Data Superscript 2 5 8 8 2" xfId="11345" xr:uid="{00000000-0005-0000-0000-0000C7320000}"/>
    <cellStyle name="Data Superscript 2 5 8 9" xfId="11346" xr:uid="{00000000-0005-0000-0000-0000C8320000}"/>
    <cellStyle name="Data Superscript 2 5 8 9 2" xfId="11347" xr:uid="{00000000-0005-0000-0000-0000C9320000}"/>
    <cellStyle name="Data Superscript 2 5 9" xfId="11348" xr:uid="{00000000-0005-0000-0000-0000CA320000}"/>
    <cellStyle name="Data Superscript 2 5 9 10" xfId="11349" xr:uid="{00000000-0005-0000-0000-0000CB320000}"/>
    <cellStyle name="Data Superscript 2 5 9 2" xfId="11350" xr:uid="{00000000-0005-0000-0000-0000CC320000}"/>
    <cellStyle name="Data Superscript 2 5 9 2 2" xfId="11351" xr:uid="{00000000-0005-0000-0000-0000CD320000}"/>
    <cellStyle name="Data Superscript 2 5 9 3" xfId="11352" xr:uid="{00000000-0005-0000-0000-0000CE320000}"/>
    <cellStyle name="Data Superscript 2 5 9 3 2" xfId="11353" xr:uid="{00000000-0005-0000-0000-0000CF320000}"/>
    <cellStyle name="Data Superscript 2 5 9 4" xfId="11354" xr:uid="{00000000-0005-0000-0000-0000D0320000}"/>
    <cellStyle name="Data Superscript 2 5 9 4 2" xfId="11355" xr:uid="{00000000-0005-0000-0000-0000D1320000}"/>
    <cellStyle name="Data Superscript 2 5 9 5" xfId="11356" xr:uid="{00000000-0005-0000-0000-0000D2320000}"/>
    <cellStyle name="Data Superscript 2 5 9 5 2" xfId="11357" xr:uid="{00000000-0005-0000-0000-0000D3320000}"/>
    <cellStyle name="Data Superscript 2 5 9 6" xfId="11358" xr:uid="{00000000-0005-0000-0000-0000D4320000}"/>
    <cellStyle name="Data Superscript 2 5 9 6 2" xfId="11359" xr:uid="{00000000-0005-0000-0000-0000D5320000}"/>
    <cellStyle name="Data Superscript 2 5 9 7" xfId="11360" xr:uid="{00000000-0005-0000-0000-0000D6320000}"/>
    <cellStyle name="Data Superscript 2 5 9 7 2" xfId="11361" xr:uid="{00000000-0005-0000-0000-0000D7320000}"/>
    <cellStyle name="Data Superscript 2 5 9 8" xfId="11362" xr:uid="{00000000-0005-0000-0000-0000D8320000}"/>
    <cellStyle name="Data Superscript 2 5 9 8 2" xfId="11363" xr:uid="{00000000-0005-0000-0000-0000D9320000}"/>
    <cellStyle name="Data Superscript 2 5 9 9" xfId="11364" xr:uid="{00000000-0005-0000-0000-0000DA320000}"/>
    <cellStyle name="Data Superscript 2 5 9 9 2" xfId="11365" xr:uid="{00000000-0005-0000-0000-0000DB320000}"/>
    <cellStyle name="Data Superscript 2 6" xfId="11366" xr:uid="{00000000-0005-0000-0000-0000DC320000}"/>
    <cellStyle name="Data Superscript 2 6 10" xfId="11367" xr:uid="{00000000-0005-0000-0000-0000DD320000}"/>
    <cellStyle name="Data Superscript 2 6 10 2" xfId="11368" xr:uid="{00000000-0005-0000-0000-0000DE320000}"/>
    <cellStyle name="Data Superscript 2 6 10 2 2" xfId="11369" xr:uid="{00000000-0005-0000-0000-0000DF320000}"/>
    <cellStyle name="Data Superscript 2 6 10 3" xfId="11370" xr:uid="{00000000-0005-0000-0000-0000E0320000}"/>
    <cellStyle name="Data Superscript 2 6 10 3 2" xfId="11371" xr:uid="{00000000-0005-0000-0000-0000E1320000}"/>
    <cellStyle name="Data Superscript 2 6 10 4" xfId="11372" xr:uid="{00000000-0005-0000-0000-0000E2320000}"/>
    <cellStyle name="Data Superscript 2 6 10 4 2" xfId="11373" xr:uid="{00000000-0005-0000-0000-0000E3320000}"/>
    <cellStyle name="Data Superscript 2 6 10 5" xfId="11374" xr:uid="{00000000-0005-0000-0000-0000E4320000}"/>
    <cellStyle name="Data Superscript 2 6 10 5 2" xfId="11375" xr:uid="{00000000-0005-0000-0000-0000E5320000}"/>
    <cellStyle name="Data Superscript 2 6 10 6" xfId="11376" xr:uid="{00000000-0005-0000-0000-0000E6320000}"/>
    <cellStyle name="Data Superscript 2 6 10 6 2" xfId="11377" xr:uid="{00000000-0005-0000-0000-0000E7320000}"/>
    <cellStyle name="Data Superscript 2 6 10 7" xfId="11378" xr:uid="{00000000-0005-0000-0000-0000E8320000}"/>
    <cellStyle name="Data Superscript 2 6 10 7 2" xfId="11379" xr:uid="{00000000-0005-0000-0000-0000E9320000}"/>
    <cellStyle name="Data Superscript 2 6 10 8" xfId="11380" xr:uid="{00000000-0005-0000-0000-0000EA320000}"/>
    <cellStyle name="Data Superscript 2 6 10 8 2" xfId="11381" xr:uid="{00000000-0005-0000-0000-0000EB320000}"/>
    <cellStyle name="Data Superscript 2 6 10 9" xfId="11382" xr:uid="{00000000-0005-0000-0000-0000EC320000}"/>
    <cellStyle name="Data Superscript 2 6 11" xfId="11383" xr:uid="{00000000-0005-0000-0000-0000ED320000}"/>
    <cellStyle name="Data Superscript 2 6 11 2" xfId="11384" xr:uid="{00000000-0005-0000-0000-0000EE320000}"/>
    <cellStyle name="Data Superscript 2 6 12" xfId="11385" xr:uid="{00000000-0005-0000-0000-0000EF320000}"/>
    <cellStyle name="Data Superscript 2 6 12 2" xfId="11386" xr:uid="{00000000-0005-0000-0000-0000F0320000}"/>
    <cellStyle name="Data Superscript 2 6 13" xfId="11387" xr:uid="{00000000-0005-0000-0000-0000F1320000}"/>
    <cellStyle name="Data Superscript 2 6 13 2" xfId="11388" xr:uid="{00000000-0005-0000-0000-0000F2320000}"/>
    <cellStyle name="Data Superscript 2 6 14" xfId="11389" xr:uid="{00000000-0005-0000-0000-0000F3320000}"/>
    <cellStyle name="Data Superscript 2 6 14 2" xfId="11390" xr:uid="{00000000-0005-0000-0000-0000F4320000}"/>
    <cellStyle name="Data Superscript 2 6 15" xfId="11391" xr:uid="{00000000-0005-0000-0000-0000F5320000}"/>
    <cellStyle name="Data Superscript 2 6 15 2" xfId="11392" xr:uid="{00000000-0005-0000-0000-0000F6320000}"/>
    <cellStyle name="Data Superscript 2 6 16" xfId="11393" xr:uid="{00000000-0005-0000-0000-0000F7320000}"/>
    <cellStyle name="Data Superscript 2 6 16 2" xfId="11394" xr:uid="{00000000-0005-0000-0000-0000F8320000}"/>
    <cellStyle name="Data Superscript 2 6 17" xfId="11395" xr:uid="{00000000-0005-0000-0000-0000F9320000}"/>
    <cellStyle name="Data Superscript 2 6 17 2" xfId="11396" xr:uid="{00000000-0005-0000-0000-0000FA320000}"/>
    <cellStyle name="Data Superscript 2 6 18" xfId="11397" xr:uid="{00000000-0005-0000-0000-0000FB320000}"/>
    <cellStyle name="Data Superscript 2 6 2" xfId="11398" xr:uid="{00000000-0005-0000-0000-0000FC320000}"/>
    <cellStyle name="Data Superscript 2 6 2 10" xfId="11399" xr:uid="{00000000-0005-0000-0000-0000FD320000}"/>
    <cellStyle name="Data Superscript 2 6 2 2" xfId="11400" xr:uid="{00000000-0005-0000-0000-0000FE320000}"/>
    <cellStyle name="Data Superscript 2 6 2 2 2" xfId="11401" xr:uid="{00000000-0005-0000-0000-0000FF320000}"/>
    <cellStyle name="Data Superscript 2 6 2 3" xfId="11402" xr:uid="{00000000-0005-0000-0000-000000330000}"/>
    <cellStyle name="Data Superscript 2 6 2 3 2" xfId="11403" xr:uid="{00000000-0005-0000-0000-000001330000}"/>
    <cellStyle name="Data Superscript 2 6 2 4" xfId="11404" xr:uid="{00000000-0005-0000-0000-000002330000}"/>
    <cellStyle name="Data Superscript 2 6 2 4 2" xfId="11405" xr:uid="{00000000-0005-0000-0000-000003330000}"/>
    <cellStyle name="Data Superscript 2 6 2 5" xfId="11406" xr:uid="{00000000-0005-0000-0000-000004330000}"/>
    <cellStyle name="Data Superscript 2 6 2 5 2" xfId="11407" xr:uid="{00000000-0005-0000-0000-000005330000}"/>
    <cellStyle name="Data Superscript 2 6 2 6" xfId="11408" xr:uid="{00000000-0005-0000-0000-000006330000}"/>
    <cellStyle name="Data Superscript 2 6 2 6 2" xfId="11409" xr:uid="{00000000-0005-0000-0000-000007330000}"/>
    <cellStyle name="Data Superscript 2 6 2 7" xfId="11410" xr:uid="{00000000-0005-0000-0000-000008330000}"/>
    <cellStyle name="Data Superscript 2 6 2 7 2" xfId="11411" xr:uid="{00000000-0005-0000-0000-000009330000}"/>
    <cellStyle name="Data Superscript 2 6 2 8" xfId="11412" xr:uid="{00000000-0005-0000-0000-00000A330000}"/>
    <cellStyle name="Data Superscript 2 6 2 8 2" xfId="11413" xr:uid="{00000000-0005-0000-0000-00000B330000}"/>
    <cellStyle name="Data Superscript 2 6 2 9" xfId="11414" xr:uid="{00000000-0005-0000-0000-00000C330000}"/>
    <cellStyle name="Data Superscript 2 6 2 9 2" xfId="11415" xr:uid="{00000000-0005-0000-0000-00000D330000}"/>
    <cellStyle name="Data Superscript 2 6 3" xfId="11416" xr:uid="{00000000-0005-0000-0000-00000E330000}"/>
    <cellStyle name="Data Superscript 2 6 3 10" xfId="11417" xr:uid="{00000000-0005-0000-0000-00000F330000}"/>
    <cellStyle name="Data Superscript 2 6 3 2" xfId="11418" xr:uid="{00000000-0005-0000-0000-000010330000}"/>
    <cellStyle name="Data Superscript 2 6 3 2 2" xfId="11419" xr:uid="{00000000-0005-0000-0000-000011330000}"/>
    <cellStyle name="Data Superscript 2 6 3 3" xfId="11420" xr:uid="{00000000-0005-0000-0000-000012330000}"/>
    <cellStyle name="Data Superscript 2 6 3 3 2" xfId="11421" xr:uid="{00000000-0005-0000-0000-000013330000}"/>
    <cellStyle name="Data Superscript 2 6 3 4" xfId="11422" xr:uid="{00000000-0005-0000-0000-000014330000}"/>
    <cellStyle name="Data Superscript 2 6 3 4 2" xfId="11423" xr:uid="{00000000-0005-0000-0000-000015330000}"/>
    <cellStyle name="Data Superscript 2 6 3 5" xfId="11424" xr:uid="{00000000-0005-0000-0000-000016330000}"/>
    <cellStyle name="Data Superscript 2 6 3 5 2" xfId="11425" xr:uid="{00000000-0005-0000-0000-000017330000}"/>
    <cellStyle name="Data Superscript 2 6 3 6" xfId="11426" xr:uid="{00000000-0005-0000-0000-000018330000}"/>
    <cellStyle name="Data Superscript 2 6 3 6 2" xfId="11427" xr:uid="{00000000-0005-0000-0000-000019330000}"/>
    <cellStyle name="Data Superscript 2 6 3 7" xfId="11428" xr:uid="{00000000-0005-0000-0000-00001A330000}"/>
    <cellStyle name="Data Superscript 2 6 3 7 2" xfId="11429" xr:uid="{00000000-0005-0000-0000-00001B330000}"/>
    <cellStyle name="Data Superscript 2 6 3 8" xfId="11430" xr:uid="{00000000-0005-0000-0000-00001C330000}"/>
    <cellStyle name="Data Superscript 2 6 3 8 2" xfId="11431" xr:uid="{00000000-0005-0000-0000-00001D330000}"/>
    <cellStyle name="Data Superscript 2 6 3 9" xfId="11432" xr:uid="{00000000-0005-0000-0000-00001E330000}"/>
    <cellStyle name="Data Superscript 2 6 3 9 2" xfId="11433" xr:uid="{00000000-0005-0000-0000-00001F330000}"/>
    <cellStyle name="Data Superscript 2 6 4" xfId="11434" xr:uid="{00000000-0005-0000-0000-000020330000}"/>
    <cellStyle name="Data Superscript 2 6 4 10" xfId="11435" xr:uid="{00000000-0005-0000-0000-000021330000}"/>
    <cellStyle name="Data Superscript 2 6 4 2" xfId="11436" xr:uid="{00000000-0005-0000-0000-000022330000}"/>
    <cellStyle name="Data Superscript 2 6 4 2 2" xfId="11437" xr:uid="{00000000-0005-0000-0000-000023330000}"/>
    <cellStyle name="Data Superscript 2 6 4 3" xfId="11438" xr:uid="{00000000-0005-0000-0000-000024330000}"/>
    <cellStyle name="Data Superscript 2 6 4 3 2" xfId="11439" xr:uid="{00000000-0005-0000-0000-000025330000}"/>
    <cellStyle name="Data Superscript 2 6 4 4" xfId="11440" xr:uid="{00000000-0005-0000-0000-000026330000}"/>
    <cellStyle name="Data Superscript 2 6 4 4 2" xfId="11441" xr:uid="{00000000-0005-0000-0000-000027330000}"/>
    <cellStyle name="Data Superscript 2 6 4 5" xfId="11442" xr:uid="{00000000-0005-0000-0000-000028330000}"/>
    <cellStyle name="Data Superscript 2 6 4 5 2" xfId="11443" xr:uid="{00000000-0005-0000-0000-000029330000}"/>
    <cellStyle name="Data Superscript 2 6 4 6" xfId="11444" xr:uid="{00000000-0005-0000-0000-00002A330000}"/>
    <cellStyle name="Data Superscript 2 6 4 6 2" xfId="11445" xr:uid="{00000000-0005-0000-0000-00002B330000}"/>
    <cellStyle name="Data Superscript 2 6 4 7" xfId="11446" xr:uid="{00000000-0005-0000-0000-00002C330000}"/>
    <cellStyle name="Data Superscript 2 6 4 7 2" xfId="11447" xr:uid="{00000000-0005-0000-0000-00002D330000}"/>
    <cellStyle name="Data Superscript 2 6 4 8" xfId="11448" xr:uid="{00000000-0005-0000-0000-00002E330000}"/>
    <cellStyle name="Data Superscript 2 6 4 8 2" xfId="11449" xr:uid="{00000000-0005-0000-0000-00002F330000}"/>
    <cellStyle name="Data Superscript 2 6 4 9" xfId="11450" xr:uid="{00000000-0005-0000-0000-000030330000}"/>
    <cellStyle name="Data Superscript 2 6 4 9 2" xfId="11451" xr:uid="{00000000-0005-0000-0000-000031330000}"/>
    <cellStyle name="Data Superscript 2 6 5" xfId="11452" xr:uid="{00000000-0005-0000-0000-000032330000}"/>
    <cellStyle name="Data Superscript 2 6 5 10" xfId="11453" xr:uid="{00000000-0005-0000-0000-000033330000}"/>
    <cellStyle name="Data Superscript 2 6 5 2" xfId="11454" xr:uid="{00000000-0005-0000-0000-000034330000}"/>
    <cellStyle name="Data Superscript 2 6 5 2 2" xfId="11455" xr:uid="{00000000-0005-0000-0000-000035330000}"/>
    <cellStyle name="Data Superscript 2 6 5 3" xfId="11456" xr:uid="{00000000-0005-0000-0000-000036330000}"/>
    <cellStyle name="Data Superscript 2 6 5 3 2" xfId="11457" xr:uid="{00000000-0005-0000-0000-000037330000}"/>
    <cellStyle name="Data Superscript 2 6 5 4" xfId="11458" xr:uid="{00000000-0005-0000-0000-000038330000}"/>
    <cellStyle name="Data Superscript 2 6 5 4 2" xfId="11459" xr:uid="{00000000-0005-0000-0000-000039330000}"/>
    <cellStyle name="Data Superscript 2 6 5 5" xfId="11460" xr:uid="{00000000-0005-0000-0000-00003A330000}"/>
    <cellStyle name="Data Superscript 2 6 5 5 2" xfId="11461" xr:uid="{00000000-0005-0000-0000-00003B330000}"/>
    <cellStyle name="Data Superscript 2 6 5 6" xfId="11462" xr:uid="{00000000-0005-0000-0000-00003C330000}"/>
    <cellStyle name="Data Superscript 2 6 5 6 2" xfId="11463" xr:uid="{00000000-0005-0000-0000-00003D330000}"/>
    <cellStyle name="Data Superscript 2 6 5 7" xfId="11464" xr:uid="{00000000-0005-0000-0000-00003E330000}"/>
    <cellStyle name="Data Superscript 2 6 5 7 2" xfId="11465" xr:uid="{00000000-0005-0000-0000-00003F330000}"/>
    <cellStyle name="Data Superscript 2 6 5 8" xfId="11466" xr:uid="{00000000-0005-0000-0000-000040330000}"/>
    <cellStyle name="Data Superscript 2 6 5 8 2" xfId="11467" xr:uid="{00000000-0005-0000-0000-000041330000}"/>
    <cellStyle name="Data Superscript 2 6 5 9" xfId="11468" xr:uid="{00000000-0005-0000-0000-000042330000}"/>
    <cellStyle name="Data Superscript 2 6 5 9 2" xfId="11469" xr:uid="{00000000-0005-0000-0000-000043330000}"/>
    <cellStyle name="Data Superscript 2 6 6" xfId="11470" xr:uid="{00000000-0005-0000-0000-000044330000}"/>
    <cellStyle name="Data Superscript 2 6 6 10" xfId="11471" xr:uid="{00000000-0005-0000-0000-000045330000}"/>
    <cellStyle name="Data Superscript 2 6 6 2" xfId="11472" xr:uid="{00000000-0005-0000-0000-000046330000}"/>
    <cellStyle name="Data Superscript 2 6 6 2 2" xfId="11473" xr:uid="{00000000-0005-0000-0000-000047330000}"/>
    <cellStyle name="Data Superscript 2 6 6 3" xfId="11474" xr:uid="{00000000-0005-0000-0000-000048330000}"/>
    <cellStyle name="Data Superscript 2 6 6 3 2" xfId="11475" xr:uid="{00000000-0005-0000-0000-000049330000}"/>
    <cellStyle name="Data Superscript 2 6 6 4" xfId="11476" xr:uid="{00000000-0005-0000-0000-00004A330000}"/>
    <cellStyle name="Data Superscript 2 6 6 4 2" xfId="11477" xr:uid="{00000000-0005-0000-0000-00004B330000}"/>
    <cellStyle name="Data Superscript 2 6 6 5" xfId="11478" xr:uid="{00000000-0005-0000-0000-00004C330000}"/>
    <cellStyle name="Data Superscript 2 6 6 5 2" xfId="11479" xr:uid="{00000000-0005-0000-0000-00004D330000}"/>
    <cellStyle name="Data Superscript 2 6 6 6" xfId="11480" xr:uid="{00000000-0005-0000-0000-00004E330000}"/>
    <cellStyle name="Data Superscript 2 6 6 6 2" xfId="11481" xr:uid="{00000000-0005-0000-0000-00004F330000}"/>
    <cellStyle name="Data Superscript 2 6 6 7" xfId="11482" xr:uid="{00000000-0005-0000-0000-000050330000}"/>
    <cellStyle name="Data Superscript 2 6 6 7 2" xfId="11483" xr:uid="{00000000-0005-0000-0000-000051330000}"/>
    <cellStyle name="Data Superscript 2 6 6 8" xfId="11484" xr:uid="{00000000-0005-0000-0000-000052330000}"/>
    <cellStyle name="Data Superscript 2 6 6 8 2" xfId="11485" xr:uid="{00000000-0005-0000-0000-000053330000}"/>
    <cellStyle name="Data Superscript 2 6 6 9" xfId="11486" xr:uid="{00000000-0005-0000-0000-000054330000}"/>
    <cellStyle name="Data Superscript 2 6 6 9 2" xfId="11487" xr:uid="{00000000-0005-0000-0000-000055330000}"/>
    <cellStyle name="Data Superscript 2 6 7" xfId="11488" xr:uid="{00000000-0005-0000-0000-000056330000}"/>
    <cellStyle name="Data Superscript 2 6 7 10" xfId="11489" xr:uid="{00000000-0005-0000-0000-000057330000}"/>
    <cellStyle name="Data Superscript 2 6 7 2" xfId="11490" xr:uid="{00000000-0005-0000-0000-000058330000}"/>
    <cellStyle name="Data Superscript 2 6 7 2 2" xfId="11491" xr:uid="{00000000-0005-0000-0000-000059330000}"/>
    <cellStyle name="Data Superscript 2 6 7 3" xfId="11492" xr:uid="{00000000-0005-0000-0000-00005A330000}"/>
    <cellStyle name="Data Superscript 2 6 7 3 2" xfId="11493" xr:uid="{00000000-0005-0000-0000-00005B330000}"/>
    <cellStyle name="Data Superscript 2 6 7 4" xfId="11494" xr:uid="{00000000-0005-0000-0000-00005C330000}"/>
    <cellStyle name="Data Superscript 2 6 7 4 2" xfId="11495" xr:uid="{00000000-0005-0000-0000-00005D330000}"/>
    <cellStyle name="Data Superscript 2 6 7 5" xfId="11496" xr:uid="{00000000-0005-0000-0000-00005E330000}"/>
    <cellStyle name="Data Superscript 2 6 7 5 2" xfId="11497" xr:uid="{00000000-0005-0000-0000-00005F330000}"/>
    <cellStyle name="Data Superscript 2 6 7 6" xfId="11498" xr:uid="{00000000-0005-0000-0000-000060330000}"/>
    <cellStyle name="Data Superscript 2 6 7 6 2" xfId="11499" xr:uid="{00000000-0005-0000-0000-000061330000}"/>
    <cellStyle name="Data Superscript 2 6 7 7" xfId="11500" xr:uid="{00000000-0005-0000-0000-000062330000}"/>
    <cellStyle name="Data Superscript 2 6 7 7 2" xfId="11501" xr:uid="{00000000-0005-0000-0000-000063330000}"/>
    <cellStyle name="Data Superscript 2 6 7 8" xfId="11502" xr:uid="{00000000-0005-0000-0000-000064330000}"/>
    <cellStyle name="Data Superscript 2 6 7 8 2" xfId="11503" xr:uid="{00000000-0005-0000-0000-000065330000}"/>
    <cellStyle name="Data Superscript 2 6 7 9" xfId="11504" xr:uid="{00000000-0005-0000-0000-000066330000}"/>
    <cellStyle name="Data Superscript 2 6 7 9 2" xfId="11505" xr:uid="{00000000-0005-0000-0000-000067330000}"/>
    <cellStyle name="Data Superscript 2 6 8" xfId="11506" xr:uid="{00000000-0005-0000-0000-000068330000}"/>
    <cellStyle name="Data Superscript 2 6 8 10" xfId="11507" xr:uid="{00000000-0005-0000-0000-000069330000}"/>
    <cellStyle name="Data Superscript 2 6 8 2" xfId="11508" xr:uid="{00000000-0005-0000-0000-00006A330000}"/>
    <cellStyle name="Data Superscript 2 6 8 2 2" xfId="11509" xr:uid="{00000000-0005-0000-0000-00006B330000}"/>
    <cellStyle name="Data Superscript 2 6 8 3" xfId="11510" xr:uid="{00000000-0005-0000-0000-00006C330000}"/>
    <cellStyle name="Data Superscript 2 6 8 3 2" xfId="11511" xr:uid="{00000000-0005-0000-0000-00006D330000}"/>
    <cellStyle name="Data Superscript 2 6 8 4" xfId="11512" xr:uid="{00000000-0005-0000-0000-00006E330000}"/>
    <cellStyle name="Data Superscript 2 6 8 4 2" xfId="11513" xr:uid="{00000000-0005-0000-0000-00006F330000}"/>
    <cellStyle name="Data Superscript 2 6 8 5" xfId="11514" xr:uid="{00000000-0005-0000-0000-000070330000}"/>
    <cellStyle name="Data Superscript 2 6 8 5 2" xfId="11515" xr:uid="{00000000-0005-0000-0000-000071330000}"/>
    <cellStyle name="Data Superscript 2 6 8 6" xfId="11516" xr:uid="{00000000-0005-0000-0000-000072330000}"/>
    <cellStyle name="Data Superscript 2 6 8 6 2" xfId="11517" xr:uid="{00000000-0005-0000-0000-000073330000}"/>
    <cellStyle name="Data Superscript 2 6 8 7" xfId="11518" xr:uid="{00000000-0005-0000-0000-000074330000}"/>
    <cellStyle name="Data Superscript 2 6 8 7 2" xfId="11519" xr:uid="{00000000-0005-0000-0000-000075330000}"/>
    <cellStyle name="Data Superscript 2 6 8 8" xfId="11520" xr:uid="{00000000-0005-0000-0000-000076330000}"/>
    <cellStyle name="Data Superscript 2 6 8 8 2" xfId="11521" xr:uid="{00000000-0005-0000-0000-000077330000}"/>
    <cellStyle name="Data Superscript 2 6 8 9" xfId="11522" xr:uid="{00000000-0005-0000-0000-000078330000}"/>
    <cellStyle name="Data Superscript 2 6 8 9 2" xfId="11523" xr:uid="{00000000-0005-0000-0000-000079330000}"/>
    <cellStyle name="Data Superscript 2 6 9" xfId="11524" xr:uid="{00000000-0005-0000-0000-00007A330000}"/>
    <cellStyle name="Data Superscript 2 6 9 10" xfId="11525" xr:uid="{00000000-0005-0000-0000-00007B330000}"/>
    <cellStyle name="Data Superscript 2 6 9 2" xfId="11526" xr:uid="{00000000-0005-0000-0000-00007C330000}"/>
    <cellStyle name="Data Superscript 2 6 9 2 2" xfId="11527" xr:uid="{00000000-0005-0000-0000-00007D330000}"/>
    <cellStyle name="Data Superscript 2 6 9 3" xfId="11528" xr:uid="{00000000-0005-0000-0000-00007E330000}"/>
    <cellStyle name="Data Superscript 2 6 9 3 2" xfId="11529" xr:uid="{00000000-0005-0000-0000-00007F330000}"/>
    <cellStyle name="Data Superscript 2 6 9 4" xfId="11530" xr:uid="{00000000-0005-0000-0000-000080330000}"/>
    <cellStyle name="Data Superscript 2 6 9 4 2" xfId="11531" xr:uid="{00000000-0005-0000-0000-000081330000}"/>
    <cellStyle name="Data Superscript 2 6 9 5" xfId="11532" xr:uid="{00000000-0005-0000-0000-000082330000}"/>
    <cellStyle name="Data Superscript 2 6 9 5 2" xfId="11533" xr:uid="{00000000-0005-0000-0000-000083330000}"/>
    <cellStyle name="Data Superscript 2 6 9 6" xfId="11534" xr:uid="{00000000-0005-0000-0000-000084330000}"/>
    <cellStyle name="Data Superscript 2 6 9 6 2" xfId="11535" xr:uid="{00000000-0005-0000-0000-000085330000}"/>
    <cellStyle name="Data Superscript 2 6 9 7" xfId="11536" xr:uid="{00000000-0005-0000-0000-000086330000}"/>
    <cellStyle name="Data Superscript 2 6 9 7 2" xfId="11537" xr:uid="{00000000-0005-0000-0000-000087330000}"/>
    <cellStyle name="Data Superscript 2 6 9 8" xfId="11538" xr:uid="{00000000-0005-0000-0000-000088330000}"/>
    <cellStyle name="Data Superscript 2 6 9 8 2" xfId="11539" xr:uid="{00000000-0005-0000-0000-000089330000}"/>
    <cellStyle name="Data Superscript 2 6 9 9" xfId="11540" xr:uid="{00000000-0005-0000-0000-00008A330000}"/>
    <cellStyle name="Data Superscript 2 6 9 9 2" xfId="11541" xr:uid="{00000000-0005-0000-0000-00008B330000}"/>
    <cellStyle name="Data Superscript 2 7" xfId="11542" xr:uid="{00000000-0005-0000-0000-00008C330000}"/>
    <cellStyle name="Data Superscript 2 7 10" xfId="11543" xr:uid="{00000000-0005-0000-0000-00008D330000}"/>
    <cellStyle name="Data Superscript 2 7 10 2" xfId="11544" xr:uid="{00000000-0005-0000-0000-00008E330000}"/>
    <cellStyle name="Data Superscript 2 7 10 2 2" xfId="11545" xr:uid="{00000000-0005-0000-0000-00008F330000}"/>
    <cellStyle name="Data Superscript 2 7 10 3" xfId="11546" xr:uid="{00000000-0005-0000-0000-000090330000}"/>
    <cellStyle name="Data Superscript 2 7 10 3 2" xfId="11547" xr:uid="{00000000-0005-0000-0000-000091330000}"/>
    <cellStyle name="Data Superscript 2 7 10 4" xfId="11548" xr:uid="{00000000-0005-0000-0000-000092330000}"/>
    <cellStyle name="Data Superscript 2 7 10 4 2" xfId="11549" xr:uid="{00000000-0005-0000-0000-000093330000}"/>
    <cellStyle name="Data Superscript 2 7 10 5" xfId="11550" xr:uid="{00000000-0005-0000-0000-000094330000}"/>
    <cellStyle name="Data Superscript 2 7 10 5 2" xfId="11551" xr:uid="{00000000-0005-0000-0000-000095330000}"/>
    <cellStyle name="Data Superscript 2 7 10 6" xfId="11552" xr:uid="{00000000-0005-0000-0000-000096330000}"/>
    <cellStyle name="Data Superscript 2 7 10 6 2" xfId="11553" xr:uid="{00000000-0005-0000-0000-000097330000}"/>
    <cellStyle name="Data Superscript 2 7 10 7" xfId="11554" xr:uid="{00000000-0005-0000-0000-000098330000}"/>
    <cellStyle name="Data Superscript 2 7 10 7 2" xfId="11555" xr:uid="{00000000-0005-0000-0000-000099330000}"/>
    <cellStyle name="Data Superscript 2 7 10 8" xfId="11556" xr:uid="{00000000-0005-0000-0000-00009A330000}"/>
    <cellStyle name="Data Superscript 2 7 10 8 2" xfId="11557" xr:uid="{00000000-0005-0000-0000-00009B330000}"/>
    <cellStyle name="Data Superscript 2 7 10 9" xfId="11558" xr:uid="{00000000-0005-0000-0000-00009C330000}"/>
    <cellStyle name="Data Superscript 2 7 11" xfId="11559" xr:uid="{00000000-0005-0000-0000-00009D330000}"/>
    <cellStyle name="Data Superscript 2 7 11 2" xfId="11560" xr:uid="{00000000-0005-0000-0000-00009E330000}"/>
    <cellStyle name="Data Superscript 2 7 12" xfId="11561" xr:uid="{00000000-0005-0000-0000-00009F330000}"/>
    <cellStyle name="Data Superscript 2 7 12 2" xfId="11562" xr:uid="{00000000-0005-0000-0000-0000A0330000}"/>
    <cellStyle name="Data Superscript 2 7 13" xfId="11563" xr:uid="{00000000-0005-0000-0000-0000A1330000}"/>
    <cellStyle name="Data Superscript 2 7 13 2" xfId="11564" xr:uid="{00000000-0005-0000-0000-0000A2330000}"/>
    <cellStyle name="Data Superscript 2 7 14" xfId="11565" xr:uid="{00000000-0005-0000-0000-0000A3330000}"/>
    <cellStyle name="Data Superscript 2 7 14 2" xfId="11566" xr:uid="{00000000-0005-0000-0000-0000A4330000}"/>
    <cellStyle name="Data Superscript 2 7 15" xfId="11567" xr:uid="{00000000-0005-0000-0000-0000A5330000}"/>
    <cellStyle name="Data Superscript 2 7 15 2" xfId="11568" xr:uid="{00000000-0005-0000-0000-0000A6330000}"/>
    <cellStyle name="Data Superscript 2 7 16" xfId="11569" xr:uid="{00000000-0005-0000-0000-0000A7330000}"/>
    <cellStyle name="Data Superscript 2 7 16 2" xfId="11570" xr:uid="{00000000-0005-0000-0000-0000A8330000}"/>
    <cellStyle name="Data Superscript 2 7 17" xfId="11571" xr:uid="{00000000-0005-0000-0000-0000A9330000}"/>
    <cellStyle name="Data Superscript 2 7 17 2" xfId="11572" xr:uid="{00000000-0005-0000-0000-0000AA330000}"/>
    <cellStyle name="Data Superscript 2 7 18" xfId="11573" xr:uid="{00000000-0005-0000-0000-0000AB330000}"/>
    <cellStyle name="Data Superscript 2 7 2" xfId="11574" xr:uid="{00000000-0005-0000-0000-0000AC330000}"/>
    <cellStyle name="Data Superscript 2 7 2 10" xfId="11575" xr:uid="{00000000-0005-0000-0000-0000AD330000}"/>
    <cellStyle name="Data Superscript 2 7 2 2" xfId="11576" xr:uid="{00000000-0005-0000-0000-0000AE330000}"/>
    <cellStyle name="Data Superscript 2 7 2 2 2" xfId="11577" xr:uid="{00000000-0005-0000-0000-0000AF330000}"/>
    <cellStyle name="Data Superscript 2 7 2 3" xfId="11578" xr:uid="{00000000-0005-0000-0000-0000B0330000}"/>
    <cellStyle name="Data Superscript 2 7 2 3 2" xfId="11579" xr:uid="{00000000-0005-0000-0000-0000B1330000}"/>
    <cellStyle name="Data Superscript 2 7 2 4" xfId="11580" xr:uid="{00000000-0005-0000-0000-0000B2330000}"/>
    <cellStyle name="Data Superscript 2 7 2 4 2" xfId="11581" xr:uid="{00000000-0005-0000-0000-0000B3330000}"/>
    <cellStyle name="Data Superscript 2 7 2 5" xfId="11582" xr:uid="{00000000-0005-0000-0000-0000B4330000}"/>
    <cellStyle name="Data Superscript 2 7 2 5 2" xfId="11583" xr:uid="{00000000-0005-0000-0000-0000B5330000}"/>
    <cellStyle name="Data Superscript 2 7 2 6" xfId="11584" xr:uid="{00000000-0005-0000-0000-0000B6330000}"/>
    <cellStyle name="Data Superscript 2 7 2 6 2" xfId="11585" xr:uid="{00000000-0005-0000-0000-0000B7330000}"/>
    <cellStyle name="Data Superscript 2 7 2 7" xfId="11586" xr:uid="{00000000-0005-0000-0000-0000B8330000}"/>
    <cellStyle name="Data Superscript 2 7 2 7 2" xfId="11587" xr:uid="{00000000-0005-0000-0000-0000B9330000}"/>
    <cellStyle name="Data Superscript 2 7 2 8" xfId="11588" xr:uid="{00000000-0005-0000-0000-0000BA330000}"/>
    <cellStyle name="Data Superscript 2 7 2 8 2" xfId="11589" xr:uid="{00000000-0005-0000-0000-0000BB330000}"/>
    <cellStyle name="Data Superscript 2 7 2 9" xfId="11590" xr:uid="{00000000-0005-0000-0000-0000BC330000}"/>
    <cellStyle name="Data Superscript 2 7 2 9 2" xfId="11591" xr:uid="{00000000-0005-0000-0000-0000BD330000}"/>
    <cellStyle name="Data Superscript 2 7 3" xfId="11592" xr:uid="{00000000-0005-0000-0000-0000BE330000}"/>
    <cellStyle name="Data Superscript 2 7 3 10" xfId="11593" xr:uid="{00000000-0005-0000-0000-0000BF330000}"/>
    <cellStyle name="Data Superscript 2 7 3 2" xfId="11594" xr:uid="{00000000-0005-0000-0000-0000C0330000}"/>
    <cellStyle name="Data Superscript 2 7 3 2 2" xfId="11595" xr:uid="{00000000-0005-0000-0000-0000C1330000}"/>
    <cellStyle name="Data Superscript 2 7 3 3" xfId="11596" xr:uid="{00000000-0005-0000-0000-0000C2330000}"/>
    <cellStyle name="Data Superscript 2 7 3 3 2" xfId="11597" xr:uid="{00000000-0005-0000-0000-0000C3330000}"/>
    <cellStyle name="Data Superscript 2 7 3 4" xfId="11598" xr:uid="{00000000-0005-0000-0000-0000C4330000}"/>
    <cellStyle name="Data Superscript 2 7 3 4 2" xfId="11599" xr:uid="{00000000-0005-0000-0000-0000C5330000}"/>
    <cellStyle name="Data Superscript 2 7 3 5" xfId="11600" xr:uid="{00000000-0005-0000-0000-0000C6330000}"/>
    <cellStyle name="Data Superscript 2 7 3 5 2" xfId="11601" xr:uid="{00000000-0005-0000-0000-0000C7330000}"/>
    <cellStyle name="Data Superscript 2 7 3 6" xfId="11602" xr:uid="{00000000-0005-0000-0000-0000C8330000}"/>
    <cellStyle name="Data Superscript 2 7 3 6 2" xfId="11603" xr:uid="{00000000-0005-0000-0000-0000C9330000}"/>
    <cellStyle name="Data Superscript 2 7 3 7" xfId="11604" xr:uid="{00000000-0005-0000-0000-0000CA330000}"/>
    <cellStyle name="Data Superscript 2 7 3 7 2" xfId="11605" xr:uid="{00000000-0005-0000-0000-0000CB330000}"/>
    <cellStyle name="Data Superscript 2 7 3 8" xfId="11606" xr:uid="{00000000-0005-0000-0000-0000CC330000}"/>
    <cellStyle name="Data Superscript 2 7 3 8 2" xfId="11607" xr:uid="{00000000-0005-0000-0000-0000CD330000}"/>
    <cellStyle name="Data Superscript 2 7 3 9" xfId="11608" xr:uid="{00000000-0005-0000-0000-0000CE330000}"/>
    <cellStyle name="Data Superscript 2 7 3 9 2" xfId="11609" xr:uid="{00000000-0005-0000-0000-0000CF330000}"/>
    <cellStyle name="Data Superscript 2 7 4" xfId="11610" xr:uid="{00000000-0005-0000-0000-0000D0330000}"/>
    <cellStyle name="Data Superscript 2 7 4 10" xfId="11611" xr:uid="{00000000-0005-0000-0000-0000D1330000}"/>
    <cellStyle name="Data Superscript 2 7 4 2" xfId="11612" xr:uid="{00000000-0005-0000-0000-0000D2330000}"/>
    <cellStyle name="Data Superscript 2 7 4 2 2" xfId="11613" xr:uid="{00000000-0005-0000-0000-0000D3330000}"/>
    <cellStyle name="Data Superscript 2 7 4 3" xfId="11614" xr:uid="{00000000-0005-0000-0000-0000D4330000}"/>
    <cellStyle name="Data Superscript 2 7 4 3 2" xfId="11615" xr:uid="{00000000-0005-0000-0000-0000D5330000}"/>
    <cellStyle name="Data Superscript 2 7 4 4" xfId="11616" xr:uid="{00000000-0005-0000-0000-0000D6330000}"/>
    <cellStyle name="Data Superscript 2 7 4 4 2" xfId="11617" xr:uid="{00000000-0005-0000-0000-0000D7330000}"/>
    <cellStyle name="Data Superscript 2 7 4 5" xfId="11618" xr:uid="{00000000-0005-0000-0000-0000D8330000}"/>
    <cellStyle name="Data Superscript 2 7 4 5 2" xfId="11619" xr:uid="{00000000-0005-0000-0000-0000D9330000}"/>
    <cellStyle name="Data Superscript 2 7 4 6" xfId="11620" xr:uid="{00000000-0005-0000-0000-0000DA330000}"/>
    <cellStyle name="Data Superscript 2 7 4 6 2" xfId="11621" xr:uid="{00000000-0005-0000-0000-0000DB330000}"/>
    <cellStyle name="Data Superscript 2 7 4 7" xfId="11622" xr:uid="{00000000-0005-0000-0000-0000DC330000}"/>
    <cellStyle name="Data Superscript 2 7 4 7 2" xfId="11623" xr:uid="{00000000-0005-0000-0000-0000DD330000}"/>
    <cellStyle name="Data Superscript 2 7 4 8" xfId="11624" xr:uid="{00000000-0005-0000-0000-0000DE330000}"/>
    <cellStyle name="Data Superscript 2 7 4 8 2" xfId="11625" xr:uid="{00000000-0005-0000-0000-0000DF330000}"/>
    <cellStyle name="Data Superscript 2 7 4 9" xfId="11626" xr:uid="{00000000-0005-0000-0000-0000E0330000}"/>
    <cellStyle name="Data Superscript 2 7 4 9 2" xfId="11627" xr:uid="{00000000-0005-0000-0000-0000E1330000}"/>
    <cellStyle name="Data Superscript 2 7 5" xfId="11628" xr:uid="{00000000-0005-0000-0000-0000E2330000}"/>
    <cellStyle name="Data Superscript 2 7 5 10" xfId="11629" xr:uid="{00000000-0005-0000-0000-0000E3330000}"/>
    <cellStyle name="Data Superscript 2 7 5 2" xfId="11630" xr:uid="{00000000-0005-0000-0000-0000E4330000}"/>
    <cellStyle name="Data Superscript 2 7 5 2 2" xfId="11631" xr:uid="{00000000-0005-0000-0000-0000E5330000}"/>
    <cellStyle name="Data Superscript 2 7 5 3" xfId="11632" xr:uid="{00000000-0005-0000-0000-0000E6330000}"/>
    <cellStyle name="Data Superscript 2 7 5 3 2" xfId="11633" xr:uid="{00000000-0005-0000-0000-0000E7330000}"/>
    <cellStyle name="Data Superscript 2 7 5 4" xfId="11634" xr:uid="{00000000-0005-0000-0000-0000E8330000}"/>
    <cellStyle name="Data Superscript 2 7 5 4 2" xfId="11635" xr:uid="{00000000-0005-0000-0000-0000E9330000}"/>
    <cellStyle name="Data Superscript 2 7 5 5" xfId="11636" xr:uid="{00000000-0005-0000-0000-0000EA330000}"/>
    <cellStyle name="Data Superscript 2 7 5 5 2" xfId="11637" xr:uid="{00000000-0005-0000-0000-0000EB330000}"/>
    <cellStyle name="Data Superscript 2 7 5 6" xfId="11638" xr:uid="{00000000-0005-0000-0000-0000EC330000}"/>
    <cellStyle name="Data Superscript 2 7 5 6 2" xfId="11639" xr:uid="{00000000-0005-0000-0000-0000ED330000}"/>
    <cellStyle name="Data Superscript 2 7 5 7" xfId="11640" xr:uid="{00000000-0005-0000-0000-0000EE330000}"/>
    <cellStyle name="Data Superscript 2 7 5 7 2" xfId="11641" xr:uid="{00000000-0005-0000-0000-0000EF330000}"/>
    <cellStyle name="Data Superscript 2 7 5 8" xfId="11642" xr:uid="{00000000-0005-0000-0000-0000F0330000}"/>
    <cellStyle name="Data Superscript 2 7 5 8 2" xfId="11643" xr:uid="{00000000-0005-0000-0000-0000F1330000}"/>
    <cellStyle name="Data Superscript 2 7 5 9" xfId="11644" xr:uid="{00000000-0005-0000-0000-0000F2330000}"/>
    <cellStyle name="Data Superscript 2 7 5 9 2" xfId="11645" xr:uid="{00000000-0005-0000-0000-0000F3330000}"/>
    <cellStyle name="Data Superscript 2 7 6" xfId="11646" xr:uid="{00000000-0005-0000-0000-0000F4330000}"/>
    <cellStyle name="Data Superscript 2 7 6 10" xfId="11647" xr:uid="{00000000-0005-0000-0000-0000F5330000}"/>
    <cellStyle name="Data Superscript 2 7 6 2" xfId="11648" xr:uid="{00000000-0005-0000-0000-0000F6330000}"/>
    <cellStyle name="Data Superscript 2 7 6 2 2" xfId="11649" xr:uid="{00000000-0005-0000-0000-0000F7330000}"/>
    <cellStyle name="Data Superscript 2 7 6 3" xfId="11650" xr:uid="{00000000-0005-0000-0000-0000F8330000}"/>
    <cellStyle name="Data Superscript 2 7 6 3 2" xfId="11651" xr:uid="{00000000-0005-0000-0000-0000F9330000}"/>
    <cellStyle name="Data Superscript 2 7 6 4" xfId="11652" xr:uid="{00000000-0005-0000-0000-0000FA330000}"/>
    <cellStyle name="Data Superscript 2 7 6 4 2" xfId="11653" xr:uid="{00000000-0005-0000-0000-0000FB330000}"/>
    <cellStyle name="Data Superscript 2 7 6 5" xfId="11654" xr:uid="{00000000-0005-0000-0000-0000FC330000}"/>
    <cellStyle name="Data Superscript 2 7 6 5 2" xfId="11655" xr:uid="{00000000-0005-0000-0000-0000FD330000}"/>
    <cellStyle name="Data Superscript 2 7 6 6" xfId="11656" xr:uid="{00000000-0005-0000-0000-0000FE330000}"/>
    <cellStyle name="Data Superscript 2 7 6 6 2" xfId="11657" xr:uid="{00000000-0005-0000-0000-0000FF330000}"/>
    <cellStyle name="Data Superscript 2 7 6 7" xfId="11658" xr:uid="{00000000-0005-0000-0000-000000340000}"/>
    <cellStyle name="Data Superscript 2 7 6 7 2" xfId="11659" xr:uid="{00000000-0005-0000-0000-000001340000}"/>
    <cellStyle name="Data Superscript 2 7 6 8" xfId="11660" xr:uid="{00000000-0005-0000-0000-000002340000}"/>
    <cellStyle name="Data Superscript 2 7 6 8 2" xfId="11661" xr:uid="{00000000-0005-0000-0000-000003340000}"/>
    <cellStyle name="Data Superscript 2 7 6 9" xfId="11662" xr:uid="{00000000-0005-0000-0000-000004340000}"/>
    <cellStyle name="Data Superscript 2 7 6 9 2" xfId="11663" xr:uid="{00000000-0005-0000-0000-000005340000}"/>
    <cellStyle name="Data Superscript 2 7 7" xfId="11664" xr:uid="{00000000-0005-0000-0000-000006340000}"/>
    <cellStyle name="Data Superscript 2 7 7 10" xfId="11665" xr:uid="{00000000-0005-0000-0000-000007340000}"/>
    <cellStyle name="Data Superscript 2 7 7 2" xfId="11666" xr:uid="{00000000-0005-0000-0000-000008340000}"/>
    <cellStyle name="Data Superscript 2 7 7 2 2" xfId="11667" xr:uid="{00000000-0005-0000-0000-000009340000}"/>
    <cellStyle name="Data Superscript 2 7 7 3" xfId="11668" xr:uid="{00000000-0005-0000-0000-00000A340000}"/>
    <cellStyle name="Data Superscript 2 7 7 3 2" xfId="11669" xr:uid="{00000000-0005-0000-0000-00000B340000}"/>
    <cellStyle name="Data Superscript 2 7 7 4" xfId="11670" xr:uid="{00000000-0005-0000-0000-00000C340000}"/>
    <cellStyle name="Data Superscript 2 7 7 4 2" xfId="11671" xr:uid="{00000000-0005-0000-0000-00000D340000}"/>
    <cellStyle name="Data Superscript 2 7 7 5" xfId="11672" xr:uid="{00000000-0005-0000-0000-00000E340000}"/>
    <cellStyle name="Data Superscript 2 7 7 5 2" xfId="11673" xr:uid="{00000000-0005-0000-0000-00000F340000}"/>
    <cellStyle name="Data Superscript 2 7 7 6" xfId="11674" xr:uid="{00000000-0005-0000-0000-000010340000}"/>
    <cellStyle name="Data Superscript 2 7 7 6 2" xfId="11675" xr:uid="{00000000-0005-0000-0000-000011340000}"/>
    <cellStyle name="Data Superscript 2 7 7 7" xfId="11676" xr:uid="{00000000-0005-0000-0000-000012340000}"/>
    <cellStyle name="Data Superscript 2 7 7 7 2" xfId="11677" xr:uid="{00000000-0005-0000-0000-000013340000}"/>
    <cellStyle name="Data Superscript 2 7 7 8" xfId="11678" xr:uid="{00000000-0005-0000-0000-000014340000}"/>
    <cellStyle name="Data Superscript 2 7 7 8 2" xfId="11679" xr:uid="{00000000-0005-0000-0000-000015340000}"/>
    <cellStyle name="Data Superscript 2 7 7 9" xfId="11680" xr:uid="{00000000-0005-0000-0000-000016340000}"/>
    <cellStyle name="Data Superscript 2 7 7 9 2" xfId="11681" xr:uid="{00000000-0005-0000-0000-000017340000}"/>
    <cellStyle name="Data Superscript 2 7 8" xfId="11682" xr:uid="{00000000-0005-0000-0000-000018340000}"/>
    <cellStyle name="Data Superscript 2 7 8 10" xfId="11683" xr:uid="{00000000-0005-0000-0000-000019340000}"/>
    <cellStyle name="Data Superscript 2 7 8 2" xfId="11684" xr:uid="{00000000-0005-0000-0000-00001A340000}"/>
    <cellStyle name="Data Superscript 2 7 8 2 2" xfId="11685" xr:uid="{00000000-0005-0000-0000-00001B340000}"/>
    <cellStyle name="Data Superscript 2 7 8 3" xfId="11686" xr:uid="{00000000-0005-0000-0000-00001C340000}"/>
    <cellStyle name="Data Superscript 2 7 8 3 2" xfId="11687" xr:uid="{00000000-0005-0000-0000-00001D340000}"/>
    <cellStyle name="Data Superscript 2 7 8 4" xfId="11688" xr:uid="{00000000-0005-0000-0000-00001E340000}"/>
    <cellStyle name="Data Superscript 2 7 8 4 2" xfId="11689" xr:uid="{00000000-0005-0000-0000-00001F340000}"/>
    <cellStyle name="Data Superscript 2 7 8 5" xfId="11690" xr:uid="{00000000-0005-0000-0000-000020340000}"/>
    <cellStyle name="Data Superscript 2 7 8 5 2" xfId="11691" xr:uid="{00000000-0005-0000-0000-000021340000}"/>
    <cellStyle name="Data Superscript 2 7 8 6" xfId="11692" xr:uid="{00000000-0005-0000-0000-000022340000}"/>
    <cellStyle name="Data Superscript 2 7 8 6 2" xfId="11693" xr:uid="{00000000-0005-0000-0000-000023340000}"/>
    <cellStyle name="Data Superscript 2 7 8 7" xfId="11694" xr:uid="{00000000-0005-0000-0000-000024340000}"/>
    <cellStyle name="Data Superscript 2 7 8 7 2" xfId="11695" xr:uid="{00000000-0005-0000-0000-000025340000}"/>
    <cellStyle name="Data Superscript 2 7 8 8" xfId="11696" xr:uid="{00000000-0005-0000-0000-000026340000}"/>
    <cellStyle name="Data Superscript 2 7 8 8 2" xfId="11697" xr:uid="{00000000-0005-0000-0000-000027340000}"/>
    <cellStyle name="Data Superscript 2 7 8 9" xfId="11698" xr:uid="{00000000-0005-0000-0000-000028340000}"/>
    <cellStyle name="Data Superscript 2 7 8 9 2" xfId="11699" xr:uid="{00000000-0005-0000-0000-000029340000}"/>
    <cellStyle name="Data Superscript 2 7 9" xfId="11700" xr:uid="{00000000-0005-0000-0000-00002A340000}"/>
    <cellStyle name="Data Superscript 2 7 9 10" xfId="11701" xr:uid="{00000000-0005-0000-0000-00002B340000}"/>
    <cellStyle name="Data Superscript 2 7 9 2" xfId="11702" xr:uid="{00000000-0005-0000-0000-00002C340000}"/>
    <cellStyle name="Data Superscript 2 7 9 2 2" xfId="11703" xr:uid="{00000000-0005-0000-0000-00002D340000}"/>
    <cellStyle name="Data Superscript 2 7 9 3" xfId="11704" xr:uid="{00000000-0005-0000-0000-00002E340000}"/>
    <cellStyle name="Data Superscript 2 7 9 3 2" xfId="11705" xr:uid="{00000000-0005-0000-0000-00002F340000}"/>
    <cellStyle name="Data Superscript 2 7 9 4" xfId="11706" xr:uid="{00000000-0005-0000-0000-000030340000}"/>
    <cellStyle name="Data Superscript 2 7 9 4 2" xfId="11707" xr:uid="{00000000-0005-0000-0000-000031340000}"/>
    <cellStyle name="Data Superscript 2 7 9 5" xfId="11708" xr:uid="{00000000-0005-0000-0000-000032340000}"/>
    <cellStyle name="Data Superscript 2 7 9 5 2" xfId="11709" xr:uid="{00000000-0005-0000-0000-000033340000}"/>
    <cellStyle name="Data Superscript 2 7 9 6" xfId="11710" xr:uid="{00000000-0005-0000-0000-000034340000}"/>
    <cellStyle name="Data Superscript 2 7 9 6 2" xfId="11711" xr:uid="{00000000-0005-0000-0000-000035340000}"/>
    <cellStyle name="Data Superscript 2 7 9 7" xfId="11712" xr:uid="{00000000-0005-0000-0000-000036340000}"/>
    <cellStyle name="Data Superscript 2 7 9 7 2" xfId="11713" xr:uid="{00000000-0005-0000-0000-000037340000}"/>
    <cellStyle name="Data Superscript 2 7 9 8" xfId="11714" xr:uid="{00000000-0005-0000-0000-000038340000}"/>
    <cellStyle name="Data Superscript 2 7 9 8 2" xfId="11715" xr:uid="{00000000-0005-0000-0000-000039340000}"/>
    <cellStyle name="Data Superscript 2 7 9 9" xfId="11716" xr:uid="{00000000-0005-0000-0000-00003A340000}"/>
    <cellStyle name="Data Superscript 2 7 9 9 2" xfId="11717" xr:uid="{00000000-0005-0000-0000-00003B340000}"/>
    <cellStyle name="Data Superscript 2 8" xfId="11718" xr:uid="{00000000-0005-0000-0000-00003C340000}"/>
    <cellStyle name="Data Superscript 2 8 10" xfId="11719" xr:uid="{00000000-0005-0000-0000-00003D340000}"/>
    <cellStyle name="Data Superscript 2 8 10 2" xfId="11720" xr:uid="{00000000-0005-0000-0000-00003E340000}"/>
    <cellStyle name="Data Superscript 2 8 10 2 2" xfId="11721" xr:uid="{00000000-0005-0000-0000-00003F340000}"/>
    <cellStyle name="Data Superscript 2 8 10 3" xfId="11722" xr:uid="{00000000-0005-0000-0000-000040340000}"/>
    <cellStyle name="Data Superscript 2 8 10 3 2" xfId="11723" xr:uid="{00000000-0005-0000-0000-000041340000}"/>
    <cellStyle name="Data Superscript 2 8 10 4" xfId="11724" xr:uid="{00000000-0005-0000-0000-000042340000}"/>
    <cellStyle name="Data Superscript 2 8 10 4 2" xfId="11725" xr:uid="{00000000-0005-0000-0000-000043340000}"/>
    <cellStyle name="Data Superscript 2 8 10 5" xfId="11726" xr:uid="{00000000-0005-0000-0000-000044340000}"/>
    <cellStyle name="Data Superscript 2 8 10 5 2" xfId="11727" xr:uid="{00000000-0005-0000-0000-000045340000}"/>
    <cellStyle name="Data Superscript 2 8 10 6" xfId="11728" xr:uid="{00000000-0005-0000-0000-000046340000}"/>
    <cellStyle name="Data Superscript 2 8 10 6 2" xfId="11729" xr:uid="{00000000-0005-0000-0000-000047340000}"/>
    <cellStyle name="Data Superscript 2 8 10 7" xfId="11730" xr:uid="{00000000-0005-0000-0000-000048340000}"/>
    <cellStyle name="Data Superscript 2 8 10 7 2" xfId="11731" xr:uid="{00000000-0005-0000-0000-000049340000}"/>
    <cellStyle name="Data Superscript 2 8 10 8" xfId="11732" xr:uid="{00000000-0005-0000-0000-00004A340000}"/>
    <cellStyle name="Data Superscript 2 8 10 8 2" xfId="11733" xr:uid="{00000000-0005-0000-0000-00004B340000}"/>
    <cellStyle name="Data Superscript 2 8 10 9" xfId="11734" xr:uid="{00000000-0005-0000-0000-00004C340000}"/>
    <cellStyle name="Data Superscript 2 8 11" xfId="11735" xr:uid="{00000000-0005-0000-0000-00004D340000}"/>
    <cellStyle name="Data Superscript 2 8 11 2" xfId="11736" xr:uid="{00000000-0005-0000-0000-00004E340000}"/>
    <cellStyle name="Data Superscript 2 8 12" xfId="11737" xr:uid="{00000000-0005-0000-0000-00004F340000}"/>
    <cellStyle name="Data Superscript 2 8 12 2" xfId="11738" xr:uid="{00000000-0005-0000-0000-000050340000}"/>
    <cellStyle name="Data Superscript 2 8 13" xfId="11739" xr:uid="{00000000-0005-0000-0000-000051340000}"/>
    <cellStyle name="Data Superscript 2 8 13 2" xfId="11740" xr:uid="{00000000-0005-0000-0000-000052340000}"/>
    <cellStyle name="Data Superscript 2 8 14" xfId="11741" xr:uid="{00000000-0005-0000-0000-000053340000}"/>
    <cellStyle name="Data Superscript 2 8 14 2" xfId="11742" xr:uid="{00000000-0005-0000-0000-000054340000}"/>
    <cellStyle name="Data Superscript 2 8 15" xfId="11743" xr:uid="{00000000-0005-0000-0000-000055340000}"/>
    <cellStyle name="Data Superscript 2 8 15 2" xfId="11744" xr:uid="{00000000-0005-0000-0000-000056340000}"/>
    <cellStyle name="Data Superscript 2 8 16" xfId="11745" xr:uid="{00000000-0005-0000-0000-000057340000}"/>
    <cellStyle name="Data Superscript 2 8 16 2" xfId="11746" xr:uid="{00000000-0005-0000-0000-000058340000}"/>
    <cellStyle name="Data Superscript 2 8 17" xfId="11747" xr:uid="{00000000-0005-0000-0000-000059340000}"/>
    <cellStyle name="Data Superscript 2 8 17 2" xfId="11748" xr:uid="{00000000-0005-0000-0000-00005A340000}"/>
    <cellStyle name="Data Superscript 2 8 18" xfId="11749" xr:uid="{00000000-0005-0000-0000-00005B340000}"/>
    <cellStyle name="Data Superscript 2 8 2" xfId="11750" xr:uid="{00000000-0005-0000-0000-00005C340000}"/>
    <cellStyle name="Data Superscript 2 8 2 10" xfId="11751" xr:uid="{00000000-0005-0000-0000-00005D340000}"/>
    <cellStyle name="Data Superscript 2 8 2 2" xfId="11752" xr:uid="{00000000-0005-0000-0000-00005E340000}"/>
    <cellStyle name="Data Superscript 2 8 2 2 2" xfId="11753" xr:uid="{00000000-0005-0000-0000-00005F340000}"/>
    <cellStyle name="Data Superscript 2 8 2 3" xfId="11754" xr:uid="{00000000-0005-0000-0000-000060340000}"/>
    <cellStyle name="Data Superscript 2 8 2 3 2" xfId="11755" xr:uid="{00000000-0005-0000-0000-000061340000}"/>
    <cellStyle name="Data Superscript 2 8 2 4" xfId="11756" xr:uid="{00000000-0005-0000-0000-000062340000}"/>
    <cellStyle name="Data Superscript 2 8 2 4 2" xfId="11757" xr:uid="{00000000-0005-0000-0000-000063340000}"/>
    <cellStyle name="Data Superscript 2 8 2 5" xfId="11758" xr:uid="{00000000-0005-0000-0000-000064340000}"/>
    <cellStyle name="Data Superscript 2 8 2 5 2" xfId="11759" xr:uid="{00000000-0005-0000-0000-000065340000}"/>
    <cellStyle name="Data Superscript 2 8 2 6" xfId="11760" xr:uid="{00000000-0005-0000-0000-000066340000}"/>
    <cellStyle name="Data Superscript 2 8 2 6 2" xfId="11761" xr:uid="{00000000-0005-0000-0000-000067340000}"/>
    <cellStyle name="Data Superscript 2 8 2 7" xfId="11762" xr:uid="{00000000-0005-0000-0000-000068340000}"/>
    <cellStyle name="Data Superscript 2 8 2 7 2" xfId="11763" xr:uid="{00000000-0005-0000-0000-000069340000}"/>
    <cellStyle name="Data Superscript 2 8 2 8" xfId="11764" xr:uid="{00000000-0005-0000-0000-00006A340000}"/>
    <cellStyle name="Data Superscript 2 8 2 8 2" xfId="11765" xr:uid="{00000000-0005-0000-0000-00006B340000}"/>
    <cellStyle name="Data Superscript 2 8 2 9" xfId="11766" xr:uid="{00000000-0005-0000-0000-00006C340000}"/>
    <cellStyle name="Data Superscript 2 8 2 9 2" xfId="11767" xr:uid="{00000000-0005-0000-0000-00006D340000}"/>
    <cellStyle name="Data Superscript 2 8 3" xfId="11768" xr:uid="{00000000-0005-0000-0000-00006E340000}"/>
    <cellStyle name="Data Superscript 2 8 3 10" xfId="11769" xr:uid="{00000000-0005-0000-0000-00006F340000}"/>
    <cellStyle name="Data Superscript 2 8 3 2" xfId="11770" xr:uid="{00000000-0005-0000-0000-000070340000}"/>
    <cellStyle name="Data Superscript 2 8 3 2 2" xfId="11771" xr:uid="{00000000-0005-0000-0000-000071340000}"/>
    <cellStyle name="Data Superscript 2 8 3 3" xfId="11772" xr:uid="{00000000-0005-0000-0000-000072340000}"/>
    <cellStyle name="Data Superscript 2 8 3 3 2" xfId="11773" xr:uid="{00000000-0005-0000-0000-000073340000}"/>
    <cellStyle name="Data Superscript 2 8 3 4" xfId="11774" xr:uid="{00000000-0005-0000-0000-000074340000}"/>
    <cellStyle name="Data Superscript 2 8 3 4 2" xfId="11775" xr:uid="{00000000-0005-0000-0000-000075340000}"/>
    <cellStyle name="Data Superscript 2 8 3 5" xfId="11776" xr:uid="{00000000-0005-0000-0000-000076340000}"/>
    <cellStyle name="Data Superscript 2 8 3 5 2" xfId="11777" xr:uid="{00000000-0005-0000-0000-000077340000}"/>
    <cellStyle name="Data Superscript 2 8 3 6" xfId="11778" xr:uid="{00000000-0005-0000-0000-000078340000}"/>
    <cellStyle name="Data Superscript 2 8 3 6 2" xfId="11779" xr:uid="{00000000-0005-0000-0000-000079340000}"/>
    <cellStyle name="Data Superscript 2 8 3 7" xfId="11780" xr:uid="{00000000-0005-0000-0000-00007A340000}"/>
    <cellStyle name="Data Superscript 2 8 3 7 2" xfId="11781" xr:uid="{00000000-0005-0000-0000-00007B340000}"/>
    <cellStyle name="Data Superscript 2 8 3 8" xfId="11782" xr:uid="{00000000-0005-0000-0000-00007C340000}"/>
    <cellStyle name="Data Superscript 2 8 3 8 2" xfId="11783" xr:uid="{00000000-0005-0000-0000-00007D340000}"/>
    <cellStyle name="Data Superscript 2 8 3 9" xfId="11784" xr:uid="{00000000-0005-0000-0000-00007E340000}"/>
    <cellStyle name="Data Superscript 2 8 3 9 2" xfId="11785" xr:uid="{00000000-0005-0000-0000-00007F340000}"/>
    <cellStyle name="Data Superscript 2 8 4" xfId="11786" xr:uid="{00000000-0005-0000-0000-000080340000}"/>
    <cellStyle name="Data Superscript 2 8 4 10" xfId="11787" xr:uid="{00000000-0005-0000-0000-000081340000}"/>
    <cellStyle name="Data Superscript 2 8 4 2" xfId="11788" xr:uid="{00000000-0005-0000-0000-000082340000}"/>
    <cellStyle name="Data Superscript 2 8 4 2 2" xfId="11789" xr:uid="{00000000-0005-0000-0000-000083340000}"/>
    <cellStyle name="Data Superscript 2 8 4 3" xfId="11790" xr:uid="{00000000-0005-0000-0000-000084340000}"/>
    <cellStyle name="Data Superscript 2 8 4 3 2" xfId="11791" xr:uid="{00000000-0005-0000-0000-000085340000}"/>
    <cellStyle name="Data Superscript 2 8 4 4" xfId="11792" xr:uid="{00000000-0005-0000-0000-000086340000}"/>
    <cellStyle name="Data Superscript 2 8 4 4 2" xfId="11793" xr:uid="{00000000-0005-0000-0000-000087340000}"/>
    <cellStyle name="Data Superscript 2 8 4 5" xfId="11794" xr:uid="{00000000-0005-0000-0000-000088340000}"/>
    <cellStyle name="Data Superscript 2 8 4 5 2" xfId="11795" xr:uid="{00000000-0005-0000-0000-000089340000}"/>
    <cellStyle name="Data Superscript 2 8 4 6" xfId="11796" xr:uid="{00000000-0005-0000-0000-00008A340000}"/>
    <cellStyle name="Data Superscript 2 8 4 6 2" xfId="11797" xr:uid="{00000000-0005-0000-0000-00008B340000}"/>
    <cellStyle name="Data Superscript 2 8 4 7" xfId="11798" xr:uid="{00000000-0005-0000-0000-00008C340000}"/>
    <cellStyle name="Data Superscript 2 8 4 7 2" xfId="11799" xr:uid="{00000000-0005-0000-0000-00008D340000}"/>
    <cellStyle name="Data Superscript 2 8 4 8" xfId="11800" xr:uid="{00000000-0005-0000-0000-00008E340000}"/>
    <cellStyle name="Data Superscript 2 8 4 8 2" xfId="11801" xr:uid="{00000000-0005-0000-0000-00008F340000}"/>
    <cellStyle name="Data Superscript 2 8 4 9" xfId="11802" xr:uid="{00000000-0005-0000-0000-000090340000}"/>
    <cellStyle name="Data Superscript 2 8 4 9 2" xfId="11803" xr:uid="{00000000-0005-0000-0000-000091340000}"/>
    <cellStyle name="Data Superscript 2 8 5" xfId="11804" xr:uid="{00000000-0005-0000-0000-000092340000}"/>
    <cellStyle name="Data Superscript 2 8 5 10" xfId="11805" xr:uid="{00000000-0005-0000-0000-000093340000}"/>
    <cellStyle name="Data Superscript 2 8 5 2" xfId="11806" xr:uid="{00000000-0005-0000-0000-000094340000}"/>
    <cellStyle name="Data Superscript 2 8 5 2 2" xfId="11807" xr:uid="{00000000-0005-0000-0000-000095340000}"/>
    <cellStyle name="Data Superscript 2 8 5 3" xfId="11808" xr:uid="{00000000-0005-0000-0000-000096340000}"/>
    <cellStyle name="Data Superscript 2 8 5 3 2" xfId="11809" xr:uid="{00000000-0005-0000-0000-000097340000}"/>
    <cellStyle name="Data Superscript 2 8 5 4" xfId="11810" xr:uid="{00000000-0005-0000-0000-000098340000}"/>
    <cellStyle name="Data Superscript 2 8 5 4 2" xfId="11811" xr:uid="{00000000-0005-0000-0000-000099340000}"/>
    <cellStyle name="Data Superscript 2 8 5 5" xfId="11812" xr:uid="{00000000-0005-0000-0000-00009A340000}"/>
    <cellStyle name="Data Superscript 2 8 5 5 2" xfId="11813" xr:uid="{00000000-0005-0000-0000-00009B340000}"/>
    <cellStyle name="Data Superscript 2 8 5 6" xfId="11814" xr:uid="{00000000-0005-0000-0000-00009C340000}"/>
    <cellStyle name="Data Superscript 2 8 5 6 2" xfId="11815" xr:uid="{00000000-0005-0000-0000-00009D340000}"/>
    <cellStyle name="Data Superscript 2 8 5 7" xfId="11816" xr:uid="{00000000-0005-0000-0000-00009E340000}"/>
    <cellStyle name="Data Superscript 2 8 5 7 2" xfId="11817" xr:uid="{00000000-0005-0000-0000-00009F340000}"/>
    <cellStyle name="Data Superscript 2 8 5 8" xfId="11818" xr:uid="{00000000-0005-0000-0000-0000A0340000}"/>
    <cellStyle name="Data Superscript 2 8 5 8 2" xfId="11819" xr:uid="{00000000-0005-0000-0000-0000A1340000}"/>
    <cellStyle name="Data Superscript 2 8 5 9" xfId="11820" xr:uid="{00000000-0005-0000-0000-0000A2340000}"/>
    <cellStyle name="Data Superscript 2 8 5 9 2" xfId="11821" xr:uid="{00000000-0005-0000-0000-0000A3340000}"/>
    <cellStyle name="Data Superscript 2 8 6" xfId="11822" xr:uid="{00000000-0005-0000-0000-0000A4340000}"/>
    <cellStyle name="Data Superscript 2 8 6 10" xfId="11823" xr:uid="{00000000-0005-0000-0000-0000A5340000}"/>
    <cellStyle name="Data Superscript 2 8 6 2" xfId="11824" xr:uid="{00000000-0005-0000-0000-0000A6340000}"/>
    <cellStyle name="Data Superscript 2 8 6 2 2" xfId="11825" xr:uid="{00000000-0005-0000-0000-0000A7340000}"/>
    <cellStyle name="Data Superscript 2 8 6 3" xfId="11826" xr:uid="{00000000-0005-0000-0000-0000A8340000}"/>
    <cellStyle name="Data Superscript 2 8 6 3 2" xfId="11827" xr:uid="{00000000-0005-0000-0000-0000A9340000}"/>
    <cellStyle name="Data Superscript 2 8 6 4" xfId="11828" xr:uid="{00000000-0005-0000-0000-0000AA340000}"/>
    <cellStyle name="Data Superscript 2 8 6 4 2" xfId="11829" xr:uid="{00000000-0005-0000-0000-0000AB340000}"/>
    <cellStyle name="Data Superscript 2 8 6 5" xfId="11830" xr:uid="{00000000-0005-0000-0000-0000AC340000}"/>
    <cellStyle name="Data Superscript 2 8 6 5 2" xfId="11831" xr:uid="{00000000-0005-0000-0000-0000AD340000}"/>
    <cellStyle name="Data Superscript 2 8 6 6" xfId="11832" xr:uid="{00000000-0005-0000-0000-0000AE340000}"/>
    <cellStyle name="Data Superscript 2 8 6 6 2" xfId="11833" xr:uid="{00000000-0005-0000-0000-0000AF340000}"/>
    <cellStyle name="Data Superscript 2 8 6 7" xfId="11834" xr:uid="{00000000-0005-0000-0000-0000B0340000}"/>
    <cellStyle name="Data Superscript 2 8 6 7 2" xfId="11835" xr:uid="{00000000-0005-0000-0000-0000B1340000}"/>
    <cellStyle name="Data Superscript 2 8 6 8" xfId="11836" xr:uid="{00000000-0005-0000-0000-0000B2340000}"/>
    <cellStyle name="Data Superscript 2 8 6 8 2" xfId="11837" xr:uid="{00000000-0005-0000-0000-0000B3340000}"/>
    <cellStyle name="Data Superscript 2 8 6 9" xfId="11838" xr:uid="{00000000-0005-0000-0000-0000B4340000}"/>
    <cellStyle name="Data Superscript 2 8 6 9 2" xfId="11839" xr:uid="{00000000-0005-0000-0000-0000B5340000}"/>
    <cellStyle name="Data Superscript 2 8 7" xfId="11840" xr:uid="{00000000-0005-0000-0000-0000B6340000}"/>
    <cellStyle name="Data Superscript 2 8 7 10" xfId="11841" xr:uid="{00000000-0005-0000-0000-0000B7340000}"/>
    <cellStyle name="Data Superscript 2 8 7 2" xfId="11842" xr:uid="{00000000-0005-0000-0000-0000B8340000}"/>
    <cellStyle name="Data Superscript 2 8 7 2 2" xfId="11843" xr:uid="{00000000-0005-0000-0000-0000B9340000}"/>
    <cellStyle name="Data Superscript 2 8 7 3" xfId="11844" xr:uid="{00000000-0005-0000-0000-0000BA340000}"/>
    <cellStyle name="Data Superscript 2 8 7 3 2" xfId="11845" xr:uid="{00000000-0005-0000-0000-0000BB340000}"/>
    <cellStyle name="Data Superscript 2 8 7 4" xfId="11846" xr:uid="{00000000-0005-0000-0000-0000BC340000}"/>
    <cellStyle name="Data Superscript 2 8 7 4 2" xfId="11847" xr:uid="{00000000-0005-0000-0000-0000BD340000}"/>
    <cellStyle name="Data Superscript 2 8 7 5" xfId="11848" xr:uid="{00000000-0005-0000-0000-0000BE340000}"/>
    <cellStyle name="Data Superscript 2 8 7 5 2" xfId="11849" xr:uid="{00000000-0005-0000-0000-0000BF340000}"/>
    <cellStyle name="Data Superscript 2 8 7 6" xfId="11850" xr:uid="{00000000-0005-0000-0000-0000C0340000}"/>
    <cellStyle name="Data Superscript 2 8 7 6 2" xfId="11851" xr:uid="{00000000-0005-0000-0000-0000C1340000}"/>
    <cellStyle name="Data Superscript 2 8 7 7" xfId="11852" xr:uid="{00000000-0005-0000-0000-0000C2340000}"/>
    <cellStyle name="Data Superscript 2 8 7 7 2" xfId="11853" xr:uid="{00000000-0005-0000-0000-0000C3340000}"/>
    <cellStyle name="Data Superscript 2 8 7 8" xfId="11854" xr:uid="{00000000-0005-0000-0000-0000C4340000}"/>
    <cellStyle name="Data Superscript 2 8 7 8 2" xfId="11855" xr:uid="{00000000-0005-0000-0000-0000C5340000}"/>
    <cellStyle name="Data Superscript 2 8 7 9" xfId="11856" xr:uid="{00000000-0005-0000-0000-0000C6340000}"/>
    <cellStyle name="Data Superscript 2 8 7 9 2" xfId="11857" xr:uid="{00000000-0005-0000-0000-0000C7340000}"/>
    <cellStyle name="Data Superscript 2 8 8" xfId="11858" xr:uid="{00000000-0005-0000-0000-0000C8340000}"/>
    <cellStyle name="Data Superscript 2 8 8 10" xfId="11859" xr:uid="{00000000-0005-0000-0000-0000C9340000}"/>
    <cellStyle name="Data Superscript 2 8 8 2" xfId="11860" xr:uid="{00000000-0005-0000-0000-0000CA340000}"/>
    <cellStyle name="Data Superscript 2 8 8 2 2" xfId="11861" xr:uid="{00000000-0005-0000-0000-0000CB340000}"/>
    <cellStyle name="Data Superscript 2 8 8 3" xfId="11862" xr:uid="{00000000-0005-0000-0000-0000CC340000}"/>
    <cellStyle name="Data Superscript 2 8 8 3 2" xfId="11863" xr:uid="{00000000-0005-0000-0000-0000CD340000}"/>
    <cellStyle name="Data Superscript 2 8 8 4" xfId="11864" xr:uid="{00000000-0005-0000-0000-0000CE340000}"/>
    <cellStyle name="Data Superscript 2 8 8 4 2" xfId="11865" xr:uid="{00000000-0005-0000-0000-0000CF340000}"/>
    <cellStyle name="Data Superscript 2 8 8 5" xfId="11866" xr:uid="{00000000-0005-0000-0000-0000D0340000}"/>
    <cellStyle name="Data Superscript 2 8 8 5 2" xfId="11867" xr:uid="{00000000-0005-0000-0000-0000D1340000}"/>
    <cellStyle name="Data Superscript 2 8 8 6" xfId="11868" xr:uid="{00000000-0005-0000-0000-0000D2340000}"/>
    <cellStyle name="Data Superscript 2 8 8 6 2" xfId="11869" xr:uid="{00000000-0005-0000-0000-0000D3340000}"/>
    <cellStyle name="Data Superscript 2 8 8 7" xfId="11870" xr:uid="{00000000-0005-0000-0000-0000D4340000}"/>
    <cellStyle name="Data Superscript 2 8 8 7 2" xfId="11871" xr:uid="{00000000-0005-0000-0000-0000D5340000}"/>
    <cellStyle name="Data Superscript 2 8 8 8" xfId="11872" xr:uid="{00000000-0005-0000-0000-0000D6340000}"/>
    <cellStyle name="Data Superscript 2 8 8 8 2" xfId="11873" xr:uid="{00000000-0005-0000-0000-0000D7340000}"/>
    <cellStyle name="Data Superscript 2 8 8 9" xfId="11874" xr:uid="{00000000-0005-0000-0000-0000D8340000}"/>
    <cellStyle name="Data Superscript 2 8 8 9 2" xfId="11875" xr:uid="{00000000-0005-0000-0000-0000D9340000}"/>
    <cellStyle name="Data Superscript 2 8 9" xfId="11876" xr:uid="{00000000-0005-0000-0000-0000DA340000}"/>
    <cellStyle name="Data Superscript 2 8 9 10" xfId="11877" xr:uid="{00000000-0005-0000-0000-0000DB340000}"/>
    <cellStyle name="Data Superscript 2 8 9 2" xfId="11878" xr:uid="{00000000-0005-0000-0000-0000DC340000}"/>
    <cellStyle name="Data Superscript 2 8 9 2 2" xfId="11879" xr:uid="{00000000-0005-0000-0000-0000DD340000}"/>
    <cellStyle name="Data Superscript 2 8 9 3" xfId="11880" xr:uid="{00000000-0005-0000-0000-0000DE340000}"/>
    <cellStyle name="Data Superscript 2 8 9 3 2" xfId="11881" xr:uid="{00000000-0005-0000-0000-0000DF340000}"/>
    <cellStyle name="Data Superscript 2 8 9 4" xfId="11882" xr:uid="{00000000-0005-0000-0000-0000E0340000}"/>
    <cellStyle name="Data Superscript 2 8 9 4 2" xfId="11883" xr:uid="{00000000-0005-0000-0000-0000E1340000}"/>
    <cellStyle name="Data Superscript 2 8 9 5" xfId="11884" xr:uid="{00000000-0005-0000-0000-0000E2340000}"/>
    <cellStyle name="Data Superscript 2 8 9 5 2" xfId="11885" xr:uid="{00000000-0005-0000-0000-0000E3340000}"/>
    <cellStyle name="Data Superscript 2 8 9 6" xfId="11886" xr:uid="{00000000-0005-0000-0000-0000E4340000}"/>
    <cellStyle name="Data Superscript 2 8 9 6 2" xfId="11887" xr:uid="{00000000-0005-0000-0000-0000E5340000}"/>
    <cellStyle name="Data Superscript 2 8 9 7" xfId="11888" xr:uid="{00000000-0005-0000-0000-0000E6340000}"/>
    <cellStyle name="Data Superscript 2 8 9 7 2" xfId="11889" xr:uid="{00000000-0005-0000-0000-0000E7340000}"/>
    <cellStyle name="Data Superscript 2 8 9 8" xfId="11890" xr:uid="{00000000-0005-0000-0000-0000E8340000}"/>
    <cellStyle name="Data Superscript 2 8 9 8 2" xfId="11891" xr:uid="{00000000-0005-0000-0000-0000E9340000}"/>
    <cellStyle name="Data Superscript 2 8 9 9" xfId="11892" xr:uid="{00000000-0005-0000-0000-0000EA340000}"/>
    <cellStyle name="Data Superscript 2 8 9 9 2" xfId="11893" xr:uid="{00000000-0005-0000-0000-0000EB340000}"/>
    <cellStyle name="Data Superscript 3" xfId="162" xr:uid="{00000000-0005-0000-0000-0000EC340000}"/>
    <cellStyle name="Data Superscript 3 2" xfId="11894" xr:uid="{00000000-0005-0000-0000-0000ED340000}"/>
    <cellStyle name="Data Superscript 3 2 10" xfId="11895" xr:uid="{00000000-0005-0000-0000-0000EE340000}"/>
    <cellStyle name="Data Superscript 3 2 10 10" xfId="11896" xr:uid="{00000000-0005-0000-0000-0000EF340000}"/>
    <cellStyle name="Data Superscript 3 2 10 2" xfId="11897" xr:uid="{00000000-0005-0000-0000-0000F0340000}"/>
    <cellStyle name="Data Superscript 3 2 10 2 2" xfId="11898" xr:uid="{00000000-0005-0000-0000-0000F1340000}"/>
    <cellStyle name="Data Superscript 3 2 10 3" xfId="11899" xr:uid="{00000000-0005-0000-0000-0000F2340000}"/>
    <cellStyle name="Data Superscript 3 2 10 3 2" xfId="11900" xr:uid="{00000000-0005-0000-0000-0000F3340000}"/>
    <cellStyle name="Data Superscript 3 2 10 4" xfId="11901" xr:uid="{00000000-0005-0000-0000-0000F4340000}"/>
    <cellStyle name="Data Superscript 3 2 10 4 2" xfId="11902" xr:uid="{00000000-0005-0000-0000-0000F5340000}"/>
    <cellStyle name="Data Superscript 3 2 10 5" xfId="11903" xr:uid="{00000000-0005-0000-0000-0000F6340000}"/>
    <cellStyle name="Data Superscript 3 2 10 5 2" xfId="11904" xr:uid="{00000000-0005-0000-0000-0000F7340000}"/>
    <cellStyle name="Data Superscript 3 2 10 6" xfId="11905" xr:uid="{00000000-0005-0000-0000-0000F8340000}"/>
    <cellStyle name="Data Superscript 3 2 10 6 2" xfId="11906" xr:uid="{00000000-0005-0000-0000-0000F9340000}"/>
    <cellStyle name="Data Superscript 3 2 10 7" xfId="11907" xr:uid="{00000000-0005-0000-0000-0000FA340000}"/>
    <cellStyle name="Data Superscript 3 2 10 7 2" xfId="11908" xr:uid="{00000000-0005-0000-0000-0000FB340000}"/>
    <cellStyle name="Data Superscript 3 2 10 8" xfId="11909" xr:uid="{00000000-0005-0000-0000-0000FC340000}"/>
    <cellStyle name="Data Superscript 3 2 10 8 2" xfId="11910" xr:uid="{00000000-0005-0000-0000-0000FD340000}"/>
    <cellStyle name="Data Superscript 3 2 10 9" xfId="11911" xr:uid="{00000000-0005-0000-0000-0000FE340000}"/>
    <cellStyle name="Data Superscript 3 2 10 9 2" xfId="11912" xr:uid="{00000000-0005-0000-0000-0000FF340000}"/>
    <cellStyle name="Data Superscript 3 2 11" xfId="11913" xr:uid="{00000000-0005-0000-0000-000000350000}"/>
    <cellStyle name="Data Superscript 3 2 11 2" xfId="11914" xr:uid="{00000000-0005-0000-0000-000001350000}"/>
    <cellStyle name="Data Superscript 3 2 11 2 2" xfId="11915" xr:uid="{00000000-0005-0000-0000-000002350000}"/>
    <cellStyle name="Data Superscript 3 2 11 3" xfId="11916" xr:uid="{00000000-0005-0000-0000-000003350000}"/>
    <cellStyle name="Data Superscript 3 2 11 3 2" xfId="11917" xr:uid="{00000000-0005-0000-0000-000004350000}"/>
    <cellStyle name="Data Superscript 3 2 11 4" xfId="11918" xr:uid="{00000000-0005-0000-0000-000005350000}"/>
    <cellStyle name="Data Superscript 3 2 11 4 2" xfId="11919" xr:uid="{00000000-0005-0000-0000-000006350000}"/>
    <cellStyle name="Data Superscript 3 2 11 5" xfId="11920" xr:uid="{00000000-0005-0000-0000-000007350000}"/>
    <cellStyle name="Data Superscript 3 2 11 5 2" xfId="11921" xr:uid="{00000000-0005-0000-0000-000008350000}"/>
    <cellStyle name="Data Superscript 3 2 11 6" xfId="11922" xr:uid="{00000000-0005-0000-0000-000009350000}"/>
    <cellStyle name="Data Superscript 3 2 11 6 2" xfId="11923" xr:uid="{00000000-0005-0000-0000-00000A350000}"/>
    <cellStyle name="Data Superscript 3 2 11 7" xfId="11924" xr:uid="{00000000-0005-0000-0000-00000B350000}"/>
    <cellStyle name="Data Superscript 3 2 11 7 2" xfId="11925" xr:uid="{00000000-0005-0000-0000-00000C350000}"/>
    <cellStyle name="Data Superscript 3 2 11 8" xfId="11926" xr:uid="{00000000-0005-0000-0000-00000D350000}"/>
    <cellStyle name="Data Superscript 3 2 11 8 2" xfId="11927" xr:uid="{00000000-0005-0000-0000-00000E350000}"/>
    <cellStyle name="Data Superscript 3 2 11 9" xfId="11928" xr:uid="{00000000-0005-0000-0000-00000F350000}"/>
    <cellStyle name="Data Superscript 3 2 2" xfId="11929" xr:uid="{00000000-0005-0000-0000-000010350000}"/>
    <cellStyle name="Data Superscript 3 2 2 10" xfId="11930" xr:uid="{00000000-0005-0000-0000-000011350000}"/>
    <cellStyle name="Data Superscript 3 2 2 2" xfId="11931" xr:uid="{00000000-0005-0000-0000-000012350000}"/>
    <cellStyle name="Data Superscript 3 2 2 2 2" xfId="11932" xr:uid="{00000000-0005-0000-0000-000013350000}"/>
    <cellStyle name="Data Superscript 3 2 2 3" xfId="11933" xr:uid="{00000000-0005-0000-0000-000014350000}"/>
    <cellStyle name="Data Superscript 3 2 2 3 2" xfId="11934" xr:uid="{00000000-0005-0000-0000-000015350000}"/>
    <cellStyle name="Data Superscript 3 2 2 4" xfId="11935" xr:uid="{00000000-0005-0000-0000-000016350000}"/>
    <cellStyle name="Data Superscript 3 2 2 4 2" xfId="11936" xr:uid="{00000000-0005-0000-0000-000017350000}"/>
    <cellStyle name="Data Superscript 3 2 2 5" xfId="11937" xr:uid="{00000000-0005-0000-0000-000018350000}"/>
    <cellStyle name="Data Superscript 3 2 2 5 2" xfId="11938" xr:uid="{00000000-0005-0000-0000-000019350000}"/>
    <cellStyle name="Data Superscript 3 2 2 6" xfId="11939" xr:uid="{00000000-0005-0000-0000-00001A350000}"/>
    <cellStyle name="Data Superscript 3 2 2 6 2" xfId="11940" xr:uid="{00000000-0005-0000-0000-00001B350000}"/>
    <cellStyle name="Data Superscript 3 2 2 7" xfId="11941" xr:uid="{00000000-0005-0000-0000-00001C350000}"/>
    <cellStyle name="Data Superscript 3 2 2 7 2" xfId="11942" xr:uid="{00000000-0005-0000-0000-00001D350000}"/>
    <cellStyle name="Data Superscript 3 2 2 8" xfId="11943" xr:uid="{00000000-0005-0000-0000-00001E350000}"/>
    <cellStyle name="Data Superscript 3 2 2 8 2" xfId="11944" xr:uid="{00000000-0005-0000-0000-00001F350000}"/>
    <cellStyle name="Data Superscript 3 2 2 9" xfId="11945" xr:uid="{00000000-0005-0000-0000-000020350000}"/>
    <cellStyle name="Data Superscript 3 2 2 9 2" xfId="11946" xr:uid="{00000000-0005-0000-0000-000021350000}"/>
    <cellStyle name="Data Superscript 3 2 3" xfId="11947" xr:uid="{00000000-0005-0000-0000-000022350000}"/>
    <cellStyle name="Data Superscript 3 2 3 10" xfId="11948" xr:uid="{00000000-0005-0000-0000-000023350000}"/>
    <cellStyle name="Data Superscript 3 2 3 2" xfId="11949" xr:uid="{00000000-0005-0000-0000-000024350000}"/>
    <cellStyle name="Data Superscript 3 2 3 2 2" xfId="11950" xr:uid="{00000000-0005-0000-0000-000025350000}"/>
    <cellStyle name="Data Superscript 3 2 3 3" xfId="11951" xr:uid="{00000000-0005-0000-0000-000026350000}"/>
    <cellStyle name="Data Superscript 3 2 3 3 2" xfId="11952" xr:uid="{00000000-0005-0000-0000-000027350000}"/>
    <cellStyle name="Data Superscript 3 2 3 4" xfId="11953" xr:uid="{00000000-0005-0000-0000-000028350000}"/>
    <cellStyle name="Data Superscript 3 2 3 4 2" xfId="11954" xr:uid="{00000000-0005-0000-0000-000029350000}"/>
    <cellStyle name="Data Superscript 3 2 3 5" xfId="11955" xr:uid="{00000000-0005-0000-0000-00002A350000}"/>
    <cellStyle name="Data Superscript 3 2 3 5 2" xfId="11956" xr:uid="{00000000-0005-0000-0000-00002B350000}"/>
    <cellStyle name="Data Superscript 3 2 3 6" xfId="11957" xr:uid="{00000000-0005-0000-0000-00002C350000}"/>
    <cellStyle name="Data Superscript 3 2 3 6 2" xfId="11958" xr:uid="{00000000-0005-0000-0000-00002D350000}"/>
    <cellStyle name="Data Superscript 3 2 3 7" xfId="11959" xr:uid="{00000000-0005-0000-0000-00002E350000}"/>
    <cellStyle name="Data Superscript 3 2 3 7 2" xfId="11960" xr:uid="{00000000-0005-0000-0000-00002F350000}"/>
    <cellStyle name="Data Superscript 3 2 3 8" xfId="11961" xr:uid="{00000000-0005-0000-0000-000030350000}"/>
    <cellStyle name="Data Superscript 3 2 3 8 2" xfId="11962" xr:uid="{00000000-0005-0000-0000-000031350000}"/>
    <cellStyle name="Data Superscript 3 2 3 9" xfId="11963" xr:uid="{00000000-0005-0000-0000-000032350000}"/>
    <cellStyle name="Data Superscript 3 2 3 9 2" xfId="11964" xr:uid="{00000000-0005-0000-0000-000033350000}"/>
    <cellStyle name="Data Superscript 3 2 4" xfId="11965" xr:uid="{00000000-0005-0000-0000-000034350000}"/>
    <cellStyle name="Data Superscript 3 2 4 10" xfId="11966" xr:uid="{00000000-0005-0000-0000-000035350000}"/>
    <cellStyle name="Data Superscript 3 2 4 2" xfId="11967" xr:uid="{00000000-0005-0000-0000-000036350000}"/>
    <cellStyle name="Data Superscript 3 2 4 2 2" xfId="11968" xr:uid="{00000000-0005-0000-0000-000037350000}"/>
    <cellStyle name="Data Superscript 3 2 4 3" xfId="11969" xr:uid="{00000000-0005-0000-0000-000038350000}"/>
    <cellStyle name="Data Superscript 3 2 4 3 2" xfId="11970" xr:uid="{00000000-0005-0000-0000-000039350000}"/>
    <cellStyle name="Data Superscript 3 2 4 4" xfId="11971" xr:uid="{00000000-0005-0000-0000-00003A350000}"/>
    <cellStyle name="Data Superscript 3 2 4 4 2" xfId="11972" xr:uid="{00000000-0005-0000-0000-00003B350000}"/>
    <cellStyle name="Data Superscript 3 2 4 5" xfId="11973" xr:uid="{00000000-0005-0000-0000-00003C350000}"/>
    <cellStyle name="Data Superscript 3 2 4 5 2" xfId="11974" xr:uid="{00000000-0005-0000-0000-00003D350000}"/>
    <cellStyle name="Data Superscript 3 2 4 6" xfId="11975" xr:uid="{00000000-0005-0000-0000-00003E350000}"/>
    <cellStyle name="Data Superscript 3 2 4 6 2" xfId="11976" xr:uid="{00000000-0005-0000-0000-00003F350000}"/>
    <cellStyle name="Data Superscript 3 2 4 7" xfId="11977" xr:uid="{00000000-0005-0000-0000-000040350000}"/>
    <cellStyle name="Data Superscript 3 2 4 7 2" xfId="11978" xr:uid="{00000000-0005-0000-0000-000041350000}"/>
    <cellStyle name="Data Superscript 3 2 4 8" xfId="11979" xr:uid="{00000000-0005-0000-0000-000042350000}"/>
    <cellStyle name="Data Superscript 3 2 4 8 2" xfId="11980" xr:uid="{00000000-0005-0000-0000-000043350000}"/>
    <cellStyle name="Data Superscript 3 2 4 9" xfId="11981" xr:uid="{00000000-0005-0000-0000-000044350000}"/>
    <cellStyle name="Data Superscript 3 2 4 9 2" xfId="11982" xr:uid="{00000000-0005-0000-0000-000045350000}"/>
    <cellStyle name="Data Superscript 3 2 5" xfId="11983" xr:uid="{00000000-0005-0000-0000-000046350000}"/>
    <cellStyle name="Data Superscript 3 2 5 10" xfId="11984" xr:uid="{00000000-0005-0000-0000-000047350000}"/>
    <cellStyle name="Data Superscript 3 2 5 2" xfId="11985" xr:uid="{00000000-0005-0000-0000-000048350000}"/>
    <cellStyle name="Data Superscript 3 2 5 2 2" xfId="11986" xr:uid="{00000000-0005-0000-0000-000049350000}"/>
    <cellStyle name="Data Superscript 3 2 5 3" xfId="11987" xr:uid="{00000000-0005-0000-0000-00004A350000}"/>
    <cellStyle name="Data Superscript 3 2 5 3 2" xfId="11988" xr:uid="{00000000-0005-0000-0000-00004B350000}"/>
    <cellStyle name="Data Superscript 3 2 5 4" xfId="11989" xr:uid="{00000000-0005-0000-0000-00004C350000}"/>
    <cellStyle name="Data Superscript 3 2 5 4 2" xfId="11990" xr:uid="{00000000-0005-0000-0000-00004D350000}"/>
    <cellStyle name="Data Superscript 3 2 5 5" xfId="11991" xr:uid="{00000000-0005-0000-0000-00004E350000}"/>
    <cellStyle name="Data Superscript 3 2 5 5 2" xfId="11992" xr:uid="{00000000-0005-0000-0000-00004F350000}"/>
    <cellStyle name="Data Superscript 3 2 5 6" xfId="11993" xr:uid="{00000000-0005-0000-0000-000050350000}"/>
    <cellStyle name="Data Superscript 3 2 5 6 2" xfId="11994" xr:uid="{00000000-0005-0000-0000-000051350000}"/>
    <cellStyle name="Data Superscript 3 2 5 7" xfId="11995" xr:uid="{00000000-0005-0000-0000-000052350000}"/>
    <cellStyle name="Data Superscript 3 2 5 7 2" xfId="11996" xr:uid="{00000000-0005-0000-0000-000053350000}"/>
    <cellStyle name="Data Superscript 3 2 5 8" xfId="11997" xr:uid="{00000000-0005-0000-0000-000054350000}"/>
    <cellStyle name="Data Superscript 3 2 5 8 2" xfId="11998" xr:uid="{00000000-0005-0000-0000-000055350000}"/>
    <cellStyle name="Data Superscript 3 2 5 9" xfId="11999" xr:uid="{00000000-0005-0000-0000-000056350000}"/>
    <cellStyle name="Data Superscript 3 2 5 9 2" xfId="12000" xr:uid="{00000000-0005-0000-0000-000057350000}"/>
    <cellStyle name="Data Superscript 3 2 6" xfId="12001" xr:uid="{00000000-0005-0000-0000-000058350000}"/>
    <cellStyle name="Data Superscript 3 2 6 10" xfId="12002" xr:uid="{00000000-0005-0000-0000-000059350000}"/>
    <cellStyle name="Data Superscript 3 2 6 2" xfId="12003" xr:uid="{00000000-0005-0000-0000-00005A350000}"/>
    <cellStyle name="Data Superscript 3 2 6 2 2" xfId="12004" xr:uid="{00000000-0005-0000-0000-00005B350000}"/>
    <cellStyle name="Data Superscript 3 2 6 3" xfId="12005" xr:uid="{00000000-0005-0000-0000-00005C350000}"/>
    <cellStyle name="Data Superscript 3 2 6 3 2" xfId="12006" xr:uid="{00000000-0005-0000-0000-00005D350000}"/>
    <cellStyle name="Data Superscript 3 2 6 4" xfId="12007" xr:uid="{00000000-0005-0000-0000-00005E350000}"/>
    <cellStyle name="Data Superscript 3 2 6 4 2" xfId="12008" xr:uid="{00000000-0005-0000-0000-00005F350000}"/>
    <cellStyle name="Data Superscript 3 2 6 5" xfId="12009" xr:uid="{00000000-0005-0000-0000-000060350000}"/>
    <cellStyle name="Data Superscript 3 2 6 5 2" xfId="12010" xr:uid="{00000000-0005-0000-0000-000061350000}"/>
    <cellStyle name="Data Superscript 3 2 6 6" xfId="12011" xr:uid="{00000000-0005-0000-0000-000062350000}"/>
    <cellStyle name="Data Superscript 3 2 6 6 2" xfId="12012" xr:uid="{00000000-0005-0000-0000-000063350000}"/>
    <cellStyle name="Data Superscript 3 2 6 7" xfId="12013" xr:uid="{00000000-0005-0000-0000-000064350000}"/>
    <cellStyle name="Data Superscript 3 2 6 7 2" xfId="12014" xr:uid="{00000000-0005-0000-0000-000065350000}"/>
    <cellStyle name="Data Superscript 3 2 6 8" xfId="12015" xr:uid="{00000000-0005-0000-0000-000066350000}"/>
    <cellStyle name="Data Superscript 3 2 6 8 2" xfId="12016" xr:uid="{00000000-0005-0000-0000-000067350000}"/>
    <cellStyle name="Data Superscript 3 2 6 9" xfId="12017" xr:uid="{00000000-0005-0000-0000-000068350000}"/>
    <cellStyle name="Data Superscript 3 2 6 9 2" xfId="12018" xr:uid="{00000000-0005-0000-0000-000069350000}"/>
    <cellStyle name="Data Superscript 3 2 7" xfId="12019" xr:uid="{00000000-0005-0000-0000-00006A350000}"/>
    <cellStyle name="Data Superscript 3 2 7 10" xfId="12020" xr:uid="{00000000-0005-0000-0000-00006B350000}"/>
    <cellStyle name="Data Superscript 3 2 7 2" xfId="12021" xr:uid="{00000000-0005-0000-0000-00006C350000}"/>
    <cellStyle name="Data Superscript 3 2 7 2 2" xfId="12022" xr:uid="{00000000-0005-0000-0000-00006D350000}"/>
    <cellStyle name="Data Superscript 3 2 7 3" xfId="12023" xr:uid="{00000000-0005-0000-0000-00006E350000}"/>
    <cellStyle name="Data Superscript 3 2 7 3 2" xfId="12024" xr:uid="{00000000-0005-0000-0000-00006F350000}"/>
    <cellStyle name="Data Superscript 3 2 7 4" xfId="12025" xr:uid="{00000000-0005-0000-0000-000070350000}"/>
    <cellStyle name="Data Superscript 3 2 7 4 2" xfId="12026" xr:uid="{00000000-0005-0000-0000-000071350000}"/>
    <cellStyle name="Data Superscript 3 2 7 5" xfId="12027" xr:uid="{00000000-0005-0000-0000-000072350000}"/>
    <cellStyle name="Data Superscript 3 2 7 5 2" xfId="12028" xr:uid="{00000000-0005-0000-0000-000073350000}"/>
    <cellStyle name="Data Superscript 3 2 7 6" xfId="12029" xr:uid="{00000000-0005-0000-0000-000074350000}"/>
    <cellStyle name="Data Superscript 3 2 7 6 2" xfId="12030" xr:uid="{00000000-0005-0000-0000-000075350000}"/>
    <cellStyle name="Data Superscript 3 2 7 7" xfId="12031" xr:uid="{00000000-0005-0000-0000-000076350000}"/>
    <cellStyle name="Data Superscript 3 2 7 7 2" xfId="12032" xr:uid="{00000000-0005-0000-0000-000077350000}"/>
    <cellStyle name="Data Superscript 3 2 7 8" xfId="12033" xr:uid="{00000000-0005-0000-0000-000078350000}"/>
    <cellStyle name="Data Superscript 3 2 7 8 2" xfId="12034" xr:uid="{00000000-0005-0000-0000-000079350000}"/>
    <cellStyle name="Data Superscript 3 2 7 9" xfId="12035" xr:uid="{00000000-0005-0000-0000-00007A350000}"/>
    <cellStyle name="Data Superscript 3 2 7 9 2" xfId="12036" xr:uid="{00000000-0005-0000-0000-00007B350000}"/>
    <cellStyle name="Data Superscript 3 2 8" xfId="12037" xr:uid="{00000000-0005-0000-0000-00007C350000}"/>
    <cellStyle name="Data Superscript 3 2 8 10" xfId="12038" xr:uid="{00000000-0005-0000-0000-00007D350000}"/>
    <cellStyle name="Data Superscript 3 2 8 2" xfId="12039" xr:uid="{00000000-0005-0000-0000-00007E350000}"/>
    <cellStyle name="Data Superscript 3 2 8 2 2" xfId="12040" xr:uid="{00000000-0005-0000-0000-00007F350000}"/>
    <cellStyle name="Data Superscript 3 2 8 3" xfId="12041" xr:uid="{00000000-0005-0000-0000-000080350000}"/>
    <cellStyle name="Data Superscript 3 2 8 3 2" xfId="12042" xr:uid="{00000000-0005-0000-0000-000081350000}"/>
    <cellStyle name="Data Superscript 3 2 8 4" xfId="12043" xr:uid="{00000000-0005-0000-0000-000082350000}"/>
    <cellStyle name="Data Superscript 3 2 8 4 2" xfId="12044" xr:uid="{00000000-0005-0000-0000-000083350000}"/>
    <cellStyle name="Data Superscript 3 2 8 5" xfId="12045" xr:uid="{00000000-0005-0000-0000-000084350000}"/>
    <cellStyle name="Data Superscript 3 2 8 5 2" xfId="12046" xr:uid="{00000000-0005-0000-0000-000085350000}"/>
    <cellStyle name="Data Superscript 3 2 8 6" xfId="12047" xr:uid="{00000000-0005-0000-0000-000086350000}"/>
    <cellStyle name="Data Superscript 3 2 8 6 2" xfId="12048" xr:uid="{00000000-0005-0000-0000-000087350000}"/>
    <cellStyle name="Data Superscript 3 2 8 7" xfId="12049" xr:uid="{00000000-0005-0000-0000-000088350000}"/>
    <cellStyle name="Data Superscript 3 2 8 7 2" xfId="12050" xr:uid="{00000000-0005-0000-0000-000089350000}"/>
    <cellStyle name="Data Superscript 3 2 8 8" xfId="12051" xr:uid="{00000000-0005-0000-0000-00008A350000}"/>
    <cellStyle name="Data Superscript 3 2 8 8 2" xfId="12052" xr:uid="{00000000-0005-0000-0000-00008B350000}"/>
    <cellStyle name="Data Superscript 3 2 8 9" xfId="12053" xr:uid="{00000000-0005-0000-0000-00008C350000}"/>
    <cellStyle name="Data Superscript 3 2 8 9 2" xfId="12054" xr:uid="{00000000-0005-0000-0000-00008D350000}"/>
    <cellStyle name="Data Superscript 3 2 9" xfId="12055" xr:uid="{00000000-0005-0000-0000-00008E350000}"/>
    <cellStyle name="Data Superscript 3 2 9 10" xfId="12056" xr:uid="{00000000-0005-0000-0000-00008F350000}"/>
    <cellStyle name="Data Superscript 3 2 9 2" xfId="12057" xr:uid="{00000000-0005-0000-0000-000090350000}"/>
    <cellStyle name="Data Superscript 3 2 9 2 2" xfId="12058" xr:uid="{00000000-0005-0000-0000-000091350000}"/>
    <cellStyle name="Data Superscript 3 2 9 3" xfId="12059" xr:uid="{00000000-0005-0000-0000-000092350000}"/>
    <cellStyle name="Data Superscript 3 2 9 3 2" xfId="12060" xr:uid="{00000000-0005-0000-0000-000093350000}"/>
    <cellStyle name="Data Superscript 3 2 9 4" xfId="12061" xr:uid="{00000000-0005-0000-0000-000094350000}"/>
    <cellStyle name="Data Superscript 3 2 9 4 2" xfId="12062" xr:uid="{00000000-0005-0000-0000-000095350000}"/>
    <cellStyle name="Data Superscript 3 2 9 5" xfId="12063" xr:uid="{00000000-0005-0000-0000-000096350000}"/>
    <cellStyle name="Data Superscript 3 2 9 5 2" xfId="12064" xr:uid="{00000000-0005-0000-0000-000097350000}"/>
    <cellStyle name="Data Superscript 3 2 9 6" xfId="12065" xr:uid="{00000000-0005-0000-0000-000098350000}"/>
    <cellStyle name="Data Superscript 3 2 9 6 2" xfId="12066" xr:uid="{00000000-0005-0000-0000-000099350000}"/>
    <cellStyle name="Data Superscript 3 2 9 7" xfId="12067" xr:uid="{00000000-0005-0000-0000-00009A350000}"/>
    <cellStyle name="Data Superscript 3 2 9 7 2" xfId="12068" xr:uid="{00000000-0005-0000-0000-00009B350000}"/>
    <cellStyle name="Data Superscript 3 2 9 8" xfId="12069" xr:uid="{00000000-0005-0000-0000-00009C350000}"/>
    <cellStyle name="Data Superscript 3 2 9 8 2" xfId="12070" xr:uid="{00000000-0005-0000-0000-00009D350000}"/>
    <cellStyle name="Data Superscript 3 2 9 9" xfId="12071" xr:uid="{00000000-0005-0000-0000-00009E350000}"/>
    <cellStyle name="Data Superscript 3 2 9 9 2" xfId="12072" xr:uid="{00000000-0005-0000-0000-00009F350000}"/>
    <cellStyle name="Data Superscript 3 3" xfId="12073" xr:uid="{00000000-0005-0000-0000-0000A0350000}"/>
    <cellStyle name="Data Superscript 3 3 10" xfId="12074" xr:uid="{00000000-0005-0000-0000-0000A1350000}"/>
    <cellStyle name="Data Superscript 3 3 10 10" xfId="12075" xr:uid="{00000000-0005-0000-0000-0000A2350000}"/>
    <cellStyle name="Data Superscript 3 3 10 2" xfId="12076" xr:uid="{00000000-0005-0000-0000-0000A3350000}"/>
    <cellStyle name="Data Superscript 3 3 10 2 2" xfId="12077" xr:uid="{00000000-0005-0000-0000-0000A4350000}"/>
    <cellStyle name="Data Superscript 3 3 10 3" xfId="12078" xr:uid="{00000000-0005-0000-0000-0000A5350000}"/>
    <cellStyle name="Data Superscript 3 3 10 3 2" xfId="12079" xr:uid="{00000000-0005-0000-0000-0000A6350000}"/>
    <cellStyle name="Data Superscript 3 3 10 4" xfId="12080" xr:uid="{00000000-0005-0000-0000-0000A7350000}"/>
    <cellStyle name="Data Superscript 3 3 10 4 2" xfId="12081" xr:uid="{00000000-0005-0000-0000-0000A8350000}"/>
    <cellStyle name="Data Superscript 3 3 10 5" xfId="12082" xr:uid="{00000000-0005-0000-0000-0000A9350000}"/>
    <cellStyle name="Data Superscript 3 3 10 5 2" xfId="12083" xr:uid="{00000000-0005-0000-0000-0000AA350000}"/>
    <cellStyle name="Data Superscript 3 3 10 6" xfId="12084" xr:uid="{00000000-0005-0000-0000-0000AB350000}"/>
    <cellStyle name="Data Superscript 3 3 10 6 2" xfId="12085" xr:uid="{00000000-0005-0000-0000-0000AC350000}"/>
    <cellStyle name="Data Superscript 3 3 10 7" xfId="12086" xr:uid="{00000000-0005-0000-0000-0000AD350000}"/>
    <cellStyle name="Data Superscript 3 3 10 7 2" xfId="12087" xr:uid="{00000000-0005-0000-0000-0000AE350000}"/>
    <cellStyle name="Data Superscript 3 3 10 8" xfId="12088" xr:uid="{00000000-0005-0000-0000-0000AF350000}"/>
    <cellStyle name="Data Superscript 3 3 10 8 2" xfId="12089" xr:uid="{00000000-0005-0000-0000-0000B0350000}"/>
    <cellStyle name="Data Superscript 3 3 10 9" xfId="12090" xr:uid="{00000000-0005-0000-0000-0000B1350000}"/>
    <cellStyle name="Data Superscript 3 3 10 9 2" xfId="12091" xr:uid="{00000000-0005-0000-0000-0000B2350000}"/>
    <cellStyle name="Data Superscript 3 3 11" xfId="12092" xr:uid="{00000000-0005-0000-0000-0000B3350000}"/>
    <cellStyle name="Data Superscript 3 3 11 2" xfId="12093" xr:uid="{00000000-0005-0000-0000-0000B4350000}"/>
    <cellStyle name="Data Superscript 3 3 11 2 2" xfId="12094" xr:uid="{00000000-0005-0000-0000-0000B5350000}"/>
    <cellStyle name="Data Superscript 3 3 11 3" xfId="12095" xr:uid="{00000000-0005-0000-0000-0000B6350000}"/>
    <cellStyle name="Data Superscript 3 3 11 3 2" xfId="12096" xr:uid="{00000000-0005-0000-0000-0000B7350000}"/>
    <cellStyle name="Data Superscript 3 3 11 4" xfId="12097" xr:uid="{00000000-0005-0000-0000-0000B8350000}"/>
    <cellStyle name="Data Superscript 3 3 11 4 2" xfId="12098" xr:uid="{00000000-0005-0000-0000-0000B9350000}"/>
    <cellStyle name="Data Superscript 3 3 11 5" xfId="12099" xr:uid="{00000000-0005-0000-0000-0000BA350000}"/>
    <cellStyle name="Data Superscript 3 3 11 5 2" xfId="12100" xr:uid="{00000000-0005-0000-0000-0000BB350000}"/>
    <cellStyle name="Data Superscript 3 3 11 6" xfId="12101" xr:uid="{00000000-0005-0000-0000-0000BC350000}"/>
    <cellStyle name="Data Superscript 3 3 11 6 2" xfId="12102" xr:uid="{00000000-0005-0000-0000-0000BD350000}"/>
    <cellStyle name="Data Superscript 3 3 11 7" xfId="12103" xr:uid="{00000000-0005-0000-0000-0000BE350000}"/>
    <cellStyle name="Data Superscript 3 3 11 7 2" xfId="12104" xr:uid="{00000000-0005-0000-0000-0000BF350000}"/>
    <cellStyle name="Data Superscript 3 3 11 8" xfId="12105" xr:uid="{00000000-0005-0000-0000-0000C0350000}"/>
    <cellStyle name="Data Superscript 3 3 11 8 2" xfId="12106" xr:uid="{00000000-0005-0000-0000-0000C1350000}"/>
    <cellStyle name="Data Superscript 3 3 11 9" xfId="12107" xr:uid="{00000000-0005-0000-0000-0000C2350000}"/>
    <cellStyle name="Data Superscript 3 3 2" xfId="12108" xr:uid="{00000000-0005-0000-0000-0000C3350000}"/>
    <cellStyle name="Data Superscript 3 3 2 10" xfId="12109" xr:uid="{00000000-0005-0000-0000-0000C4350000}"/>
    <cellStyle name="Data Superscript 3 3 2 2" xfId="12110" xr:uid="{00000000-0005-0000-0000-0000C5350000}"/>
    <cellStyle name="Data Superscript 3 3 2 2 2" xfId="12111" xr:uid="{00000000-0005-0000-0000-0000C6350000}"/>
    <cellStyle name="Data Superscript 3 3 2 3" xfId="12112" xr:uid="{00000000-0005-0000-0000-0000C7350000}"/>
    <cellStyle name="Data Superscript 3 3 2 3 2" xfId="12113" xr:uid="{00000000-0005-0000-0000-0000C8350000}"/>
    <cellStyle name="Data Superscript 3 3 2 4" xfId="12114" xr:uid="{00000000-0005-0000-0000-0000C9350000}"/>
    <cellStyle name="Data Superscript 3 3 2 4 2" xfId="12115" xr:uid="{00000000-0005-0000-0000-0000CA350000}"/>
    <cellStyle name="Data Superscript 3 3 2 5" xfId="12116" xr:uid="{00000000-0005-0000-0000-0000CB350000}"/>
    <cellStyle name="Data Superscript 3 3 2 5 2" xfId="12117" xr:uid="{00000000-0005-0000-0000-0000CC350000}"/>
    <cellStyle name="Data Superscript 3 3 2 6" xfId="12118" xr:uid="{00000000-0005-0000-0000-0000CD350000}"/>
    <cellStyle name="Data Superscript 3 3 2 6 2" xfId="12119" xr:uid="{00000000-0005-0000-0000-0000CE350000}"/>
    <cellStyle name="Data Superscript 3 3 2 7" xfId="12120" xr:uid="{00000000-0005-0000-0000-0000CF350000}"/>
    <cellStyle name="Data Superscript 3 3 2 7 2" xfId="12121" xr:uid="{00000000-0005-0000-0000-0000D0350000}"/>
    <cellStyle name="Data Superscript 3 3 2 8" xfId="12122" xr:uid="{00000000-0005-0000-0000-0000D1350000}"/>
    <cellStyle name="Data Superscript 3 3 2 8 2" xfId="12123" xr:uid="{00000000-0005-0000-0000-0000D2350000}"/>
    <cellStyle name="Data Superscript 3 3 2 9" xfId="12124" xr:uid="{00000000-0005-0000-0000-0000D3350000}"/>
    <cellStyle name="Data Superscript 3 3 2 9 2" xfId="12125" xr:uid="{00000000-0005-0000-0000-0000D4350000}"/>
    <cellStyle name="Data Superscript 3 3 3" xfId="12126" xr:uid="{00000000-0005-0000-0000-0000D5350000}"/>
    <cellStyle name="Data Superscript 3 3 3 10" xfId="12127" xr:uid="{00000000-0005-0000-0000-0000D6350000}"/>
    <cellStyle name="Data Superscript 3 3 3 2" xfId="12128" xr:uid="{00000000-0005-0000-0000-0000D7350000}"/>
    <cellStyle name="Data Superscript 3 3 3 2 2" xfId="12129" xr:uid="{00000000-0005-0000-0000-0000D8350000}"/>
    <cellStyle name="Data Superscript 3 3 3 3" xfId="12130" xr:uid="{00000000-0005-0000-0000-0000D9350000}"/>
    <cellStyle name="Data Superscript 3 3 3 3 2" xfId="12131" xr:uid="{00000000-0005-0000-0000-0000DA350000}"/>
    <cellStyle name="Data Superscript 3 3 3 4" xfId="12132" xr:uid="{00000000-0005-0000-0000-0000DB350000}"/>
    <cellStyle name="Data Superscript 3 3 3 4 2" xfId="12133" xr:uid="{00000000-0005-0000-0000-0000DC350000}"/>
    <cellStyle name="Data Superscript 3 3 3 5" xfId="12134" xr:uid="{00000000-0005-0000-0000-0000DD350000}"/>
    <cellStyle name="Data Superscript 3 3 3 5 2" xfId="12135" xr:uid="{00000000-0005-0000-0000-0000DE350000}"/>
    <cellStyle name="Data Superscript 3 3 3 6" xfId="12136" xr:uid="{00000000-0005-0000-0000-0000DF350000}"/>
    <cellStyle name="Data Superscript 3 3 3 6 2" xfId="12137" xr:uid="{00000000-0005-0000-0000-0000E0350000}"/>
    <cellStyle name="Data Superscript 3 3 3 7" xfId="12138" xr:uid="{00000000-0005-0000-0000-0000E1350000}"/>
    <cellStyle name="Data Superscript 3 3 3 7 2" xfId="12139" xr:uid="{00000000-0005-0000-0000-0000E2350000}"/>
    <cellStyle name="Data Superscript 3 3 3 8" xfId="12140" xr:uid="{00000000-0005-0000-0000-0000E3350000}"/>
    <cellStyle name="Data Superscript 3 3 3 8 2" xfId="12141" xr:uid="{00000000-0005-0000-0000-0000E4350000}"/>
    <cellStyle name="Data Superscript 3 3 3 9" xfId="12142" xr:uid="{00000000-0005-0000-0000-0000E5350000}"/>
    <cellStyle name="Data Superscript 3 3 3 9 2" xfId="12143" xr:uid="{00000000-0005-0000-0000-0000E6350000}"/>
    <cellStyle name="Data Superscript 3 3 4" xfId="12144" xr:uid="{00000000-0005-0000-0000-0000E7350000}"/>
    <cellStyle name="Data Superscript 3 3 4 10" xfId="12145" xr:uid="{00000000-0005-0000-0000-0000E8350000}"/>
    <cellStyle name="Data Superscript 3 3 4 2" xfId="12146" xr:uid="{00000000-0005-0000-0000-0000E9350000}"/>
    <cellStyle name="Data Superscript 3 3 4 2 2" xfId="12147" xr:uid="{00000000-0005-0000-0000-0000EA350000}"/>
    <cellStyle name="Data Superscript 3 3 4 3" xfId="12148" xr:uid="{00000000-0005-0000-0000-0000EB350000}"/>
    <cellStyle name="Data Superscript 3 3 4 3 2" xfId="12149" xr:uid="{00000000-0005-0000-0000-0000EC350000}"/>
    <cellStyle name="Data Superscript 3 3 4 4" xfId="12150" xr:uid="{00000000-0005-0000-0000-0000ED350000}"/>
    <cellStyle name="Data Superscript 3 3 4 4 2" xfId="12151" xr:uid="{00000000-0005-0000-0000-0000EE350000}"/>
    <cellStyle name="Data Superscript 3 3 4 5" xfId="12152" xr:uid="{00000000-0005-0000-0000-0000EF350000}"/>
    <cellStyle name="Data Superscript 3 3 4 5 2" xfId="12153" xr:uid="{00000000-0005-0000-0000-0000F0350000}"/>
    <cellStyle name="Data Superscript 3 3 4 6" xfId="12154" xr:uid="{00000000-0005-0000-0000-0000F1350000}"/>
    <cellStyle name="Data Superscript 3 3 4 6 2" xfId="12155" xr:uid="{00000000-0005-0000-0000-0000F2350000}"/>
    <cellStyle name="Data Superscript 3 3 4 7" xfId="12156" xr:uid="{00000000-0005-0000-0000-0000F3350000}"/>
    <cellStyle name="Data Superscript 3 3 4 7 2" xfId="12157" xr:uid="{00000000-0005-0000-0000-0000F4350000}"/>
    <cellStyle name="Data Superscript 3 3 4 8" xfId="12158" xr:uid="{00000000-0005-0000-0000-0000F5350000}"/>
    <cellStyle name="Data Superscript 3 3 4 8 2" xfId="12159" xr:uid="{00000000-0005-0000-0000-0000F6350000}"/>
    <cellStyle name="Data Superscript 3 3 4 9" xfId="12160" xr:uid="{00000000-0005-0000-0000-0000F7350000}"/>
    <cellStyle name="Data Superscript 3 3 4 9 2" xfId="12161" xr:uid="{00000000-0005-0000-0000-0000F8350000}"/>
    <cellStyle name="Data Superscript 3 3 5" xfId="12162" xr:uid="{00000000-0005-0000-0000-0000F9350000}"/>
    <cellStyle name="Data Superscript 3 3 5 10" xfId="12163" xr:uid="{00000000-0005-0000-0000-0000FA350000}"/>
    <cellStyle name="Data Superscript 3 3 5 2" xfId="12164" xr:uid="{00000000-0005-0000-0000-0000FB350000}"/>
    <cellStyle name="Data Superscript 3 3 5 2 2" xfId="12165" xr:uid="{00000000-0005-0000-0000-0000FC350000}"/>
    <cellStyle name="Data Superscript 3 3 5 3" xfId="12166" xr:uid="{00000000-0005-0000-0000-0000FD350000}"/>
    <cellStyle name="Data Superscript 3 3 5 3 2" xfId="12167" xr:uid="{00000000-0005-0000-0000-0000FE350000}"/>
    <cellStyle name="Data Superscript 3 3 5 4" xfId="12168" xr:uid="{00000000-0005-0000-0000-0000FF350000}"/>
    <cellStyle name="Data Superscript 3 3 5 4 2" xfId="12169" xr:uid="{00000000-0005-0000-0000-000000360000}"/>
    <cellStyle name="Data Superscript 3 3 5 5" xfId="12170" xr:uid="{00000000-0005-0000-0000-000001360000}"/>
    <cellStyle name="Data Superscript 3 3 5 5 2" xfId="12171" xr:uid="{00000000-0005-0000-0000-000002360000}"/>
    <cellStyle name="Data Superscript 3 3 5 6" xfId="12172" xr:uid="{00000000-0005-0000-0000-000003360000}"/>
    <cellStyle name="Data Superscript 3 3 5 6 2" xfId="12173" xr:uid="{00000000-0005-0000-0000-000004360000}"/>
    <cellStyle name="Data Superscript 3 3 5 7" xfId="12174" xr:uid="{00000000-0005-0000-0000-000005360000}"/>
    <cellStyle name="Data Superscript 3 3 5 7 2" xfId="12175" xr:uid="{00000000-0005-0000-0000-000006360000}"/>
    <cellStyle name="Data Superscript 3 3 5 8" xfId="12176" xr:uid="{00000000-0005-0000-0000-000007360000}"/>
    <cellStyle name="Data Superscript 3 3 5 8 2" xfId="12177" xr:uid="{00000000-0005-0000-0000-000008360000}"/>
    <cellStyle name="Data Superscript 3 3 5 9" xfId="12178" xr:uid="{00000000-0005-0000-0000-000009360000}"/>
    <cellStyle name="Data Superscript 3 3 5 9 2" xfId="12179" xr:uid="{00000000-0005-0000-0000-00000A360000}"/>
    <cellStyle name="Data Superscript 3 3 6" xfId="12180" xr:uid="{00000000-0005-0000-0000-00000B360000}"/>
    <cellStyle name="Data Superscript 3 3 6 10" xfId="12181" xr:uid="{00000000-0005-0000-0000-00000C360000}"/>
    <cellStyle name="Data Superscript 3 3 6 2" xfId="12182" xr:uid="{00000000-0005-0000-0000-00000D360000}"/>
    <cellStyle name="Data Superscript 3 3 6 2 2" xfId="12183" xr:uid="{00000000-0005-0000-0000-00000E360000}"/>
    <cellStyle name="Data Superscript 3 3 6 3" xfId="12184" xr:uid="{00000000-0005-0000-0000-00000F360000}"/>
    <cellStyle name="Data Superscript 3 3 6 3 2" xfId="12185" xr:uid="{00000000-0005-0000-0000-000010360000}"/>
    <cellStyle name="Data Superscript 3 3 6 4" xfId="12186" xr:uid="{00000000-0005-0000-0000-000011360000}"/>
    <cellStyle name="Data Superscript 3 3 6 4 2" xfId="12187" xr:uid="{00000000-0005-0000-0000-000012360000}"/>
    <cellStyle name="Data Superscript 3 3 6 5" xfId="12188" xr:uid="{00000000-0005-0000-0000-000013360000}"/>
    <cellStyle name="Data Superscript 3 3 6 5 2" xfId="12189" xr:uid="{00000000-0005-0000-0000-000014360000}"/>
    <cellStyle name="Data Superscript 3 3 6 6" xfId="12190" xr:uid="{00000000-0005-0000-0000-000015360000}"/>
    <cellStyle name="Data Superscript 3 3 6 6 2" xfId="12191" xr:uid="{00000000-0005-0000-0000-000016360000}"/>
    <cellStyle name="Data Superscript 3 3 6 7" xfId="12192" xr:uid="{00000000-0005-0000-0000-000017360000}"/>
    <cellStyle name="Data Superscript 3 3 6 7 2" xfId="12193" xr:uid="{00000000-0005-0000-0000-000018360000}"/>
    <cellStyle name="Data Superscript 3 3 6 8" xfId="12194" xr:uid="{00000000-0005-0000-0000-000019360000}"/>
    <cellStyle name="Data Superscript 3 3 6 8 2" xfId="12195" xr:uid="{00000000-0005-0000-0000-00001A360000}"/>
    <cellStyle name="Data Superscript 3 3 6 9" xfId="12196" xr:uid="{00000000-0005-0000-0000-00001B360000}"/>
    <cellStyle name="Data Superscript 3 3 6 9 2" xfId="12197" xr:uid="{00000000-0005-0000-0000-00001C360000}"/>
    <cellStyle name="Data Superscript 3 3 7" xfId="12198" xr:uid="{00000000-0005-0000-0000-00001D360000}"/>
    <cellStyle name="Data Superscript 3 3 7 10" xfId="12199" xr:uid="{00000000-0005-0000-0000-00001E360000}"/>
    <cellStyle name="Data Superscript 3 3 7 2" xfId="12200" xr:uid="{00000000-0005-0000-0000-00001F360000}"/>
    <cellStyle name="Data Superscript 3 3 7 2 2" xfId="12201" xr:uid="{00000000-0005-0000-0000-000020360000}"/>
    <cellStyle name="Data Superscript 3 3 7 3" xfId="12202" xr:uid="{00000000-0005-0000-0000-000021360000}"/>
    <cellStyle name="Data Superscript 3 3 7 3 2" xfId="12203" xr:uid="{00000000-0005-0000-0000-000022360000}"/>
    <cellStyle name="Data Superscript 3 3 7 4" xfId="12204" xr:uid="{00000000-0005-0000-0000-000023360000}"/>
    <cellStyle name="Data Superscript 3 3 7 4 2" xfId="12205" xr:uid="{00000000-0005-0000-0000-000024360000}"/>
    <cellStyle name="Data Superscript 3 3 7 5" xfId="12206" xr:uid="{00000000-0005-0000-0000-000025360000}"/>
    <cellStyle name="Data Superscript 3 3 7 5 2" xfId="12207" xr:uid="{00000000-0005-0000-0000-000026360000}"/>
    <cellStyle name="Data Superscript 3 3 7 6" xfId="12208" xr:uid="{00000000-0005-0000-0000-000027360000}"/>
    <cellStyle name="Data Superscript 3 3 7 6 2" xfId="12209" xr:uid="{00000000-0005-0000-0000-000028360000}"/>
    <cellStyle name="Data Superscript 3 3 7 7" xfId="12210" xr:uid="{00000000-0005-0000-0000-000029360000}"/>
    <cellStyle name="Data Superscript 3 3 7 7 2" xfId="12211" xr:uid="{00000000-0005-0000-0000-00002A360000}"/>
    <cellStyle name="Data Superscript 3 3 7 8" xfId="12212" xr:uid="{00000000-0005-0000-0000-00002B360000}"/>
    <cellStyle name="Data Superscript 3 3 7 8 2" xfId="12213" xr:uid="{00000000-0005-0000-0000-00002C360000}"/>
    <cellStyle name="Data Superscript 3 3 7 9" xfId="12214" xr:uid="{00000000-0005-0000-0000-00002D360000}"/>
    <cellStyle name="Data Superscript 3 3 7 9 2" xfId="12215" xr:uid="{00000000-0005-0000-0000-00002E360000}"/>
    <cellStyle name="Data Superscript 3 3 8" xfId="12216" xr:uid="{00000000-0005-0000-0000-00002F360000}"/>
    <cellStyle name="Data Superscript 3 3 8 10" xfId="12217" xr:uid="{00000000-0005-0000-0000-000030360000}"/>
    <cellStyle name="Data Superscript 3 3 8 2" xfId="12218" xr:uid="{00000000-0005-0000-0000-000031360000}"/>
    <cellStyle name="Data Superscript 3 3 8 2 2" xfId="12219" xr:uid="{00000000-0005-0000-0000-000032360000}"/>
    <cellStyle name="Data Superscript 3 3 8 3" xfId="12220" xr:uid="{00000000-0005-0000-0000-000033360000}"/>
    <cellStyle name="Data Superscript 3 3 8 3 2" xfId="12221" xr:uid="{00000000-0005-0000-0000-000034360000}"/>
    <cellStyle name="Data Superscript 3 3 8 4" xfId="12222" xr:uid="{00000000-0005-0000-0000-000035360000}"/>
    <cellStyle name="Data Superscript 3 3 8 4 2" xfId="12223" xr:uid="{00000000-0005-0000-0000-000036360000}"/>
    <cellStyle name="Data Superscript 3 3 8 5" xfId="12224" xr:uid="{00000000-0005-0000-0000-000037360000}"/>
    <cellStyle name="Data Superscript 3 3 8 5 2" xfId="12225" xr:uid="{00000000-0005-0000-0000-000038360000}"/>
    <cellStyle name="Data Superscript 3 3 8 6" xfId="12226" xr:uid="{00000000-0005-0000-0000-000039360000}"/>
    <cellStyle name="Data Superscript 3 3 8 6 2" xfId="12227" xr:uid="{00000000-0005-0000-0000-00003A360000}"/>
    <cellStyle name="Data Superscript 3 3 8 7" xfId="12228" xr:uid="{00000000-0005-0000-0000-00003B360000}"/>
    <cellStyle name="Data Superscript 3 3 8 7 2" xfId="12229" xr:uid="{00000000-0005-0000-0000-00003C360000}"/>
    <cellStyle name="Data Superscript 3 3 8 8" xfId="12230" xr:uid="{00000000-0005-0000-0000-00003D360000}"/>
    <cellStyle name="Data Superscript 3 3 8 8 2" xfId="12231" xr:uid="{00000000-0005-0000-0000-00003E360000}"/>
    <cellStyle name="Data Superscript 3 3 8 9" xfId="12232" xr:uid="{00000000-0005-0000-0000-00003F360000}"/>
    <cellStyle name="Data Superscript 3 3 8 9 2" xfId="12233" xr:uid="{00000000-0005-0000-0000-000040360000}"/>
    <cellStyle name="Data Superscript 3 3 9" xfId="12234" xr:uid="{00000000-0005-0000-0000-000041360000}"/>
    <cellStyle name="Data Superscript 3 3 9 10" xfId="12235" xr:uid="{00000000-0005-0000-0000-000042360000}"/>
    <cellStyle name="Data Superscript 3 3 9 2" xfId="12236" xr:uid="{00000000-0005-0000-0000-000043360000}"/>
    <cellStyle name="Data Superscript 3 3 9 2 2" xfId="12237" xr:uid="{00000000-0005-0000-0000-000044360000}"/>
    <cellStyle name="Data Superscript 3 3 9 3" xfId="12238" xr:uid="{00000000-0005-0000-0000-000045360000}"/>
    <cellStyle name="Data Superscript 3 3 9 3 2" xfId="12239" xr:uid="{00000000-0005-0000-0000-000046360000}"/>
    <cellStyle name="Data Superscript 3 3 9 4" xfId="12240" xr:uid="{00000000-0005-0000-0000-000047360000}"/>
    <cellStyle name="Data Superscript 3 3 9 4 2" xfId="12241" xr:uid="{00000000-0005-0000-0000-000048360000}"/>
    <cellStyle name="Data Superscript 3 3 9 5" xfId="12242" xr:uid="{00000000-0005-0000-0000-000049360000}"/>
    <cellStyle name="Data Superscript 3 3 9 5 2" xfId="12243" xr:uid="{00000000-0005-0000-0000-00004A360000}"/>
    <cellStyle name="Data Superscript 3 3 9 6" xfId="12244" xr:uid="{00000000-0005-0000-0000-00004B360000}"/>
    <cellStyle name="Data Superscript 3 3 9 6 2" xfId="12245" xr:uid="{00000000-0005-0000-0000-00004C360000}"/>
    <cellStyle name="Data Superscript 3 3 9 7" xfId="12246" xr:uid="{00000000-0005-0000-0000-00004D360000}"/>
    <cellStyle name="Data Superscript 3 3 9 7 2" xfId="12247" xr:uid="{00000000-0005-0000-0000-00004E360000}"/>
    <cellStyle name="Data Superscript 3 3 9 8" xfId="12248" xr:uid="{00000000-0005-0000-0000-00004F360000}"/>
    <cellStyle name="Data Superscript 3 3 9 8 2" xfId="12249" xr:uid="{00000000-0005-0000-0000-000050360000}"/>
    <cellStyle name="Data Superscript 3 3 9 9" xfId="12250" xr:uid="{00000000-0005-0000-0000-000051360000}"/>
    <cellStyle name="Data Superscript 3 3 9 9 2" xfId="12251" xr:uid="{00000000-0005-0000-0000-000052360000}"/>
    <cellStyle name="Data Superscript 3 4" xfId="12252" xr:uid="{00000000-0005-0000-0000-000053360000}"/>
    <cellStyle name="Data Superscript 3 4 10" xfId="12253" xr:uid="{00000000-0005-0000-0000-000054360000}"/>
    <cellStyle name="Data Superscript 3 4 10 2" xfId="12254" xr:uid="{00000000-0005-0000-0000-000055360000}"/>
    <cellStyle name="Data Superscript 3 4 10 2 2" xfId="12255" xr:uid="{00000000-0005-0000-0000-000056360000}"/>
    <cellStyle name="Data Superscript 3 4 10 3" xfId="12256" xr:uid="{00000000-0005-0000-0000-000057360000}"/>
    <cellStyle name="Data Superscript 3 4 10 3 2" xfId="12257" xr:uid="{00000000-0005-0000-0000-000058360000}"/>
    <cellStyle name="Data Superscript 3 4 10 4" xfId="12258" xr:uid="{00000000-0005-0000-0000-000059360000}"/>
    <cellStyle name="Data Superscript 3 4 10 4 2" xfId="12259" xr:uid="{00000000-0005-0000-0000-00005A360000}"/>
    <cellStyle name="Data Superscript 3 4 10 5" xfId="12260" xr:uid="{00000000-0005-0000-0000-00005B360000}"/>
    <cellStyle name="Data Superscript 3 4 10 5 2" xfId="12261" xr:uid="{00000000-0005-0000-0000-00005C360000}"/>
    <cellStyle name="Data Superscript 3 4 10 6" xfId="12262" xr:uid="{00000000-0005-0000-0000-00005D360000}"/>
    <cellStyle name="Data Superscript 3 4 10 6 2" xfId="12263" xr:uid="{00000000-0005-0000-0000-00005E360000}"/>
    <cellStyle name="Data Superscript 3 4 10 7" xfId="12264" xr:uid="{00000000-0005-0000-0000-00005F360000}"/>
    <cellStyle name="Data Superscript 3 4 10 7 2" xfId="12265" xr:uid="{00000000-0005-0000-0000-000060360000}"/>
    <cellStyle name="Data Superscript 3 4 10 8" xfId="12266" xr:uid="{00000000-0005-0000-0000-000061360000}"/>
    <cellStyle name="Data Superscript 3 4 10 8 2" xfId="12267" xr:uid="{00000000-0005-0000-0000-000062360000}"/>
    <cellStyle name="Data Superscript 3 4 10 9" xfId="12268" xr:uid="{00000000-0005-0000-0000-000063360000}"/>
    <cellStyle name="Data Superscript 3 4 11" xfId="12269" xr:uid="{00000000-0005-0000-0000-000064360000}"/>
    <cellStyle name="Data Superscript 3 4 11 2" xfId="12270" xr:uid="{00000000-0005-0000-0000-000065360000}"/>
    <cellStyle name="Data Superscript 3 4 12" xfId="12271" xr:uid="{00000000-0005-0000-0000-000066360000}"/>
    <cellStyle name="Data Superscript 3 4 12 2" xfId="12272" xr:uid="{00000000-0005-0000-0000-000067360000}"/>
    <cellStyle name="Data Superscript 3 4 13" xfId="12273" xr:uid="{00000000-0005-0000-0000-000068360000}"/>
    <cellStyle name="Data Superscript 3 4 13 2" xfId="12274" xr:uid="{00000000-0005-0000-0000-000069360000}"/>
    <cellStyle name="Data Superscript 3 4 14" xfId="12275" xr:uid="{00000000-0005-0000-0000-00006A360000}"/>
    <cellStyle name="Data Superscript 3 4 14 2" xfId="12276" xr:uid="{00000000-0005-0000-0000-00006B360000}"/>
    <cellStyle name="Data Superscript 3 4 15" xfId="12277" xr:uid="{00000000-0005-0000-0000-00006C360000}"/>
    <cellStyle name="Data Superscript 3 4 15 2" xfId="12278" xr:uid="{00000000-0005-0000-0000-00006D360000}"/>
    <cellStyle name="Data Superscript 3 4 16" xfId="12279" xr:uid="{00000000-0005-0000-0000-00006E360000}"/>
    <cellStyle name="Data Superscript 3 4 16 2" xfId="12280" xr:uid="{00000000-0005-0000-0000-00006F360000}"/>
    <cellStyle name="Data Superscript 3 4 17" xfId="12281" xr:uid="{00000000-0005-0000-0000-000070360000}"/>
    <cellStyle name="Data Superscript 3 4 17 2" xfId="12282" xr:uid="{00000000-0005-0000-0000-000071360000}"/>
    <cellStyle name="Data Superscript 3 4 18" xfId="12283" xr:uid="{00000000-0005-0000-0000-000072360000}"/>
    <cellStyle name="Data Superscript 3 4 2" xfId="12284" xr:uid="{00000000-0005-0000-0000-000073360000}"/>
    <cellStyle name="Data Superscript 3 4 2 10" xfId="12285" xr:uid="{00000000-0005-0000-0000-000074360000}"/>
    <cellStyle name="Data Superscript 3 4 2 2" xfId="12286" xr:uid="{00000000-0005-0000-0000-000075360000}"/>
    <cellStyle name="Data Superscript 3 4 2 2 2" xfId="12287" xr:uid="{00000000-0005-0000-0000-000076360000}"/>
    <cellStyle name="Data Superscript 3 4 2 3" xfId="12288" xr:uid="{00000000-0005-0000-0000-000077360000}"/>
    <cellStyle name="Data Superscript 3 4 2 3 2" xfId="12289" xr:uid="{00000000-0005-0000-0000-000078360000}"/>
    <cellStyle name="Data Superscript 3 4 2 4" xfId="12290" xr:uid="{00000000-0005-0000-0000-000079360000}"/>
    <cellStyle name="Data Superscript 3 4 2 4 2" xfId="12291" xr:uid="{00000000-0005-0000-0000-00007A360000}"/>
    <cellStyle name="Data Superscript 3 4 2 5" xfId="12292" xr:uid="{00000000-0005-0000-0000-00007B360000}"/>
    <cellStyle name="Data Superscript 3 4 2 5 2" xfId="12293" xr:uid="{00000000-0005-0000-0000-00007C360000}"/>
    <cellStyle name="Data Superscript 3 4 2 6" xfId="12294" xr:uid="{00000000-0005-0000-0000-00007D360000}"/>
    <cellStyle name="Data Superscript 3 4 2 6 2" xfId="12295" xr:uid="{00000000-0005-0000-0000-00007E360000}"/>
    <cellStyle name="Data Superscript 3 4 2 7" xfId="12296" xr:uid="{00000000-0005-0000-0000-00007F360000}"/>
    <cellStyle name="Data Superscript 3 4 2 7 2" xfId="12297" xr:uid="{00000000-0005-0000-0000-000080360000}"/>
    <cellStyle name="Data Superscript 3 4 2 8" xfId="12298" xr:uid="{00000000-0005-0000-0000-000081360000}"/>
    <cellStyle name="Data Superscript 3 4 2 8 2" xfId="12299" xr:uid="{00000000-0005-0000-0000-000082360000}"/>
    <cellStyle name="Data Superscript 3 4 2 9" xfId="12300" xr:uid="{00000000-0005-0000-0000-000083360000}"/>
    <cellStyle name="Data Superscript 3 4 2 9 2" xfId="12301" xr:uid="{00000000-0005-0000-0000-000084360000}"/>
    <cellStyle name="Data Superscript 3 4 3" xfId="12302" xr:uid="{00000000-0005-0000-0000-000085360000}"/>
    <cellStyle name="Data Superscript 3 4 3 10" xfId="12303" xr:uid="{00000000-0005-0000-0000-000086360000}"/>
    <cellStyle name="Data Superscript 3 4 3 2" xfId="12304" xr:uid="{00000000-0005-0000-0000-000087360000}"/>
    <cellStyle name="Data Superscript 3 4 3 2 2" xfId="12305" xr:uid="{00000000-0005-0000-0000-000088360000}"/>
    <cellStyle name="Data Superscript 3 4 3 3" xfId="12306" xr:uid="{00000000-0005-0000-0000-000089360000}"/>
    <cellStyle name="Data Superscript 3 4 3 3 2" xfId="12307" xr:uid="{00000000-0005-0000-0000-00008A360000}"/>
    <cellStyle name="Data Superscript 3 4 3 4" xfId="12308" xr:uid="{00000000-0005-0000-0000-00008B360000}"/>
    <cellStyle name="Data Superscript 3 4 3 4 2" xfId="12309" xr:uid="{00000000-0005-0000-0000-00008C360000}"/>
    <cellStyle name="Data Superscript 3 4 3 5" xfId="12310" xr:uid="{00000000-0005-0000-0000-00008D360000}"/>
    <cellStyle name="Data Superscript 3 4 3 5 2" xfId="12311" xr:uid="{00000000-0005-0000-0000-00008E360000}"/>
    <cellStyle name="Data Superscript 3 4 3 6" xfId="12312" xr:uid="{00000000-0005-0000-0000-00008F360000}"/>
    <cellStyle name="Data Superscript 3 4 3 6 2" xfId="12313" xr:uid="{00000000-0005-0000-0000-000090360000}"/>
    <cellStyle name="Data Superscript 3 4 3 7" xfId="12314" xr:uid="{00000000-0005-0000-0000-000091360000}"/>
    <cellStyle name="Data Superscript 3 4 3 7 2" xfId="12315" xr:uid="{00000000-0005-0000-0000-000092360000}"/>
    <cellStyle name="Data Superscript 3 4 3 8" xfId="12316" xr:uid="{00000000-0005-0000-0000-000093360000}"/>
    <cellStyle name="Data Superscript 3 4 3 8 2" xfId="12317" xr:uid="{00000000-0005-0000-0000-000094360000}"/>
    <cellStyle name="Data Superscript 3 4 3 9" xfId="12318" xr:uid="{00000000-0005-0000-0000-000095360000}"/>
    <cellStyle name="Data Superscript 3 4 3 9 2" xfId="12319" xr:uid="{00000000-0005-0000-0000-000096360000}"/>
    <cellStyle name="Data Superscript 3 4 4" xfId="12320" xr:uid="{00000000-0005-0000-0000-000097360000}"/>
    <cellStyle name="Data Superscript 3 4 4 10" xfId="12321" xr:uid="{00000000-0005-0000-0000-000098360000}"/>
    <cellStyle name="Data Superscript 3 4 4 2" xfId="12322" xr:uid="{00000000-0005-0000-0000-000099360000}"/>
    <cellStyle name="Data Superscript 3 4 4 2 2" xfId="12323" xr:uid="{00000000-0005-0000-0000-00009A360000}"/>
    <cellStyle name="Data Superscript 3 4 4 3" xfId="12324" xr:uid="{00000000-0005-0000-0000-00009B360000}"/>
    <cellStyle name="Data Superscript 3 4 4 3 2" xfId="12325" xr:uid="{00000000-0005-0000-0000-00009C360000}"/>
    <cellStyle name="Data Superscript 3 4 4 4" xfId="12326" xr:uid="{00000000-0005-0000-0000-00009D360000}"/>
    <cellStyle name="Data Superscript 3 4 4 4 2" xfId="12327" xr:uid="{00000000-0005-0000-0000-00009E360000}"/>
    <cellStyle name="Data Superscript 3 4 4 5" xfId="12328" xr:uid="{00000000-0005-0000-0000-00009F360000}"/>
    <cellStyle name="Data Superscript 3 4 4 5 2" xfId="12329" xr:uid="{00000000-0005-0000-0000-0000A0360000}"/>
    <cellStyle name="Data Superscript 3 4 4 6" xfId="12330" xr:uid="{00000000-0005-0000-0000-0000A1360000}"/>
    <cellStyle name="Data Superscript 3 4 4 6 2" xfId="12331" xr:uid="{00000000-0005-0000-0000-0000A2360000}"/>
    <cellStyle name="Data Superscript 3 4 4 7" xfId="12332" xr:uid="{00000000-0005-0000-0000-0000A3360000}"/>
    <cellStyle name="Data Superscript 3 4 4 7 2" xfId="12333" xr:uid="{00000000-0005-0000-0000-0000A4360000}"/>
    <cellStyle name="Data Superscript 3 4 4 8" xfId="12334" xr:uid="{00000000-0005-0000-0000-0000A5360000}"/>
    <cellStyle name="Data Superscript 3 4 4 8 2" xfId="12335" xr:uid="{00000000-0005-0000-0000-0000A6360000}"/>
    <cellStyle name="Data Superscript 3 4 4 9" xfId="12336" xr:uid="{00000000-0005-0000-0000-0000A7360000}"/>
    <cellStyle name="Data Superscript 3 4 4 9 2" xfId="12337" xr:uid="{00000000-0005-0000-0000-0000A8360000}"/>
    <cellStyle name="Data Superscript 3 4 5" xfId="12338" xr:uid="{00000000-0005-0000-0000-0000A9360000}"/>
    <cellStyle name="Data Superscript 3 4 5 10" xfId="12339" xr:uid="{00000000-0005-0000-0000-0000AA360000}"/>
    <cellStyle name="Data Superscript 3 4 5 2" xfId="12340" xr:uid="{00000000-0005-0000-0000-0000AB360000}"/>
    <cellStyle name="Data Superscript 3 4 5 2 2" xfId="12341" xr:uid="{00000000-0005-0000-0000-0000AC360000}"/>
    <cellStyle name="Data Superscript 3 4 5 3" xfId="12342" xr:uid="{00000000-0005-0000-0000-0000AD360000}"/>
    <cellStyle name="Data Superscript 3 4 5 3 2" xfId="12343" xr:uid="{00000000-0005-0000-0000-0000AE360000}"/>
    <cellStyle name="Data Superscript 3 4 5 4" xfId="12344" xr:uid="{00000000-0005-0000-0000-0000AF360000}"/>
    <cellStyle name="Data Superscript 3 4 5 4 2" xfId="12345" xr:uid="{00000000-0005-0000-0000-0000B0360000}"/>
    <cellStyle name="Data Superscript 3 4 5 5" xfId="12346" xr:uid="{00000000-0005-0000-0000-0000B1360000}"/>
    <cellStyle name="Data Superscript 3 4 5 5 2" xfId="12347" xr:uid="{00000000-0005-0000-0000-0000B2360000}"/>
    <cellStyle name="Data Superscript 3 4 5 6" xfId="12348" xr:uid="{00000000-0005-0000-0000-0000B3360000}"/>
    <cellStyle name="Data Superscript 3 4 5 6 2" xfId="12349" xr:uid="{00000000-0005-0000-0000-0000B4360000}"/>
    <cellStyle name="Data Superscript 3 4 5 7" xfId="12350" xr:uid="{00000000-0005-0000-0000-0000B5360000}"/>
    <cellStyle name="Data Superscript 3 4 5 7 2" xfId="12351" xr:uid="{00000000-0005-0000-0000-0000B6360000}"/>
    <cellStyle name="Data Superscript 3 4 5 8" xfId="12352" xr:uid="{00000000-0005-0000-0000-0000B7360000}"/>
    <cellStyle name="Data Superscript 3 4 5 8 2" xfId="12353" xr:uid="{00000000-0005-0000-0000-0000B8360000}"/>
    <cellStyle name="Data Superscript 3 4 5 9" xfId="12354" xr:uid="{00000000-0005-0000-0000-0000B9360000}"/>
    <cellStyle name="Data Superscript 3 4 5 9 2" xfId="12355" xr:uid="{00000000-0005-0000-0000-0000BA360000}"/>
    <cellStyle name="Data Superscript 3 4 6" xfId="12356" xr:uid="{00000000-0005-0000-0000-0000BB360000}"/>
    <cellStyle name="Data Superscript 3 4 6 10" xfId="12357" xr:uid="{00000000-0005-0000-0000-0000BC360000}"/>
    <cellStyle name="Data Superscript 3 4 6 2" xfId="12358" xr:uid="{00000000-0005-0000-0000-0000BD360000}"/>
    <cellStyle name="Data Superscript 3 4 6 2 2" xfId="12359" xr:uid="{00000000-0005-0000-0000-0000BE360000}"/>
    <cellStyle name="Data Superscript 3 4 6 3" xfId="12360" xr:uid="{00000000-0005-0000-0000-0000BF360000}"/>
    <cellStyle name="Data Superscript 3 4 6 3 2" xfId="12361" xr:uid="{00000000-0005-0000-0000-0000C0360000}"/>
    <cellStyle name="Data Superscript 3 4 6 4" xfId="12362" xr:uid="{00000000-0005-0000-0000-0000C1360000}"/>
    <cellStyle name="Data Superscript 3 4 6 4 2" xfId="12363" xr:uid="{00000000-0005-0000-0000-0000C2360000}"/>
    <cellStyle name="Data Superscript 3 4 6 5" xfId="12364" xr:uid="{00000000-0005-0000-0000-0000C3360000}"/>
    <cellStyle name="Data Superscript 3 4 6 5 2" xfId="12365" xr:uid="{00000000-0005-0000-0000-0000C4360000}"/>
    <cellStyle name="Data Superscript 3 4 6 6" xfId="12366" xr:uid="{00000000-0005-0000-0000-0000C5360000}"/>
    <cellStyle name="Data Superscript 3 4 6 6 2" xfId="12367" xr:uid="{00000000-0005-0000-0000-0000C6360000}"/>
    <cellStyle name="Data Superscript 3 4 6 7" xfId="12368" xr:uid="{00000000-0005-0000-0000-0000C7360000}"/>
    <cellStyle name="Data Superscript 3 4 6 7 2" xfId="12369" xr:uid="{00000000-0005-0000-0000-0000C8360000}"/>
    <cellStyle name="Data Superscript 3 4 6 8" xfId="12370" xr:uid="{00000000-0005-0000-0000-0000C9360000}"/>
    <cellStyle name="Data Superscript 3 4 6 8 2" xfId="12371" xr:uid="{00000000-0005-0000-0000-0000CA360000}"/>
    <cellStyle name="Data Superscript 3 4 6 9" xfId="12372" xr:uid="{00000000-0005-0000-0000-0000CB360000}"/>
    <cellStyle name="Data Superscript 3 4 6 9 2" xfId="12373" xr:uid="{00000000-0005-0000-0000-0000CC360000}"/>
    <cellStyle name="Data Superscript 3 4 7" xfId="12374" xr:uid="{00000000-0005-0000-0000-0000CD360000}"/>
    <cellStyle name="Data Superscript 3 4 7 10" xfId="12375" xr:uid="{00000000-0005-0000-0000-0000CE360000}"/>
    <cellStyle name="Data Superscript 3 4 7 2" xfId="12376" xr:uid="{00000000-0005-0000-0000-0000CF360000}"/>
    <cellStyle name="Data Superscript 3 4 7 2 2" xfId="12377" xr:uid="{00000000-0005-0000-0000-0000D0360000}"/>
    <cellStyle name="Data Superscript 3 4 7 3" xfId="12378" xr:uid="{00000000-0005-0000-0000-0000D1360000}"/>
    <cellStyle name="Data Superscript 3 4 7 3 2" xfId="12379" xr:uid="{00000000-0005-0000-0000-0000D2360000}"/>
    <cellStyle name="Data Superscript 3 4 7 4" xfId="12380" xr:uid="{00000000-0005-0000-0000-0000D3360000}"/>
    <cellStyle name="Data Superscript 3 4 7 4 2" xfId="12381" xr:uid="{00000000-0005-0000-0000-0000D4360000}"/>
    <cellStyle name="Data Superscript 3 4 7 5" xfId="12382" xr:uid="{00000000-0005-0000-0000-0000D5360000}"/>
    <cellStyle name="Data Superscript 3 4 7 5 2" xfId="12383" xr:uid="{00000000-0005-0000-0000-0000D6360000}"/>
    <cellStyle name="Data Superscript 3 4 7 6" xfId="12384" xr:uid="{00000000-0005-0000-0000-0000D7360000}"/>
    <cellStyle name="Data Superscript 3 4 7 6 2" xfId="12385" xr:uid="{00000000-0005-0000-0000-0000D8360000}"/>
    <cellStyle name="Data Superscript 3 4 7 7" xfId="12386" xr:uid="{00000000-0005-0000-0000-0000D9360000}"/>
    <cellStyle name="Data Superscript 3 4 7 7 2" xfId="12387" xr:uid="{00000000-0005-0000-0000-0000DA360000}"/>
    <cellStyle name="Data Superscript 3 4 7 8" xfId="12388" xr:uid="{00000000-0005-0000-0000-0000DB360000}"/>
    <cellStyle name="Data Superscript 3 4 7 8 2" xfId="12389" xr:uid="{00000000-0005-0000-0000-0000DC360000}"/>
    <cellStyle name="Data Superscript 3 4 7 9" xfId="12390" xr:uid="{00000000-0005-0000-0000-0000DD360000}"/>
    <cellStyle name="Data Superscript 3 4 7 9 2" xfId="12391" xr:uid="{00000000-0005-0000-0000-0000DE360000}"/>
    <cellStyle name="Data Superscript 3 4 8" xfId="12392" xr:uid="{00000000-0005-0000-0000-0000DF360000}"/>
    <cellStyle name="Data Superscript 3 4 8 10" xfId="12393" xr:uid="{00000000-0005-0000-0000-0000E0360000}"/>
    <cellStyle name="Data Superscript 3 4 8 2" xfId="12394" xr:uid="{00000000-0005-0000-0000-0000E1360000}"/>
    <cellStyle name="Data Superscript 3 4 8 2 2" xfId="12395" xr:uid="{00000000-0005-0000-0000-0000E2360000}"/>
    <cellStyle name="Data Superscript 3 4 8 3" xfId="12396" xr:uid="{00000000-0005-0000-0000-0000E3360000}"/>
    <cellStyle name="Data Superscript 3 4 8 3 2" xfId="12397" xr:uid="{00000000-0005-0000-0000-0000E4360000}"/>
    <cellStyle name="Data Superscript 3 4 8 4" xfId="12398" xr:uid="{00000000-0005-0000-0000-0000E5360000}"/>
    <cellStyle name="Data Superscript 3 4 8 4 2" xfId="12399" xr:uid="{00000000-0005-0000-0000-0000E6360000}"/>
    <cellStyle name="Data Superscript 3 4 8 5" xfId="12400" xr:uid="{00000000-0005-0000-0000-0000E7360000}"/>
    <cellStyle name="Data Superscript 3 4 8 5 2" xfId="12401" xr:uid="{00000000-0005-0000-0000-0000E8360000}"/>
    <cellStyle name="Data Superscript 3 4 8 6" xfId="12402" xr:uid="{00000000-0005-0000-0000-0000E9360000}"/>
    <cellStyle name="Data Superscript 3 4 8 6 2" xfId="12403" xr:uid="{00000000-0005-0000-0000-0000EA360000}"/>
    <cellStyle name="Data Superscript 3 4 8 7" xfId="12404" xr:uid="{00000000-0005-0000-0000-0000EB360000}"/>
    <cellStyle name="Data Superscript 3 4 8 7 2" xfId="12405" xr:uid="{00000000-0005-0000-0000-0000EC360000}"/>
    <cellStyle name="Data Superscript 3 4 8 8" xfId="12406" xr:uid="{00000000-0005-0000-0000-0000ED360000}"/>
    <cellStyle name="Data Superscript 3 4 8 8 2" xfId="12407" xr:uid="{00000000-0005-0000-0000-0000EE360000}"/>
    <cellStyle name="Data Superscript 3 4 8 9" xfId="12408" xr:uid="{00000000-0005-0000-0000-0000EF360000}"/>
    <cellStyle name="Data Superscript 3 4 8 9 2" xfId="12409" xr:uid="{00000000-0005-0000-0000-0000F0360000}"/>
    <cellStyle name="Data Superscript 3 4 9" xfId="12410" xr:uid="{00000000-0005-0000-0000-0000F1360000}"/>
    <cellStyle name="Data Superscript 3 4 9 10" xfId="12411" xr:uid="{00000000-0005-0000-0000-0000F2360000}"/>
    <cellStyle name="Data Superscript 3 4 9 2" xfId="12412" xr:uid="{00000000-0005-0000-0000-0000F3360000}"/>
    <cellStyle name="Data Superscript 3 4 9 2 2" xfId="12413" xr:uid="{00000000-0005-0000-0000-0000F4360000}"/>
    <cellStyle name="Data Superscript 3 4 9 3" xfId="12414" xr:uid="{00000000-0005-0000-0000-0000F5360000}"/>
    <cellStyle name="Data Superscript 3 4 9 3 2" xfId="12415" xr:uid="{00000000-0005-0000-0000-0000F6360000}"/>
    <cellStyle name="Data Superscript 3 4 9 4" xfId="12416" xr:uid="{00000000-0005-0000-0000-0000F7360000}"/>
    <cellStyle name="Data Superscript 3 4 9 4 2" xfId="12417" xr:uid="{00000000-0005-0000-0000-0000F8360000}"/>
    <cellStyle name="Data Superscript 3 4 9 5" xfId="12418" xr:uid="{00000000-0005-0000-0000-0000F9360000}"/>
    <cellStyle name="Data Superscript 3 4 9 5 2" xfId="12419" xr:uid="{00000000-0005-0000-0000-0000FA360000}"/>
    <cellStyle name="Data Superscript 3 4 9 6" xfId="12420" xr:uid="{00000000-0005-0000-0000-0000FB360000}"/>
    <cellStyle name="Data Superscript 3 4 9 6 2" xfId="12421" xr:uid="{00000000-0005-0000-0000-0000FC360000}"/>
    <cellStyle name="Data Superscript 3 4 9 7" xfId="12422" xr:uid="{00000000-0005-0000-0000-0000FD360000}"/>
    <cellStyle name="Data Superscript 3 4 9 7 2" xfId="12423" xr:uid="{00000000-0005-0000-0000-0000FE360000}"/>
    <cellStyle name="Data Superscript 3 4 9 8" xfId="12424" xr:uid="{00000000-0005-0000-0000-0000FF360000}"/>
    <cellStyle name="Data Superscript 3 4 9 8 2" xfId="12425" xr:uid="{00000000-0005-0000-0000-000000370000}"/>
    <cellStyle name="Data Superscript 3 4 9 9" xfId="12426" xr:uid="{00000000-0005-0000-0000-000001370000}"/>
    <cellStyle name="Data Superscript 3 4 9 9 2" xfId="12427" xr:uid="{00000000-0005-0000-0000-000002370000}"/>
    <cellStyle name="Data Superscript 3 5" xfId="12428" xr:uid="{00000000-0005-0000-0000-000003370000}"/>
    <cellStyle name="Data Superscript 3 5 10" xfId="12429" xr:uid="{00000000-0005-0000-0000-000004370000}"/>
    <cellStyle name="Data Superscript 3 5 10 2" xfId="12430" xr:uid="{00000000-0005-0000-0000-000005370000}"/>
    <cellStyle name="Data Superscript 3 5 10 2 2" xfId="12431" xr:uid="{00000000-0005-0000-0000-000006370000}"/>
    <cellStyle name="Data Superscript 3 5 10 3" xfId="12432" xr:uid="{00000000-0005-0000-0000-000007370000}"/>
    <cellStyle name="Data Superscript 3 5 10 3 2" xfId="12433" xr:uid="{00000000-0005-0000-0000-000008370000}"/>
    <cellStyle name="Data Superscript 3 5 10 4" xfId="12434" xr:uid="{00000000-0005-0000-0000-000009370000}"/>
    <cellStyle name="Data Superscript 3 5 10 4 2" xfId="12435" xr:uid="{00000000-0005-0000-0000-00000A370000}"/>
    <cellStyle name="Data Superscript 3 5 10 5" xfId="12436" xr:uid="{00000000-0005-0000-0000-00000B370000}"/>
    <cellStyle name="Data Superscript 3 5 10 5 2" xfId="12437" xr:uid="{00000000-0005-0000-0000-00000C370000}"/>
    <cellStyle name="Data Superscript 3 5 10 6" xfId="12438" xr:uid="{00000000-0005-0000-0000-00000D370000}"/>
    <cellStyle name="Data Superscript 3 5 10 6 2" xfId="12439" xr:uid="{00000000-0005-0000-0000-00000E370000}"/>
    <cellStyle name="Data Superscript 3 5 10 7" xfId="12440" xr:uid="{00000000-0005-0000-0000-00000F370000}"/>
    <cellStyle name="Data Superscript 3 5 10 7 2" xfId="12441" xr:uid="{00000000-0005-0000-0000-000010370000}"/>
    <cellStyle name="Data Superscript 3 5 10 8" xfId="12442" xr:uid="{00000000-0005-0000-0000-000011370000}"/>
    <cellStyle name="Data Superscript 3 5 10 8 2" xfId="12443" xr:uid="{00000000-0005-0000-0000-000012370000}"/>
    <cellStyle name="Data Superscript 3 5 10 9" xfId="12444" xr:uid="{00000000-0005-0000-0000-000013370000}"/>
    <cellStyle name="Data Superscript 3 5 11" xfId="12445" xr:uid="{00000000-0005-0000-0000-000014370000}"/>
    <cellStyle name="Data Superscript 3 5 11 2" xfId="12446" xr:uid="{00000000-0005-0000-0000-000015370000}"/>
    <cellStyle name="Data Superscript 3 5 12" xfId="12447" xr:uid="{00000000-0005-0000-0000-000016370000}"/>
    <cellStyle name="Data Superscript 3 5 12 2" xfId="12448" xr:uid="{00000000-0005-0000-0000-000017370000}"/>
    <cellStyle name="Data Superscript 3 5 13" xfId="12449" xr:uid="{00000000-0005-0000-0000-000018370000}"/>
    <cellStyle name="Data Superscript 3 5 13 2" xfId="12450" xr:uid="{00000000-0005-0000-0000-000019370000}"/>
    <cellStyle name="Data Superscript 3 5 14" xfId="12451" xr:uid="{00000000-0005-0000-0000-00001A370000}"/>
    <cellStyle name="Data Superscript 3 5 14 2" xfId="12452" xr:uid="{00000000-0005-0000-0000-00001B370000}"/>
    <cellStyle name="Data Superscript 3 5 15" xfId="12453" xr:uid="{00000000-0005-0000-0000-00001C370000}"/>
    <cellStyle name="Data Superscript 3 5 15 2" xfId="12454" xr:uid="{00000000-0005-0000-0000-00001D370000}"/>
    <cellStyle name="Data Superscript 3 5 16" xfId="12455" xr:uid="{00000000-0005-0000-0000-00001E370000}"/>
    <cellStyle name="Data Superscript 3 5 16 2" xfId="12456" xr:uid="{00000000-0005-0000-0000-00001F370000}"/>
    <cellStyle name="Data Superscript 3 5 17" xfId="12457" xr:uid="{00000000-0005-0000-0000-000020370000}"/>
    <cellStyle name="Data Superscript 3 5 17 2" xfId="12458" xr:uid="{00000000-0005-0000-0000-000021370000}"/>
    <cellStyle name="Data Superscript 3 5 18" xfId="12459" xr:uid="{00000000-0005-0000-0000-000022370000}"/>
    <cellStyle name="Data Superscript 3 5 2" xfId="12460" xr:uid="{00000000-0005-0000-0000-000023370000}"/>
    <cellStyle name="Data Superscript 3 5 2 10" xfId="12461" xr:uid="{00000000-0005-0000-0000-000024370000}"/>
    <cellStyle name="Data Superscript 3 5 2 2" xfId="12462" xr:uid="{00000000-0005-0000-0000-000025370000}"/>
    <cellStyle name="Data Superscript 3 5 2 2 2" xfId="12463" xr:uid="{00000000-0005-0000-0000-000026370000}"/>
    <cellStyle name="Data Superscript 3 5 2 3" xfId="12464" xr:uid="{00000000-0005-0000-0000-000027370000}"/>
    <cellStyle name="Data Superscript 3 5 2 3 2" xfId="12465" xr:uid="{00000000-0005-0000-0000-000028370000}"/>
    <cellStyle name="Data Superscript 3 5 2 4" xfId="12466" xr:uid="{00000000-0005-0000-0000-000029370000}"/>
    <cellStyle name="Data Superscript 3 5 2 4 2" xfId="12467" xr:uid="{00000000-0005-0000-0000-00002A370000}"/>
    <cellStyle name="Data Superscript 3 5 2 5" xfId="12468" xr:uid="{00000000-0005-0000-0000-00002B370000}"/>
    <cellStyle name="Data Superscript 3 5 2 5 2" xfId="12469" xr:uid="{00000000-0005-0000-0000-00002C370000}"/>
    <cellStyle name="Data Superscript 3 5 2 6" xfId="12470" xr:uid="{00000000-0005-0000-0000-00002D370000}"/>
    <cellStyle name="Data Superscript 3 5 2 6 2" xfId="12471" xr:uid="{00000000-0005-0000-0000-00002E370000}"/>
    <cellStyle name="Data Superscript 3 5 2 7" xfId="12472" xr:uid="{00000000-0005-0000-0000-00002F370000}"/>
    <cellStyle name="Data Superscript 3 5 2 7 2" xfId="12473" xr:uid="{00000000-0005-0000-0000-000030370000}"/>
    <cellStyle name="Data Superscript 3 5 2 8" xfId="12474" xr:uid="{00000000-0005-0000-0000-000031370000}"/>
    <cellStyle name="Data Superscript 3 5 2 8 2" xfId="12475" xr:uid="{00000000-0005-0000-0000-000032370000}"/>
    <cellStyle name="Data Superscript 3 5 2 9" xfId="12476" xr:uid="{00000000-0005-0000-0000-000033370000}"/>
    <cellStyle name="Data Superscript 3 5 2 9 2" xfId="12477" xr:uid="{00000000-0005-0000-0000-000034370000}"/>
    <cellStyle name="Data Superscript 3 5 3" xfId="12478" xr:uid="{00000000-0005-0000-0000-000035370000}"/>
    <cellStyle name="Data Superscript 3 5 3 10" xfId="12479" xr:uid="{00000000-0005-0000-0000-000036370000}"/>
    <cellStyle name="Data Superscript 3 5 3 2" xfId="12480" xr:uid="{00000000-0005-0000-0000-000037370000}"/>
    <cellStyle name="Data Superscript 3 5 3 2 2" xfId="12481" xr:uid="{00000000-0005-0000-0000-000038370000}"/>
    <cellStyle name="Data Superscript 3 5 3 3" xfId="12482" xr:uid="{00000000-0005-0000-0000-000039370000}"/>
    <cellStyle name="Data Superscript 3 5 3 3 2" xfId="12483" xr:uid="{00000000-0005-0000-0000-00003A370000}"/>
    <cellStyle name="Data Superscript 3 5 3 4" xfId="12484" xr:uid="{00000000-0005-0000-0000-00003B370000}"/>
    <cellStyle name="Data Superscript 3 5 3 4 2" xfId="12485" xr:uid="{00000000-0005-0000-0000-00003C370000}"/>
    <cellStyle name="Data Superscript 3 5 3 5" xfId="12486" xr:uid="{00000000-0005-0000-0000-00003D370000}"/>
    <cellStyle name="Data Superscript 3 5 3 5 2" xfId="12487" xr:uid="{00000000-0005-0000-0000-00003E370000}"/>
    <cellStyle name="Data Superscript 3 5 3 6" xfId="12488" xr:uid="{00000000-0005-0000-0000-00003F370000}"/>
    <cellStyle name="Data Superscript 3 5 3 6 2" xfId="12489" xr:uid="{00000000-0005-0000-0000-000040370000}"/>
    <cellStyle name="Data Superscript 3 5 3 7" xfId="12490" xr:uid="{00000000-0005-0000-0000-000041370000}"/>
    <cellStyle name="Data Superscript 3 5 3 7 2" xfId="12491" xr:uid="{00000000-0005-0000-0000-000042370000}"/>
    <cellStyle name="Data Superscript 3 5 3 8" xfId="12492" xr:uid="{00000000-0005-0000-0000-000043370000}"/>
    <cellStyle name="Data Superscript 3 5 3 8 2" xfId="12493" xr:uid="{00000000-0005-0000-0000-000044370000}"/>
    <cellStyle name="Data Superscript 3 5 3 9" xfId="12494" xr:uid="{00000000-0005-0000-0000-000045370000}"/>
    <cellStyle name="Data Superscript 3 5 3 9 2" xfId="12495" xr:uid="{00000000-0005-0000-0000-000046370000}"/>
    <cellStyle name="Data Superscript 3 5 4" xfId="12496" xr:uid="{00000000-0005-0000-0000-000047370000}"/>
    <cellStyle name="Data Superscript 3 5 4 10" xfId="12497" xr:uid="{00000000-0005-0000-0000-000048370000}"/>
    <cellStyle name="Data Superscript 3 5 4 2" xfId="12498" xr:uid="{00000000-0005-0000-0000-000049370000}"/>
    <cellStyle name="Data Superscript 3 5 4 2 2" xfId="12499" xr:uid="{00000000-0005-0000-0000-00004A370000}"/>
    <cellStyle name="Data Superscript 3 5 4 3" xfId="12500" xr:uid="{00000000-0005-0000-0000-00004B370000}"/>
    <cellStyle name="Data Superscript 3 5 4 3 2" xfId="12501" xr:uid="{00000000-0005-0000-0000-00004C370000}"/>
    <cellStyle name="Data Superscript 3 5 4 4" xfId="12502" xr:uid="{00000000-0005-0000-0000-00004D370000}"/>
    <cellStyle name="Data Superscript 3 5 4 4 2" xfId="12503" xr:uid="{00000000-0005-0000-0000-00004E370000}"/>
    <cellStyle name="Data Superscript 3 5 4 5" xfId="12504" xr:uid="{00000000-0005-0000-0000-00004F370000}"/>
    <cellStyle name="Data Superscript 3 5 4 5 2" xfId="12505" xr:uid="{00000000-0005-0000-0000-000050370000}"/>
    <cellStyle name="Data Superscript 3 5 4 6" xfId="12506" xr:uid="{00000000-0005-0000-0000-000051370000}"/>
    <cellStyle name="Data Superscript 3 5 4 6 2" xfId="12507" xr:uid="{00000000-0005-0000-0000-000052370000}"/>
    <cellStyle name="Data Superscript 3 5 4 7" xfId="12508" xr:uid="{00000000-0005-0000-0000-000053370000}"/>
    <cellStyle name="Data Superscript 3 5 4 7 2" xfId="12509" xr:uid="{00000000-0005-0000-0000-000054370000}"/>
    <cellStyle name="Data Superscript 3 5 4 8" xfId="12510" xr:uid="{00000000-0005-0000-0000-000055370000}"/>
    <cellStyle name="Data Superscript 3 5 4 8 2" xfId="12511" xr:uid="{00000000-0005-0000-0000-000056370000}"/>
    <cellStyle name="Data Superscript 3 5 4 9" xfId="12512" xr:uid="{00000000-0005-0000-0000-000057370000}"/>
    <cellStyle name="Data Superscript 3 5 4 9 2" xfId="12513" xr:uid="{00000000-0005-0000-0000-000058370000}"/>
    <cellStyle name="Data Superscript 3 5 5" xfId="12514" xr:uid="{00000000-0005-0000-0000-000059370000}"/>
    <cellStyle name="Data Superscript 3 5 5 10" xfId="12515" xr:uid="{00000000-0005-0000-0000-00005A370000}"/>
    <cellStyle name="Data Superscript 3 5 5 2" xfId="12516" xr:uid="{00000000-0005-0000-0000-00005B370000}"/>
    <cellStyle name="Data Superscript 3 5 5 2 2" xfId="12517" xr:uid="{00000000-0005-0000-0000-00005C370000}"/>
    <cellStyle name="Data Superscript 3 5 5 3" xfId="12518" xr:uid="{00000000-0005-0000-0000-00005D370000}"/>
    <cellStyle name="Data Superscript 3 5 5 3 2" xfId="12519" xr:uid="{00000000-0005-0000-0000-00005E370000}"/>
    <cellStyle name="Data Superscript 3 5 5 4" xfId="12520" xr:uid="{00000000-0005-0000-0000-00005F370000}"/>
    <cellStyle name="Data Superscript 3 5 5 4 2" xfId="12521" xr:uid="{00000000-0005-0000-0000-000060370000}"/>
    <cellStyle name="Data Superscript 3 5 5 5" xfId="12522" xr:uid="{00000000-0005-0000-0000-000061370000}"/>
    <cellStyle name="Data Superscript 3 5 5 5 2" xfId="12523" xr:uid="{00000000-0005-0000-0000-000062370000}"/>
    <cellStyle name="Data Superscript 3 5 5 6" xfId="12524" xr:uid="{00000000-0005-0000-0000-000063370000}"/>
    <cellStyle name="Data Superscript 3 5 5 6 2" xfId="12525" xr:uid="{00000000-0005-0000-0000-000064370000}"/>
    <cellStyle name="Data Superscript 3 5 5 7" xfId="12526" xr:uid="{00000000-0005-0000-0000-000065370000}"/>
    <cellStyle name="Data Superscript 3 5 5 7 2" xfId="12527" xr:uid="{00000000-0005-0000-0000-000066370000}"/>
    <cellStyle name="Data Superscript 3 5 5 8" xfId="12528" xr:uid="{00000000-0005-0000-0000-000067370000}"/>
    <cellStyle name="Data Superscript 3 5 5 8 2" xfId="12529" xr:uid="{00000000-0005-0000-0000-000068370000}"/>
    <cellStyle name="Data Superscript 3 5 5 9" xfId="12530" xr:uid="{00000000-0005-0000-0000-000069370000}"/>
    <cellStyle name="Data Superscript 3 5 5 9 2" xfId="12531" xr:uid="{00000000-0005-0000-0000-00006A370000}"/>
    <cellStyle name="Data Superscript 3 5 6" xfId="12532" xr:uid="{00000000-0005-0000-0000-00006B370000}"/>
    <cellStyle name="Data Superscript 3 5 6 10" xfId="12533" xr:uid="{00000000-0005-0000-0000-00006C370000}"/>
    <cellStyle name="Data Superscript 3 5 6 2" xfId="12534" xr:uid="{00000000-0005-0000-0000-00006D370000}"/>
    <cellStyle name="Data Superscript 3 5 6 2 2" xfId="12535" xr:uid="{00000000-0005-0000-0000-00006E370000}"/>
    <cellStyle name="Data Superscript 3 5 6 3" xfId="12536" xr:uid="{00000000-0005-0000-0000-00006F370000}"/>
    <cellStyle name="Data Superscript 3 5 6 3 2" xfId="12537" xr:uid="{00000000-0005-0000-0000-000070370000}"/>
    <cellStyle name="Data Superscript 3 5 6 4" xfId="12538" xr:uid="{00000000-0005-0000-0000-000071370000}"/>
    <cellStyle name="Data Superscript 3 5 6 4 2" xfId="12539" xr:uid="{00000000-0005-0000-0000-000072370000}"/>
    <cellStyle name="Data Superscript 3 5 6 5" xfId="12540" xr:uid="{00000000-0005-0000-0000-000073370000}"/>
    <cellStyle name="Data Superscript 3 5 6 5 2" xfId="12541" xr:uid="{00000000-0005-0000-0000-000074370000}"/>
    <cellStyle name="Data Superscript 3 5 6 6" xfId="12542" xr:uid="{00000000-0005-0000-0000-000075370000}"/>
    <cellStyle name="Data Superscript 3 5 6 6 2" xfId="12543" xr:uid="{00000000-0005-0000-0000-000076370000}"/>
    <cellStyle name="Data Superscript 3 5 6 7" xfId="12544" xr:uid="{00000000-0005-0000-0000-000077370000}"/>
    <cellStyle name="Data Superscript 3 5 6 7 2" xfId="12545" xr:uid="{00000000-0005-0000-0000-000078370000}"/>
    <cellStyle name="Data Superscript 3 5 6 8" xfId="12546" xr:uid="{00000000-0005-0000-0000-000079370000}"/>
    <cellStyle name="Data Superscript 3 5 6 8 2" xfId="12547" xr:uid="{00000000-0005-0000-0000-00007A370000}"/>
    <cellStyle name="Data Superscript 3 5 6 9" xfId="12548" xr:uid="{00000000-0005-0000-0000-00007B370000}"/>
    <cellStyle name="Data Superscript 3 5 6 9 2" xfId="12549" xr:uid="{00000000-0005-0000-0000-00007C370000}"/>
    <cellStyle name="Data Superscript 3 5 7" xfId="12550" xr:uid="{00000000-0005-0000-0000-00007D370000}"/>
    <cellStyle name="Data Superscript 3 5 7 10" xfId="12551" xr:uid="{00000000-0005-0000-0000-00007E370000}"/>
    <cellStyle name="Data Superscript 3 5 7 2" xfId="12552" xr:uid="{00000000-0005-0000-0000-00007F370000}"/>
    <cellStyle name="Data Superscript 3 5 7 2 2" xfId="12553" xr:uid="{00000000-0005-0000-0000-000080370000}"/>
    <cellStyle name="Data Superscript 3 5 7 3" xfId="12554" xr:uid="{00000000-0005-0000-0000-000081370000}"/>
    <cellStyle name="Data Superscript 3 5 7 3 2" xfId="12555" xr:uid="{00000000-0005-0000-0000-000082370000}"/>
    <cellStyle name="Data Superscript 3 5 7 4" xfId="12556" xr:uid="{00000000-0005-0000-0000-000083370000}"/>
    <cellStyle name="Data Superscript 3 5 7 4 2" xfId="12557" xr:uid="{00000000-0005-0000-0000-000084370000}"/>
    <cellStyle name="Data Superscript 3 5 7 5" xfId="12558" xr:uid="{00000000-0005-0000-0000-000085370000}"/>
    <cellStyle name="Data Superscript 3 5 7 5 2" xfId="12559" xr:uid="{00000000-0005-0000-0000-000086370000}"/>
    <cellStyle name="Data Superscript 3 5 7 6" xfId="12560" xr:uid="{00000000-0005-0000-0000-000087370000}"/>
    <cellStyle name="Data Superscript 3 5 7 6 2" xfId="12561" xr:uid="{00000000-0005-0000-0000-000088370000}"/>
    <cellStyle name="Data Superscript 3 5 7 7" xfId="12562" xr:uid="{00000000-0005-0000-0000-000089370000}"/>
    <cellStyle name="Data Superscript 3 5 7 7 2" xfId="12563" xr:uid="{00000000-0005-0000-0000-00008A370000}"/>
    <cellStyle name="Data Superscript 3 5 7 8" xfId="12564" xr:uid="{00000000-0005-0000-0000-00008B370000}"/>
    <cellStyle name="Data Superscript 3 5 7 8 2" xfId="12565" xr:uid="{00000000-0005-0000-0000-00008C370000}"/>
    <cellStyle name="Data Superscript 3 5 7 9" xfId="12566" xr:uid="{00000000-0005-0000-0000-00008D370000}"/>
    <cellStyle name="Data Superscript 3 5 7 9 2" xfId="12567" xr:uid="{00000000-0005-0000-0000-00008E370000}"/>
    <cellStyle name="Data Superscript 3 5 8" xfId="12568" xr:uid="{00000000-0005-0000-0000-00008F370000}"/>
    <cellStyle name="Data Superscript 3 5 8 10" xfId="12569" xr:uid="{00000000-0005-0000-0000-000090370000}"/>
    <cellStyle name="Data Superscript 3 5 8 2" xfId="12570" xr:uid="{00000000-0005-0000-0000-000091370000}"/>
    <cellStyle name="Data Superscript 3 5 8 2 2" xfId="12571" xr:uid="{00000000-0005-0000-0000-000092370000}"/>
    <cellStyle name="Data Superscript 3 5 8 3" xfId="12572" xr:uid="{00000000-0005-0000-0000-000093370000}"/>
    <cellStyle name="Data Superscript 3 5 8 3 2" xfId="12573" xr:uid="{00000000-0005-0000-0000-000094370000}"/>
    <cellStyle name="Data Superscript 3 5 8 4" xfId="12574" xr:uid="{00000000-0005-0000-0000-000095370000}"/>
    <cellStyle name="Data Superscript 3 5 8 4 2" xfId="12575" xr:uid="{00000000-0005-0000-0000-000096370000}"/>
    <cellStyle name="Data Superscript 3 5 8 5" xfId="12576" xr:uid="{00000000-0005-0000-0000-000097370000}"/>
    <cellStyle name="Data Superscript 3 5 8 5 2" xfId="12577" xr:uid="{00000000-0005-0000-0000-000098370000}"/>
    <cellStyle name="Data Superscript 3 5 8 6" xfId="12578" xr:uid="{00000000-0005-0000-0000-000099370000}"/>
    <cellStyle name="Data Superscript 3 5 8 6 2" xfId="12579" xr:uid="{00000000-0005-0000-0000-00009A370000}"/>
    <cellStyle name="Data Superscript 3 5 8 7" xfId="12580" xr:uid="{00000000-0005-0000-0000-00009B370000}"/>
    <cellStyle name="Data Superscript 3 5 8 7 2" xfId="12581" xr:uid="{00000000-0005-0000-0000-00009C370000}"/>
    <cellStyle name="Data Superscript 3 5 8 8" xfId="12582" xr:uid="{00000000-0005-0000-0000-00009D370000}"/>
    <cellStyle name="Data Superscript 3 5 8 8 2" xfId="12583" xr:uid="{00000000-0005-0000-0000-00009E370000}"/>
    <cellStyle name="Data Superscript 3 5 8 9" xfId="12584" xr:uid="{00000000-0005-0000-0000-00009F370000}"/>
    <cellStyle name="Data Superscript 3 5 8 9 2" xfId="12585" xr:uid="{00000000-0005-0000-0000-0000A0370000}"/>
    <cellStyle name="Data Superscript 3 5 9" xfId="12586" xr:uid="{00000000-0005-0000-0000-0000A1370000}"/>
    <cellStyle name="Data Superscript 3 5 9 10" xfId="12587" xr:uid="{00000000-0005-0000-0000-0000A2370000}"/>
    <cellStyle name="Data Superscript 3 5 9 2" xfId="12588" xr:uid="{00000000-0005-0000-0000-0000A3370000}"/>
    <cellStyle name="Data Superscript 3 5 9 2 2" xfId="12589" xr:uid="{00000000-0005-0000-0000-0000A4370000}"/>
    <cellStyle name="Data Superscript 3 5 9 3" xfId="12590" xr:uid="{00000000-0005-0000-0000-0000A5370000}"/>
    <cellStyle name="Data Superscript 3 5 9 3 2" xfId="12591" xr:uid="{00000000-0005-0000-0000-0000A6370000}"/>
    <cellStyle name="Data Superscript 3 5 9 4" xfId="12592" xr:uid="{00000000-0005-0000-0000-0000A7370000}"/>
    <cellStyle name="Data Superscript 3 5 9 4 2" xfId="12593" xr:uid="{00000000-0005-0000-0000-0000A8370000}"/>
    <cellStyle name="Data Superscript 3 5 9 5" xfId="12594" xr:uid="{00000000-0005-0000-0000-0000A9370000}"/>
    <cellStyle name="Data Superscript 3 5 9 5 2" xfId="12595" xr:uid="{00000000-0005-0000-0000-0000AA370000}"/>
    <cellStyle name="Data Superscript 3 5 9 6" xfId="12596" xr:uid="{00000000-0005-0000-0000-0000AB370000}"/>
    <cellStyle name="Data Superscript 3 5 9 6 2" xfId="12597" xr:uid="{00000000-0005-0000-0000-0000AC370000}"/>
    <cellStyle name="Data Superscript 3 5 9 7" xfId="12598" xr:uid="{00000000-0005-0000-0000-0000AD370000}"/>
    <cellStyle name="Data Superscript 3 5 9 7 2" xfId="12599" xr:uid="{00000000-0005-0000-0000-0000AE370000}"/>
    <cellStyle name="Data Superscript 3 5 9 8" xfId="12600" xr:uid="{00000000-0005-0000-0000-0000AF370000}"/>
    <cellStyle name="Data Superscript 3 5 9 8 2" xfId="12601" xr:uid="{00000000-0005-0000-0000-0000B0370000}"/>
    <cellStyle name="Data Superscript 3 5 9 9" xfId="12602" xr:uid="{00000000-0005-0000-0000-0000B1370000}"/>
    <cellStyle name="Data Superscript 3 5 9 9 2" xfId="12603" xr:uid="{00000000-0005-0000-0000-0000B2370000}"/>
    <cellStyle name="Data Superscript 3 6" xfId="12604" xr:uid="{00000000-0005-0000-0000-0000B3370000}"/>
    <cellStyle name="Data Superscript 3 6 10" xfId="12605" xr:uid="{00000000-0005-0000-0000-0000B4370000}"/>
    <cellStyle name="Data Superscript 3 6 10 2" xfId="12606" xr:uid="{00000000-0005-0000-0000-0000B5370000}"/>
    <cellStyle name="Data Superscript 3 6 10 2 2" xfId="12607" xr:uid="{00000000-0005-0000-0000-0000B6370000}"/>
    <cellStyle name="Data Superscript 3 6 10 3" xfId="12608" xr:uid="{00000000-0005-0000-0000-0000B7370000}"/>
    <cellStyle name="Data Superscript 3 6 10 3 2" xfId="12609" xr:uid="{00000000-0005-0000-0000-0000B8370000}"/>
    <cellStyle name="Data Superscript 3 6 10 4" xfId="12610" xr:uid="{00000000-0005-0000-0000-0000B9370000}"/>
    <cellStyle name="Data Superscript 3 6 10 4 2" xfId="12611" xr:uid="{00000000-0005-0000-0000-0000BA370000}"/>
    <cellStyle name="Data Superscript 3 6 10 5" xfId="12612" xr:uid="{00000000-0005-0000-0000-0000BB370000}"/>
    <cellStyle name="Data Superscript 3 6 10 5 2" xfId="12613" xr:uid="{00000000-0005-0000-0000-0000BC370000}"/>
    <cellStyle name="Data Superscript 3 6 10 6" xfId="12614" xr:uid="{00000000-0005-0000-0000-0000BD370000}"/>
    <cellStyle name="Data Superscript 3 6 10 6 2" xfId="12615" xr:uid="{00000000-0005-0000-0000-0000BE370000}"/>
    <cellStyle name="Data Superscript 3 6 10 7" xfId="12616" xr:uid="{00000000-0005-0000-0000-0000BF370000}"/>
    <cellStyle name="Data Superscript 3 6 10 7 2" xfId="12617" xr:uid="{00000000-0005-0000-0000-0000C0370000}"/>
    <cellStyle name="Data Superscript 3 6 10 8" xfId="12618" xr:uid="{00000000-0005-0000-0000-0000C1370000}"/>
    <cellStyle name="Data Superscript 3 6 10 8 2" xfId="12619" xr:uid="{00000000-0005-0000-0000-0000C2370000}"/>
    <cellStyle name="Data Superscript 3 6 10 9" xfId="12620" xr:uid="{00000000-0005-0000-0000-0000C3370000}"/>
    <cellStyle name="Data Superscript 3 6 11" xfId="12621" xr:uid="{00000000-0005-0000-0000-0000C4370000}"/>
    <cellStyle name="Data Superscript 3 6 11 2" xfId="12622" xr:uid="{00000000-0005-0000-0000-0000C5370000}"/>
    <cellStyle name="Data Superscript 3 6 12" xfId="12623" xr:uid="{00000000-0005-0000-0000-0000C6370000}"/>
    <cellStyle name="Data Superscript 3 6 12 2" xfId="12624" xr:uid="{00000000-0005-0000-0000-0000C7370000}"/>
    <cellStyle name="Data Superscript 3 6 13" xfId="12625" xr:uid="{00000000-0005-0000-0000-0000C8370000}"/>
    <cellStyle name="Data Superscript 3 6 13 2" xfId="12626" xr:uid="{00000000-0005-0000-0000-0000C9370000}"/>
    <cellStyle name="Data Superscript 3 6 14" xfId="12627" xr:uid="{00000000-0005-0000-0000-0000CA370000}"/>
    <cellStyle name="Data Superscript 3 6 14 2" xfId="12628" xr:uid="{00000000-0005-0000-0000-0000CB370000}"/>
    <cellStyle name="Data Superscript 3 6 15" xfId="12629" xr:uid="{00000000-0005-0000-0000-0000CC370000}"/>
    <cellStyle name="Data Superscript 3 6 15 2" xfId="12630" xr:uid="{00000000-0005-0000-0000-0000CD370000}"/>
    <cellStyle name="Data Superscript 3 6 16" xfId="12631" xr:uid="{00000000-0005-0000-0000-0000CE370000}"/>
    <cellStyle name="Data Superscript 3 6 16 2" xfId="12632" xr:uid="{00000000-0005-0000-0000-0000CF370000}"/>
    <cellStyle name="Data Superscript 3 6 17" xfId="12633" xr:uid="{00000000-0005-0000-0000-0000D0370000}"/>
    <cellStyle name="Data Superscript 3 6 17 2" xfId="12634" xr:uid="{00000000-0005-0000-0000-0000D1370000}"/>
    <cellStyle name="Data Superscript 3 6 18" xfId="12635" xr:uid="{00000000-0005-0000-0000-0000D2370000}"/>
    <cellStyle name="Data Superscript 3 6 2" xfId="12636" xr:uid="{00000000-0005-0000-0000-0000D3370000}"/>
    <cellStyle name="Data Superscript 3 6 2 10" xfId="12637" xr:uid="{00000000-0005-0000-0000-0000D4370000}"/>
    <cellStyle name="Data Superscript 3 6 2 2" xfId="12638" xr:uid="{00000000-0005-0000-0000-0000D5370000}"/>
    <cellStyle name="Data Superscript 3 6 2 2 2" xfId="12639" xr:uid="{00000000-0005-0000-0000-0000D6370000}"/>
    <cellStyle name="Data Superscript 3 6 2 3" xfId="12640" xr:uid="{00000000-0005-0000-0000-0000D7370000}"/>
    <cellStyle name="Data Superscript 3 6 2 3 2" xfId="12641" xr:uid="{00000000-0005-0000-0000-0000D8370000}"/>
    <cellStyle name="Data Superscript 3 6 2 4" xfId="12642" xr:uid="{00000000-0005-0000-0000-0000D9370000}"/>
    <cellStyle name="Data Superscript 3 6 2 4 2" xfId="12643" xr:uid="{00000000-0005-0000-0000-0000DA370000}"/>
    <cellStyle name="Data Superscript 3 6 2 5" xfId="12644" xr:uid="{00000000-0005-0000-0000-0000DB370000}"/>
    <cellStyle name="Data Superscript 3 6 2 5 2" xfId="12645" xr:uid="{00000000-0005-0000-0000-0000DC370000}"/>
    <cellStyle name="Data Superscript 3 6 2 6" xfId="12646" xr:uid="{00000000-0005-0000-0000-0000DD370000}"/>
    <cellStyle name="Data Superscript 3 6 2 6 2" xfId="12647" xr:uid="{00000000-0005-0000-0000-0000DE370000}"/>
    <cellStyle name="Data Superscript 3 6 2 7" xfId="12648" xr:uid="{00000000-0005-0000-0000-0000DF370000}"/>
    <cellStyle name="Data Superscript 3 6 2 7 2" xfId="12649" xr:uid="{00000000-0005-0000-0000-0000E0370000}"/>
    <cellStyle name="Data Superscript 3 6 2 8" xfId="12650" xr:uid="{00000000-0005-0000-0000-0000E1370000}"/>
    <cellStyle name="Data Superscript 3 6 2 8 2" xfId="12651" xr:uid="{00000000-0005-0000-0000-0000E2370000}"/>
    <cellStyle name="Data Superscript 3 6 2 9" xfId="12652" xr:uid="{00000000-0005-0000-0000-0000E3370000}"/>
    <cellStyle name="Data Superscript 3 6 2 9 2" xfId="12653" xr:uid="{00000000-0005-0000-0000-0000E4370000}"/>
    <cellStyle name="Data Superscript 3 6 3" xfId="12654" xr:uid="{00000000-0005-0000-0000-0000E5370000}"/>
    <cellStyle name="Data Superscript 3 6 3 10" xfId="12655" xr:uid="{00000000-0005-0000-0000-0000E6370000}"/>
    <cellStyle name="Data Superscript 3 6 3 2" xfId="12656" xr:uid="{00000000-0005-0000-0000-0000E7370000}"/>
    <cellStyle name="Data Superscript 3 6 3 2 2" xfId="12657" xr:uid="{00000000-0005-0000-0000-0000E8370000}"/>
    <cellStyle name="Data Superscript 3 6 3 3" xfId="12658" xr:uid="{00000000-0005-0000-0000-0000E9370000}"/>
    <cellStyle name="Data Superscript 3 6 3 3 2" xfId="12659" xr:uid="{00000000-0005-0000-0000-0000EA370000}"/>
    <cellStyle name="Data Superscript 3 6 3 4" xfId="12660" xr:uid="{00000000-0005-0000-0000-0000EB370000}"/>
    <cellStyle name="Data Superscript 3 6 3 4 2" xfId="12661" xr:uid="{00000000-0005-0000-0000-0000EC370000}"/>
    <cellStyle name="Data Superscript 3 6 3 5" xfId="12662" xr:uid="{00000000-0005-0000-0000-0000ED370000}"/>
    <cellStyle name="Data Superscript 3 6 3 5 2" xfId="12663" xr:uid="{00000000-0005-0000-0000-0000EE370000}"/>
    <cellStyle name="Data Superscript 3 6 3 6" xfId="12664" xr:uid="{00000000-0005-0000-0000-0000EF370000}"/>
    <cellStyle name="Data Superscript 3 6 3 6 2" xfId="12665" xr:uid="{00000000-0005-0000-0000-0000F0370000}"/>
    <cellStyle name="Data Superscript 3 6 3 7" xfId="12666" xr:uid="{00000000-0005-0000-0000-0000F1370000}"/>
    <cellStyle name="Data Superscript 3 6 3 7 2" xfId="12667" xr:uid="{00000000-0005-0000-0000-0000F2370000}"/>
    <cellStyle name="Data Superscript 3 6 3 8" xfId="12668" xr:uid="{00000000-0005-0000-0000-0000F3370000}"/>
    <cellStyle name="Data Superscript 3 6 3 8 2" xfId="12669" xr:uid="{00000000-0005-0000-0000-0000F4370000}"/>
    <cellStyle name="Data Superscript 3 6 3 9" xfId="12670" xr:uid="{00000000-0005-0000-0000-0000F5370000}"/>
    <cellStyle name="Data Superscript 3 6 3 9 2" xfId="12671" xr:uid="{00000000-0005-0000-0000-0000F6370000}"/>
    <cellStyle name="Data Superscript 3 6 4" xfId="12672" xr:uid="{00000000-0005-0000-0000-0000F7370000}"/>
    <cellStyle name="Data Superscript 3 6 4 10" xfId="12673" xr:uid="{00000000-0005-0000-0000-0000F8370000}"/>
    <cellStyle name="Data Superscript 3 6 4 2" xfId="12674" xr:uid="{00000000-0005-0000-0000-0000F9370000}"/>
    <cellStyle name="Data Superscript 3 6 4 2 2" xfId="12675" xr:uid="{00000000-0005-0000-0000-0000FA370000}"/>
    <cellStyle name="Data Superscript 3 6 4 3" xfId="12676" xr:uid="{00000000-0005-0000-0000-0000FB370000}"/>
    <cellStyle name="Data Superscript 3 6 4 3 2" xfId="12677" xr:uid="{00000000-0005-0000-0000-0000FC370000}"/>
    <cellStyle name="Data Superscript 3 6 4 4" xfId="12678" xr:uid="{00000000-0005-0000-0000-0000FD370000}"/>
    <cellStyle name="Data Superscript 3 6 4 4 2" xfId="12679" xr:uid="{00000000-0005-0000-0000-0000FE370000}"/>
    <cellStyle name="Data Superscript 3 6 4 5" xfId="12680" xr:uid="{00000000-0005-0000-0000-0000FF370000}"/>
    <cellStyle name="Data Superscript 3 6 4 5 2" xfId="12681" xr:uid="{00000000-0005-0000-0000-000000380000}"/>
    <cellStyle name="Data Superscript 3 6 4 6" xfId="12682" xr:uid="{00000000-0005-0000-0000-000001380000}"/>
    <cellStyle name="Data Superscript 3 6 4 6 2" xfId="12683" xr:uid="{00000000-0005-0000-0000-000002380000}"/>
    <cellStyle name="Data Superscript 3 6 4 7" xfId="12684" xr:uid="{00000000-0005-0000-0000-000003380000}"/>
    <cellStyle name="Data Superscript 3 6 4 7 2" xfId="12685" xr:uid="{00000000-0005-0000-0000-000004380000}"/>
    <cellStyle name="Data Superscript 3 6 4 8" xfId="12686" xr:uid="{00000000-0005-0000-0000-000005380000}"/>
    <cellStyle name="Data Superscript 3 6 4 8 2" xfId="12687" xr:uid="{00000000-0005-0000-0000-000006380000}"/>
    <cellStyle name="Data Superscript 3 6 4 9" xfId="12688" xr:uid="{00000000-0005-0000-0000-000007380000}"/>
    <cellStyle name="Data Superscript 3 6 4 9 2" xfId="12689" xr:uid="{00000000-0005-0000-0000-000008380000}"/>
    <cellStyle name="Data Superscript 3 6 5" xfId="12690" xr:uid="{00000000-0005-0000-0000-000009380000}"/>
    <cellStyle name="Data Superscript 3 6 5 10" xfId="12691" xr:uid="{00000000-0005-0000-0000-00000A380000}"/>
    <cellStyle name="Data Superscript 3 6 5 2" xfId="12692" xr:uid="{00000000-0005-0000-0000-00000B380000}"/>
    <cellStyle name="Data Superscript 3 6 5 2 2" xfId="12693" xr:uid="{00000000-0005-0000-0000-00000C380000}"/>
    <cellStyle name="Data Superscript 3 6 5 3" xfId="12694" xr:uid="{00000000-0005-0000-0000-00000D380000}"/>
    <cellStyle name="Data Superscript 3 6 5 3 2" xfId="12695" xr:uid="{00000000-0005-0000-0000-00000E380000}"/>
    <cellStyle name="Data Superscript 3 6 5 4" xfId="12696" xr:uid="{00000000-0005-0000-0000-00000F380000}"/>
    <cellStyle name="Data Superscript 3 6 5 4 2" xfId="12697" xr:uid="{00000000-0005-0000-0000-000010380000}"/>
    <cellStyle name="Data Superscript 3 6 5 5" xfId="12698" xr:uid="{00000000-0005-0000-0000-000011380000}"/>
    <cellStyle name="Data Superscript 3 6 5 5 2" xfId="12699" xr:uid="{00000000-0005-0000-0000-000012380000}"/>
    <cellStyle name="Data Superscript 3 6 5 6" xfId="12700" xr:uid="{00000000-0005-0000-0000-000013380000}"/>
    <cellStyle name="Data Superscript 3 6 5 6 2" xfId="12701" xr:uid="{00000000-0005-0000-0000-000014380000}"/>
    <cellStyle name="Data Superscript 3 6 5 7" xfId="12702" xr:uid="{00000000-0005-0000-0000-000015380000}"/>
    <cellStyle name="Data Superscript 3 6 5 7 2" xfId="12703" xr:uid="{00000000-0005-0000-0000-000016380000}"/>
    <cellStyle name="Data Superscript 3 6 5 8" xfId="12704" xr:uid="{00000000-0005-0000-0000-000017380000}"/>
    <cellStyle name="Data Superscript 3 6 5 8 2" xfId="12705" xr:uid="{00000000-0005-0000-0000-000018380000}"/>
    <cellStyle name="Data Superscript 3 6 5 9" xfId="12706" xr:uid="{00000000-0005-0000-0000-000019380000}"/>
    <cellStyle name="Data Superscript 3 6 5 9 2" xfId="12707" xr:uid="{00000000-0005-0000-0000-00001A380000}"/>
    <cellStyle name="Data Superscript 3 6 6" xfId="12708" xr:uid="{00000000-0005-0000-0000-00001B380000}"/>
    <cellStyle name="Data Superscript 3 6 6 10" xfId="12709" xr:uid="{00000000-0005-0000-0000-00001C380000}"/>
    <cellStyle name="Data Superscript 3 6 6 2" xfId="12710" xr:uid="{00000000-0005-0000-0000-00001D380000}"/>
    <cellStyle name="Data Superscript 3 6 6 2 2" xfId="12711" xr:uid="{00000000-0005-0000-0000-00001E380000}"/>
    <cellStyle name="Data Superscript 3 6 6 3" xfId="12712" xr:uid="{00000000-0005-0000-0000-00001F380000}"/>
    <cellStyle name="Data Superscript 3 6 6 3 2" xfId="12713" xr:uid="{00000000-0005-0000-0000-000020380000}"/>
    <cellStyle name="Data Superscript 3 6 6 4" xfId="12714" xr:uid="{00000000-0005-0000-0000-000021380000}"/>
    <cellStyle name="Data Superscript 3 6 6 4 2" xfId="12715" xr:uid="{00000000-0005-0000-0000-000022380000}"/>
    <cellStyle name="Data Superscript 3 6 6 5" xfId="12716" xr:uid="{00000000-0005-0000-0000-000023380000}"/>
    <cellStyle name="Data Superscript 3 6 6 5 2" xfId="12717" xr:uid="{00000000-0005-0000-0000-000024380000}"/>
    <cellStyle name="Data Superscript 3 6 6 6" xfId="12718" xr:uid="{00000000-0005-0000-0000-000025380000}"/>
    <cellStyle name="Data Superscript 3 6 6 6 2" xfId="12719" xr:uid="{00000000-0005-0000-0000-000026380000}"/>
    <cellStyle name="Data Superscript 3 6 6 7" xfId="12720" xr:uid="{00000000-0005-0000-0000-000027380000}"/>
    <cellStyle name="Data Superscript 3 6 6 7 2" xfId="12721" xr:uid="{00000000-0005-0000-0000-000028380000}"/>
    <cellStyle name="Data Superscript 3 6 6 8" xfId="12722" xr:uid="{00000000-0005-0000-0000-000029380000}"/>
    <cellStyle name="Data Superscript 3 6 6 8 2" xfId="12723" xr:uid="{00000000-0005-0000-0000-00002A380000}"/>
    <cellStyle name="Data Superscript 3 6 6 9" xfId="12724" xr:uid="{00000000-0005-0000-0000-00002B380000}"/>
    <cellStyle name="Data Superscript 3 6 6 9 2" xfId="12725" xr:uid="{00000000-0005-0000-0000-00002C380000}"/>
    <cellStyle name="Data Superscript 3 6 7" xfId="12726" xr:uid="{00000000-0005-0000-0000-00002D380000}"/>
    <cellStyle name="Data Superscript 3 6 7 10" xfId="12727" xr:uid="{00000000-0005-0000-0000-00002E380000}"/>
    <cellStyle name="Data Superscript 3 6 7 2" xfId="12728" xr:uid="{00000000-0005-0000-0000-00002F380000}"/>
    <cellStyle name="Data Superscript 3 6 7 2 2" xfId="12729" xr:uid="{00000000-0005-0000-0000-000030380000}"/>
    <cellStyle name="Data Superscript 3 6 7 3" xfId="12730" xr:uid="{00000000-0005-0000-0000-000031380000}"/>
    <cellStyle name="Data Superscript 3 6 7 3 2" xfId="12731" xr:uid="{00000000-0005-0000-0000-000032380000}"/>
    <cellStyle name="Data Superscript 3 6 7 4" xfId="12732" xr:uid="{00000000-0005-0000-0000-000033380000}"/>
    <cellStyle name="Data Superscript 3 6 7 4 2" xfId="12733" xr:uid="{00000000-0005-0000-0000-000034380000}"/>
    <cellStyle name="Data Superscript 3 6 7 5" xfId="12734" xr:uid="{00000000-0005-0000-0000-000035380000}"/>
    <cellStyle name="Data Superscript 3 6 7 5 2" xfId="12735" xr:uid="{00000000-0005-0000-0000-000036380000}"/>
    <cellStyle name="Data Superscript 3 6 7 6" xfId="12736" xr:uid="{00000000-0005-0000-0000-000037380000}"/>
    <cellStyle name="Data Superscript 3 6 7 6 2" xfId="12737" xr:uid="{00000000-0005-0000-0000-000038380000}"/>
    <cellStyle name="Data Superscript 3 6 7 7" xfId="12738" xr:uid="{00000000-0005-0000-0000-000039380000}"/>
    <cellStyle name="Data Superscript 3 6 7 7 2" xfId="12739" xr:uid="{00000000-0005-0000-0000-00003A380000}"/>
    <cellStyle name="Data Superscript 3 6 7 8" xfId="12740" xr:uid="{00000000-0005-0000-0000-00003B380000}"/>
    <cellStyle name="Data Superscript 3 6 7 8 2" xfId="12741" xr:uid="{00000000-0005-0000-0000-00003C380000}"/>
    <cellStyle name="Data Superscript 3 6 7 9" xfId="12742" xr:uid="{00000000-0005-0000-0000-00003D380000}"/>
    <cellStyle name="Data Superscript 3 6 7 9 2" xfId="12743" xr:uid="{00000000-0005-0000-0000-00003E380000}"/>
    <cellStyle name="Data Superscript 3 6 8" xfId="12744" xr:uid="{00000000-0005-0000-0000-00003F380000}"/>
    <cellStyle name="Data Superscript 3 6 8 10" xfId="12745" xr:uid="{00000000-0005-0000-0000-000040380000}"/>
    <cellStyle name="Data Superscript 3 6 8 2" xfId="12746" xr:uid="{00000000-0005-0000-0000-000041380000}"/>
    <cellStyle name="Data Superscript 3 6 8 2 2" xfId="12747" xr:uid="{00000000-0005-0000-0000-000042380000}"/>
    <cellStyle name="Data Superscript 3 6 8 3" xfId="12748" xr:uid="{00000000-0005-0000-0000-000043380000}"/>
    <cellStyle name="Data Superscript 3 6 8 3 2" xfId="12749" xr:uid="{00000000-0005-0000-0000-000044380000}"/>
    <cellStyle name="Data Superscript 3 6 8 4" xfId="12750" xr:uid="{00000000-0005-0000-0000-000045380000}"/>
    <cellStyle name="Data Superscript 3 6 8 4 2" xfId="12751" xr:uid="{00000000-0005-0000-0000-000046380000}"/>
    <cellStyle name="Data Superscript 3 6 8 5" xfId="12752" xr:uid="{00000000-0005-0000-0000-000047380000}"/>
    <cellStyle name="Data Superscript 3 6 8 5 2" xfId="12753" xr:uid="{00000000-0005-0000-0000-000048380000}"/>
    <cellStyle name="Data Superscript 3 6 8 6" xfId="12754" xr:uid="{00000000-0005-0000-0000-000049380000}"/>
    <cellStyle name="Data Superscript 3 6 8 6 2" xfId="12755" xr:uid="{00000000-0005-0000-0000-00004A380000}"/>
    <cellStyle name="Data Superscript 3 6 8 7" xfId="12756" xr:uid="{00000000-0005-0000-0000-00004B380000}"/>
    <cellStyle name="Data Superscript 3 6 8 7 2" xfId="12757" xr:uid="{00000000-0005-0000-0000-00004C380000}"/>
    <cellStyle name="Data Superscript 3 6 8 8" xfId="12758" xr:uid="{00000000-0005-0000-0000-00004D380000}"/>
    <cellStyle name="Data Superscript 3 6 8 8 2" xfId="12759" xr:uid="{00000000-0005-0000-0000-00004E380000}"/>
    <cellStyle name="Data Superscript 3 6 8 9" xfId="12760" xr:uid="{00000000-0005-0000-0000-00004F380000}"/>
    <cellStyle name="Data Superscript 3 6 8 9 2" xfId="12761" xr:uid="{00000000-0005-0000-0000-000050380000}"/>
    <cellStyle name="Data Superscript 3 6 9" xfId="12762" xr:uid="{00000000-0005-0000-0000-000051380000}"/>
    <cellStyle name="Data Superscript 3 6 9 10" xfId="12763" xr:uid="{00000000-0005-0000-0000-000052380000}"/>
    <cellStyle name="Data Superscript 3 6 9 2" xfId="12764" xr:uid="{00000000-0005-0000-0000-000053380000}"/>
    <cellStyle name="Data Superscript 3 6 9 2 2" xfId="12765" xr:uid="{00000000-0005-0000-0000-000054380000}"/>
    <cellStyle name="Data Superscript 3 6 9 3" xfId="12766" xr:uid="{00000000-0005-0000-0000-000055380000}"/>
    <cellStyle name="Data Superscript 3 6 9 3 2" xfId="12767" xr:uid="{00000000-0005-0000-0000-000056380000}"/>
    <cellStyle name="Data Superscript 3 6 9 4" xfId="12768" xr:uid="{00000000-0005-0000-0000-000057380000}"/>
    <cellStyle name="Data Superscript 3 6 9 4 2" xfId="12769" xr:uid="{00000000-0005-0000-0000-000058380000}"/>
    <cellStyle name="Data Superscript 3 6 9 5" xfId="12770" xr:uid="{00000000-0005-0000-0000-000059380000}"/>
    <cellStyle name="Data Superscript 3 6 9 5 2" xfId="12771" xr:uid="{00000000-0005-0000-0000-00005A380000}"/>
    <cellStyle name="Data Superscript 3 6 9 6" xfId="12772" xr:uid="{00000000-0005-0000-0000-00005B380000}"/>
    <cellStyle name="Data Superscript 3 6 9 6 2" xfId="12773" xr:uid="{00000000-0005-0000-0000-00005C380000}"/>
    <cellStyle name="Data Superscript 3 6 9 7" xfId="12774" xr:uid="{00000000-0005-0000-0000-00005D380000}"/>
    <cellStyle name="Data Superscript 3 6 9 7 2" xfId="12775" xr:uid="{00000000-0005-0000-0000-00005E380000}"/>
    <cellStyle name="Data Superscript 3 6 9 8" xfId="12776" xr:uid="{00000000-0005-0000-0000-00005F380000}"/>
    <cellStyle name="Data Superscript 3 6 9 8 2" xfId="12777" xr:uid="{00000000-0005-0000-0000-000060380000}"/>
    <cellStyle name="Data Superscript 3 6 9 9" xfId="12778" xr:uid="{00000000-0005-0000-0000-000061380000}"/>
    <cellStyle name="Data Superscript 3 6 9 9 2" xfId="12779" xr:uid="{00000000-0005-0000-0000-000062380000}"/>
    <cellStyle name="Data Superscript 3 7" xfId="12780" xr:uid="{00000000-0005-0000-0000-000063380000}"/>
    <cellStyle name="Data Superscript 3 7 10" xfId="12781" xr:uid="{00000000-0005-0000-0000-000064380000}"/>
    <cellStyle name="Data Superscript 3 7 10 2" xfId="12782" xr:uid="{00000000-0005-0000-0000-000065380000}"/>
    <cellStyle name="Data Superscript 3 7 10 2 2" xfId="12783" xr:uid="{00000000-0005-0000-0000-000066380000}"/>
    <cellStyle name="Data Superscript 3 7 10 3" xfId="12784" xr:uid="{00000000-0005-0000-0000-000067380000}"/>
    <cellStyle name="Data Superscript 3 7 10 3 2" xfId="12785" xr:uid="{00000000-0005-0000-0000-000068380000}"/>
    <cellStyle name="Data Superscript 3 7 10 4" xfId="12786" xr:uid="{00000000-0005-0000-0000-000069380000}"/>
    <cellStyle name="Data Superscript 3 7 10 4 2" xfId="12787" xr:uid="{00000000-0005-0000-0000-00006A380000}"/>
    <cellStyle name="Data Superscript 3 7 10 5" xfId="12788" xr:uid="{00000000-0005-0000-0000-00006B380000}"/>
    <cellStyle name="Data Superscript 3 7 10 5 2" xfId="12789" xr:uid="{00000000-0005-0000-0000-00006C380000}"/>
    <cellStyle name="Data Superscript 3 7 10 6" xfId="12790" xr:uid="{00000000-0005-0000-0000-00006D380000}"/>
    <cellStyle name="Data Superscript 3 7 10 6 2" xfId="12791" xr:uid="{00000000-0005-0000-0000-00006E380000}"/>
    <cellStyle name="Data Superscript 3 7 10 7" xfId="12792" xr:uid="{00000000-0005-0000-0000-00006F380000}"/>
    <cellStyle name="Data Superscript 3 7 10 7 2" xfId="12793" xr:uid="{00000000-0005-0000-0000-000070380000}"/>
    <cellStyle name="Data Superscript 3 7 10 8" xfId="12794" xr:uid="{00000000-0005-0000-0000-000071380000}"/>
    <cellStyle name="Data Superscript 3 7 10 8 2" xfId="12795" xr:uid="{00000000-0005-0000-0000-000072380000}"/>
    <cellStyle name="Data Superscript 3 7 10 9" xfId="12796" xr:uid="{00000000-0005-0000-0000-000073380000}"/>
    <cellStyle name="Data Superscript 3 7 11" xfId="12797" xr:uid="{00000000-0005-0000-0000-000074380000}"/>
    <cellStyle name="Data Superscript 3 7 11 2" xfId="12798" xr:uid="{00000000-0005-0000-0000-000075380000}"/>
    <cellStyle name="Data Superscript 3 7 12" xfId="12799" xr:uid="{00000000-0005-0000-0000-000076380000}"/>
    <cellStyle name="Data Superscript 3 7 12 2" xfId="12800" xr:uid="{00000000-0005-0000-0000-000077380000}"/>
    <cellStyle name="Data Superscript 3 7 13" xfId="12801" xr:uid="{00000000-0005-0000-0000-000078380000}"/>
    <cellStyle name="Data Superscript 3 7 13 2" xfId="12802" xr:uid="{00000000-0005-0000-0000-000079380000}"/>
    <cellStyle name="Data Superscript 3 7 14" xfId="12803" xr:uid="{00000000-0005-0000-0000-00007A380000}"/>
    <cellStyle name="Data Superscript 3 7 14 2" xfId="12804" xr:uid="{00000000-0005-0000-0000-00007B380000}"/>
    <cellStyle name="Data Superscript 3 7 15" xfId="12805" xr:uid="{00000000-0005-0000-0000-00007C380000}"/>
    <cellStyle name="Data Superscript 3 7 15 2" xfId="12806" xr:uid="{00000000-0005-0000-0000-00007D380000}"/>
    <cellStyle name="Data Superscript 3 7 16" xfId="12807" xr:uid="{00000000-0005-0000-0000-00007E380000}"/>
    <cellStyle name="Data Superscript 3 7 16 2" xfId="12808" xr:uid="{00000000-0005-0000-0000-00007F380000}"/>
    <cellStyle name="Data Superscript 3 7 17" xfId="12809" xr:uid="{00000000-0005-0000-0000-000080380000}"/>
    <cellStyle name="Data Superscript 3 7 17 2" xfId="12810" xr:uid="{00000000-0005-0000-0000-000081380000}"/>
    <cellStyle name="Data Superscript 3 7 18" xfId="12811" xr:uid="{00000000-0005-0000-0000-000082380000}"/>
    <cellStyle name="Data Superscript 3 7 2" xfId="12812" xr:uid="{00000000-0005-0000-0000-000083380000}"/>
    <cellStyle name="Data Superscript 3 7 2 10" xfId="12813" xr:uid="{00000000-0005-0000-0000-000084380000}"/>
    <cellStyle name="Data Superscript 3 7 2 2" xfId="12814" xr:uid="{00000000-0005-0000-0000-000085380000}"/>
    <cellStyle name="Data Superscript 3 7 2 2 2" xfId="12815" xr:uid="{00000000-0005-0000-0000-000086380000}"/>
    <cellStyle name="Data Superscript 3 7 2 3" xfId="12816" xr:uid="{00000000-0005-0000-0000-000087380000}"/>
    <cellStyle name="Data Superscript 3 7 2 3 2" xfId="12817" xr:uid="{00000000-0005-0000-0000-000088380000}"/>
    <cellStyle name="Data Superscript 3 7 2 4" xfId="12818" xr:uid="{00000000-0005-0000-0000-000089380000}"/>
    <cellStyle name="Data Superscript 3 7 2 4 2" xfId="12819" xr:uid="{00000000-0005-0000-0000-00008A380000}"/>
    <cellStyle name="Data Superscript 3 7 2 5" xfId="12820" xr:uid="{00000000-0005-0000-0000-00008B380000}"/>
    <cellStyle name="Data Superscript 3 7 2 5 2" xfId="12821" xr:uid="{00000000-0005-0000-0000-00008C380000}"/>
    <cellStyle name="Data Superscript 3 7 2 6" xfId="12822" xr:uid="{00000000-0005-0000-0000-00008D380000}"/>
    <cellStyle name="Data Superscript 3 7 2 6 2" xfId="12823" xr:uid="{00000000-0005-0000-0000-00008E380000}"/>
    <cellStyle name="Data Superscript 3 7 2 7" xfId="12824" xr:uid="{00000000-0005-0000-0000-00008F380000}"/>
    <cellStyle name="Data Superscript 3 7 2 7 2" xfId="12825" xr:uid="{00000000-0005-0000-0000-000090380000}"/>
    <cellStyle name="Data Superscript 3 7 2 8" xfId="12826" xr:uid="{00000000-0005-0000-0000-000091380000}"/>
    <cellStyle name="Data Superscript 3 7 2 8 2" xfId="12827" xr:uid="{00000000-0005-0000-0000-000092380000}"/>
    <cellStyle name="Data Superscript 3 7 2 9" xfId="12828" xr:uid="{00000000-0005-0000-0000-000093380000}"/>
    <cellStyle name="Data Superscript 3 7 2 9 2" xfId="12829" xr:uid="{00000000-0005-0000-0000-000094380000}"/>
    <cellStyle name="Data Superscript 3 7 3" xfId="12830" xr:uid="{00000000-0005-0000-0000-000095380000}"/>
    <cellStyle name="Data Superscript 3 7 3 10" xfId="12831" xr:uid="{00000000-0005-0000-0000-000096380000}"/>
    <cellStyle name="Data Superscript 3 7 3 2" xfId="12832" xr:uid="{00000000-0005-0000-0000-000097380000}"/>
    <cellStyle name="Data Superscript 3 7 3 2 2" xfId="12833" xr:uid="{00000000-0005-0000-0000-000098380000}"/>
    <cellStyle name="Data Superscript 3 7 3 3" xfId="12834" xr:uid="{00000000-0005-0000-0000-000099380000}"/>
    <cellStyle name="Data Superscript 3 7 3 3 2" xfId="12835" xr:uid="{00000000-0005-0000-0000-00009A380000}"/>
    <cellStyle name="Data Superscript 3 7 3 4" xfId="12836" xr:uid="{00000000-0005-0000-0000-00009B380000}"/>
    <cellStyle name="Data Superscript 3 7 3 4 2" xfId="12837" xr:uid="{00000000-0005-0000-0000-00009C380000}"/>
    <cellStyle name="Data Superscript 3 7 3 5" xfId="12838" xr:uid="{00000000-0005-0000-0000-00009D380000}"/>
    <cellStyle name="Data Superscript 3 7 3 5 2" xfId="12839" xr:uid="{00000000-0005-0000-0000-00009E380000}"/>
    <cellStyle name="Data Superscript 3 7 3 6" xfId="12840" xr:uid="{00000000-0005-0000-0000-00009F380000}"/>
    <cellStyle name="Data Superscript 3 7 3 6 2" xfId="12841" xr:uid="{00000000-0005-0000-0000-0000A0380000}"/>
    <cellStyle name="Data Superscript 3 7 3 7" xfId="12842" xr:uid="{00000000-0005-0000-0000-0000A1380000}"/>
    <cellStyle name="Data Superscript 3 7 3 7 2" xfId="12843" xr:uid="{00000000-0005-0000-0000-0000A2380000}"/>
    <cellStyle name="Data Superscript 3 7 3 8" xfId="12844" xr:uid="{00000000-0005-0000-0000-0000A3380000}"/>
    <cellStyle name="Data Superscript 3 7 3 8 2" xfId="12845" xr:uid="{00000000-0005-0000-0000-0000A4380000}"/>
    <cellStyle name="Data Superscript 3 7 3 9" xfId="12846" xr:uid="{00000000-0005-0000-0000-0000A5380000}"/>
    <cellStyle name="Data Superscript 3 7 3 9 2" xfId="12847" xr:uid="{00000000-0005-0000-0000-0000A6380000}"/>
    <cellStyle name="Data Superscript 3 7 4" xfId="12848" xr:uid="{00000000-0005-0000-0000-0000A7380000}"/>
    <cellStyle name="Data Superscript 3 7 4 10" xfId="12849" xr:uid="{00000000-0005-0000-0000-0000A8380000}"/>
    <cellStyle name="Data Superscript 3 7 4 2" xfId="12850" xr:uid="{00000000-0005-0000-0000-0000A9380000}"/>
    <cellStyle name="Data Superscript 3 7 4 2 2" xfId="12851" xr:uid="{00000000-0005-0000-0000-0000AA380000}"/>
    <cellStyle name="Data Superscript 3 7 4 3" xfId="12852" xr:uid="{00000000-0005-0000-0000-0000AB380000}"/>
    <cellStyle name="Data Superscript 3 7 4 3 2" xfId="12853" xr:uid="{00000000-0005-0000-0000-0000AC380000}"/>
    <cellStyle name="Data Superscript 3 7 4 4" xfId="12854" xr:uid="{00000000-0005-0000-0000-0000AD380000}"/>
    <cellStyle name="Data Superscript 3 7 4 4 2" xfId="12855" xr:uid="{00000000-0005-0000-0000-0000AE380000}"/>
    <cellStyle name="Data Superscript 3 7 4 5" xfId="12856" xr:uid="{00000000-0005-0000-0000-0000AF380000}"/>
    <cellStyle name="Data Superscript 3 7 4 5 2" xfId="12857" xr:uid="{00000000-0005-0000-0000-0000B0380000}"/>
    <cellStyle name="Data Superscript 3 7 4 6" xfId="12858" xr:uid="{00000000-0005-0000-0000-0000B1380000}"/>
    <cellStyle name="Data Superscript 3 7 4 6 2" xfId="12859" xr:uid="{00000000-0005-0000-0000-0000B2380000}"/>
    <cellStyle name="Data Superscript 3 7 4 7" xfId="12860" xr:uid="{00000000-0005-0000-0000-0000B3380000}"/>
    <cellStyle name="Data Superscript 3 7 4 7 2" xfId="12861" xr:uid="{00000000-0005-0000-0000-0000B4380000}"/>
    <cellStyle name="Data Superscript 3 7 4 8" xfId="12862" xr:uid="{00000000-0005-0000-0000-0000B5380000}"/>
    <cellStyle name="Data Superscript 3 7 4 8 2" xfId="12863" xr:uid="{00000000-0005-0000-0000-0000B6380000}"/>
    <cellStyle name="Data Superscript 3 7 4 9" xfId="12864" xr:uid="{00000000-0005-0000-0000-0000B7380000}"/>
    <cellStyle name="Data Superscript 3 7 4 9 2" xfId="12865" xr:uid="{00000000-0005-0000-0000-0000B8380000}"/>
    <cellStyle name="Data Superscript 3 7 5" xfId="12866" xr:uid="{00000000-0005-0000-0000-0000B9380000}"/>
    <cellStyle name="Data Superscript 3 7 5 10" xfId="12867" xr:uid="{00000000-0005-0000-0000-0000BA380000}"/>
    <cellStyle name="Data Superscript 3 7 5 2" xfId="12868" xr:uid="{00000000-0005-0000-0000-0000BB380000}"/>
    <cellStyle name="Data Superscript 3 7 5 2 2" xfId="12869" xr:uid="{00000000-0005-0000-0000-0000BC380000}"/>
    <cellStyle name="Data Superscript 3 7 5 3" xfId="12870" xr:uid="{00000000-0005-0000-0000-0000BD380000}"/>
    <cellStyle name="Data Superscript 3 7 5 3 2" xfId="12871" xr:uid="{00000000-0005-0000-0000-0000BE380000}"/>
    <cellStyle name="Data Superscript 3 7 5 4" xfId="12872" xr:uid="{00000000-0005-0000-0000-0000BF380000}"/>
    <cellStyle name="Data Superscript 3 7 5 4 2" xfId="12873" xr:uid="{00000000-0005-0000-0000-0000C0380000}"/>
    <cellStyle name="Data Superscript 3 7 5 5" xfId="12874" xr:uid="{00000000-0005-0000-0000-0000C1380000}"/>
    <cellStyle name="Data Superscript 3 7 5 5 2" xfId="12875" xr:uid="{00000000-0005-0000-0000-0000C2380000}"/>
    <cellStyle name="Data Superscript 3 7 5 6" xfId="12876" xr:uid="{00000000-0005-0000-0000-0000C3380000}"/>
    <cellStyle name="Data Superscript 3 7 5 6 2" xfId="12877" xr:uid="{00000000-0005-0000-0000-0000C4380000}"/>
    <cellStyle name="Data Superscript 3 7 5 7" xfId="12878" xr:uid="{00000000-0005-0000-0000-0000C5380000}"/>
    <cellStyle name="Data Superscript 3 7 5 7 2" xfId="12879" xr:uid="{00000000-0005-0000-0000-0000C6380000}"/>
    <cellStyle name="Data Superscript 3 7 5 8" xfId="12880" xr:uid="{00000000-0005-0000-0000-0000C7380000}"/>
    <cellStyle name="Data Superscript 3 7 5 8 2" xfId="12881" xr:uid="{00000000-0005-0000-0000-0000C8380000}"/>
    <cellStyle name="Data Superscript 3 7 5 9" xfId="12882" xr:uid="{00000000-0005-0000-0000-0000C9380000}"/>
    <cellStyle name="Data Superscript 3 7 5 9 2" xfId="12883" xr:uid="{00000000-0005-0000-0000-0000CA380000}"/>
    <cellStyle name="Data Superscript 3 7 6" xfId="12884" xr:uid="{00000000-0005-0000-0000-0000CB380000}"/>
    <cellStyle name="Data Superscript 3 7 6 10" xfId="12885" xr:uid="{00000000-0005-0000-0000-0000CC380000}"/>
    <cellStyle name="Data Superscript 3 7 6 2" xfId="12886" xr:uid="{00000000-0005-0000-0000-0000CD380000}"/>
    <cellStyle name="Data Superscript 3 7 6 2 2" xfId="12887" xr:uid="{00000000-0005-0000-0000-0000CE380000}"/>
    <cellStyle name="Data Superscript 3 7 6 3" xfId="12888" xr:uid="{00000000-0005-0000-0000-0000CF380000}"/>
    <cellStyle name="Data Superscript 3 7 6 3 2" xfId="12889" xr:uid="{00000000-0005-0000-0000-0000D0380000}"/>
    <cellStyle name="Data Superscript 3 7 6 4" xfId="12890" xr:uid="{00000000-0005-0000-0000-0000D1380000}"/>
    <cellStyle name="Data Superscript 3 7 6 4 2" xfId="12891" xr:uid="{00000000-0005-0000-0000-0000D2380000}"/>
    <cellStyle name="Data Superscript 3 7 6 5" xfId="12892" xr:uid="{00000000-0005-0000-0000-0000D3380000}"/>
    <cellStyle name="Data Superscript 3 7 6 5 2" xfId="12893" xr:uid="{00000000-0005-0000-0000-0000D4380000}"/>
    <cellStyle name="Data Superscript 3 7 6 6" xfId="12894" xr:uid="{00000000-0005-0000-0000-0000D5380000}"/>
    <cellStyle name="Data Superscript 3 7 6 6 2" xfId="12895" xr:uid="{00000000-0005-0000-0000-0000D6380000}"/>
    <cellStyle name="Data Superscript 3 7 6 7" xfId="12896" xr:uid="{00000000-0005-0000-0000-0000D7380000}"/>
    <cellStyle name="Data Superscript 3 7 6 7 2" xfId="12897" xr:uid="{00000000-0005-0000-0000-0000D8380000}"/>
    <cellStyle name="Data Superscript 3 7 6 8" xfId="12898" xr:uid="{00000000-0005-0000-0000-0000D9380000}"/>
    <cellStyle name="Data Superscript 3 7 6 8 2" xfId="12899" xr:uid="{00000000-0005-0000-0000-0000DA380000}"/>
    <cellStyle name="Data Superscript 3 7 6 9" xfId="12900" xr:uid="{00000000-0005-0000-0000-0000DB380000}"/>
    <cellStyle name="Data Superscript 3 7 6 9 2" xfId="12901" xr:uid="{00000000-0005-0000-0000-0000DC380000}"/>
    <cellStyle name="Data Superscript 3 7 7" xfId="12902" xr:uid="{00000000-0005-0000-0000-0000DD380000}"/>
    <cellStyle name="Data Superscript 3 7 7 10" xfId="12903" xr:uid="{00000000-0005-0000-0000-0000DE380000}"/>
    <cellStyle name="Data Superscript 3 7 7 2" xfId="12904" xr:uid="{00000000-0005-0000-0000-0000DF380000}"/>
    <cellStyle name="Data Superscript 3 7 7 2 2" xfId="12905" xr:uid="{00000000-0005-0000-0000-0000E0380000}"/>
    <cellStyle name="Data Superscript 3 7 7 3" xfId="12906" xr:uid="{00000000-0005-0000-0000-0000E1380000}"/>
    <cellStyle name="Data Superscript 3 7 7 3 2" xfId="12907" xr:uid="{00000000-0005-0000-0000-0000E2380000}"/>
    <cellStyle name="Data Superscript 3 7 7 4" xfId="12908" xr:uid="{00000000-0005-0000-0000-0000E3380000}"/>
    <cellStyle name="Data Superscript 3 7 7 4 2" xfId="12909" xr:uid="{00000000-0005-0000-0000-0000E4380000}"/>
    <cellStyle name="Data Superscript 3 7 7 5" xfId="12910" xr:uid="{00000000-0005-0000-0000-0000E5380000}"/>
    <cellStyle name="Data Superscript 3 7 7 5 2" xfId="12911" xr:uid="{00000000-0005-0000-0000-0000E6380000}"/>
    <cellStyle name="Data Superscript 3 7 7 6" xfId="12912" xr:uid="{00000000-0005-0000-0000-0000E7380000}"/>
    <cellStyle name="Data Superscript 3 7 7 6 2" xfId="12913" xr:uid="{00000000-0005-0000-0000-0000E8380000}"/>
    <cellStyle name="Data Superscript 3 7 7 7" xfId="12914" xr:uid="{00000000-0005-0000-0000-0000E9380000}"/>
    <cellStyle name="Data Superscript 3 7 7 7 2" xfId="12915" xr:uid="{00000000-0005-0000-0000-0000EA380000}"/>
    <cellStyle name="Data Superscript 3 7 7 8" xfId="12916" xr:uid="{00000000-0005-0000-0000-0000EB380000}"/>
    <cellStyle name="Data Superscript 3 7 7 8 2" xfId="12917" xr:uid="{00000000-0005-0000-0000-0000EC380000}"/>
    <cellStyle name="Data Superscript 3 7 7 9" xfId="12918" xr:uid="{00000000-0005-0000-0000-0000ED380000}"/>
    <cellStyle name="Data Superscript 3 7 7 9 2" xfId="12919" xr:uid="{00000000-0005-0000-0000-0000EE380000}"/>
    <cellStyle name="Data Superscript 3 7 8" xfId="12920" xr:uid="{00000000-0005-0000-0000-0000EF380000}"/>
    <cellStyle name="Data Superscript 3 7 8 10" xfId="12921" xr:uid="{00000000-0005-0000-0000-0000F0380000}"/>
    <cellStyle name="Data Superscript 3 7 8 2" xfId="12922" xr:uid="{00000000-0005-0000-0000-0000F1380000}"/>
    <cellStyle name="Data Superscript 3 7 8 2 2" xfId="12923" xr:uid="{00000000-0005-0000-0000-0000F2380000}"/>
    <cellStyle name="Data Superscript 3 7 8 3" xfId="12924" xr:uid="{00000000-0005-0000-0000-0000F3380000}"/>
    <cellStyle name="Data Superscript 3 7 8 3 2" xfId="12925" xr:uid="{00000000-0005-0000-0000-0000F4380000}"/>
    <cellStyle name="Data Superscript 3 7 8 4" xfId="12926" xr:uid="{00000000-0005-0000-0000-0000F5380000}"/>
    <cellStyle name="Data Superscript 3 7 8 4 2" xfId="12927" xr:uid="{00000000-0005-0000-0000-0000F6380000}"/>
    <cellStyle name="Data Superscript 3 7 8 5" xfId="12928" xr:uid="{00000000-0005-0000-0000-0000F7380000}"/>
    <cellStyle name="Data Superscript 3 7 8 5 2" xfId="12929" xr:uid="{00000000-0005-0000-0000-0000F8380000}"/>
    <cellStyle name="Data Superscript 3 7 8 6" xfId="12930" xr:uid="{00000000-0005-0000-0000-0000F9380000}"/>
    <cellStyle name="Data Superscript 3 7 8 6 2" xfId="12931" xr:uid="{00000000-0005-0000-0000-0000FA380000}"/>
    <cellStyle name="Data Superscript 3 7 8 7" xfId="12932" xr:uid="{00000000-0005-0000-0000-0000FB380000}"/>
    <cellStyle name="Data Superscript 3 7 8 7 2" xfId="12933" xr:uid="{00000000-0005-0000-0000-0000FC380000}"/>
    <cellStyle name="Data Superscript 3 7 8 8" xfId="12934" xr:uid="{00000000-0005-0000-0000-0000FD380000}"/>
    <cellStyle name="Data Superscript 3 7 8 8 2" xfId="12935" xr:uid="{00000000-0005-0000-0000-0000FE380000}"/>
    <cellStyle name="Data Superscript 3 7 8 9" xfId="12936" xr:uid="{00000000-0005-0000-0000-0000FF380000}"/>
    <cellStyle name="Data Superscript 3 7 8 9 2" xfId="12937" xr:uid="{00000000-0005-0000-0000-000000390000}"/>
    <cellStyle name="Data Superscript 3 7 9" xfId="12938" xr:uid="{00000000-0005-0000-0000-000001390000}"/>
    <cellStyle name="Data Superscript 3 7 9 10" xfId="12939" xr:uid="{00000000-0005-0000-0000-000002390000}"/>
    <cellStyle name="Data Superscript 3 7 9 2" xfId="12940" xr:uid="{00000000-0005-0000-0000-000003390000}"/>
    <cellStyle name="Data Superscript 3 7 9 2 2" xfId="12941" xr:uid="{00000000-0005-0000-0000-000004390000}"/>
    <cellStyle name="Data Superscript 3 7 9 3" xfId="12942" xr:uid="{00000000-0005-0000-0000-000005390000}"/>
    <cellStyle name="Data Superscript 3 7 9 3 2" xfId="12943" xr:uid="{00000000-0005-0000-0000-000006390000}"/>
    <cellStyle name="Data Superscript 3 7 9 4" xfId="12944" xr:uid="{00000000-0005-0000-0000-000007390000}"/>
    <cellStyle name="Data Superscript 3 7 9 4 2" xfId="12945" xr:uid="{00000000-0005-0000-0000-000008390000}"/>
    <cellStyle name="Data Superscript 3 7 9 5" xfId="12946" xr:uid="{00000000-0005-0000-0000-000009390000}"/>
    <cellStyle name="Data Superscript 3 7 9 5 2" xfId="12947" xr:uid="{00000000-0005-0000-0000-00000A390000}"/>
    <cellStyle name="Data Superscript 3 7 9 6" xfId="12948" xr:uid="{00000000-0005-0000-0000-00000B390000}"/>
    <cellStyle name="Data Superscript 3 7 9 6 2" xfId="12949" xr:uid="{00000000-0005-0000-0000-00000C390000}"/>
    <cellStyle name="Data Superscript 3 7 9 7" xfId="12950" xr:uid="{00000000-0005-0000-0000-00000D390000}"/>
    <cellStyle name="Data Superscript 3 7 9 7 2" xfId="12951" xr:uid="{00000000-0005-0000-0000-00000E390000}"/>
    <cellStyle name="Data Superscript 3 7 9 8" xfId="12952" xr:uid="{00000000-0005-0000-0000-00000F390000}"/>
    <cellStyle name="Data Superscript 3 7 9 8 2" xfId="12953" xr:uid="{00000000-0005-0000-0000-000010390000}"/>
    <cellStyle name="Data Superscript 3 7 9 9" xfId="12954" xr:uid="{00000000-0005-0000-0000-000011390000}"/>
    <cellStyle name="Data Superscript 3 7 9 9 2" xfId="12955" xr:uid="{00000000-0005-0000-0000-000012390000}"/>
    <cellStyle name="Data Superscript 3 8" xfId="12956" xr:uid="{00000000-0005-0000-0000-000013390000}"/>
    <cellStyle name="Data Superscript 3 8 10" xfId="12957" xr:uid="{00000000-0005-0000-0000-000014390000}"/>
    <cellStyle name="Data Superscript 3 8 10 2" xfId="12958" xr:uid="{00000000-0005-0000-0000-000015390000}"/>
    <cellStyle name="Data Superscript 3 8 10 2 2" xfId="12959" xr:uid="{00000000-0005-0000-0000-000016390000}"/>
    <cellStyle name="Data Superscript 3 8 10 3" xfId="12960" xr:uid="{00000000-0005-0000-0000-000017390000}"/>
    <cellStyle name="Data Superscript 3 8 10 3 2" xfId="12961" xr:uid="{00000000-0005-0000-0000-000018390000}"/>
    <cellStyle name="Data Superscript 3 8 10 4" xfId="12962" xr:uid="{00000000-0005-0000-0000-000019390000}"/>
    <cellStyle name="Data Superscript 3 8 10 4 2" xfId="12963" xr:uid="{00000000-0005-0000-0000-00001A390000}"/>
    <cellStyle name="Data Superscript 3 8 10 5" xfId="12964" xr:uid="{00000000-0005-0000-0000-00001B390000}"/>
    <cellStyle name="Data Superscript 3 8 10 5 2" xfId="12965" xr:uid="{00000000-0005-0000-0000-00001C390000}"/>
    <cellStyle name="Data Superscript 3 8 10 6" xfId="12966" xr:uid="{00000000-0005-0000-0000-00001D390000}"/>
    <cellStyle name="Data Superscript 3 8 10 6 2" xfId="12967" xr:uid="{00000000-0005-0000-0000-00001E390000}"/>
    <cellStyle name="Data Superscript 3 8 10 7" xfId="12968" xr:uid="{00000000-0005-0000-0000-00001F390000}"/>
    <cellStyle name="Data Superscript 3 8 10 7 2" xfId="12969" xr:uid="{00000000-0005-0000-0000-000020390000}"/>
    <cellStyle name="Data Superscript 3 8 10 8" xfId="12970" xr:uid="{00000000-0005-0000-0000-000021390000}"/>
    <cellStyle name="Data Superscript 3 8 10 8 2" xfId="12971" xr:uid="{00000000-0005-0000-0000-000022390000}"/>
    <cellStyle name="Data Superscript 3 8 10 9" xfId="12972" xr:uid="{00000000-0005-0000-0000-000023390000}"/>
    <cellStyle name="Data Superscript 3 8 11" xfId="12973" xr:uid="{00000000-0005-0000-0000-000024390000}"/>
    <cellStyle name="Data Superscript 3 8 11 2" xfId="12974" xr:uid="{00000000-0005-0000-0000-000025390000}"/>
    <cellStyle name="Data Superscript 3 8 12" xfId="12975" xr:uid="{00000000-0005-0000-0000-000026390000}"/>
    <cellStyle name="Data Superscript 3 8 12 2" xfId="12976" xr:uid="{00000000-0005-0000-0000-000027390000}"/>
    <cellStyle name="Data Superscript 3 8 13" xfId="12977" xr:uid="{00000000-0005-0000-0000-000028390000}"/>
    <cellStyle name="Data Superscript 3 8 13 2" xfId="12978" xr:uid="{00000000-0005-0000-0000-000029390000}"/>
    <cellStyle name="Data Superscript 3 8 14" xfId="12979" xr:uid="{00000000-0005-0000-0000-00002A390000}"/>
    <cellStyle name="Data Superscript 3 8 14 2" xfId="12980" xr:uid="{00000000-0005-0000-0000-00002B390000}"/>
    <cellStyle name="Data Superscript 3 8 15" xfId="12981" xr:uid="{00000000-0005-0000-0000-00002C390000}"/>
    <cellStyle name="Data Superscript 3 8 15 2" xfId="12982" xr:uid="{00000000-0005-0000-0000-00002D390000}"/>
    <cellStyle name="Data Superscript 3 8 16" xfId="12983" xr:uid="{00000000-0005-0000-0000-00002E390000}"/>
    <cellStyle name="Data Superscript 3 8 16 2" xfId="12984" xr:uid="{00000000-0005-0000-0000-00002F390000}"/>
    <cellStyle name="Data Superscript 3 8 17" xfId="12985" xr:uid="{00000000-0005-0000-0000-000030390000}"/>
    <cellStyle name="Data Superscript 3 8 17 2" xfId="12986" xr:uid="{00000000-0005-0000-0000-000031390000}"/>
    <cellStyle name="Data Superscript 3 8 18" xfId="12987" xr:uid="{00000000-0005-0000-0000-000032390000}"/>
    <cellStyle name="Data Superscript 3 8 2" xfId="12988" xr:uid="{00000000-0005-0000-0000-000033390000}"/>
    <cellStyle name="Data Superscript 3 8 2 10" xfId="12989" xr:uid="{00000000-0005-0000-0000-000034390000}"/>
    <cellStyle name="Data Superscript 3 8 2 2" xfId="12990" xr:uid="{00000000-0005-0000-0000-000035390000}"/>
    <cellStyle name="Data Superscript 3 8 2 2 2" xfId="12991" xr:uid="{00000000-0005-0000-0000-000036390000}"/>
    <cellStyle name="Data Superscript 3 8 2 3" xfId="12992" xr:uid="{00000000-0005-0000-0000-000037390000}"/>
    <cellStyle name="Data Superscript 3 8 2 3 2" xfId="12993" xr:uid="{00000000-0005-0000-0000-000038390000}"/>
    <cellStyle name="Data Superscript 3 8 2 4" xfId="12994" xr:uid="{00000000-0005-0000-0000-000039390000}"/>
    <cellStyle name="Data Superscript 3 8 2 4 2" xfId="12995" xr:uid="{00000000-0005-0000-0000-00003A390000}"/>
    <cellStyle name="Data Superscript 3 8 2 5" xfId="12996" xr:uid="{00000000-0005-0000-0000-00003B390000}"/>
    <cellStyle name="Data Superscript 3 8 2 5 2" xfId="12997" xr:uid="{00000000-0005-0000-0000-00003C390000}"/>
    <cellStyle name="Data Superscript 3 8 2 6" xfId="12998" xr:uid="{00000000-0005-0000-0000-00003D390000}"/>
    <cellStyle name="Data Superscript 3 8 2 6 2" xfId="12999" xr:uid="{00000000-0005-0000-0000-00003E390000}"/>
    <cellStyle name="Data Superscript 3 8 2 7" xfId="13000" xr:uid="{00000000-0005-0000-0000-00003F390000}"/>
    <cellStyle name="Data Superscript 3 8 2 7 2" xfId="13001" xr:uid="{00000000-0005-0000-0000-000040390000}"/>
    <cellStyle name="Data Superscript 3 8 2 8" xfId="13002" xr:uid="{00000000-0005-0000-0000-000041390000}"/>
    <cellStyle name="Data Superscript 3 8 2 8 2" xfId="13003" xr:uid="{00000000-0005-0000-0000-000042390000}"/>
    <cellStyle name="Data Superscript 3 8 2 9" xfId="13004" xr:uid="{00000000-0005-0000-0000-000043390000}"/>
    <cellStyle name="Data Superscript 3 8 2 9 2" xfId="13005" xr:uid="{00000000-0005-0000-0000-000044390000}"/>
    <cellStyle name="Data Superscript 3 8 3" xfId="13006" xr:uid="{00000000-0005-0000-0000-000045390000}"/>
    <cellStyle name="Data Superscript 3 8 3 10" xfId="13007" xr:uid="{00000000-0005-0000-0000-000046390000}"/>
    <cellStyle name="Data Superscript 3 8 3 2" xfId="13008" xr:uid="{00000000-0005-0000-0000-000047390000}"/>
    <cellStyle name="Data Superscript 3 8 3 2 2" xfId="13009" xr:uid="{00000000-0005-0000-0000-000048390000}"/>
    <cellStyle name="Data Superscript 3 8 3 3" xfId="13010" xr:uid="{00000000-0005-0000-0000-000049390000}"/>
    <cellStyle name="Data Superscript 3 8 3 3 2" xfId="13011" xr:uid="{00000000-0005-0000-0000-00004A390000}"/>
    <cellStyle name="Data Superscript 3 8 3 4" xfId="13012" xr:uid="{00000000-0005-0000-0000-00004B390000}"/>
    <cellStyle name="Data Superscript 3 8 3 4 2" xfId="13013" xr:uid="{00000000-0005-0000-0000-00004C390000}"/>
    <cellStyle name="Data Superscript 3 8 3 5" xfId="13014" xr:uid="{00000000-0005-0000-0000-00004D390000}"/>
    <cellStyle name="Data Superscript 3 8 3 5 2" xfId="13015" xr:uid="{00000000-0005-0000-0000-00004E390000}"/>
    <cellStyle name="Data Superscript 3 8 3 6" xfId="13016" xr:uid="{00000000-0005-0000-0000-00004F390000}"/>
    <cellStyle name="Data Superscript 3 8 3 6 2" xfId="13017" xr:uid="{00000000-0005-0000-0000-000050390000}"/>
    <cellStyle name="Data Superscript 3 8 3 7" xfId="13018" xr:uid="{00000000-0005-0000-0000-000051390000}"/>
    <cellStyle name="Data Superscript 3 8 3 7 2" xfId="13019" xr:uid="{00000000-0005-0000-0000-000052390000}"/>
    <cellStyle name="Data Superscript 3 8 3 8" xfId="13020" xr:uid="{00000000-0005-0000-0000-000053390000}"/>
    <cellStyle name="Data Superscript 3 8 3 8 2" xfId="13021" xr:uid="{00000000-0005-0000-0000-000054390000}"/>
    <cellStyle name="Data Superscript 3 8 3 9" xfId="13022" xr:uid="{00000000-0005-0000-0000-000055390000}"/>
    <cellStyle name="Data Superscript 3 8 3 9 2" xfId="13023" xr:uid="{00000000-0005-0000-0000-000056390000}"/>
    <cellStyle name="Data Superscript 3 8 4" xfId="13024" xr:uid="{00000000-0005-0000-0000-000057390000}"/>
    <cellStyle name="Data Superscript 3 8 4 10" xfId="13025" xr:uid="{00000000-0005-0000-0000-000058390000}"/>
    <cellStyle name="Data Superscript 3 8 4 2" xfId="13026" xr:uid="{00000000-0005-0000-0000-000059390000}"/>
    <cellStyle name="Data Superscript 3 8 4 2 2" xfId="13027" xr:uid="{00000000-0005-0000-0000-00005A390000}"/>
    <cellStyle name="Data Superscript 3 8 4 3" xfId="13028" xr:uid="{00000000-0005-0000-0000-00005B390000}"/>
    <cellStyle name="Data Superscript 3 8 4 3 2" xfId="13029" xr:uid="{00000000-0005-0000-0000-00005C390000}"/>
    <cellStyle name="Data Superscript 3 8 4 4" xfId="13030" xr:uid="{00000000-0005-0000-0000-00005D390000}"/>
    <cellStyle name="Data Superscript 3 8 4 4 2" xfId="13031" xr:uid="{00000000-0005-0000-0000-00005E390000}"/>
    <cellStyle name="Data Superscript 3 8 4 5" xfId="13032" xr:uid="{00000000-0005-0000-0000-00005F390000}"/>
    <cellStyle name="Data Superscript 3 8 4 5 2" xfId="13033" xr:uid="{00000000-0005-0000-0000-000060390000}"/>
    <cellStyle name="Data Superscript 3 8 4 6" xfId="13034" xr:uid="{00000000-0005-0000-0000-000061390000}"/>
    <cellStyle name="Data Superscript 3 8 4 6 2" xfId="13035" xr:uid="{00000000-0005-0000-0000-000062390000}"/>
    <cellStyle name="Data Superscript 3 8 4 7" xfId="13036" xr:uid="{00000000-0005-0000-0000-000063390000}"/>
    <cellStyle name="Data Superscript 3 8 4 7 2" xfId="13037" xr:uid="{00000000-0005-0000-0000-000064390000}"/>
    <cellStyle name="Data Superscript 3 8 4 8" xfId="13038" xr:uid="{00000000-0005-0000-0000-000065390000}"/>
    <cellStyle name="Data Superscript 3 8 4 8 2" xfId="13039" xr:uid="{00000000-0005-0000-0000-000066390000}"/>
    <cellStyle name="Data Superscript 3 8 4 9" xfId="13040" xr:uid="{00000000-0005-0000-0000-000067390000}"/>
    <cellStyle name="Data Superscript 3 8 4 9 2" xfId="13041" xr:uid="{00000000-0005-0000-0000-000068390000}"/>
    <cellStyle name="Data Superscript 3 8 5" xfId="13042" xr:uid="{00000000-0005-0000-0000-000069390000}"/>
    <cellStyle name="Data Superscript 3 8 5 10" xfId="13043" xr:uid="{00000000-0005-0000-0000-00006A390000}"/>
    <cellStyle name="Data Superscript 3 8 5 2" xfId="13044" xr:uid="{00000000-0005-0000-0000-00006B390000}"/>
    <cellStyle name="Data Superscript 3 8 5 2 2" xfId="13045" xr:uid="{00000000-0005-0000-0000-00006C390000}"/>
    <cellStyle name="Data Superscript 3 8 5 3" xfId="13046" xr:uid="{00000000-0005-0000-0000-00006D390000}"/>
    <cellStyle name="Data Superscript 3 8 5 3 2" xfId="13047" xr:uid="{00000000-0005-0000-0000-00006E390000}"/>
    <cellStyle name="Data Superscript 3 8 5 4" xfId="13048" xr:uid="{00000000-0005-0000-0000-00006F390000}"/>
    <cellStyle name="Data Superscript 3 8 5 4 2" xfId="13049" xr:uid="{00000000-0005-0000-0000-000070390000}"/>
    <cellStyle name="Data Superscript 3 8 5 5" xfId="13050" xr:uid="{00000000-0005-0000-0000-000071390000}"/>
    <cellStyle name="Data Superscript 3 8 5 5 2" xfId="13051" xr:uid="{00000000-0005-0000-0000-000072390000}"/>
    <cellStyle name="Data Superscript 3 8 5 6" xfId="13052" xr:uid="{00000000-0005-0000-0000-000073390000}"/>
    <cellStyle name="Data Superscript 3 8 5 6 2" xfId="13053" xr:uid="{00000000-0005-0000-0000-000074390000}"/>
    <cellStyle name="Data Superscript 3 8 5 7" xfId="13054" xr:uid="{00000000-0005-0000-0000-000075390000}"/>
    <cellStyle name="Data Superscript 3 8 5 7 2" xfId="13055" xr:uid="{00000000-0005-0000-0000-000076390000}"/>
    <cellStyle name="Data Superscript 3 8 5 8" xfId="13056" xr:uid="{00000000-0005-0000-0000-000077390000}"/>
    <cellStyle name="Data Superscript 3 8 5 8 2" xfId="13057" xr:uid="{00000000-0005-0000-0000-000078390000}"/>
    <cellStyle name="Data Superscript 3 8 5 9" xfId="13058" xr:uid="{00000000-0005-0000-0000-000079390000}"/>
    <cellStyle name="Data Superscript 3 8 5 9 2" xfId="13059" xr:uid="{00000000-0005-0000-0000-00007A390000}"/>
    <cellStyle name="Data Superscript 3 8 6" xfId="13060" xr:uid="{00000000-0005-0000-0000-00007B390000}"/>
    <cellStyle name="Data Superscript 3 8 6 10" xfId="13061" xr:uid="{00000000-0005-0000-0000-00007C390000}"/>
    <cellStyle name="Data Superscript 3 8 6 2" xfId="13062" xr:uid="{00000000-0005-0000-0000-00007D390000}"/>
    <cellStyle name="Data Superscript 3 8 6 2 2" xfId="13063" xr:uid="{00000000-0005-0000-0000-00007E390000}"/>
    <cellStyle name="Data Superscript 3 8 6 3" xfId="13064" xr:uid="{00000000-0005-0000-0000-00007F390000}"/>
    <cellStyle name="Data Superscript 3 8 6 3 2" xfId="13065" xr:uid="{00000000-0005-0000-0000-000080390000}"/>
    <cellStyle name="Data Superscript 3 8 6 4" xfId="13066" xr:uid="{00000000-0005-0000-0000-000081390000}"/>
    <cellStyle name="Data Superscript 3 8 6 4 2" xfId="13067" xr:uid="{00000000-0005-0000-0000-000082390000}"/>
    <cellStyle name="Data Superscript 3 8 6 5" xfId="13068" xr:uid="{00000000-0005-0000-0000-000083390000}"/>
    <cellStyle name="Data Superscript 3 8 6 5 2" xfId="13069" xr:uid="{00000000-0005-0000-0000-000084390000}"/>
    <cellStyle name="Data Superscript 3 8 6 6" xfId="13070" xr:uid="{00000000-0005-0000-0000-000085390000}"/>
    <cellStyle name="Data Superscript 3 8 6 6 2" xfId="13071" xr:uid="{00000000-0005-0000-0000-000086390000}"/>
    <cellStyle name="Data Superscript 3 8 6 7" xfId="13072" xr:uid="{00000000-0005-0000-0000-000087390000}"/>
    <cellStyle name="Data Superscript 3 8 6 7 2" xfId="13073" xr:uid="{00000000-0005-0000-0000-000088390000}"/>
    <cellStyle name="Data Superscript 3 8 6 8" xfId="13074" xr:uid="{00000000-0005-0000-0000-000089390000}"/>
    <cellStyle name="Data Superscript 3 8 6 8 2" xfId="13075" xr:uid="{00000000-0005-0000-0000-00008A390000}"/>
    <cellStyle name="Data Superscript 3 8 6 9" xfId="13076" xr:uid="{00000000-0005-0000-0000-00008B390000}"/>
    <cellStyle name="Data Superscript 3 8 6 9 2" xfId="13077" xr:uid="{00000000-0005-0000-0000-00008C390000}"/>
    <cellStyle name="Data Superscript 3 8 7" xfId="13078" xr:uid="{00000000-0005-0000-0000-00008D390000}"/>
    <cellStyle name="Data Superscript 3 8 7 10" xfId="13079" xr:uid="{00000000-0005-0000-0000-00008E390000}"/>
    <cellStyle name="Data Superscript 3 8 7 2" xfId="13080" xr:uid="{00000000-0005-0000-0000-00008F390000}"/>
    <cellStyle name="Data Superscript 3 8 7 2 2" xfId="13081" xr:uid="{00000000-0005-0000-0000-000090390000}"/>
    <cellStyle name="Data Superscript 3 8 7 3" xfId="13082" xr:uid="{00000000-0005-0000-0000-000091390000}"/>
    <cellStyle name="Data Superscript 3 8 7 3 2" xfId="13083" xr:uid="{00000000-0005-0000-0000-000092390000}"/>
    <cellStyle name="Data Superscript 3 8 7 4" xfId="13084" xr:uid="{00000000-0005-0000-0000-000093390000}"/>
    <cellStyle name="Data Superscript 3 8 7 4 2" xfId="13085" xr:uid="{00000000-0005-0000-0000-000094390000}"/>
    <cellStyle name="Data Superscript 3 8 7 5" xfId="13086" xr:uid="{00000000-0005-0000-0000-000095390000}"/>
    <cellStyle name="Data Superscript 3 8 7 5 2" xfId="13087" xr:uid="{00000000-0005-0000-0000-000096390000}"/>
    <cellStyle name="Data Superscript 3 8 7 6" xfId="13088" xr:uid="{00000000-0005-0000-0000-000097390000}"/>
    <cellStyle name="Data Superscript 3 8 7 6 2" xfId="13089" xr:uid="{00000000-0005-0000-0000-000098390000}"/>
    <cellStyle name="Data Superscript 3 8 7 7" xfId="13090" xr:uid="{00000000-0005-0000-0000-000099390000}"/>
    <cellStyle name="Data Superscript 3 8 7 7 2" xfId="13091" xr:uid="{00000000-0005-0000-0000-00009A390000}"/>
    <cellStyle name="Data Superscript 3 8 7 8" xfId="13092" xr:uid="{00000000-0005-0000-0000-00009B390000}"/>
    <cellStyle name="Data Superscript 3 8 7 8 2" xfId="13093" xr:uid="{00000000-0005-0000-0000-00009C390000}"/>
    <cellStyle name="Data Superscript 3 8 7 9" xfId="13094" xr:uid="{00000000-0005-0000-0000-00009D390000}"/>
    <cellStyle name="Data Superscript 3 8 7 9 2" xfId="13095" xr:uid="{00000000-0005-0000-0000-00009E390000}"/>
    <cellStyle name="Data Superscript 3 8 8" xfId="13096" xr:uid="{00000000-0005-0000-0000-00009F390000}"/>
    <cellStyle name="Data Superscript 3 8 8 10" xfId="13097" xr:uid="{00000000-0005-0000-0000-0000A0390000}"/>
    <cellStyle name="Data Superscript 3 8 8 2" xfId="13098" xr:uid="{00000000-0005-0000-0000-0000A1390000}"/>
    <cellStyle name="Data Superscript 3 8 8 2 2" xfId="13099" xr:uid="{00000000-0005-0000-0000-0000A2390000}"/>
    <cellStyle name="Data Superscript 3 8 8 3" xfId="13100" xr:uid="{00000000-0005-0000-0000-0000A3390000}"/>
    <cellStyle name="Data Superscript 3 8 8 3 2" xfId="13101" xr:uid="{00000000-0005-0000-0000-0000A4390000}"/>
    <cellStyle name="Data Superscript 3 8 8 4" xfId="13102" xr:uid="{00000000-0005-0000-0000-0000A5390000}"/>
    <cellStyle name="Data Superscript 3 8 8 4 2" xfId="13103" xr:uid="{00000000-0005-0000-0000-0000A6390000}"/>
    <cellStyle name="Data Superscript 3 8 8 5" xfId="13104" xr:uid="{00000000-0005-0000-0000-0000A7390000}"/>
    <cellStyle name="Data Superscript 3 8 8 5 2" xfId="13105" xr:uid="{00000000-0005-0000-0000-0000A8390000}"/>
    <cellStyle name="Data Superscript 3 8 8 6" xfId="13106" xr:uid="{00000000-0005-0000-0000-0000A9390000}"/>
    <cellStyle name="Data Superscript 3 8 8 6 2" xfId="13107" xr:uid="{00000000-0005-0000-0000-0000AA390000}"/>
    <cellStyle name="Data Superscript 3 8 8 7" xfId="13108" xr:uid="{00000000-0005-0000-0000-0000AB390000}"/>
    <cellStyle name="Data Superscript 3 8 8 7 2" xfId="13109" xr:uid="{00000000-0005-0000-0000-0000AC390000}"/>
    <cellStyle name="Data Superscript 3 8 8 8" xfId="13110" xr:uid="{00000000-0005-0000-0000-0000AD390000}"/>
    <cellStyle name="Data Superscript 3 8 8 8 2" xfId="13111" xr:uid="{00000000-0005-0000-0000-0000AE390000}"/>
    <cellStyle name="Data Superscript 3 8 8 9" xfId="13112" xr:uid="{00000000-0005-0000-0000-0000AF390000}"/>
    <cellStyle name="Data Superscript 3 8 8 9 2" xfId="13113" xr:uid="{00000000-0005-0000-0000-0000B0390000}"/>
    <cellStyle name="Data Superscript 3 8 9" xfId="13114" xr:uid="{00000000-0005-0000-0000-0000B1390000}"/>
    <cellStyle name="Data Superscript 3 8 9 10" xfId="13115" xr:uid="{00000000-0005-0000-0000-0000B2390000}"/>
    <cellStyle name="Data Superscript 3 8 9 2" xfId="13116" xr:uid="{00000000-0005-0000-0000-0000B3390000}"/>
    <cellStyle name="Data Superscript 3 8 9 2 2" xfId="13117" xr:uid="{00000000-0005-0000-0000-0000B4390000}"/>
    <cellStyle name="Data Superscript 3 8 9 3" xfId="13118" xr:uid="{00000000-0005-0000-0000-0000B5390000}"/>
    <cellStyle name="Data Superscript 3 8 9 3 2" xfId="13119" xr:uid="{00000000-0005-0000-0000-0000B6390000}"/>
    <cellStyle name="Data Superscript 3 8 9 4" xfId="13120" xr:uid="{00000000-0005-0000-0000-0000B7390000}"/>
    <cellStyle name="Data Superscript 3 8 9 4 2" xfId="13121" xr:uid="{00000000-0005-0000-0000-0000B8390000}"/>
    <cellStyle name="Data Superscript 3 8 9 5" xfId="13122" xr:uid="{00000000-0005-0000-0000-0000B9390000}"/>
    <cellStyle name="Data Superscript 3 8 9 5 2" xfId="13123" xr:uid="{00000000-0005-0000-0000-0000BA390000}"/>
    <cellStyle name="Data Superscript 3 8 9 6" xfId="13124" xr:uid="{00000000-0005-0000-0000-0000BB390000}"/>
    <cellStyle name="Data Superscript 3 8 9 6 2" xfId="13125" xr:uid="{00000000-0005-0000-0000-0000BC390000}"/>
    <cellStyle name="Data Superscript 3 8 9 7" xfId="13126" xr:uid="{00000000-0005-0000-0000-0000BD390000}"/>
    <cellStyle name="Data Superscript 3 8 9 7 2" xfId="13127" xr:uid="{00000000-0005-0000-0000-0000BE390000}"/>
    <cellStyle name="Data Superscript 3 8 9 8" xfId="13128" xr:uid="{00000000-0005-0000-0000-0000BF390000}"/>
    <cellStyle name="Data Superscript 3 8 9 8 2" xfId="13129" xr:uid="{00000000-0005-0000-0000-0000C0390000}"/>
    <cellStyle name="Data Superscript 3 8 9 9" xfId="13130" xr:uid="{00000000-0005-0000-0000-0000C1390000}"/>
    <cellStyle name="Data Superscript 3 8 9 9 2" xfId="13131" xr:uid="{00000000-0005-0000-0000-0000C2390000}"/>
    <cellStyle name="Data_1-1A-Regular" xfId="64" xr:uid="{00000000-0005-0000-0000-0000C3390000}"/>
    <cellStyle name="Data-one deci" xfId="65" xr:uid="{00000000-0005-0000-0000-0000C4390000}"/>
    <cellStyle name="Data-one deci 2" xfId="13132" xr:uid="{00000000-0005-0000-0000-0000C5390000}"/>
    <cellStyle name="Data-one deci 2 10" xfId="13133" xr:uid="{00000000-0005-0000-0000-0000C6390000}"/>
    <cellStyle name="Data-one deci 2 10 10" xfId="13134" xr:uid="{00000000-0005-0000-0000-0000C7390000}"/>
    <cellStyle name="Data-one deci 2 10 2" xfId="13135" xr:uid="{00000000-0005-0000-0000-0000C8390000}"/>
    <cellStyle name="Data-one deci 2 10 2 2" xfId="13136" xr:uid="{00000000-0005-0000-0000-0000C9390000}"/>
    <cellStyle name="Data-one deci 2 10 3" xfId="13137" xr:uid="{00000000-0005-0000-0000-0000CA390000}"/>
    <cellStyle name="Data-one deci 2 10 3 2" xfId="13138" xr:uid="{00000000-0005-0000-0000-0000CB390000}"/>
    <cellStyle name="Data-one deci 2 10 4" xfId="13139" xr:uid="{00000000-0005-0000-0000-0000CC390000}"/>
    <cellStyle name="Data-one deci 2 10 4 2" xfId="13140" xr:uid="{00000000-0005-0000-0000-0000CD390000}"/>
    <cellStyle name="Data-one deci 2 10 5" xfId="13141" xr:uid="{00000000-0005-0000-0000-0000CE390000}"/>
    <cellStyle name="Data-one deci 2 10 5 2" xfId="13142" xr:uid="{00000000-0005-0000-0000-0000CF390000}"/>
    <cellStyle name="Data-one deci 2 10 6" xfId="13143" xr:uid="{00000000-0005-0000-0000-0000D0390000}"/>
    <cellStyle name="Data-one deci 2 10 6 2" xfId="13144" xr:uid="{00000000-0005-0000-0000-0000D1390000}"/>
    <cellStyle name="Data-one deci 2 10 7" xfId="13145" xr:uid="{00000000-0005-0000-0000-0000D2390000}"/>
    <cellStyle name="Data-one deci 2 10 7 2" xfId="13146" xr:uid="{00000000-0005-0000-0000-0000D3390000}"/>
    <cellStyle name="Data-one deci 2 10 8" xfId="13147" xr:uid="{00000000-0005-0000-0000-0000D4390000}"/>
    <cellStyle name="Data-one deci 2 10 8 2" xfId="13148" xr:uid="{00000000-0005-0000-0000-0000D5390000}"/>
    <cellStyle name="Data-one deci 2 10 9" xfId="13149" xr:uid="{00000000-0005-0000-0000-0000D6390000}"/>
    <cellStyle name="Data-one deci 2 10 9 2" xfId="13150" xr:uid="{00000000-0005-0000-0000-0000D7390000}"/>
    <cellStyle name="Data-one deci 2 11" xfId="13151" xr:uid="{00000000-0005-0000-0000-0000D8390000}"/>
    <cellStyle name="Data-one deci 2 11 2" xfId="13152" xr:uid="{00000000-0005-0000-0000-0000D9390000}"/>
    <cellStyle name="Data-one deci 2 11 2 2" xfId="13153" xr:uid="{00000000-0005-0000-0000-0000DA390000}"/>
    <cellStyle name="Data-one deci 2 11 3" xfId="13154" xr:uid="{00000000-0005-0000-0000-0000DB390000}"/>
    <cellStyle name="Data-one deci 2 11 3 2" xfId="13155" xr:uid="{00000000-0005-0000-0000-0000DC390000}"/>
    <cellStyle name="Data-one deci 2 11 4" xfId="13156" xr:uid="{00000000-0005-0000-0000-0000DD390000}"/>
    <cellStyle name="Data-one deci 2 11 4 2" xfId="13157" xr:uid="{00000000-0005-0000-0000-0000DE390000}"/>
    <cellStyle name="Data-one deci 2 11 5" xfId="13158" xr:uid="{00000000-0005-0000-0000-0000DF390000}"/>
    <cellStyle name="Data-one deci 2 11 5 2" xfId="13159" xr:uid="{00000000-0005-0000-0000-0000E0390000}"/>
    <cellStyle name="Data-one deci 2 11 6" xfId="13160" xr:uid="{00000000-0005-0000-0000-0000E1390000}"/>
    <cellStyle name="Data-one deci 2 11 6 2" xfId="13161" xr:uid="{00000000-0005-0000-0000-0000E2390000}"/>
    <cellStyle name="Data-one deci 2 11 7" xfId="13162" xr:uid="{00000000-0005-0000-0000-0000E3390000}"/>
    <cellStyle name="Data-one deci 2 11 7 2" xfId="13163" xr:uid="{00000000-0005-0000-0000-0000E4390000}"/>
    <cellStyle name="Data-one deci 2 11 8" xfId="13164" xr:uid="{00000000-0005-0000-0000-0000E5390000}"/>
    <cellStyle name="Data-one deci 2 11 8 2" xfId="13165" xr:uid="{00000000-0005-0000-0000-0000E6390000}"/>
    <cellStyle name="Data-one deci 2 11 9" xfId="13166" xr:uid="{00000000-0005-0000-0000-0000E7390000}"/>
    <cellStyle name="Data-one deci 2 2" xfId="13167" xr:uid="{00000000-0005-0000-0000-0000E8390000}"/>
    <cellStyle name="Data-one deci 2 2 10" xfId="13168" xr:uid="{00000000-0005-0000-0000-0000E9390000}"/>
    <cellStyle name="Data-one deci 2 2 2" xfId="13169" xr:uid="{00000000-0005-0000-0000-0000EA390000}"/>
    <cellStyle name="Data-one deci 2 2 2 2" xfId="13170" xr:uid="{00000000-0005-0000-0000-0000EB390000}"/>
    <cellStyle name="Data-one deci 2 2 3" xfId="13171" xr:uid="{00000000-0005-0000-0000-0000EC390000}"/>
    <cellStyle name="Data-one deci 2 2 3 2" xfId="13172" xr:uid="{00000000-0005-0000-0000-0000ED390000}"/>
    <cellStyle name="Data-one deci 2 2 4" xfId="13173" xr:uid="{00000000-0005-0000-0000-0000EE390000}"/>
    <cellStyle name="Data-one deci 2 2 4 2" xfId="13174" xr:uid="{00000000-0005-0000-0000-0000EF390000}"/>
    <cellStyle name="Data-one deci 2 2 5" xfId="13175" xr:uid="{00000000-0005-0000-0000-0000F0390000}"/>
    <cellStyle name="Data-one deci 2 2 5 2" xfId="13176" xr:uid="{00000000-0005-0000-0000-0000F1390000}"/>
    <cellStyle name="Data-one deci 2 2 6" xfId="13177" xr:uid="{00000000-0005-0000-0000-0000F2390000}"/>
    <cellStyle name="Data-one deci 2 2 6 2" xfId="13178" xr:uid="{00000000-0005-0000-0000-0000F3390000}"/>
    <cellStyle name="Data-one deci 2 2 7" xfId="13179" xr:uid="{00000000-0005-0000-0000-0000F4390000}"/>
    <cellStyle name="Data-one deci 2 2 7 2" xfId="13180" xr:uid="{00000000-0005-0000-0000-0000F5390000}"/>
    <cellStyle name="Data-one deci 2 2 8" xfId="13181" xr:uid="{00000000-0005-0000-0000-0000F6390000}"/>
    <cellStyle name="Data-one deci 2 2 8 2" xfId="13182" xr:uid="{00000000-0005-0000-0000-0000F7390000}"/>
    <cellStyle name="Data-one deci 2 2 9" xfId="13183" xr:uid="{00000000-0005-0000-0000-0000F8390000}"/>
    <cellStyle name="Data-one deci 2 2 9 2" xfId="13184" xr:uid="{00000000-0005-0000-0000-0000F9390000}"/>
    <cellStyle name="Data-one deci 2 3" xfId="13185" xr:uid="{00000000-0005-0000-0000-0000FA390000}"/>
    <cellStyle name="Data-one deci 2 3 10" xfId="13186" xr:uid="{00000000-0005-0000-0000-0000FB390000}"/>
    <cellStyle name="Data-one deci 2 3 2" xfId="13187" xr:uid="{00000000-0005-0000-0000-0000FC390000}"/>
    <cellStyle name="Data-one deci 2 3 2 2" xfId="13188" xr:uid="{00000000-0005-0000-0000-0000FD390000}"/>
    <cellStyle name="Data-one deci 2 3 3" xfId="13189" xr:uid="{00000000-0005-0000-0000-0000FE390000}"/>
    <cellStyle name="Data-one deci 2 3 3 2" xfId="13190" xr:uid="{00000000-0005-0000-0000-0000FF390000}"/>
    <cellStyle name="Data-one deci 2 3 4" xfId="13191" xr:uid="{00000000-0005-0000-0000-0000003A0000}"/>
    <cellStyle name="Data-one deci 2 3 4 2" xfId="13192" xr:uid="{00000000-0005-0000-0000-0000013A0000}"/>
    <cellStyle name="Data-one deci 2 3 5" xfId="13193" xr:uid="{00000000-0005-0000-0000-0000023A0000}"/>
    <cellStyle name="Data-one deci 2 3 5 2" xfId="13194" xr:uid="{00000000-0005-0000-0000-0000033A0000}"/>
    <cellStyle name="Data-one deci 2 3 6" xfId="13195" xr:uid="{00000000-0005-0000-0000-0000043A0000}"/>
    <cellStyle name="Data-one deci 2 3 6 2" xfId="13196" xr:uid="{00000000-0005-0000-0000-0000053A0000}"/>
    <cellStyle name="Data-one deci 2 3 7" xfId="13197" xr:uid="{00000000-0005-0000-0000-0000063A0000}"/>
    <cellStyle name="Data-one deci 2 3 7 2" xfId="13198" xr:uid="{00000000-0005-0000-0000-0000073A0000}"/>
    <cellStyle name="Data-one deci 2 3 8" xfId="13199" xr:uid="{00000000-0005-0000-0000-0000083A0000}"/>
    <cellStyle name="Data-one deci 2 3 8 2" xfId="13200" xr:uid="{00000000-0005-0000-0000-0000093A0000}"/>
    <cellStyle name="Data-one deci 2 3 9" xfId="13201" xr:uid="{00000000-0005-0000-0000-00000A3A0000}"/>
    <cellStyle name="Data-one deci 2 3 9 2" xfId="13202" xr:uid="{00000000-0005-0000-0000-00000B3A0000}"/>
    <cellStyle name="Data-one deci 2 4" xfId="13203" xr:uid="{00000000-0005-0000-0000-00000C3A0000}"/>
    <cellStyle name="Data-one deci 2 4 10" xfId="13204" xr:uid="{00000000-0005-0000-0000-00000D3A0000}"/>
    <cellStyle name="Data-one deci 2 4 2" xfId="13205" xr:uid="{00000000-0005-0000-0000-00000E3A0000}"/>
    <cellStyle name="Data-one deci 2 4 2 2" xfId="13206" xr:uid="{00000000-0005-0000-0000-00000F3A0000}"/>
    <cellStyle name="Data-one deci 2 4 3" xfId="13207" xr:uid="{00000000-0005-0000-0000-0000103A0000}"/>
    <cellStyle name="Data-one deci 2 4 3 2" xfId="13208" xr:uid="{00000000-0005-0000-0000-0000113A0000}"/>
    <cellStyle name="Data-one deci 2 4 4" xfId="13209" xr:uid="{00000000-0005-0000-0000-0000123A0000}"/>
    <cellStyle name="Data-one deci 2 4 4 2" xfId="13210" xr:uid="{00000000-0005-0000-0000-0000133A0000}"/>
    <cellStyle name="Data-one deci 2 4 5" xfId="13211" xr:uid="{00000000-0005-0000-0000-0000143A0000}"/>
    <cellStyle name="Data-one deci 2 4 5 2" xfId="13212" xr:uid="{00000000-0005-0000-0000-0000153A0000}"/>
    <cellStyle name="Data-one deci 2 4 6" xfId="13213" xr:uid="{00000000-0005-0000-0000-0000163A0000}"/>
    <cellStyle name="Data-one deci 2 4 6 2" xfId="13214" xr:uid="{00000000-0005-0000-0000-0000173A0000}"/>
    <cellStyle name="Data-one deci 2 4 7" xfId="13215" xr:uid="{00000000-0005-0000-0000-0000183A0000}"/>
    <cellStyle name="Data-one deci 2 4 7 2" xfId="13216" xr:uid="{00000000-0005-0000-0000-0000193A0000}"/>
    <cellStyle name="Data-one deci 2 4 8" xfId="13217" xr:uid="{00000000-0005-0000-0000-00001A3A0000}"/>
    <cellStyle name="Data-one deci 2 4 8 2" xfId="13218" xr:uid="{00000000-0005-0000-0000-00001B3A0000}"/>
    <cellStyle name="Data-one deci 2 4 9" xfId="13219" xr:uid="{00000000-0005-0000-0000-00001C3A0000}"/>
    <cellStyle name="Data-one deci 2 4 9 2" xfId="13220" xr:uid="{00000000-0005-0000-0000-00001D3A0000}"/>
    <cellStyle name="Data-one deci 2 5" xfId="13221" xr:uid="{00000000-0005-0000-0000-00001E3A0000}"/>
    <cellStyle name="Data-one deci 2 5 10" xfId="13222" xr:uid="{00000000-0005-0000-0000-00001F3A0000}"/>
    <cellStyle name="Data-one deci 2 5 2" xfId="13223" xr:uid="{00000000-0005-0000-0000-0000203A0000}"/>
    <cellStyle name="Data-one deci 2 5 2 2" xfId="13224" xr:uid="{00000000-0005-0000-0000-0000213A0000}"/>
    <cellStyle name="Data-one deci 2 5 3" xfId="13225" xr:uid="{00000000-0005-0000-0000-0000223A0000}"/>
    <cellStyle name="Data-one deci 2 5 3 2" xfId="13226" xr:uid="{00000000-0005-0000-0000-0000233A0000}"/>
    <cellStyle name="Data-one deci 2 5 4" xfId="13227" xr:uid="{00000000-0005-0000-0000-0000243A0000}"/>
    <cellStyle name="Data-one deci 2 5 4 2" xfId="13228" xr:uid="{00000000-0005-0000-0000-0000253A0000}"/>
    <cellStyle name="Data-one deci 2 5 5" xfId="13229" xr:uid="{00000000-0005-0000-0000-0000263A0000}"/>
    <cellStyle name="Data-one deci 2 5 5 2" xfId="13230" xr:uid="{00000000-0005-0000-0000-0000273A0000}"/>
    <cellStyle name="Data-one deci 2 5 6" xfId="13231" xr:uid="{00000000-0005-0000-0000-0000283A0000}"/>
    <cellStyle name="Data-one deci 2 5 6 2" xfId="13232" xr:uid="{00000000-0005-0000-0000-0000293A0000}"/>
    <cellStyle name="Data-one deci 2 5 7" xfId="13233" xr:uid="{00000000-0005-0000-0000-00002A3A0000}"/>
    <cellStyle name="Data-one deci 2 5 7 2" xfId="13234" xr:uid="{00000000-0005-0000-0000-00002B3A0000}"/>
    <cellStyle name="Data-one deci 2 5 8" xfId="13235" xr:uid="{00000000-0005-0000-0000-00002C3A0000}"/>
    <cellStyle name="Data-one deci 2 5 8 2" xfId="13236" xr:uid="{00000000-0005-0000-0000-00002D3A0000}"/>
    <cellStyle name="Data-one deci 2 5 9" xfId="13237" xr:uid="{00000000-0005-0000-0000-00002E3A0000}"/>
    <cellStyle name="Data-one deci 2 5 9 2" xfId="13238" xr:uid="{00000000-0005-0000-0000-00002F3A0000}"/>
    <cellStyle name="Data-one deci 2 6" xfId="13239" xr:uid="{00000000-0005-0000-0000-0000303A0000}"/>
    <cellStyle name="Data-one deci 2 6 10" xfId="13240" xr:uid="{00000000-0005-0000-0000-0000313A0000}"/>
    <cellStyle name="Data-one deci 2 6 2" xfId="13241" xr:uid="{00000000-0005-0000-0000-0000323A0000}"/>
    <cellStyle name="Data-one deci 2 6 2 2" xfId="13242" xr:uid="{00000000-0005-0000-0000-0000333A0000}"/>
    <cellStyle name="Data-one deci 2 6 3" xfId="13243" xr:uid="{00000000-0005-0000-0000-0000343A0000}"/>
    <cellStyle name="Data-one deci 2 6 3 2" xfId="13244" xr:uid="{00000000-0005-0000-0000-0000353A0000}"/>
    <cellStyle name="Data-one deci 2 6 4" xfId="13245" xr:uid="{00000000-0005-0000-0000-0000363A0000}"/>
    <cellStyle name="Data-one deci 2 6 4 2" xfId="13246" xr:uid="{00000000-0005-0000-0000-0000373A0000}"/>
    <cellStyle name="Data-one deci 2 6 5" xfId="13247" xr:uid="{00000000-0005-0000-0000-0000383A0000}"/>
    <cellStyle name="Data-one deci 2 6 5 2" xfId="13248" xr:uid="{00000000-0005-0000-0000-0000393A0000}"/>
    <cellStyle name="Data-one deci 2 6 6" xfId="13249" xr:uid="{00000000-0005-0000-0000-00003A3A0000}"/>
    <cellStyle name="Data-one deci 2 6 6 2" xfId="13250" xr:uid="{00000000-0005-0000-0000-00003B3A0000}"/>
    <cellStyle name="Data-one deci 2 6 7" xfId="13251" xr:uid="{00000000-0005-0000-0000-00003C3A0000}"/>
    <cellStyle name="Data-one deci 2 6 7 2" xfId="13252" xr:uid="{00000000-0005-0000-0000-00003D3A0000}"/>
    <cellStyle name="Data-one deci 2 6 8" xfId="13253" xr:uid="{00000000-0005-0000-0000-00003E3A0000}"/>
    <cellStyle name="Data-one deci 2 6 8 2" xfId="13254" xr:uid="{00000000-0005-0000-0000-00003F3A0000}"/>
    <cellStyle name="Data-one deci 2 6 9" xfId="13255" xr:uid="{00000000-0005-0000-0000-0000403A0000}"/>
    <cellStyle name="Data-one deci 2 6 9 2" xfId="13256" xr:uid="{00000000-0005-0000-0000-0000413A0000}"/>
    <cellStyle name="Data-one deci 2 7" xfId="13257" xr:uid="{00000000-0005-0000-0000-0000423A0000}"/>
    <cellStyle name="Data-one deci 2 7 10" xfId="13258" xr:uid="{00000000-0005-0000-0000-0000433A0000}"/>
    <cellStyle name="Data-one deci 2 7 2" xfId="13259" xr:uid="{00000000-0005-0000-0000-0000443A0000}"/>
    <cellStyle name="Data-one deci 2 7 2 2" xfId="13260" xr:uid="{00000000-0005-0000-0000-0000453A0000}"/>
    <cellStyle name="Data-one deci 2 7 3" xfId="13261" xr:uid="{00000000-0005-0000-0000-0000463A0000}"/>
    <cellStyle name="Data-one deci 2 7 3 2" xfId="13262" xr:uid="{00000000-0005-0000-0000-0000473A0000}"/>
    <cellStyle name="Data-one deci 2 7 4" xfId="13263" xr:uid="{00000000-0005-0000-0000-0000483A0000}"/>
    <cellStyle name="Data-one deci 2 7 4 2" xfId="13264" xr:uid="{00000000-0005-0000-0000-0000493A0000}"/>
    <cellStyle name="Data-one deci 2 7 5" xfId="13265" xr:uid="{00000000-0005-0000-0000-00004A3A0000}"/>
    <cellStyle name="Data-one deci 2 7 5 2" xfId="13266" xr:uid="{00000000-0005-0000-0000-00004B3A0000}"/>
    <cellStyle name="Data-one deci 2 7 6" xfId="13267" xr:uid="{00000000-0005-0000-0000-00004C3A0000}"/>
    <cellStyle name="Data-one deci 2 7 6 2" xfId="13268" xr:uid="{00000000-0005-0000-0000-00004D3A0000}"/>
    <cellStyle name="Data-one deci 2 7 7" xfId="13269" xr:uid="{00000000-0005-0000-0000-00004E3A0000}"/>
    <cellStyle name="Data-one deci 2 7 7 2" xfId="13270" xr:uid="{00000000-0005-0000-0000-00004F3A0000}"/>
    <cellStyle name="Data-one deci 2 7 8" xfId="13271" xr:uid="{00000000-0005-0000-0000-0000503A0000}"/>
    <cellStyle name="Data-one deci 2 7 8 2" xfId="13272" xr:uid="{00000000-0005-0000-0000-0000513A0000}"/>
    <cellStyle name="Data-one deci 2 7 9" xfId="13273" xr:uid="{00000000-0005-0000-0000-0000523A0000}"/>
    <cellStyle name="Data-one deci 2 7 9 2" xfId="13274" xr:uid="{00000000-0005-0000-0000-0000533A0000}"/>
    <cellStyle name="Data-one deci 2 8" xfId="13275" xr:uid="{00000000-0005-0000-0000-0000543A0000}"/>
    <cellStyle name="Data-one deci 2 8 10" xfId="13276" xr:uid="{00000000-0005-0000-0000-0000553A0000}"/>
    <cellStyle name="Data-one deci 2 8 2" xfId="13277" xr:uid="{00000000-0005-0000-0000-0000563A0000}"/>
    <cellStyle name="Data-one deci 2 8 2 2" xfId="13278" xr:uid="{00000000-0005-0000-0000-0000573A0000}"/>
    <cellStyle name="Data-one deci 2 8 3" xfId="13279" xr:uid="{00000000-0005-0000-0000-0000583A0000}"/>
    <cellStyle name="Data-one deci 2 8 3 2" xfId="13280" xr:uid="{00000000-0005-0000-0000-0000593A0000}"/>
    <cellStyle name="Data-one deci 2 8 4" xfId="13281" xr:uid="{00000000-0005-0000-0000-00005A3A0000}"/>
    <cellStyle name="Data-one deci 2 8 4 2" xfId="13282" xr:uid="{00000000-0005-0000-0000-00005B3A0000}"/>
    <cellStyle name="Data-one deci 2 8 5" xfId="13283" xr:uid="{00000000-0005-0000-0000-00005C3A0000}"/>
    <cellStyle name="Data-one deci 2 8 5 2" xfId="13284" xr:uid="{00000000-0005-0000-0000-00005D3A0000}"/>
    <cellStyle name="Data-one deci 2 8 6" xfId="13285" xr:uid="{00000000-0005-0000-0000-00005E3A0000}"/>
    <cellStyle name="Data-one deci 2 8 6 2" xfId="13286" xr:uid="{00000000-0005-0000-0000-00005F3A0000}"/>
    <cellStyle name="Data-one deci 2 8 7" xfId="13287" xr:uid="{00000000-0005-0000-0000-0000603A0000}"/>
    <cellStyle name="Data-one deci 2 8 7 2" xfId="13288" xr:uid="{00000000-0005-0000-0000-0000613A0000}"/>
    <cellStyle name="Data-one deci 2 8 8" xfId="13289" xr:uid="{00000000-0005-0000-0000-0000623A0000}"/>
    <cellStyle name="Data-one deci 2 8 8 2" xfId="13290" xr:uid="{00000000-0005-0000-0000-0000633A0000}"/>
    <cellStyle name="Data-one deci 2 8 9" xfId="13291" xr:uid="{00000000-0005-0000-0000-0000643A0000}"/>
    <cellStyle name="Data-one deci 2 8 9 2" xfId="13292" xr:uid="{00000000-0005-0000-0000-0000653A0000}"/>
    <cellStyle name="Data-one deci 2 9" xfId="13293" xr:uid="{00000000-0005-0000-0000-0000663A0000}"/>
    <cellStyle name="Data-one deci 2 9 10" xfId="13294" xr:uid="{00000000-0005-0000-0000-0000673A0000}"/>
    <cellStyle name="Data-one deci 2 9 2" xfId="13295" xr:uid="{00000000-0005-0000-0000-0000683A0000}"/>
    <cellStyle name="Data-one deci 2 9 2 2" xfId="13296" xr:uid="{00000000-0005-0000-0000-0000693A0000}"/>
    <cellStyle name="Data-one deci 2 9 3" xfId="13297" xr:uid="{00000000-0005-0000-0000-00006A3A0000}"/>
    <cellStyle name="Data-one deci 2 9 3 2" xfId="13298" xr:uid="{00000000-0005-0000-0000-00006B3A0000}"/>
    <cellStyle name="Data-one deci 2 9 4" xfId="13299" xr:uid="{00000000-0005-0000-0000-00006C3A0000}"/>
    <cellStyle name="Data-one deci 2 9 4 2" xfId="13300" xr:uid="{00000000-0005-0000-0000-00006D3A0000}"/>
    <cellStyle name="Data-one deci 2 9 5" xfId="13301" xr:uid="{00000000-0005-0000-0000-00006E3A0000}"/>
    <cellStyle name="Data-one deci 2 9 5 2" xfId="13302" xr:uid="{00000000-0005-0000-0000-00006F3A0000}"/>
    <cellStyle name="Data-one deci 2 9 6" xfId="13303" xr:uid="{00000000-0005-0000-0000-0000703A0000}"/>
    <cellStyle name="Data-one deci 2 9 6 2" xfId="13304" xr:uid="{00000000-0005-0000-0000-0000713A0000}"/>
    <cellStyle name="Data-one deci 2 9 7" xfId="13305" xr:uid="{00000000-0005-0000-0000-0000723A0000}"/>
    <cellStyle name="Data-one deci 2 9 7 2" xfId="13306" xr:uid="{00000000-0005-0000-0000-0000733A0000}"/>
    <cellStyle name="Data-one deci 2 9 8" xfId="13307" xr:uid="{00000000-0005-0000-0000-0000743A0000}"/>
    <cellStyle name="Data-one deci 2 9 8 2" xfId="13308" xr:uid="{00000000-0005-0000-0000-0000753A0000}"/>
    <cellStyle name="Data-one deci 2 9 9" xfId="13309" xr:uid="{00000000-0005-0000-0000-0000763A0000}"/>
    <cellStyle name="Data-one deci 2 9 9 2" xfId="13310" xr:uid="{00000000-0005-0000-0000-0000773A0000}"/>
    <cellStyle name="Data-one deci 3" xfId="13311" xr:uid="{00000000-0005-0000-0000-0000783A0000}"/>
    <cellStyle name="Data-one deci 3 10" xfId="13312" xr:uid="{00000000-0005-0000-0000-0000793A0000}"/>
    <cellStyle name="Data-one deci 3 10 2" xfId="13313" xr:uid="{00000000-0005-0000-0000-00007A3A0000}"/>
    <cellStyle name="Data-one deci 3 10 2 2" xfId="13314" xr:uid="{00000000-0005-0000-0000-00007B3A0000}"/>
    <cellStyle name="Data-one deci 3 10 3" xfId="13315" xr:uid="{00000000-0005-0000-0000-00007C3A0000}"/>
    <cellStyle name="Data-one deci 3 10 3 2" xfId="13316" xr:uid="{00000000-0005-0000-0000-00007D3A0000}"/>
    <cellStyle name="Data-one deci 3 10 4" xfId="13317" xr:uid="{00000000-0005-0000-0000-00007E3A0000}"/>
    <cellStyle name="Data-one deci 3 10 4 2" xfId="13318" xr:uid="{00000000-0005-0000-0000-00007F3A0000}"/>
    <cellStyle name="Data-one deci 3 10 5" xfId="13319" xr:uid="{00000000-0005-0000-0000-0000803A0000}"/>
    <cellStyle name="Data-one deci 3 10 5 2" xfId="13320" xr:uid="{00000000-0005-0000-0000-0000813A0000}"/>
    <cellStyle name="Data-one deci 3 10 6" xfId="13321" xr:uid="{00000000-0005-0000-0000-0000823A0000}"/>
    <cellStyle name="Data-one deci 3 10 6 2" xfId="13322" xr:uid="{00000000-0005-0000-0000-0000833A0000}"/>
    <cellStyle name="Data-one deci 3 10 7" xfId="13323" xr:uid="{00000000-0005-0000-0000-0000843A0000}"/>
    <cellStyle name="Data-one deci 3 10 7 2" xfId="13324" xr:uid="{00000000-0005-0000-0000-0000853A0000}"/>
    <cellStyle name="Data-one deci 3 10 8" xfId="13325" xr:uid="{00000000-0005-0000-0000-0000863A0000}"/>
    <cellStyle name="Data-one deci 3 10 8 2" xfId="13326" xr:uid="{00000000-0005-0000-0000-0000873A0000}"/>
    <cellStyle name="Data-one deci 3 10 9" xfId="13327" xr:uid="{00000000-0005-0000-0000-0000883A0000}"/>
    <cellStyle name="Data-one deci 3 11" xfId="13328" xr:uid="{00000000-0005-0000-0000-0000893A0000}"/>
    <cellStyle name="Data-one deci 3 11 2" xfId="13329" xr:uid="{00000000-0005-0000-0000-00008A3A0000}"/>
    <cellStyle name="Data-one deci 3 12" xfId="13330" xr:uid="{00000000-0005-0000-0000-00008B3A0000}"/>
    <cellStyle name="Data-one deci 3 12 2" xfId="13331" xr:uid="{00000000-0005-0000-0000-00008C3A0000}"/>
    <cellStyle name="Data-one deci 3 13" xfId="13332" xr:uid="{00000000-0005-0000-0000-00008D3A0000}"/>
    <cellStyle name="Data-one deci 3 13 2" xfId="13333" xr:uid="{00000000-0005-0000-0000-00008E3A0000}"/>
    <cellStyle name="Data-one deci 3 14" xfId="13334" xr:uid="{00000000-0005-0000-0000-00008F3A0000}"/>
    <cellStyle name="Data-one deci 3 14 2" xfId="13335" xr:uid="{00000000-0005-0000-0000-0000903A0000}"/>
    <cellStyle name="Data-one deci 3 15" xfId="13336" xr:uid="{00000000-0005-0000-0000-0000913A0000}"/>
    <cellStyle name="Data-one deci 3 15 2" xfId="13337" xr:uid="{00000000-0005-0000-0000-0000923A0000}"/>
    <cellStyle name="Data-one deci 3 16" xfId="13338" xr:uid="{00000000-0005-0000-0000-0000933A0000}"/>
    <cellStyle name="Data-one deci 3 16 2" xfId="13339" xr:uid="{00000000-0005-0000-0000-0000943A0000}"/>
    <cellStyle name="Data-one deci 3 17" xfId="13340" xr:uid="{00000000-0005-0000-0000-0000953A0000}"/>
    <cellStyle name="Data-one deci 3 17 2" xfId="13341" xr:uid="{00000000-0005-0000-0000-0000963A0000}"/>
    <cellStyle name="Data-one deci 3 18" xfId="13342" xr:uid="{00000000-0005-0000-0000-0000973A0000}"/>
    <cellStyle name="Data-one deci 3 2" xfId="13343" xr:uid="{00000000-0005-0000-0000-0000983A0000}"/>
    <cellStyle name="Data-one deci 3 2 10" xfId="13344" xr:uid="{00000000-0005-0000-0000-0000993A0000}"/>
    <cellStyle name="Data-one deci 3 2 2" xfId="13345" xr:uid="{00000000-0005-0000-0000-00009A3A0000}"/>
    <cellStyle name="Data-one deci 3 2 2 2" xfId="13346" xr:uid="{00000000-0005-0000-0000-00009B3A0000}"/>
    <cellStyle name="Data-one deci 3 2 3" xfId="13347" xr:uid="{00000000-0005-0000-0000-00009C3A0000}"/>
    <cellStyle name="Data-one deci 3 2 3 2" xfId="13348" xr:uid="{00000000-0005-0000-0000-00009D3A0000}"/>
    <cellStyle name="Data-one deci 3 2 4" xfId="13349" xr:uid="{00000000-0005-0000-0000-00009E3A0000}"/>
    <cellStyle name="Data-one deci 3 2 4 2" xfId="13350" xr:uid="{00000000-0005-0000-0000-00009F3A0000}"/>
    <cellStyle name="Data-one deci 3 2 5" xfId="13351" xr:uid="{00000000-0005-0000-0000-0000A03A0000}"/>
    <cellStyle name="Data-one deci 3 2 5 2" xfId="13352" xr:uid="{00000000-0005-0000-0000-0000A13A0000}"/>
    <cellStyle name="Data-one deci 3 2 6" xfId="13353" xr:uid="{00000000-0005-0000-0000-0000A23A0000}"/>
    <cellStyle name="Data-one deci 3 2 6 2" xfId="13354" xr:uid="{00000000-0005-0000-0000-0000A33A0000}"/>
    <cellStyle name="Data-one deci 3 2 7" xfId="13355" xr:uid="{00000000-0005-0000-0000-0000A43A0000}"/>
    <cellStyle name="Data-one deci 3 2 7 2" xfId="13356" xr:uid="{00000000-0005-0000-0000-0000A53A0000}"/>
    <cellStyle name="Data-one deci 3 2 8" xfId="13357" xr:uid="{00000000-0005-0000-0000-0000A63A0000}"/>
    <cellStyle name="Data-one deci 3 2 8 2" xfId="13358" xr:uid="{00000000-0005-0000-0000-0000A73A0000}"/>
    <cellStyle name="Data-one deci 3 2 9" xfId="13359" xr:uid="{00000000-0005-0000-0000-0000A83A0000}"/>
    <cellStyle name="Data-one deci 3 2 9 2" xfId="13360" xr:uid="{00000000-0005-0000-0000-0000A93A0000}"/>
    <cellStyle name="Data-one deci 3 3" xfId="13361" xr:uid="{00000000-0005-0000-0000-0000AA3A0000}"/>
    <cellStyle name="Data-one deci 3 3 10" xfId="13362" xr:uid="{00000000-0005-0000-0000-0000AB3A0000}"/>
    <cellStyle name="Data-one deci 3 3 2" xfId="13363" xr:uid="{00000000-0005-0000-0000-0000AC3A0000}"/>
    <cellStyle name="Data-one deci 3 3 2 2" xfId="13364" xr:uid="{00000000-0005-0000-0000-0000AD3A0000}"/>
    <cellStyle name="Data-one deci 3 3 3" xfId="13365" xr:uid="{00000000-0005-0000-0000-0000AE3A0000}"/>
    <cellStyle name="Data-one deci 3 3 3 2" xfId="13366" xr:uid="{00000000-0005-0000-0000-0000AF3A0000}"/>
    <cellStyle name="Data-one deci 3 3 4" xfId="13367" xr:uid="{00000000-0005-0000-0000-0000B03A0000}"/>
    <cellStyle name="Data-one deci 3 3 4 2" xfId="13368" xr:uid="{00000000-0005-0000-0000-0000B13A0000}"/>
    <cellStyle name="Data-one deci 3 3 5" xfId="13369" xr:uid="{00000000-0005-0000-0000-0000B23A0000}"/>
    <cellStyle name="Data-one deci 3 3 5 2" xfId="13370" xr:uid="{00000000-0005-0000-0000-0000B33A0000}"/>
    <cellStyle name="Data-one deci 3 3 6" xfId="13371" xr:uid="{00000000-0005-0000-0000-0000B43A0000}"/>
    <cellStyle name="Data-one deci 3 3 6 2" xfId="13372" xr:uid="{00000000-0005-0000-0000-0000B53A0000}"/>
    <cellStyle name="Data-one deci 3 3 7" xfId="13373" xr:uid="{00000000-0005-0000-0000-0000B63A0000}"/>
    <cellStyle name="Data-one deci 3 3 7 2" xfId="13374" xr:uid="{00000000-0005-0000-0000-0000B73A0000}"/>
    <cellStyle name="Data-one deci 3 3 8" xfId="13375" xr:uid="{00000000-0005-0000-0000-0000B83A0000}"/>
    <cellStyle name="Data-one deci 3 3 8 2" xfId="13376" xr:uid="{00000000-0005-0000-0000-0000B93A0000}"/>
    <cellStyle name="Data-one deci 3 3 9" xfId="13377" xr:uid="{00000000-0005-0000-0000-0000BA3A0000}"/>
    <cellStyle name="Data-one deci 3 3 9 2" xfId="13378" xr:uid="{00000000-0005-0000-0000-0000BB3A0000}"/>
    <cellStyle name="Data-one deci 3 4" xfId="13379" xr:uid="{00000000-0005-0000-0000-0000BC3A0000}"/>
    <cellStyle name="Data-one deci 3 4 10" xfId="13380" xr:uid="{00000000-0005-0000-0000-0000BD3A0000}"/>
    <cellStyle name="Data-one deci 3 4 2" xfId="13381" xr:uid="{00000000-0005-0000-0000-0000BE3A0000}"/>
    <cellStyle name="Data-one deci 3 4 2 2" xfId="13382" xr:uid="{00000000-0005-0000-0000-0000BF3A0000}"/>
    <cellStyle name="Data-one deci 3 4 3" xfId="13383" xr:uid="{00000000-0005-0000-0000-0000C03A0000}"/>
    <cellStyle name="Data-one deci 3 4 3 2" xfId="13384" xr:uid="{00000000-0005-0000-0000-0000C13A0000}"/>
    <cellStyle name="Data-one deci 3 4 4" xfId="13385" xr:uid="{00000000-0005-0000-0000-0000C23A0000}"/>
    <cellStyle name="Data-one deci 3 4 4 2" xfId="13386" xr:uid="{00000000-0005-0000-0000-0000C33A0000}"/>
    <cellStyle name="Data-one deci 3 4 5" xfId="13387" xr:uid="{00000000-0005-0000-0000-0000C43A0000}"/>
    <cellStyle name="Data-one deci 3 4 5 2" xfId="13388" xr:uid="{00000000-0005-0000-0000-0000C53A0000}"/>
    <cellStyle name="Data-one deci 3 4 6" xfId="13389" xr:uid="{00000000-0005-0000-0000-0000C63A0000}"/>
    <cellStyle name="Data-one deci 3 4 6 2" xfId="13390" xr:uid="{00000000-0005-0000-0000-0000C73A0000}"/>
    <cellStyle name="Data-one deci 3 4 7" xfId="13391" xr:uid="{00000000-0005-0000-0000-0000C83A0000}"/>
    <cellStyle name="Data-one deci 3 4 7 2" xfId="13392" xr:uid="{00000000-0005-0000-0000-0000C93A0000}"/>
    <cellStyle name="Data-one deci 3 4 8" xfId="13393" xr:uid="{00000000-0005-0000-0000-0000CA3A0000}"/>
    <cellStyle name="Data-one deci 3 4 8 2" xfId="13394" xr:uid="{00000000-0005-0000-0000-0000CB3A0000}"/>
    <cellStyle name="Data-one deci 3 4 9" xfId="13395" xr:uid="{00000000-0005-0000-0000-0000CC3A0000}"/>
    <cellStyle name="Data-one deci 3 4 9 2" xfId="13396" xr:uid="{00000000-0005-0000-0000-0000CD3A0000}"/>
    <cellStyle name="Data-one deci 3 5" xfId="13397" xr:uid="{00000000-0005-0000-0000-0000CE3A0000}"/>
    <cellStyle name="Data-one deci 3 5 10" xfId="13398" xr:uid="{00000000-0005-0000-0000-0000CF3A0000}"/>
    <cellStyle name="Data-one deci 3 5 2" xfId="13399" xr:uid="{00000000-0005-0000-0000-0000D03A0000}"/>
    <cellStyle name="Data-one deci 3 5 2 2" xfId="13400" xr:uid="{00000000-0005-0000-0000-0000D13A0000}"/>
    <cellStyle name="Data-one deci 3 5 3" xfId="13401" xr:uid="{00000000-0005-0000-0000-0000D23A0000}"/>
    <cellStyle name="Data-one deci 3 5 3 2" xfId="13402" xr:uid="{00000000-0005-0000-0000-0000D33A0000}"/>
    <cellStyle name="Data-one deci 3 5 4" xfId="13403" xr:uid="{00000000-0005-0000-0000-0000D43A0000}"/>
    <cellStyle name="Data-one deci 3 5 4 2" xfId="13404" xr:uid="{00000000-0005-0000-0000-0000D53A0000}"/>
    <cellStyle name="Data-one deci 3 5 5" xfId="13405" xr:uid="{00000000-0005-0000-0000-0000D63A0000}"/>
    <cellStyle name="Data-one deci 3 5 5 2" xfId="13406" xr:uid="{00000000-0005-0000-0000-0000D73A0000}"/>
    <cellStyle name="Data-one deci 3 5 6" xfId="13407" xr:uid="{00000000-0005-0000-0000-0000D83A0000}"/>
    <cellStyle name="Data-one deci 3 5 6 2" xfId="13408" xr:uid="{00000000-0005-0000-0000-0000D93A0000}"/>
    <cellStyle name="Data-one deci 3 5 7" xfId="13409" xr:uid="{00000000-0005-0000-0000-0000DA3A0000}"/>
    <cellStyle name="Data-one deci 3 5 7 2" xfId="13410" xr:uid="{00000000-0005-0000-0000-0000DB3A0000}"/>
    <cellStyle name="Data-one deci 3 5 8" xfId="13411" xr:uid="{00000000-0005-0000-0000-0000DC3A0000}"/>
    <cellStyle name="Data-one deci 3 5 8 2" xfId="13412" xr:uid="{00000000-0005-0000-0000-0000DD3A0000}"/>
    <cellStyle name="Data-one deci 3 5 9" xfId="13413" xr:uid="{00000000-0005-0000-0000-0000DE3A0000}"/>
    <cellStyle name="Data-one deci 3 5 9 2" xfId="13414" xr:uid="{00000000-0005-0000-0000-0000DF3A0000}"/>
    <cellStyle name="Data-one deci 3 6" xfId="13415" xr:uid="{00000000-0005-0000-0000-0000E03A0000}"/>
    <cellStyle name="Data-one deci 3 6 10" xfId="13416" xr:uid="{00000000-0005-0000-0000-0000E13A0000}"/>
    <cellStyle name="Data-one deci 3 6 2" xfId="13417" xr:uid="{00000000-0005-0000-0000-0000E23A0000}"/>
    <cellStyle name="Data-one deci 3 6 2 2" xfId="13418" xr:uid="{00000000-0005-0000-0000-0000E33A0000}"/>
    <cellStyle name="Data-one deci 3 6 3" xfId="13419" xr:uid="{00000000-0005-0000-0000-0000E43A0000}"/>
    <cellStyle name="Data-one deci 3 6 3 2" xfId="13420" xr:uid="{00000000-0005-0000-0000-0000E53A0000}"/>
    <cellStyle name="Data-one deci 3 6 4" xfId="13421" xr:uid="{00000000-0005-0000-0000-0000E63A0000}"/>
    <cellStyle name="Data-one deci 3 6 4 2" xfId="13422" xr:uid="{00000000-0005-0000-0000-0000E73A0000}"/>
    <cellStyle name="Data-one deci 3 6 5" xfId="13423" xr:uid="{00000000-0005-0000-0000-0000E83A0000}"/>
    <cellStyle name="Data-one deci 3 6 5 2" xfId="13424" xr:uid="{00000000-0005-0000-0000-0000E93A0000}"/>
    <cellStyle name="Data-one deci 3 6 6" xfId="13425" xr:uid="{00000000-0005-0000-0000-0000EA3A0000}"/>
    <cellStyle name="Data-one deci 3 6 6 2" xfId="13426" xr:uid="{00000000-0005-0000-0000-0000EB3A0000}"/>
    <cellStyle name="Data-one deci 3 6 7" xfId="13427" xr:uid="{00000000-0005-0000-0000-0000EC3A0000}"/>
    <cellStyle name="Data-one deci 3 6 7 2" xfId="13428" xr:uid="{00000000-0005-0000-0000-0000ED3A0000}"/>
    <cellStyle name="Data-one deci 3 6 8" xfId="13429" xr:uid="{00000000-0005-0000-0000-0000EE3A0000}"/>
    <cellStyle name="Data-one deci 3 6 8 2" xfId="13430" xr:uid="{00000000-0005-0000-0000-0000EF3A0000}"/>
    <cellStyle name="Data-one deci 3 6 9" xfId="13431" xr:uid="{00000000-0005-0000-0000-0000F03A0000}"/>
    <cellStyle name="Data-one deci 3 6 9 2" xfId="13432" xr:uid="{00000000-0005-0000-0000-0000F13A0000}"/>
    <cellStyle name="Data-one deci 3 7" xfId="13433" xr:uid="{00000000-0005-0000-0000-0000F23A0000}"/>
    <cellStyle name="Data-one deci 3 7 10" xfId="13434" xr:uid="{00000000-0005-0000-0000-0000F33A0000}"/>
    <cellStyle name="Data-one deci 3 7 2" xfId="13435" xr:uid="{00000000-0005-0000-0000-0000F43A0000}"/>
    <cellStyle name="Data-one deci 3 7 2 2" xfId="13436" xr:uid="{00000000-0005-0000-0000-0000F53A0000}"/>
    <cellStyle name="Data-one deci 3 7 3" xfId="13437" xr:uid="{00000000-0005-0000-0000-0000F63A0000}"/>
    <cellStyle name="Data-one deci 3 7 3 2" xfId="13438" xr:uid="{00000000-0005-0000-0000-0000F73A0000}"/>
    <cellStyle name="Data-one deci 3 7 4" xfId="13439" xr:uid="{00000000-0005-0000-0000-0000F83A0000}"/>
    <cellStyle name="Data-one deci 3 7 4 2" xfId="13440" xr:uid="{00000000-0005-0000-0000-0000F93A0000}"/>
    <cellStyle name="Data-one deci 3 7 5" xfId="13441" xr:uid="{00000000-0005-0000-0000-0000FA3A0000}"/>
    <cellStyle name="Data-one deci 3 7 5 2" xfId="13442" xr:uid="{00000000-0005-0000-0000-0000FB3A0000}"/>
    <cellStyle name="Data-one deci 3 7 6" xfId="13443" xr:uid="{00000000-0005-0000-0000-0000FC3A0000}"/>
    <cellStyle name="Data-one deci 3 7 6 2" xfId="13444" xr:uid="{00000000-0005-0000-0000-0000FD3A0000}"/>
    <cellStyle name="Data-one deci 3 7 7" xfId="13445" xr:uid="{00000000-0005-0000-0000-0000FE3A0000}"/>
    <cellStyle name="Data-one deci 3 7 7 2" xfId="13446" xr:uid="{00000000-0005-0000-0000-0000FF3A0000}"/>
    <cellStyle name="Data-one deci 3 7 8" xfId="13447" xr:uid="{00000000-0005-0000-0000-0000003B0000}"/>
    <cellStyle name="Data-one deci 3 7 8 2" xfId="13448" xr:uid="{00000000-0005-0000-0000-0000013B0000}"/>
    <cellStyle name="Data-one deci 3 7 9" xfId="13449" xr:uid="{00000000-0005-0000-0000-0000023B0000}"/>
    <cellStyle name="Data-one deci 3 7 9 2" xfId="13450" xr:uid="{00000000-0005-0000-0000-0000033B0000}"/>
    <cellStyle name="Data-one deci 3 8" xfId="13451" xr:uid="{00000000-0005-0000-0000-0000043B0000}"/>
    <cellStyle name="Data-one deci 3 8 10" xfId="13452" xr:uid="{00000000-0005-0000-0000-0000053B0000}"/>
    <cellStyle name="Data-one deci 3 8 2" xfId="13453" xr:uid="{00000000-0005-0000-0000-0000063B0000}"/>
    <cellStyle name="Data-one deci 3 8 2 2" xfId="13454" xr:uid="{00000000-0005-0000-0000-0000073B0000}"/>
    <cellStyle name="Data-one deci 3 8 3" xfId="13455" xr:uid="{00000000-0005-0000-0000-0000083B0000}"/>
    <cellStyle name="Data-one deci 3 8 3 2" xfId="13456" xr:uid="{00000000-0005-0000-0000-0000093B0000}"/>
    <cellStyle name="Data-one deci 3 8 4" xfId="13457" xr:uid="{00000000-0005-0000-0000-00000A3B0000}"/>
    <cellStyle name="Data-one deci 3 8 4 2" xfId="13458" xr:uid="{00000000-0005-0000-0000-00000B3B0000}"/>
    <cellStyle name="Data-one deci 3 8 5" xfId="13459" xr:uid="{00000000-0005-0000-0000-00000C3B0000}"/>
    <cellStyle name="Data-one deci 3 8 5 2" xfId="13460" xr:uid="{00000000-0005-0000-0000-00000D3B0000}"/>
    <cellStyle name="Data-one deci 3 8 6" xfId="13461" xr:uid="{00000000-0005-0000-0000-00000E3B0000}"/>
    <cellStyle name="Data-one deci 3 8 6 2" xfId="13462" xr:uid="{00000000-0005-0000-0000-00000F3B0000}"/>
    <cellStyle name="Data-one deci 3 8 7" xfId="13463" xr:uid="{00000000-0005-0000-0000-0000103B0000}"/>
    <cellStyle name="Data-one deci 3 8 7 2" xfId="13464" xr:uid="{00000000-0005-0000-0000-0000113B0000}"/>
    <cellStyle name="Data-one deci 3 8 8" xfId="13465" xr:uid="{00000000-0005-0000-0000-0000123B0000}"/>
    <cellStyle name="Data-one deci 3 8 8 2" xfId="13466" xr:uid="{00000000-0005-0000-0000-0000133B0000}"/>
    <cellStyle name="Data-one deci 3 8 9" xfId="13467" xr:uid="{00000000-0005-0000-0000-0000143B0000}"/>
    <cellStyle name="Data-one deci 3 8 9 2" xfId="13468" xr:uid="{00000000-0005-0000-0000-0000153B0000}"/>
    <cellStyle name="Data-one deci 3 9" xfId="13469" xr:uid="{00000000-0005-0000-0000-0000163B0000}"/>
    <cellStyle name="Data-one deci 3 9 10" xfId="13470" xr:uid="{00000000-0005-0000-0000-0000173B0000}"/>
    <cellStyle name="Data-one deci 3 9 2" xfId="13471" xr:uid="{00000000-0005-0000-0000-0000183B0000}"/>
    <cellStyle name="Data-one deci 3 9 2 2" xfId="13472" xr:uid="{00000000-0005-0000-0000-0000193B0000}"/>
    <cellStyle name="Data-one deci 3 9 3" xfId="13473" xr:uid="{00000000-0005-0000-0000-00001A3B0000}"/>
    <cellStyle name="Data-one deci 3 9 3 2" xfId="13474" xr:uid="{00000000-0005-0000-0000-00001B3B0000}"/>
    <cellStyle name="Data-one deci 3 9 4" xfId="13475" xr:uid="{00000000-0005-0000-0000-00001C3B0000}"/>
    <cellStyle name="Data-one deci 3 9 4 2" xfId="13476" xr:uid="{00000000-0005-0000-0000-00001D3B0000}"/>
    <cellStyle name="Data-one deci 3 9 5" xfId="13477" xr:uid="{00000000-0005-0000-0000-00001E3B0000}"/>
    <cellStyle name="Data-one deci 3 9 5 2" xfId="13478" xr:uid="{00000000-0005-0000-0000-00001F3B0000}"/>
    <cellStyle name="Data-one deci 3 9 6" xfId="13479" xr:uid="{00000000-0005-0000-0000-0000203B0000}"/>
    <cellStyle name="Data-one deci 3 9 6 2" xfId="13480" xr:uid="{00000000-0005-0000-0000-0000213B0000}"/>
    <cellStyle name="Data-one deci 3 9 7" xfId="13481" xr:uid="{00000000-0005-0000-0000-0000223B0000}"/>
    <cellStyle name="Data-one deci 3 9 7 2" xfId="13482" xr:uid="{00000000-0005-0000-0000-0000233B0000}"/>
    <cellStyle name="Data-one deci 3 9 8" xfId="13483" xr:uid="{00000000-0005-0000-0000-0000243B0000}"/>
    <cellStyle name="Data-one deci 3 9 8 2" xfId="13484" xr:uid="{00000000-0005-0000-0000-0000253B0000}"/>
    <cellStyle name="Data-one deci 3 9 9" xfId="13485" xr:uid="{00000000-0005-0000-0000-0000263B0000}"/>
    <cellStyle name="Data-one deci 3 9 9 2" xfId="13486" xr:uid="{00000000-0005-0000-0000-0000273B0000}"/>
    <cellStyle name="Data-one deci 4" xfId="13487" xr:uid="{00000000-0005-0000-0000-0000283B0000}"/>
    <cellStyle name="Data-one deci 4 10" xfId="13488" xr:uid="{00000000-0005-0000-0000-0000293B0000}"/>
    <cellStyle name="Data-one deci 4 10 2" xfId="13489" xr:uid="{00000000-0005-0000-0000-00002A3B0000}"/>
    <cellStyle name="Data-one deci 4 10 2 2" xfId="13490" xr:uid="{00000000-0005-0000-0000-00002B3B0000}"/>
    <cellStyle name="Data-one deci 4 10 3" xfId="13491" xr:uid="{00000000-0005-0000-0000-00002C3B0000}"/>
    <cellStyle name="Data-one deci 4 10 3 2" xfId="13492" xr:uid="{00000000-0005-0000-0000-00002D3B0000}"/>
    <cellStyle name="Data-one deci 4 10 4" xfId="13493" xr:uid="{00000000-0005-0000-0000-00002E3B0000}"/>
    <cellStyle name="Data-one deci 4 10 4 2" xfId="13494" xr:uid="{00000000-0005-0000-0000-00002F3B0000}"/>
    <cellStyle name="Data-one deci 4 10 5" xfId="13495" xr:uid="{00000000-0005-0000-0000-0000303B0000}"/>
    <cellStyle name="Data-one deci 4 10 5 2" xfId="13496" xr:uid="{00000000-0005-0000-0000-0000313B0000}"/>
    <cellStyle name="Data-one deci 4 10 6" xfId="13497" xr:uid="{00000000-0005-0000-0000-0000323B0000}"/>
    <cellStyle name="Data-one deci 4 10 6 2" xfId="13498" xr:uid="{00000000-0005-0000-0000-0000333B0000}"/>
    <cellStyle name="Data-one deci 4 10 7" xfId="13499" xr:uid="{00000000-0005-0000-0000-0000343B0000}"/>
    <cellStyle name="Data-one deci 4 10 7 2" xfId="13500" xr:uid="{00000000-0005-0000-0000-0000353B0000}"/>
    <cellStyle name="Data-one deci 4 10 8" xfId="13501" xr:uid="{00000000-0005-0000-0000-0000363B0000}"/>
    <cellStyle name="Data-one deci 4 10 8 2" xfId="13502" xr:uid="{00000000-0005-0000-0000-0000373B0000}"/>
    <cellStyle name="Data-one deci 4 10 9" xfId="13503" xr:uid="{00000000-0005-0000-0000-0000383B0000}"/>
    <cellStyle name="Data-one deci 4 11" xfId="13504" xr:uid="{00000000-0005-0000-0000-0000393B0000}"/>
    <cellStyle name="Data-one deci 4 11 2" xfId="13505" xr:uid="{00000000-0005-0000-0000-00003A3B0000}"/>
    <cellStyle name="Data-one deci 4 12" xfId="13506" xr:uid="{00000000-0005-0000-0000-00003B3B0000}"/>
    <cellStyle name="Data-one deci 4 12 2" xfId="13507" xr:uid="{00000000-0005-0000-0000-00003C3B0000}"/>
    <cellStyle name="Data-one deci 4 13" xfId="13508" xr:uid="{00000000-0005-0000-0000-00003D3B0000}"/>
    <cellStyle name="Data-one deci 4 13 2" xfId="13509" xr:uid="{00000000-0005-0000-0000-00003E3B0000}"/>
    <cellStyle name="Data-one deci 4 14" xfId="13510" xr:uid="{00000000-0005-0000-0000-00003F3B0000}"/>
    <cellStyle name="Data-one deci 4 14 2" xfId="13511" xr:uid="{00000000-0005-0000-0000-0000403B0000}"/>
    <cellStyle name="Data-one deci 4 15" xfId="13512" xr:uid="{00000000-0005-0000-0000-0000413B0000}"/>
    <cellStyle name="Data-one deci 4 15 2" xfId="13513" xr:uid="{00000000-0005-0000-0000-0000423B0000}"/>
    <cellStyle name="Data-one deci 4 16" xfId="13514" xr:uid="{00000000-0005-0000-0000-0000433B0000}"/>
    <cellStyle name="Data-one deci 4 16 2" xfId="13515" xr:uid="{00000000-0005-0000-0000-0000443B0000}"/>
    <cellStyle name="Data-one deci 4 17" xfId="13516" xr:uid="{00000000-0005-0000-0000-0000453B0000}"/>
    <cellStyle name="Data-one deci 4 17 2" xfId="13517" xr:uid="{00000000-0005-0000-0000-0000463B0000}"/>
    <cellStyle name="Data-one deci 4 18" xfId="13518" xr:uid="{00000000-0005-0000-0000-0000473B0000}"/>
    <cellStyle name="Data-one deci 4 2" xfId="13519" xr:uid="{00000000-0005-0000-0000-0000483B0000}"/>
    <cellStyle name="Data-one deci 4 2 10" xfId="13520" xr:uid="{00000000-0005-0000-0000-0000493B0000}"/>
    <cellStyle name="Data-one deci 4 2 2" xfId="13521" xr:uid="{00000000-0005-0000-0000-00004A3B0000}"/>
    <cellStyle name="Data-one deci 4 2 2 2" xfId="13522" xr:uid="{00000000-0005-0000-0000-00004B3B0000}"/>
    <cellStyle name="Data-one deci 4 2 3" xfId="13523" xr:uid="{00000000-0005-0000-0000-00004C3B0000}"/>
    <cellStyle name="Data-one deci 4 2 3 2" xfId="13524" xr:uid="{00000000-0005-0000-0000-00004D3B0000}"/>
    <cellStyle name="Data-one deci 4 2 4" xfId="13525" xr:uid="{00000000-0005-0000-0000-00004E3B0000}"/>
    <cellStyle name="Data-one deci 4 2 4 2" xfId="13526" xr:uid="{00000000-0005-0000-0000-00004F3B0000}"/>
    <cellStyle name="Data-one deci 4 2 5" xfId="13527" xr:uid="{00000000-0005-0000-0000-0000503B0000}"/>
    <cellStyle name="Data-one deci 4 2 5 2" xfId="13528" xr:uid="{00000000-0005-0000-0000-0000513B0000}"/>
    <cellStyle name="Data-one deci 4 2 6" xfId="13529" xr:uid="{00000000-0005-0000-0000-0000523B0000}"/>
    <cellStyle name="Data-one deci 4 2 6 2" xfId="13530" xr:uid="{00000000-0005-0000-0000-0000533B0000}"/>
    <cellStyle name="Data-one deci 4 2 7" xfId="13531" xr:uid="{00000000-0005-0000-0000-0000543B0000}"/>
    <cellStyle name="Data-one deci 4 2 7 2" xfId="13532" xr:uid="{00000000-0005-0000-0000-0000553B0000}"/>
    <cellStyle name="Data-one deci 4 2 8" xfId="13533" xr:uid="{00000000-0005-0000-0000-0000563B0000}"/>
    <cellStyle name="Data-one deci 4 2 8 2" xfId="13534" xr:uid="{00000000-0005-0000-0000-0000573B0000}"/>
    <cellStyle name="Data-one deci 4 2 9" xfId="13535" xr:uid="{00000000-0005-0000-0000-0000583B0000}"/>
    <cellStyle name="Data-one deci 4 2 9 2" xfId="13536" xr:uid="{00000000-0005-0000-0000-0000593B0000}"/>
    <cellStyle name="Data-one deci 4 3" xfId="13537" xr:uid="{00000000-0005-0000-0000-00005A3B0000}"/>
    <cellStyle name="Data-one deci 4 3 10" xfId="13538" xr:uid="{00000000-0005-0000-0000-00005B3B0000}"/>
    <cellStyle name="Data-one deci 4 3 2" xfId="13539" xr:uid="{00000000-0005-0000-0000-00005C3B0000}"/>
    <cellStyle name="Data-one deci 4 3 2 2" xfId="13540" xr:uid="{00000000-0005-0000-0000-00005D3B0000}"/>
    <cellStyle name="Data-one deci 4 3 3" xfId="13541" xr:uid="{00000000-0005-0000-0000-00005E3B0000}"/>
    <cellStyle name="Data-one deci 4 3 3 2" xfId="13542" xr:uid="{00000000-0005-0000-0000-00005F3B0000}"/>
    <cellStyle name="Data-one deci 4 3 4" xfId="13543" xr:uid="{00000000-0005-0000-0000-0000603B0000}"/>
    <cellStyle name="Data-one deci 4 3 4 2" xfId="13544" xr:uid="{00000000-0005-0000-0000-0000613B0000}"/>
    <cellStyle name="Data-one deci 4 3 5" xfId="13545" xr:uid="{00000000-0005-0000-0000-0000623B0000}"/>
    <cellStyle name="Data-one deci 4 3 5 2" xfId="13546" xr:uid="{00000000-0005-0000-0000-0000633B0000}"/>
    <cellStyle name="Data-one deci 4 3 6" xfId="13547" xr:uid="{00000000-0005-0000-0000-0000643B0000}"/>
    <cellStyle name="Data-one deci 4 3 6 2" xfId="13548" xr:uid="{00000000-0005-0000-0000-0000653B0000}"/>
    <cellStyle name="Data-one deci 4 3 7" xfId="13549" xr:uid="{00000000-0005-0000-0000-0000663B0000}"/>
    <cellStyle name="Data-one deci 4 3 7 2" xfId="13550" xr:uid="{00000000-0005-0000-0000-0000673B0000}"/>
    <cellStyle name="Data-one deci 4 3 8" xfId="13551" xr:uid="{00000000-0005-0000-0000-0000683B0000}"/>
    <cellStyle name="Data-one deci 4 3 8 2" xfId="13552" xr:uid="{00000000-0005-0000-0000-0000693B0000}"/>
    <cellStyle name="Data-one deci 4 3 9" xfId="13553" xr:uid="{00000000-0005-0000-0000-00006A3B0000}"/>
    <cellStyle name="Data-one deci 4 3 9 2" xfId="13554" xr:uid="{00000000-0005-0000-0000-00006B3B0000}"/>
    <cellStyle name="Data-one deci 4 4" xfId="13555" xr:uid="{00000000-0005-0000-0000-00006C3B0000}"/>
    <cellStyle name="Data-one deci 4 4 10" xfId="13556" xr:uid="{00000000-0005-0000-0000-00006D3B0000}"/>
    <cellStyle name="Data-one deci 4 4 2" xfId="13557" xr:uid="{00000000-0005-0000-0000-00006E3B0000}"/>
    <cellStyle name="Data-one deci 4 4 2 2" xfId="13558" xr:uid="{00000000-0005-0000-0000-00006F3B0000}"/>
    <cellStyle name="Data-one deci 4 4 3" xfId="13559" xr:uid="{00000000-0005-0000-0000-0000703B0000}"/>
    <cellStyle name="Data-one deci 4 4 3 2" xfId="13560" xr:uid="{00000000-0005-0000-0000-0000713B0000}"/>
    <cellStyle name="Data-one deci 4 4 4" xfId="13561" xr:uid="{00000000-0005-0000-0000-0000723B0000}"/>
    <cellStyle name="Data-one deci 4 4 4 2" xfId="13562" xr:uid="{00000000-0005-0000-0000-0000733B0000}"/>
    <cellStyle name="Data-one deci 4 4 5" xfId="13563" xr:uid="{00000000-0005-0000-0000-0000743B0000}"/>
    <cellStyle name="Data-one deci 4 4 5 2" xfId="13564" xr:uid="{00000000-0005-0000-0000-0000753B0000}"/>
    <cellStyle name="Data-one deci 4 4 6" xfId="13565" xr:uid="{00000000-0005-0000-0000-0000763B0000}"/>
    <cellStyle name="Data-one deci 4 4 6 2" xfId="13566" xr:uid="{00000000-0005-0000-0000-0000773B0000}"/>
    <cellStyle name="Data-one deci 4 4 7" xfId="13567" xr:uid="{00000000-0005-0000-0000-0000783B0000}"/>
    <cellStyle name="Data-one deci 4 4 7 2" xfId="13568" xr:uid="{00000000-0005-0000-0000-0000793B0000}"/>
    <cellStyle name="Data-one deci 4 4 8" xfId="13569" xr:uid="{00000000-0005-0000-0000-00007A3B0000}"/>
    <cellStyle name="Data-one deci 4 4 8 2" xfId="13570" xr:uid="{00000000-0005-0000-0000-00007B3B0000}"/>
    <cellStyle name="Data-one deci 4 4 9" xfId="13571" xr:uid="{00000000-0005-0000-0000-00007C3B0000}"/>
    <cellStyle name="Data-one deci 4 4 9 2" xfId="13572" xr:uid="{00000000-0005-0000-0000-00007D3B0000}"/>
    <cellStyle name="Data-one deci 4 5" xfId="13573" xr:uid="{00000000-0005-0000-0000-00007E3B0000}"/>
    <cellStyle name="Data-one deci 4 5 10" xfId="13574" xr:uid="{00000000-0005-0000-0000-00007F3B0000}"/>
    <cellStyle name="Data-one deci 4 5 2" xfId="13575" xr:uid="{00000000-0005-0000-0000-0000803B0000}"/>
    <cellStyle name="Data-one deci 4 5 2 2" xfId="13576" xr:uid="{00000000-0005-0000-0000-0000813B0000}"/>
    <cellStyle name="Data-one deci 4 5 3" xfId="13577" xr:uid="{00000000-0005-0000-0000-0000823B0000}"/>
    <cellStyle name="Data-one deci 4 5 3 2" xfId="13578" xr:uid="{00000000-0005-0000-0000-0000833B0000}"/>
    <cellStyle name="Data-one deci 4 5 4" xfId="13579" xr:uid="{00000000-0005-0000-0000-0000843B0000}"/>
    <cellStyle name="Data-one deci 4 5 4 2" xfId="13580" xr:uid="{00000000-0005-0000-0000-0000853B0000}"/>
    <cellStyle name="Data-one deci 4 5 5" xfId="13581" xr:uid="{00000000-0005-0000-0000-0000863B0000}"/>
    <cellStyle name="Data-one deci 4 5 5 2" xfId="13582" xr:uid="{00000000-0005-0000-0000-0000873B0000}"/>
    <cellStyle name="Data-one deci 4 5 6" xfId="13583" xr:uid="{00000000-0005-0000-0000-0000883B0000}"/>
    <cellStyle name="Data-one deci 4 5 6 2" xfId="13584" xr:uid="{00000000-0005-0000-0000-0000893B0000}"/>
    <cellStyle name="Data-one deci 4 5 7" xfId="13585" xr:uid="{00000000-0005-0000-0000-00008A3B0000}"/>
    <cellStyle name="Data-one deci 4 5 7 2" xfId="13586" xr:uid="{00000000-0005-0000-0000-00008B3B0000}"/>
    <cellStyle name="Data-one deci 4 5 8" xfId="13587" xr:uid="{00000000-0005-0000-0000-00008C3B0000}"/>
    <cellStyle name="Data-one deci 4 5 8 2" xfId="13588" xr:uid="{00000000-0005-0000-0000-00008D3B0000}"/>
    <cellStyle name="Data-one deci 4 5 9" xfId="13589" xr:uid="{00000000-0005-0000-0000-00008E3B0000}"/>
    <cellStyle name="Data-one deci 4 5 9 2" xfId="13590" xr:uid="{00000000-0005-0000-0000-00008F3B0000}"/>
    <cellStyle name="Data-one deci 4 6" xfId="13591" xr:uid="{00000000-0005-0000-0000-0000903B0000}"/>
    <cellStyle name="Data-one deci 4 6 10" xfId="13592" xr:uid="{00000000-0005-0000-0000-0000913B0000}"/>
    <cellStyle name="Data-one deci 4 6 2" xfId="13593" xr:uid="{00000000-0005-0000-0000-0000923B0000}"/>
    <cellStyle name="Data-one deci 4 6 2 2" xfId="13594" xr:uid="{00000000-0005-0000-0000-0000933B0000}"/>
    <cellStyle name="Data-one deci 4 6 3" xfId="13595" xr:uid="{00000000-0005-0000-0000-0000943B0000}"/>
    <cellStyle name="Data-one deci 4 6 3 2" xfId="13596" xr:uid="{00000000-0005-0000-0000-0000953B0000}"/>
    <cellStyle name="Data-one deci 4 6 4" xfId="13597" xr:uid="{00000000-0005-0000-0000-0000963B0000}"/>
    <cellStyle name="Data-one deci 4 6 4 2" xfId="13598" xr:uid="{00000000-0005-0000-0000-0000973B0000}"/>
    <cellStyle name="Data-one deci 4 6 5" xfId="13599" xr:uid="{00000000-0005-0000-0000-0000983B0000}"/>
    <cellStyle name="Data-one deci 4 6 5 2" xfId="13600" xr:uid="{00000000-0005-0000-0000-0000993B0000}"/>
    <cellStyle name="Data-one deci 4 6 6" xfId="13601" xr:uid="{00000000-0005-0000-0000-00009A3B0000}"/>
    <cellStyle name="Data-one deci 4 6 6 2" xfId="13602" xr:uid="{00000000-0005-0000-0000-00009B3B0000}"/>
    <cellStyle name="Data-one deci 4 6 7" xfId="13603" xr:uid="{00000000-0005-0000-0000-00009C3B0000}"/>
    <cellStyle name="Data-one deci 4 6 7 2" xfId="13604" xr:uid="{00000000-0005-0000-0000-00009D3B0000}"/>
    <cellStyle name="Data-one deci 4 6 8" xfId="13605" xr:uid="{00000000-0005-0000-0000-00009E3B0000}"/>
    <cellStyle name="Data-one deci 4 6 8 2" xfId="13606" xr:uid="{00000000-0005-0000-0000-00009F3B0000}"/>
    <cellStyle name="Data-one deci 4 6 9" xfId="13607" xr:uid="{00000000-0005-0000-0000-0000A03B0000}"/>
    <cellStyle name="Data-one deci 4 6 9 2" xfId="13608" xr:uid="{00000000-0005-0000-0000-0000A13B0000}"/>
    <cellStyle name="Data-one deci 4 7" xfId="13609" xr:uid="{00000000-0005-0000-0000-0000A23B0000}"/>
    <cellStyle name="Data-one deci 4 7 10" xfId="13610" xr:uid="{00000000-0005-0000-0000-0000A33B0000}"/>
    <cellStyle name="Data-one deci 4 7 2" xfId="13611" xr:uid="{00000000-0005-0000-0000-0000A43B0000}"/>
    <cellStyle name="Data-one deci 4 7 2 2" xfId="13612" xr:uid="{00000000-0005-0000-0000-0000A53B0000}"/>
    <cellStyle name="Data-one deci 4 7 3" xfId="13613" xr:uid="{00000000-0005-0000-0000-0000A63B0000}"/>
    <cellStyle name="Data-one deci 4 7 3 2" xfId="13614" xr:uid="{00000000-0005-0000-0000-0000A73B0000}"/>
    <cellStyle name="Data-one deci 4 7 4" xfId="13615" xr:uid="{00000000-0005-0000-0000-0000A83B0000}"/>
    <cellStyle name="Data-one deci 4 7 4 2" xfId="13616" xr:uid="{00000000-0005-0000-0000-0000A93B0000}"/>
    <cellStyle name="Data-one deci 4 7 5" xfId="13617" xr:uid="{00000000-0005-0000-0000-0000AA3B0000}"/>
    <cellStyle name="Data-one deci 4 7 5 2" xfId="13618" xr:uid="{00000000-0005-0000-0000-0000AB3B0000}"/>
    <cellStyle name="Data-one deci 4 7 6" xfId="13619" xr:uid="{00000000-0005-0000-0000-0000AC3B0000}"/>
    <cellStyle name="Data-one deci 4 7 6 2" xfId="13620" xr:uid="{00000000-0005-0000-0000-0000AD3B0000}"/>
    <cellStyle name="Data-one deci 4 7 7" xfId="13621" xr:uid="{00000000-0005-0000-0000-0000AE3B0000}"/>
    <cellStyle name="Data-one deci 4 7 7 2" xfId="13622" xr:uid="{00000000-0005-0000-0000-0000AF3B0000}"/>
    <cellStyle name="Data-one deci 4 7 8" xfId="13623" xr:uid="{00000000-0005-0000-0000-0000B03B0000}"/>
    <cellStyle name="Data-one deci 4 7 8 2" xfId="13624" xr:uid="{00000000-0005-0000-0000-0000B13B0000}"/>
    <cellStyle name="Data-one deci 4 7 9" xfId="13625" xr:uid="{00000000-0005-0000-0000-0000B23B0000}"/>
    <cellStyle name="Data-one deci 4 7 9 2" xfId="13626" xr:uid="{00000000-0005-0000-0000-0000B33B0000}"/>
    <cellStyle name="Data-one deci 4 8" xfId="13627" xr:uid="{00000000-0005-0000-0000-0000B43B0000}"/>
    <cellStyle name="Data-one deci 4 8 10" xfId="13628" xr:uid="{00000000-0005-0000-0000-0000B53B0000}"/>
    <cellStyle name="Data-one deci 4 8 2" xfId="13629" xr:uid="{00000000-0005-0000-0000-0000B63B0000}"/>
    <cellStyle name="Data-one deci 4 8 2 2" xfId="13630" xr:uid="{00000000-0005-0000-0000-0000B73B0000}"/>
    <cellStyle name="Data-one deci 4 8 3" xfId="13631" xr:uid="{00000000-0005-0000-0000-0000B83B0000}"/>
    <cellStyle name="Data-one deci 4 8 3 2" xfId="13632" xr:uid="{00000000-0005-0000-0000-0000B93B0000}"/>
    <cellStyle name="Data-one deci 4 8 4" xfId="13633" xr:uid="{00000000-0005-0000-0000-0000BA3B0000}"/>
    <cellStyle name="Data-one deci 4 8 4 2" xfId="13634" xr:uid="{00000000-0005-0000-0000-0000BB3B0000}"/>
    <cellStyle name="Data-one deci 4 8 5" xfId="13635" xr:uid="{00000000-0005-0000-0000-0000BC3B0000}"/>
    <cellStyle name="Data-one deci 4 8 5 2" xfId="13636" xr:uid="{00000000-0005-0000-0000-0000BD3B0000}"/>
    <cellStyle name="Data-one deci 4 8 6" xfId="13637" xr:uid="{00000000-0005-0000-0000-0000BE3B0000}"/>
    <cellStyle name="Data-one deci 4 8 6 2" xfId="13638" xr:uid="{00000000-0005-0000-0000-0000BF3B0000}"/>
    <cellStyle name="Data-one deci 4 8 7" xfId="13639" xr:uid="{00000000-0005-0000-0000-0000C03B0000}"/>
    <cellStyle name="Data-one deci 4 8 7 2" xfId="13640" xr:uid="{00000000-0005-0000-0000-0000C13B0000}"/>
    <cellStyle name="Data-one deci 4 8 8" xfId="13641" xr:uid="{00000000-0005-0000-0000-0000C23B0000}"/>
    <cellStyle name="Data-one deci 4 8 8 2" xfId="13642" xr:uid="{00000000-0005-0000-0000-0000C33B0000}"/>
    <cellStyle name="Data-one deci 4 8 9" xfId="13643" xr:uid="{00000000-0005-0000-0000-0000C43B0000}"/>
    <cellStyle name="Data-one deci 4 8 9 2" xfId="13644" xr:uid="{00000000-0005-0000-0000-0000C53B0000}"/>
    <cellStyle name="Data-one deci 4 9" xfId="13645" xr:uid="{00000000-0005-0000-0000-0000C63B0000}"/>
    <cellStyle name="Data-one deci 4 9 10" xfId="13646" xr:uid="{00000000-0005-0000-0000-0000C73B0000}"/>
    <cellStyle name="Data-one deci 4 9 2" xfId="13647" xr:uid="{00000000-0005-0000-0000-0000C83B0000}"/>
    <cellStyle name="Data-one deci 4 9 2 2" xfId="13648" xr:uid="{00000000-0005-0000-0000-0000C93B0000}"/>
    <cellStyle name="Data-one deci 4 9 3" xfId="13649" xr:uid="{00000000-0005-0000-0000-0000CA3B0000}"/>
    <cellStyle name="Data-one deci 4 9 3 2" xfId="13650" xr:uid="{00000000-0005-0000-0000-0000CB3B0000}"/>
    <cellStyle name="Data-one deci 4 9 4" xfId="13651" xr:uid="{00000000-0005-0000-0000-0000CC3B0000}"/>
    <cellStyle name="Data-one deci 4 9 4 2" xfId="13652" xr:uid="{00000000-0005-0000-0000-0000CD3B0000}"/>
    <cellStyle name="Data-one deci 4 9 5" xfId="13653" xr:uid="{00000000-0005-0000-0000-0000CE3B0000}"/>
    <cellStyle name="Data-one deci 4 9 5 2" xfId="13654" xr:uid="{00000000-0005-0000-0000-0000CF3B0000}"/>
    <cellStyle name="Data-one deci 4 9 6" xfId="13655" xr:uid="{00000000-0005-0000-0000-0000D03B0000}"/>
    <cellStyle name="Data-one deci 4 9 6 2" xfId="13656" xr:uid="{00000000-0005-0000-0000-0000D13B0000}"/>
    <cellStyle name="Data-one deci 4 9 7" xfId="13657" xr:uid="{00000000-0005-0000-0000-0000D23B0000}"/>
    <cellStyle name="Data-one deci 4 9 7 2" xfId="13658" xr:uid="{00000000-0005-0000-0000-0000D33B0000}"/>
    <cellStyle name="Data-one deci 4 9 8" xfId="13659" xr:uid="{00000000-0005-0000-0000-0000D43B0000}"/>
    <cellStyle name="Data-one deci 4 9 8 2" xfId="13660" xr:uid="{00000000-0005-0000-0000-0000D53B0000}"/>
    <cellStyle name="Data-one deci 4 9 9" xfId="13661" xr:uid="{00000000-0005-0000-0000-0000D63B0000}"/>
    <cellStyle name="Data-one deci 4 9 9 2" xfId="13662" xr:uid="{00000000-0005-0000-0000-0000D73B0000}"/>
    <cellStyle name="Date" xfId="66" xr:uid="{00000000-0005-0000-0000-0000D83B0000}"/>
    <cellStyle name="Emphasis 1" xfId="163" xr:uid="{00000000-0005-0000-0000-0000D93B0000}"/>
    <cellStyle name="Emphasis 1 10" xfId="42592" xr:uid="{00000000-0005-0000-0000-0000DA3B0000}"/>
    <cellStyle name="Emphasis 1 11" xfId="42593" xr:uid="{00000000-0005-0000-0000-0000DB3B0000}"/>
    <cellStyle name="Emphasis 1 12" xfId="42594" xr:uid="{00000000-0005-0000-0000-0000DC3B0000}"/>
    <cellStyle name="Emphasis 1 13" xfId="42595" xr:uid="{00000000-0005-0000-0000-0000DD3B0000}"/>
    <cellStyle name="Emphasis 1 14" xfId="42596" xr:uid="{00000000-0005-0000-0000-0000DE3B0000}"/>
    <cellStyle name="Emphasis 1 2" xfId="42597" xr:uid="{00000000-0005-0000-0000-0000DF3B0000}"/>
    <cellStyle name="Emphasis 1 3" xfId="42598" xr:uid="{00000000-0005-0000-0000-0000E03B0000}"/>
    <cellStyle name="Emphasis 1 4" xfId="42599" xr:uid="{00000000-0005-0000-0000-0000E13B0000}"/>
    <cellStyle name="Emphasis 1 5" xfId="42600" xr:uid="{00000000-0005-0000-0000-0000E23B0000}"/>
    <cellStyle name="Emphasis 1 6" xfId="42601" xr:uid="{00000000-0005-0000-0000-0000E33B0000}"/>
    <cellStyle name="Emphasis 1 7" xfId="42602" xr:uid="{00000000-0005-0000-0000-0000E43B0000}"/>
    <cellStyle name="Emphasis 1 8" xfId="42603" xr:uid="{00000000-0005-0000-0000-0000E53B0000}"/>
    <cellStyle name="Emphasis 1 9" xfId="42604" xr:uid="{00000000-0005-0000-0000-0000E63B0000}"/>
    <cellStyle name="Emphasis 2" xfId="164" xr:uid="{00000000-0005-0000-0000-0000E73B0000}"/>
    <cellStyle name="Emphasis 2 10" xfId="42605" xr:uid="{00000000-0005-0000-0000-0000E83B0000}"/>
    <cellStyle name="Emphasis 2 11" xfId="42606" xr:uid="{00000000-0005-0000-0000-0000E93B0000}"/>
    <cellStyle name="Emphasis 2 12" xfId="42607" xr:uid="{00000000-0005-0000-0000-0000EA3B0000}"/>
    <cellStyle name="Emphasis 2 13" xfId="42608" xr:uid="{00000000-0005-0000-0000-0000EB3B0000}"/>
    <cellStyle name="Emphasis 2 14" xfId="42609" xr:uid="{00000000-0005-0000-0000-0000EC3B0000}"/>
    <cellStyle name="Emphasis 2 2" xfId="42610" xr:uid="{00000000-0005-0000-0000-0000ED3B0000}"/>
    <cellStyle name="Emphasis 2 3" xfId="42611" xr:uid="{00000000-0005-0000-0000-0000EE3B0000}"/>
    <cellStyle name="Emphasis 2 4" xfId="42612" xr:uid="{00000000-0005-0000-0000-0000EF3B0000}"/>
    <cellStyle name="Emphasis 2 5" xfId="42613" xr:uid="{00000000-0005-0000-0000-0000F03B0000}"/>
    <cellStyle name="Emphasis 2 6" xfId="42614" xr:uid="{00000000-0005-0000-0000-0000F13B0000}"/>
    <cellStyle name="Emphasis 2 7" xfId="42615" xr:uid="{00000000-0005-0000-0000-0000F23B0000}"/>
    <cellStyle name="Emphasis 2 8" xfId="42616" xr:uid="{00000000-0005-0000-0000-0000F33B0000}"/>
    <cellStyle name="Emphasis 2 9" xfId="42617" xr:uid="{00000000-0005-0000-0000-0000F43B0000}"/>
    <cellStyle name="Emphasis 3" xfId="165" xr:uid="{00000000-0005-0000-0000-0000F53B0000}"/>
    <cellStyle name="Emphasis 3 10" xfId="42618" xr:uid="{00000000-0005-0000-0000-0000F63B0000}"/>
    <cellStyle name="Emphasis 3 11" xfId="42619" xr:uid="{00000000-0005-0000-0000-0000F73B0000}"/>
    <cellStyle name="Emphasis 3 12" xfId="42620" xr:uid="{00000000-0005-0000-0000-0000F83B0000}"/>
    <cellStyle name="Emphasis 3 13" xfId="42621" xr:uid="{00000000-0005-0000-0000-0000F93B0000}"/>
    <cellStyle name="Emphasis 3 14" xfId="42622" xr:uid="{00000000-0005-0000-0000-0000FA3B0000}"/>
    <cellStyle name="Emphasis 3 2" xfId="42623" xr:uid="{00000000-0005-0000-0000-0000FB3B0000}"/>
    <cellStyle name="Emphasis 3 3" xfId="42624" xr:uid="{00000000-0005-0000-0000-0000FC3B0000}"/>
    <cellStyle name="Emphasis 3 4" xfId="42625" xr:uid="{00000000-0005-0000-0000-0000FD3B0000}"/>
    <cellStyle name="Emphasis 3 5" xfId="42626" xr:uid="{00000000-0005-0000-0000-0000FE3B0000}"/>
    <cellStyle name="Emphasis 3 6" xfId="42627" xr:uid="{00000000-0005-0000-0000-0000FF3B0000}"/>
    <cellStyle name="Emphasis 3 7" xfId="42628" xr:uid="{00000000-0005-0000-0000-0000003C0000}"/>
    <cellStyle name="Emphasis 3 8" xfId="42629" xr:uid="{00000000-0005-0000-0000-0000013C0000}"/>
    <cellStyle name="Emphasis 3 9" xfId="42630" xr:uid="{00000000-0005-0000-0000-0000023C0000}"/>
    <cellStyle name="Euro" xfId="166" xr:uid="{00000000-0005-0000-0000-0000033C0000}"/>
    <cellStyle name="Euro 10" xfId="42631" xr:uid="{00000000-0005-0000-0000-0000043C0000}"/>
    <cellStyle name="Euro 11" xfId="42632" xr:uid="{00000000-0005-0000-0000-0000053C0000}"/>
    <cellStyle name="Euro 12" xfId="42633" xr:uid="{00000000-0005-0000-0000-0000063C0000}"/>
    <cellStyle name="Euro 13" xfId="42634" xr:uid="{00000000-0005-0000-0000-0000073C0000}"/>
    <cellStyle name="Euro 14" xfId="42635" xr:uid="{00000000-0005-0000-0000-0000083C0000}"/>
    <cellStyle name="Euro 15" xfId="42636" xr:uid="{00000000-0005-0000-0000-0000093C0000}"/>
    <cellStyle name="Euro 16" xfId="42637" xr:uid="{00000000-0005-0000-0000-00000A3C0000}"/>
    <cellStyle name="Euro 17" xfId="42638" xr:uid="{00000000-0005-0000-0000-00000B3C0000}"/>
    <cellStyle name="Euro 18" xfId="42639" xr:uid="{00000000-0005-0000-0000-00000C3C0000}"/>
    <cellStyle name="Euro 19" xfId="42640" xr:uid="{00000000-0005-0000-0000-00000D3C0000}"/>
    <cellStyle name="Euro 2" xfId="42641" xr:uid="{00000000-0005-0000-0000-00000E3C0000}"/>
    <cellStyle name="Euro 20" xfId="42642" xr:uid="{00000000-0005-0000-0000-00000F3C0000}"/>
    <cellStyle name="Euro 21" xfId="42643" xr:uid="{00000000-0005-0000-0000-0000103C0000}"/>
    <cellStyle name="Euro 22" xfId="42644" xr:uid="{00000000-0005-0000-0000-0000113C0000}"/>
    <cellStyle name="Euro 3" xfId="42645" xr:uid="{00000000-0005-0000-0000-0000123C0000}"/>
    <cellStyle name="Euro 4" xfId="42646" xr:uid="{00000000-0005-0000-0000-0000133C0000}"/>
    <cellStyle name="Euro 5" xfId="42647" xr:uid="{00000000-0005-0000-0000-0000143C0000}"/>
    <cellStyle name="Euro 6" xfId="42648" xr:uid="{00000000-0005-0000-0000-0000153C0000}"/>
    <cellStyle name="Euro 7" xfId="42649" xr:uid="{00000000-0005-0000-0000-0000163C0000}"/>
    <cellStyle name="Euro 8" xfId="42650" xr:uid="{00000000-0005-0000-0000-0000173C0000}"/>
    <cellStyle name="Euro 9" xfId="42651" xr:uid="{00000000-0005-0000-0000-0000183C0000}"/>
    <cellStyle name="Excel Built-in Comma 1" xfId="42652" xr:uid="{00000000-0005-0000-0000-0000193C0000}"/>
    <cellStyle name="Excel Built-in Normal 1 1" xfId="42653" xr:uid="{00000000-0005-0000-0000-00001A3C0000}"/>
    <cellStyle name="Explanatory Text 10" xfId="42654" xr:uid="{00000000-0005-0000-0000-00001B3C0000}"/>
    <cellStyle name="Explanatory Text 11" xfId="42655" xr:uid="{00000000-0005-0000-0000-00001C3C0000}"/>
    <cellStyle name="Explanatory Text 12" xfId="42656" xr:uid="{00000000-0005-0000-0000-00001D3C0000}"/>
    <cellStyle name="Explanatory Text 13" xfId="42657" xr:uid="{00000000-0005-0000-0000-00001E3C0000}"/>
    <cellStyle name="Explanatory Text 14" xfId="42658" xr:uid="{00000000-0005-0000-0000-00001F3C0000}"/>
    <cellStyle name="Explanatory Text 15" xfId="42659" xr:uid="{00000000-0005-0000-0000-0000203C0000}"/>
    <cellStyle name="Explanatory Text 16" xfId="42660" xr:uid="{00000000-0005-0000-0000-0000213C0000}"/>
    <cellStyle name="Explanatory Text 17" xfId="42661" xr:uid="{00000000-0005-0000-0000-0000223C0000}"/>
    <cellStyle name="Explanatory Text 18" xfId="42662" xr:uid="{00000000-0005-0000-0000-0000233C0000}"/>
    <cellStyle name="Explanatory Text 19" xfId="42663" xr:uid="{00000000-0005-0000-0000-0000243C0000}"/>
    <cellStyle name="Explanatory Text 2" xfId="67" xr:uid="{00000000-0005-0000-0000-0000253C0000}"/>
    <cellStyle name="Explanatory Text 2 2" xfId="42664" xr:uid="{00000000-0005-0000-0000-0000263C0000}"/>
    <cellStyle name="Explanatory Text 20" xfId="42665" xr:uid="{00000000-0005-0000-0000-0000273C0000}"/>
    <cellStyle name="Explanatory Text 21" xfId="42666" xr:uid="{00000000-0005-0000-0000-0000283C0000}"/>
    <cellStyle name="Explanatory Text 22" xfId="42667" xr:uid="{00000000-0005-0000-0000-0000293C0000}"/>
    <cellStyle name="Explanatory Text 23" xfId="42668" xr:uid="{00000000-0005-0000-0000-00002A3C0000}"/>
    <cellStyle name="Explanatory Text 3" xfId="42669" xr:uid="{00000000-0005-0000-0000-00002B3C0000}"/>
    <cellStyle name="Explanatory Text 4" xfId="42670" xr:uid="{00000000-0005-0000-0000-00002C3C0000}"/>
    <cellStyle name="Explanatory Text 5" xfId="42671" xr:uid="{00000000-0005-0000-0000-00002D3C0000}"/>
    <cellStyle name="Explanatory Text 6" xfId="42672" xr:uid="{00000000-0005-0000-0000-00002E3C0000}"/>
    <cellStyle name="Explanatory Text 7" xfId="42673" xr:uid="{00000000-0005-0000-0000-00002F3C0000}"/>
    <cellStyle name="Explanatory Text 8" xfId="42674" xr:uid="{00000000-0005-0000-0000-0000303C0000}"/>
    <cellStyle name="Explanatory Text 9" xfId="42675" xr:uid="{00000000-0005-0000-0000-0000313C0000}"/>
    <cellStyle name="F2" xfId="42676" xr:uid="{00000000-0005-0000-0000-0000323C0000}"/>
    <cellStyle name="F3" xfId="42677" xr:uid="{00000000-0005-0000-0000-0000333C0000}"/>
    <cellStyle name="F4" xfId="42678" xr:uid="{00000000-0005-0000-0000-0000343C0000}"/>
    <cellStyle name="F4 2" xfId="42679" xr:uid="{00000000-0005-0000-0000-0000353C0000}"/>
    <cellStyle name="F5" xfId="42680" xr:uid="{00000000-0005-0000-0000-0000363C0000}"/>
    <cellStyle name="F5 2" xfId="42681" xr:uid="{00000000-0005-0000-0000-0000373C0000}"/>
    <cellStyle name="F6" xfId="42682" xr:uid="{00000000-0005-0000-0000-0000383C0000}"/>
    <cellStyle name="F7" xfId="42683" xr:uid="{00000000-0005-0000-0000-0000393C0000}"/>
    <cellStyle name="F8" xfId="42684" xr:uid="{00000000-0005-0000-0000-00003A3C0000}"/>
    <cellStyle name="F8 2" xfId="42685" xr:uid="{00000000-0005-0000-0000-00003B3C0000}"/>
    <cellStyle name="Fixed" xfId="68" xr:uid="{00000000-0005-0000-0000-00003C3C0000}"/>
    <cellStyle name="Font: Calibri, 9pt regular" xfId="16" xr:uid="{00000000-0005-0000-0000-00003D3C0000}"/>
    <cellStyle name="Footnotes: top row" xfId="69" xr:uid="{00000000-0005-0000-0000-00003E3C0000}"/>
    <cellStyle name="Good" xfId="4" builtinId="26"/>
    <cellStyle name="Good 10" xfId="42686" xr:uid="{00000000-0005-0000-0000-0000403C0000}"/>
    <cellStyle name="Good 11" xfId="42687" xr:uid="{00000000-0005-0000-0000-0000413C0000}"/>
    <cellStyle name="Good 12" xfId="42688" xr:uid="{00000000-0005-0000-0000-0000423C0000}"/>
    <cellStyle name="Good 13" xfId="42689" xr:uid="{00000000-0005-0000-0000-0000433C0000}"/>
    <cellStyle name="Good 14" xfId="42690" xr:uid="{00000000-0005-0000-0000-0000443C0000}"/>
    <cellStyle name="Good 15" xfId="42691" xr:uid="{00000000-0005-0000-0000-0000453C0000}"/>
    <cellStyle name="Good 16" xfId="42692" xr:uid="{00000000-0005-0000-0000-0000463C0000}"/>
    <cellStyle name="Good 17" xfId="42693" xr:uid="{00000000-0005-0000-0000-0000473C0000}"/>
    <cellStyle name="Good 18" xfId="42694" xr:uid="{00000000-0005-0000-0000-0000483C0000}"/>
    <cellStyle name="Good 19" xfId="42695" xr:uid="{00000000-0005-0000-0000-0000493C0000}"/>
    <cellStyle name="Good 2" xfId="70" xr:uid="{00000000-0005-0000-0000-00004A3C0000}"/>
    <cellStyle name="Good 2 2" xfId="42696" xr:uid="{00000000-0005-0000-0000-00004B3C0000}"/>
    <cellStyle name="Good 20" xfId="42697" xr:uid="{00000000-0005-0000-0000-00004C3C0000}"/>
    <cellStyle name="Good 21" xfId="42698" xr:uid="{00000000-0005-0000-0000-00004D3C0000}"/>
    <cellStyle name="Good 22" xfId="42699" xr:uid="{00000000-0005-0000-0000-00004E3C0000}"/>
    <cellStyle name="Good 23" xfId="42700" xr:uid="{00000000-0005-0000-0000-00004F3C0000}"/>
    <cellStyle name="Good 3" xfId="42701" xr:uid="{00000000-0005-0000-0000-0000503C0000}"/>
    <cellStyle name="Good 4" xfId="42702" xr:uid="{00000000-0005-0000-0000-0000513C0000}"/>
    <cellStyle name="Good 5" xfId="42703" xr:uid="{00000000-0005-0000-0000-0000523C0000}"/>
    <cellStyle name="Good 6" xfId="42704" xr:uid="{00000000-0005-0000-0000-0000533C0000}"/>
    <cellStyle name="Good 7" xfId="42705" xr:uid="{00000000-0005-0000-0000-0000543C0000}"/>
    <cellStyle name="Good 8" xfId="42706" xr:uid="{00000000-0005-0000-0000-0000553C0000}"/>
    <cellStyle name="Good 9" xfId="42707" xr:uid="{00000000-0005-0000-0000-0000563C0000}"/>
    <cellStyle name="Grey" xfId="167" xr:uid="{00000000-0005-0000-0000-0000573C0000}"/>
    <cellStyle name="Grey 10" xfId="42708" xr:uid="{00000000-0005-0000-0000-0000583C0000}"/>
    <cellStyle name="Grey 11" xfId="42709" xr:uid="{00000000-0005-0000-0000-0000593C0000}"/>
    <cellStyle name="Grey 12" xfId="42710" xr:uid="{00000000-0005-0000-0000-00005A3C0000}"/>
    <cellStyle name="Grey 13" xfId="42711" xr:uid="{00000000-0005-0000-0000-00005B3C0000}"/>
    <cellStyle name="Grey 14" xfId="42712" xr:uid="{00000000-0005-0000-0000-00005C3C0000}"/>
    <cellStyle name="Grey 15" xfId="42713" xr:uid="{00000000-0005-0000-0000-00005D3C0000}"/>
    <cellStyle name="Grey 16" xfId="42714" xr:uid="{00000000-0005-0000-0000-00005E3C0000}"/>
    <cellStyle name="Grey 17" xfId="42715" xr:uid="{00000000-0005-0000-0000-00005F3C0000}"/>
    <cellStyle name="Grey 18" xfId="42716" xr:uid="{00000000-0005-0000-0000-0000603C0000}"/>
    <cellStyle name="Grey 19" xfId="42717" xr:uid="{00000000-0005-0000-0000-0000613C0000}"/>
    <cellStyle name="Grey 2" xfId="42718" xr:uid="{00000000-0005-0000-0000-0000623C0000}"/>
    <cellStyle name="Grey 20" xfId="42719" xr:uid="{00000000-0005-0000-0000-0000633C0000}"/>
    <cellStyle name="Grey 21" xfId="42720" xr:uid="{00000000-0005-0000-0000-0000643C0000}"/>
    <cellStyle name="Grey 22" xfId="42721" xr:uid="{00000000-0005-0000-0000-0000653C0000}"/>
    <cellStyle name="Grey 3" xfId="42722" xr:uid="{00000000-0005-0000-0000-0000663C0000}"/>
    <cellStyle name="Grey 4" xfId="42723" xr:uid="{00000000-0005-0000-0000-0000673C0000}"/>
    <cellStyle name="Grey 5" xfId="42724" xr:uid="{00000000-0005-0000-0000-0000683C0000}"/>
    <cellStyle name="Grey 6" xfId="42725" xr:uid="{00000000-0005-0000-0000-0000693C0000}"/>
    <cellStyle name="Grey 7" xfId="42726" xr:uid="{00000000-0005-0000-0000-00006A3C0000}"/>
    <cellStyle name="Grey 8" xfId="42727" xr:uid="{00000000-0005-0000-0000-00006B3C0000}"/>
    <cellStyle name="Grey 9" xfId="42728" xr:uid="{00000000-0005-0000-0000-00006C3C0000}"/>
    <cellStyle name="Header: bottom row" xfId="17" xr:uid="{00000000-0005-0000-0000-00006D3C0000}"/>
    <cellStyle name="Heading 1 10" xfId="42729" xr:uid="{00000000-0005-0000-0000-00006E3C0000}"/>
    <cellStyle name="Heading 1 11" xfId="42730" xr:uid="{00000000-0005-0000-0000-00006F3C0000}"/>
    <cellStyle name="Heading 1 12" xfId="42731" xr:uid="{00000000-0005-0000-0000-0000703C0000}"/>
    <cellStyle name="Heading 1 13" xfId="42732" xr:uid="{00000000-0005-0000-0000-0000713C0000}"/>
    <cellStyle name="Heading 1 14" xfId="42733" xr:uid="{00000000-0005-0000-0000-0000723C0000}"/>
    <cellStyle name="Heading 1 15" xfId="42734" xr:uid="{00000000-0005-0000-0000-0000733C0000}"/>
    <cellStyle name="Heading 1 16" xfId="42735" xr:uid="{00000000-0005-0000-0000-0000743C0000}"/>
    <cellStyle name="Heading 1 17" xfId="42736" xr:uid="{00000000-0005-0000-0000-0000753C0000}"/>
    <cellStyle name="Heading 1 18" xfId="42737" xr:uid="{00000000-0005-0000-0000-0000763C0000}"/>
    <cellStyle name="Heading 1 19" xfId="42738" xr:uid="{00000000-0005-0000-0000-0000773C0000}"/>
    <cellStyle name="Heading 1 2" xfId="71" xr:uid="{00000000-0005-0000-0000-0000783C0000}"/>
    <cellStyle name="Heading 1 2 2" xfId="40718" xr:uid="{00000000-0005-0000-0000-0000793C0000}"/>
    <cellStyle name="Heading 1 2 3" xfId="40719" xr:uid="{00000000-0005-0000-0000-00007A3C0000}"/>
    <cellStyle name="Heading 1 20" xfId="42739" xr:uid="{00000000-0005-0000-0000-00007B3C0000}"/>
    <cellStyle name="Heading 1 21" xfId="42740" xr:uid="{00000000-0005-0000-0000-00007C3C0000}"/>
    <cellStyle name="Heading 1 22" xfId="42741" xr:uid="{00000000-0005-0000-0000-00007D3C0000}"/>
    <cellStyle name="Heading 1 23" xfId="42742" xr:uid="{00000000-0005-0000-0000-00007E3C0000}"/>
    <cellStyle name="Heading 1 3" xfId="40720" xr:uid="{00000000-0005-0000-0000-00007F3C0000}"/>
    <cellStyle name="Heading 1 4" xfId="42743" xr:uid="{00000000-0005-0000-0000-0000803C0000}"/>
    <cellStyle name="Heading 1 5" xfId="42744" xr:uid="{00000000-0005-0000-0000-0000813C0000}"/>
    <cellStyle name="Heading 1 6" xfId="42745" xr:uid="{00000000-0005-0000-0000-0000823C0000}"/>
    <cellStyle name="Heading 1 7" xfId="42746" xr:uid="{00000000-0005-0000-0000-0000833C0000}"/>
    <cellStyle name="Heading 1 8" xfId="42747" xr:uid="{00000000-0005-0000-0000-0000843C0000}"/>
    <cellStyle name="Heading 1 9" xfId="42748" xr:uid="{00000000-0005-0000-0000-0000853C0000}"/>
    <cellStyle name="Heading 2 10" xfId="42749" xr:uid="{00000000-0005-0000-0000-0000863C0000}"/>
    <cellStyle name="Heading 2 11" xfId="42750" xr:uid="{00000000-0005-0000-0000-0000873C0000}"/>
    <cellStyle name="Heading 2 12" xfId="42751" xr:uid="{00000000-0005-0000-0000-0000883C0000}"/>
    <cellStyle name="Heading 2 13" xfId="42752" xr:uid="{00000000-0005-0000-0000-0000893C0000}"/>
    <cellStyle name="Heading 2 14" xfId="42753" xr:uid="{00000000-0005-0000-0000-00008A3C0000}"/>
    <cellStyle name="Heading 2 15" xfId="42754" xr:uid="{00000000-0005-0000-0000-00008B3C0000}"/>
    <cellStyle name="Heading 2 16" xfId="42755" xr:uid="{00000000-0005-0000-0000-00008C3C0000}"/>
    <cellStyle name="Heading 2 17" xfId="42756" xr:uid="{00000000-0005-0000-0000-00008D3C0000}"/>
    <cellStyle name="Heading 2 18" xfId="42757" xr:uid="{00000000-0005-0000-0000-00008E3C0000}"/>
    <cellStyle name="Heading 2 19" xfId="42758" xr:uid="{00000000-0005-0000-0000-00008F3C0000}"/>
    <cellStyle name="Heading 2 2" xfId="72" xr:uid="{00000000-0005-0000-0000-0000903C0000}"/>
    <cellStyle name="Heading 2 2 2" xfId="42759" xr:uid="{00000000-0005-0000-0000-0000913C0000}"/>
    <cellStyle name="Heading 2 20" xfId="42760" xr:uid="{00000000-0005-0000-0000-0000923C0000}"/>
    <cellStyle name="Heading 2 21" xfId="42761" xr:uid="{00000000-0005-0000-0000-0000933C0000}"/>
    <cellStyle name="Heading 2 22" xfId="42762" xr:uid="{00000000-0005-0000-0000-0000943C0000}"/>
    <cellStyle name="Heading 2 23" xfId="42763" xr:uid="{00000000-0005-0000-0000-0000953C0000}"/>
    <cellStyle name="Heading 2 3" xfId="42764" xr:uid="{00000000-0005-0000-0000-0000963C0000}"/>
    <cellStyle name="Heading 2 4" xfId="42765" xr:uid="{00000000-0005-0000-0000-0000973C0000}"/>
    <cellStyle name="Heading 2 5" xfId="42766" xr:uid="{00000000-0005-0000-0000-0000983C0000}"/>
    <cellStyle name="Heading 2 6" xfId="42767" xr:uid="{00000000-0005-0000-0000-0000993C0000}"/>
    <cellStyle name="Heading 2 7" xfId="42768" xr:uid="{00000000-0005-0000-0000-00009A3C0000}"/>
    <cellStyle name="Heading 2 8" xfId="42769" xr:uid="{00000000-0005-0000-0000-00009B3C0000}"/>
    <cellStyle name="Heading 2 9" xfId="42770" xr:uid="{00000000-0005-0000-0000-00009C3C0000}"/>
    <cellStyle name="Heading 3 10" xfId="42771" xr:uid="{00000000-0005-0000-0000-00009D3C0000}"/>
    <cellStyle name="Heading 3 10 2" xfId="42772" xr:uid="{00000000-0005-0000-0000-00009E3C0000}"/>
    <cellStyle name="Heading 3 11" xfId="42773" xr:uid="{00000000-0005-0000-0000-00009F3C0000}"/>
    <cellStyle name="Heading 3 11 2" xfId="42774" xr:uid="{00000000-0005-0000-0000-0000A03C0000}"/>
    <cellStyle name="Heading 3 12" xfId="42775" xr:uid="{00000000-0005-0000-0000-0000A13C0000}"/>
    <cellStyle name="Heading 3 12 2" xfId="42776" xr:uid="{00000000-0005-0000-0000-0000A23C0000}"/>
    <cellStyle name="Heading 3 13" xfId="42777" xr:uid="{00000000-0005-0000-0000-0000A33C0000}"/>
    <cellStyle name="Heading 3 13 2" xfId="42778" xr:uid="{00000000-0005-0000-0000-0000A43C0000}"/>
    <cellStyle name="Heading 3 14" xfId="42779" xr:uid="{00000000-0005-0000-0000-0000A53C0000}"/>
    <cellStyle name="Heading 3 14 2" xfId="42780" xr:uid="{00000000-0005-0000-0000-0000A63C0000}"/>
    <cellStyle name="Heading 3 15" xfId="42781" xr:uid="{00000000-0005-0000-0000-0000A73C0000}"/>
    <cellStyle name="Heading 3 15 2" xfId="42782" xr:uid="{00000000-0005-0000-0000-0000A83C0000}"/>
    <cellStyle name="Heading 3 16" xfId="42783" xr:uid="{00000000-0005-0000-0000-0000A93C0000}"/>
    <cellStyle name="Heading 3 16 2" xfId="42784" xr:uid="{00000000-0005-0000-0000-0000AA3C0000}"/>
    <cellStyle name="Heading 3 17" xfId="42785" xr:uid="{00000000-0005-0000-0000-0000AB3C0000}"/>
    <cellStyle name="Heading 3 18" xfId="42786" xr:uid="{00000000-0005-0000-0000-0000AC3C0000}"/>
    <cellStyle name="Heading 3 19" xfId="42787" xr:uid="{00000000-0005-0000-0000-0000AD3C0000}"/>
    <cellStyle name="Heading 3 2" xfId="73" xr:uid="{00000000-0005-0000-0000-0000AE3C0000}"/>
    <cellStyle name="Heading 3 2 2" xfId="42788" xr:uid="{00000000-0005-0000-0000-0000AF3C0000}"/>
    <cellStyle name="Heading 3 2 2 2" xfId="42789" xr:uid="{00000000-0005-0000-0000-0000B03C0000}"/>
    <cellStyle name="Heading 3 2 3" xfId="42790" xr:uid="{00000000-0005-0000-0000-0000B13C0000}"/>
    <cellStyle name="Heading 3 20" xfId="42791" xr:uid="{00000000-0005-0000-0000-0000B23C0000}"/>
    <cellStyle name="Heading 3 21" xfId="42792" xr:uid="{00000000-0005-0000-0000-0000B33C0000}"/>
    <cellStyle name="Heading 3 22" xfId="42793" xr:uid="{00000000-0005-0000-0000-0000B43C0000}"/>
    <cellStyle name="Heading 3 22 2" xfId="42794" xr:uid="{00000000-0005-0000-0000-0000B53C0000}"/>
    <cellStyle name="Heading 3 23" xfId="42795" xr:uid="{00000000-0005-0000-0000-0000B63C0000}"/>
    <cellStyle name="Heading 3 23 2" xfId="42796" xr:uid="{00000000-0005-0000-0000-0000B73C0000}"/>
    <cellStyle name="Heading 3 24" xfId="42797" xr:uid="{00000000-0005-0000-0000-0000B83C0000}"/>
    <cellStyle name="Heading 3 3" xfId="42798" xr:uid="{00000000-0005-0000-0000-0000B93C0000}"/>
    <cellStyle name="Heading 3 3 2" xfId="42799" xr:uid="{00000000-0005-0000-0000-0000BA3C0000}"/>
    <cellStyle name="Heading 3 4" xfId="42800" xr:uid="{00000000-0005-0000-0000-0000BB3C0000}"/>
    <cellStyle name="Heading 3 4 2" xfId="42801" xr:uid="{00000000-0005-0000-0000-0000BC3C0000}"/>
    <cellStyle name="Heading 3 5" xfId="42802" xr:uid="{00000000-0005-0000-0000-0000BD3C0000}"/>
    <cellStyle name="Heading 3 5 2" xfId="42803" xr:uid="{00000000-0005-0000-0000-0000BE3C0000}"/>
    <cellStyle name="Heading 3 6" xfId="42804" xr:uid="{00000000-0005-0000-0000-0000BF3C0000}"/>
    <cellStyle name="Heading 3 6 2" xfId="42805" xr:uid="{00000000-0005-0000-0000-0000C03C0000}"/>
    <cellStyle name="Heading 3 7" xfId="42806" xr:uid="{00000000-0005-0000-0000-0000C13C0000}"/>
    <cellStyle name="Heading 3 7 2" xfId="42807" xr:uid="{00000000-0005-0000-0000-0000C23C0000}"/>
    <cellStyle name="Heading 3 8" xfId="42808" xr:uid="{00000000-0005-0000-0000-0000C33C0000}"/>
    <cellStyle name="Heading 3 8 2" xfId="42809" xr:uid="{00000000-0005-0000-0000-0000C43C0000}"/>
    <cellStyle name="Heading 3 9" xfId="42810" xr:uid="{00000000-0005-0000-0000-0000C53C0000}"/>
    <cellStyle name="Heading 3 9 2" xfId="42811" xr:uid="{00000000-0005-0000-0000-0000C63C0000}"/>
    <cellStyle name="Heading 4 10" xfId="42812" xr:uid="{00000000-0005-0000-0000-0000C73C0000}"/>
    <cellStyle name="Heading 4 11" xfId="42813" xr:uid="{00000000-0005-0000-0000-0000C83C0000}"/>
    <cellStyle name="Heading 4 12" xfId="42814" xr:uid="{00000000-0005-0000-0000-0000C93C0000}"/>
    <cellStyle name="Heading 4 13" xfId="42815" xr:uid="{00000000-0005-0000-0000-0000CA3C0000}"/>
    <cellStyle name="Heading 4 14" xfId="42816" xr:uid="{00000000-0005-0000-0000-0000CB3C0000}"/>
    <cellStyle name="Heading 4 15" xfId="42817" xr:uid="{00000000-0005-0000-0000-0000CC3C0000}"/>
    <cellStyle name="Heading 4 16" xfId="42818" xr:uid="{00000000-0005-0000-0000-0000CD3C0000}"/>
    <cellStyle name="Heading 4 17" xfId="42819" xr:uid="{00000000-0005-0000-0000-0000CE3C0000}"/>
    <cellStyle name="Heading 4 18" xfId="42820" xr:uid="{00000000-0005-0000-0000-0000CF3C0000}"/>
    <cellStyle name="Heading 4 19" xfId="42821" xr:uid="{00000000-0005-0000-0000-0000D03C0000}"/>
    <cellStyle name="Heading 4 2" xfId="74" xr:uid="{00000000-0005-0000-0000-0000D13C0000}"/>
    <cellStyle name="Heading 4 2 2" xfId="42822" xr:uid="{00000000-0005-0000-0000-0000D23C0000}"/>
    <cellStyle name="Heading 4 20" xfId="42823" xr:uid="{00000000-0005-0000-0000-0000D33C0000}"/>
    <cellStyle name="Heading 4 21" xfId="42824" xr:uid="{00000000-0005-0000-0000-0000D43C0000}"/>
    <cellStyle name="Heading 4 22" xfId="42825" xr:uid="{00000000-0005-0000-0000-0000D53C0000}"/>
    <cellStyle name="Heading 4 23" xfId="42826" xr:uid="{00000000-0005-0000-0000-0000D63C0000}"/>
    <cellStyle name="Heading 4 3" xfId="42827" xr:uid="{00000000-0005-0000-0000-0000D73C0000}"/>
    <cellStyle name="Heading 4 4" xfId="42828" xr:uid="{00000000-0005-0000-0000-0000D83C0000}"/>
    <cellStyle name="Heading 4 5" xfId="42829" xr:uid="{00000000-0005-0000-0000-0000D93C0000}"/>
    <cellStyle name="Heading 4 6" xfId="42830" xr:uid="{00000000-0005-0000-0000-0000DA3C0000}"/>
    <cellStyle name="Heading 4 7" xfId="42831" xr:uid="{00000000-0005-0000-0000-0000DB3C0000}"/>
    <cellStyle name="Heading 4 8" xfId="42832" xr:uid="{00000000-0005-0000-0000-0000DC3C0000}"/>
    <cellStyle name="Heading 4 9" xfId="42833" xr:uid="{00000000-0005-0000-0000-0000DD3C0000}"/>
    <cellStyle name="Hed Side" xfId="75" xr:uid="{00000000-0005-0000-0000-0000DE3C0000}"/>
    <cellStyle name="Hed Side 2" xfId="168" xr:uid="{00000000-0005-0000-0000-0000DF3C0000}"/>
    <cellStyle name="Hed Side 2 2" xfId="13663" xr:uid="{00000000-0005-0000-0000-0000E03C0000}"/>
    <cellStyle name="Hed Side 2 2 10" xfId="13664" xr:uid="{00000000-0005-0000-0000-0000E13C0000}"/>
    <cellStyle name="Hed Side 2 2 10 10" xfId="13665" xr:uid="{00000000-0005-0000-0000-0000E23C0000}"/>
    <cellStyle name="Hed Side 2 2 10 2" xfId="13666" xr:uid="{00000000-0005-0000-0000-0000E33C0000}"/>
    <cellStyle name="Hed Side 2 2 10 2 2" xfId="13667" xr:uid="{00000000-0005-0000-0000-0000E43C0000}"/>
    <cellStyle name="Hed Side 2 2 10 3" xfId="13668" xr:uid="{00000000-0005-0000-0000-0000E53C0000}"/>
    <cellStyle name="Hed Side 2 2 10 3 2" xfId="13669" xr:uid="{00000000-0005-0000-0000-0000E63C0000}"/>
    <cellStyle name="Hed Side 2 2 10 4" xfId="13670" xr:uid="{00000000-0005-0000-0000-0000E73C0000}"/>
    <cellStyle name="Hed Side 2 2 10 4 2" xfId="13671" xr:uid="{00000000-0005-0000-0000-0000E83C0000}"/>
    <cellStyle name="Hed Side 2 2 10 5" xfId="13672" xr:uid="{00000000-0005-0000-0000-0000E93C0000}"/>
    <cellStyle name="Hed Side 2 2 10 5 2" xfId="13673" xr:uid="{00000000-0005-0000-0000-0000EA3C0000}"/>
    <cellStyle name="Hed Side 2 2 10 6" xfId="13674" xr:uid="{00000000-0005-0000-0000-0000EB3C0000}"/>
    <cellStyle name="Hed Side 2 2 10 6 2" xfId="13675" xr:uid="{00000000-0005-0000-0000-0000EC3C0000}"/>
    <cellStyle name="Hed Side 2 2 10 7" xfId="13676" xr:uid="{00000000-0005-0000-0000-0000ED3C0000}"/>
    <cellStyle name="Hed Side 2 2 10 7 2" xfId="13677" xr:uid="{00000000-0005-0000-0000-0000EE3C0000}"/>
    <cellStyle name="Hed Side 2 2 10 8" xfId="13678" xr:uid="{00000000-0005-0000-0000-0000EF3C0000}"/>
    <cellStyle name="Hed Side 2 2 10 8 2" xfId="13679" xr:uid="{00000000-0005-0000-0000-0000F03C0000}"/>
    <cellStyle name="Hed Side 2 2 10 9" xfId="13680" xr:uid="{00000000-0005-0000-0000-0000F13C0000}"/>
    <cellStyle name="Hed Side 2 2 10 9 2" xfId="13681" xr:uid="{00000000-0005-0000-0000-0000F23C0000}"/>
    <cellStyle name="Hed Side 2 2 11" xfId="13682" xr:uid="{00000000-0005-0000-0000-0000F33C0000}"/>
    <cellStyle name="Hed Side 2 2 11 2" xfId="13683" xr:uid="{00000000-0005-0000-0000-0000F43C0000}"/>
    <cellStyle name="Hed Side 2 2 11 2 2" xfId="13684" xr:uid="{00000000-0005-0000-0000-0000F53C0000}"/>
    <cellStyle name="Hed Side 2 2 11 3" xfId="13685" xr:uid="{00000000-0005-0000-0000-0000F63C0000}"/>
    <cellStyle name="Hed Side 2 2 11 3 2" xfId="13686" xr:uid="{00000000-0005-0000-0000-0000F73C0000}"/>
    <cellStyle name="Hed Side 2 2 11 4" xfId="13687" xr:uid="{00000000-0005-0000-0000-0000F83C0000}"/>
    <cellStyle name="Hed Side 2 2 11 4 2" xfId="13688" xr:uid="{00000000-0005-0000-0000-0000F93C0000}"/>
    <cellStyle name="Hed Side 2 2 11 5" xfId="13689" xr:uid="{00000000-0005-0000-0000-0000FA3C0000}"/>
    <cellStyle name="Hed Side 2 2 11 5 2" xfId="13690" xr:uid="{00000000-0005-0000-0000-0000FB3C0000}"/>
    <cellStyle name="Hed Side 2 2 11 6" xfId="13691" xr:uid="{00000000-0005-0000-0000-0000FC3C0000}"/>
    <cellStyle name="Hed Side 2 2 11 6 2" xfId="13692" xr:uid="{00000000-0005-0000-0000-0000FD3C0000}"/>
    <cellStyle name="Hed Side 2 2 11 7" xfId="13693" xr:uid="{00000000-0005-0000-0000-0000FE3C0000}"/>
    <cellStyle name="Hed Side 2 2 11 7 2" xfId="13694" xr:uid="{00000000-0005-0000-0000-0000FF3C0000}"/>
    <cellStyle name="Hed Side 2 2 11 8" xfId="13695" xr:uid="{00000000-0005-0000-0000-0000003D0000}"/>
    <cellStyle name="Hed Side 2 2 11 8 2" xfId="13696" xr:uid="{00000000-0005-0000-0000-0000013D0000}"/>
    <cellStyle name="Hed Side 2 2 11 9" xfId="13697" xr:uid="{00000000-0005-0000-0000-0000023D0000}"/>
    <cellStyle name="Hed Side 2 2 2" xfId="13698" xr:uid="{00000000-0005-0000-0000-0000033D0000}"/>
    <cellStyle name="Hed Side 2 2 2 10" xfId="13699" xr:uid="{00000000-0005-0000-0000-0000043D0000}"/>
    <cellStyle name="Hed Side 2 2 2 2" xfId="13700" xr:uid="{00000000-0005-0000-0000-0000053D0000}"/>
    <cellStyle name="Hed Side 2 2 2 2 2" xfId="13701" xr:uid="{00000000-0005-0000-0000-0000063D0000}"/>
    <cellStyle name="Hed Side 2 2 2 3" xfId="13702" xr:uid="{00000000-0005-0000-0000-0000073D0000}"/>
    <cellStyle name="Hed Side 2 2 2 3 2" xfId="13703" xr:uid="{00000000-0005-0000-0000-0000083D0000}"/>
    <cellStyle name="Hed Side 2 2 2 4" xfId="13704" xr:uid="{00000000-0005-0000-0000-0000093D0000}"/>
    <cellStyle name="Hed Side 2 2 2 4 2" xfId="13705" xr:uid="{00000000-0005-0000-0000-00000A3D0000}"/>
    <cellStyle name="Hed Side 2 2 2 5" xfId="13706" xr:uid="{00000000-0005-0000-0000-00000B3D0000}"/>
    <cellStyle name="Hed Side 2 2 2 5 2" xfId="13707" xr:uid="{00000000-0005-0000-0000-00000C3D0000}"/>
    <cellStyle name="Hed Side 2 2 2 6" xfId="13708" xr:uid="{00000000-0005-0000-0000-00000D3D0000}"/>
    <cellStyle name="Hed Side 2 2 2 6 2" xfId="13709" xr:uid="{00000000-0005-0000-0000-00000E3D0000}"/>
    <cellStyle name="Hed Side 2 2 2 7" xfId="13710" xr:uid="{00000000-0005-0000-0000-00000F3D0000}"/>
    <cellStyle name="Hed Side 2 2 2 7 2" xfId="13711" xr:uid="{00000000-0005-0000-0000-0000103D0000}"/>
    <cellStyle name="Hed Side 2 2 2 8" xfId="13712" xr:uid="{00000000-0005-0000-0000-0000113D0000}"/>
    <cellStyle name="Hed Side 2 2 2 8 2" xfId="13713" xr:uid="{00000000-0005-0000-0000-0000123D0000}"/>
    <cellStyle name="Hed Side 2 2 2 9" xfId="13714" xr:uid="{00000000-0005-0000-0000-0000133D0000}"/>
    <cellStyle name="Hed Side 2 2 2 9 2" xfId="13715" xr:uid="{00000000-0005-0000-0000-0000143D0000}"/>
    <cellStyle name="Hed Side 2 2 3" xfId="13716" xr:uid="{00000000-0005-0000-0000-0000153D0000}"/>
    <cellStyle name="Hed Side 2 2 3 10" xfId="13717" xr:uid="{00000000-0005-0000-0000-0000163D0000}"/>
    <cellStyle name="Hed Side 2 2 3 2" xfId="13718" xr:uid="{00000000-0005-0000-0000-0000173D0000}"/>
    <cellStyle name="Hed Side 2 2 3 2 2" xfId="13719" xr:uid="{00000000-0005-0000-0000-0000183D0000}"/>
    <cellStyle name="Hed Side 2 2 3 3" xfId="13720" xr:uid="{00000000-0005-0000-0000-0000193D0000}"/>
    <cellStyle name="Hed Side 2 2 3 3 2" xfId="13721" xr:uid="{00000000-0005-0000-0000-00001A3D0000}"/>
    <cellStyle name="Hed Side 2 2 3 4" xfId="13722" xr:uid="{00000000-0005-0000-0000-00001B3D0000}"/>
    <cellStyle name="Hed Side 2 2 3 4 2" xfId="13723" xr:uid="{00000000-0005-0000-0000-00001C3D0000}"/>
    <cellStyle name="Hed Side 2 2 3 5" xfId="13724" xr:uid="{00000000-0005-0000-0000-00001D3D0000}"/>
    <cellStyle name="Hed Side 2 2 3 5 2" xfId="13725" xr:uid="{00000000-0005-0000-0000-00001E3D0000}"/>
    <cellStyle name="Hed Side 2 2 3 6" xfId="13726" xr:uid="{00000000-0005-0000-0000-00001F3D0000}"/>
    <cellStyle name="Hed Side 2 2 3 6 2" xfId="13727" xr:uid="{00000000-0005-0000-0000-0000203D0000}"/>
    <cellStyle name="Hed Side 2 2 3 7" xfId="13728" xr:uid="{00000000-0005-0000-0000-0000213D0000}"/>
    <cellStyle name="Hed Side 2 2 3 7 2" xfId="13729" xr:uid="{00000000-0005-0000-0000-0000223D0000}"/>
    <cellStyle name="Hed Side 2 2 3 8" xfId="13730" xr:uid="{00000000-0005-0000-0000-0000233D0000}"/>
    <cellStyle name="Hed Side 2 2 3 8 2" xfId="13731" xr:uid="{00000000-0005-0000-0000-0000243D0000}"/>
    <cellStyle name="Hed Side 2 2 3 9" xfId="13732" xr:uid="{00000000-0005-0000-0000-0000253D0000}"/>
    <cellStyle name="Hed Side 2 2 3 9 2" xfId="13733" xr:uid="{00000000-0005-0000-0000-0000263D0000}"/>
    <cellStyle name="Hed Side 2 2 4" xfId="13734" xr:uid="{00000000-0005-0000-0000-0000273D0000}"/>
    <cellStyle name="Hed Side 2 2 4 10" xfId="13735" xr:uid="{00000000-0005-0000-0000-0000283D0000}"/>
    <cellStyle name="Hed Side 2 2 4 2" xfId="13736" xr:uid="{00000000-0005-0000-0000-0000293D0000}"/>
    <cellStyle name="Hed Side 2 2 4 2 2" xfId="13737" xr:uid="{00000000-0005-0000-0000-00002A3D0000}"/>
    <cellStyle name="Hed Side 2 2 4 3" xfId="13738" xr:uid="{00000000-0005-0000-0000-00002B3D0000}"/>
    <cellStyle name="Hed Side 2 2 4 3 2" xfId="13739" xr:uid="{00000000-0005-0000-0000-00002C3D0000}"/>
    <cellStyle name="Hed Side 2 2 4 4" xfId="13740" xr:uid="{00000000-0005-0000-0000-00002D3D0000}"/>
    <cellStyle name="Hed Side 2 2 4 4 2" xfId="13741" xr:uid="{00000000-0005-0000-0000-00002E3D0000}"/>
    <cellStyle name="Hed Side 2 2 4 5" xfId="13742" xr:uid="{00000000-0005-0000-0000-00002F3D0000}"/>
    <cellStyle name="Hed Side 2 2 4 5 2" xfId="13743" xr:uid="{00000000-0005-0000-0000-0000303D0000}"/>
    <cellStyle name="Hed Side 2 2 4 6" xfId="13744" xr:uid="{00000000-0005-0000-0000-0000313D0000}"/>
    <cellStyle name="Hed Side 2 2 4 6 2" xfId="13745" xr:uid="{00000000-0005-0000-0000-0000323D0000}"/>
    <cellStyle name="Hed Side 2 2 4 7" xfId="13746" xr:uid="{00000000-0005-0000-0000-0000333D0000}"/>
    <cellStyle name="Hed Side 2 2 4 7 2" xfId="13747" xr:uid="{00000000-0005-0000-0000-0000343D0000}"/>
    <cellStyle name="Hed Side 2 2 4 8" xfId="13748" xr:uid="{00000000-0005-0000-0000-0000353D0000}"/>
    <cellStyle name="Hed Side 2 2 4 8 2" xfId="13749" xr:uid="{00000000-0005-0000-0000-0000363D0000}"/>
    <cellStyle name="Hed Side 2 2 4 9" xfId="13750" xr:uid="{00000000-0005-0000-0000-0000373D0000}"/>
    <cellStyle name="Hed Side 2 2 4 9 2" xfId="13751" xr:uid="{00000000-0005-0000-0000-0000383D0000}"/>
    <cellStyle name="Hed Side 2 2 5" xfId="13752" xr:uid="{00000000-0005-0000-0000-0000393D0000}"/>
    <cellStyle name="Hed Side 2 2 5 10" xfId="13753" xr:uid="{00000000-0005-0000-0000-00003A3D0000}"/>
    <cellStyle name="Hed Side 2 2 5 2" xfId="13754" xr:uid="{00000000-0005-0000-0000-00003B3D0000}"/>
    <cellStyle name="Hed Side 2 2 5 2 2" xfId="13755" xr:uid="{00000000-0005-0000-0000-00003C3D0000}"/>
    <cellStyle name="Hed Side 2 2 5 3" xfId="13756" xr:uid="{00000000-0005-0000-0000-00003D3D0000}"/>
    <cellStyle name="Hed Side 2 2 5 3 2" xfId="13757" xr:uid="{00000000-0005-0000-0000-00003E3D0000}"/>
    <cellStyle name="Hed Side 2 2 5 4" xfId="13758" xr:uid="{00000000-0005-0000-0000-00003F3D0000}"/>
    <cellStyle name="Hed Side 2 2 5 4 2" xfId="13759" xr:uid="{00000000-0005-0000-0000-0000403D0000}"/>
    <cellStyle name="Hed Side 2 2 5 5" xfId="13760" xr:uid="{00000000-0005-0000-0000-0000413D0000}"/>
    <cellStyle name="Hed Side 2 2 5 5 2" xfId="13761" xr:uid="{00000000-0005-0000-0000-0000423D0000}"/>
    <cellStyle name="Hed Side 2 2 5 6" xfId="13762" xr:uid="{00000000-0005-0000-0000-0000433D0000}"/>
    <cellStyle name="Hed Side 2 2 5 6 2" xfId="13763" xr:uid="{00000000-0005-0000-0000-0000443D0000}"/>
    <cellStyle name="Hed Side 2 2 5 7" xfId="13764" xr:uid="{00000000-0005-0000-0000-0000453D0000}"/>
    <cellStyle name="Hed Side 2 2 5 7 2" xfId="13765" xr:uid="{00000000-0005-0000-0000-0000463D0000}"/>
    <cellStyle name="Hed Side 2 2 5 8" xfId="13766" xr:uid="{00000000-0005-0000-0000-0000473D0000}"/>
    <cellStyle name="Hed Side 2 2 5 8 2" xfId="13767" xr:uid="{00000000-0005-0000-0000-0000483D0000}"/>
    <cellStyle name="Hed Side 2 2 5 9" xfId="13768" xr:uid="{00000000-0005-0000-0000-0000493D0000}"/>
    <cellStyle name="Hed Side 2 2 5 9 2" xfId="13769" xr:uid="{00000000-0005-0000-0000-00004A3D0000}"/>
    <cellStyle name="Hed Side 2 2 6" xfId="13770" xr:uid="{00000000-0005-0000-0000-00004B3D0000}"/>
    <cellStyle name="Hed Side 2 2 6 10" xfId="13771" xr:uid="{00000000-0005-0000-0000-00004C3D0000}"/>
    <cellStyle name="Hed Side 2 2 6 2" xfId="13772" xr:uid="{00000000-0005-0000-0000-00004D3D0000}"/>
    <cellStyle name="Hed Side 2 2 6 2 2" xfId="13773" xr:uid="{00000000-0005-0000-0000-00004E3D0000}"/>
    <cellStyle name="Hed Side 2 2 6 3" xfId="13774" xr:uid="{00000000-0005-0000-0000-00004F3D0000}"/>
    <cellStyle name="Hed Side 2 2 6 3 2" xfId="13775" xr:uid="{00000000-0005-0000-0000-0000503D0000}"/>
    <cellStyle name="Hed Side 2 2 6 4" xfId="13776" xr:uid="{00000000-0005-0000-0000-0000513D0000}"/>
    <cellStyle name="Hed Side 2 2 6 4 2" xfId="13777" xr:uid="{00000000-0005-0000-0000-0000523D0000}"/>
    <cellStyle name="Hed Side 2 2 6 5" xfId="13778" xr:uid="{00000000-0005-0000-0000-0000533D0000}"/>
    <cellStyle name="Hed Side 2 2 6 5 2" xfId="13779" xr:uid="{00000000-0005-0000-0000-0000543D0000}"/>
    <cellStyle name="Hed Side 2 2 6 6" xfId="13780" xr:uid="{00000000-0005-0000-0000-0000553D0000}"/>
    <cellStyle name="Hed Side 2 2 6 6 2" xfId="13781" xr:uid="{00000000-0005-0000-0000-0000563D0000}"/>
    <cellStyle name="Hed Side 2 2 6 7" xfId="13782" xr:uid="{00000000-0005-0000-0000-0000573D0000}"/>
    <cellStyle name="Hed Side 2 2 6 7 2" xfId="13783" xr:uid="{00000000-0005-0000-0000-0000583D0000}"/>
    <cellStyle name="Hed Side 2 2 6 8" xfId="13784" xr:uid="{00000000-0005-0000-0000-0000593D0000}"/>
    <cellStyle name="Hed Side 2 2 6 8 2" xfId="13785" xr:uid="{00000000-0005-0000-0000-00005A3D0000}"/>
    <cellStyle name="Hed Side 2 2 6 9" xfId="13786" xr:uid="{00000000-0005-0000-0000-00005B3D0000}"/>
    <cellStyle name="Hed Side 2 2 6 9 2" xfId="13787" xr:uid="{00000000-0005-0000-0000-00005C3D0000}"/>
    <cellStyle name="Hed Side 2 2 7" xfId="13788" xr:uid="{00000000-0005-0000-0000-00005D3D0000}"/>
    <cellStyle name="Hed Side 2 2 7 10" xfId="13789" xr:uid="{00000000-0005-0000-0000-00005E3D0000}"/>
    <cellStyle name="Hed Side 2 2 7 2" xfId="13790" xr:uid="{00000000-0005-0000-0000-00005F3D0000}"/>
    <cellStyle name="Hed Side 2 2 7 2 2" xfId="13791" xr:uid="{00000000-0005-0000-0000-0000603D0000}"/>
    <cellStyle name="Hed Side 2 2 7 3" xfId="13792" xr:uid="{00000000-0005-0000-0000-0000613D0000}"/>
    <cellStyle name="Hed Side 2 2 7 3 2" xfId="13793" xr:uid="{00000000-0005-0000-0000-0000623D0000}"/>
    <cellStyle name="Hed Side 2 2 7 4" xfId="13794" xr:uid="{00000000-0005-0000-0000-0000633D0000}"/>
    <cellStyle name="Hed Side 2 2 7 4 2" xfId="13795" xr:uid="{00000000-0005-0000-0000-0000643D0000}"/>
    <cellStyle name="Hed Side 2 2 7 5" xfId="13796" xr:uid="{00000000-0005-0000-0000-0000653D0000}"/>
    <cellStyle name="Hed Side 2 2 7 5 2" xfId="13797" xr:uid="{00000000-0005-0000-0000-0000663D0000}"/>
    <cellStyle name="Hed Side 2 2 7 6" xfId="13798" xr:uid="{00000000-0005-0000-0000-0000673D0000}"/>
    <cellStyle name="Hed Side 2 2 7 6 2" xfId="13799" xr:uid="{00000000-0005-0000-0000-0000683D0000}"/>
    <cellStyle name="Hed Side 2 2 7 7" xfId="13800" xr:uid="{00000000-0005-0000-0000-0000693D0000}"/>
    <cellStyle name="Hed Side 2 2 7 7 2" xfId="13801" xr:uid="{00000000-0005-0000-0000-00006A3D0000}"/>
    <cellStyle name="Hed Side 2 2 7 8" xfId="13802" xr:uid="{00000000-0005-0000-0000-00006B3D0000}"/>
    <cellStyle name="Hed Side 2 2 7 8 2" xfId="13803" xr:uid="{00000000-0005-0000-0000-00006C3D0000}"/>
    <cellStyle name="Hed Side 2 2 7 9" xfId="13804" xr:uid="{00000000-0005-0000-0000-00006D3D0000}"/>
    <cellStyle name="Hed Side 2 2 7 9 2" xfId="13805" xr:uid="{00000000-0005-0000-0000-00006E3D0000}"/>
    <cellStyle name="Hed Side 2 2 8" xfId="13806" xr:uid="{00000000-0005-0000-0000-00006F3D0000}"/>
    <cellStyle name="Hed Side 2 2 8 10" xfId="13807" xr:uid="{00000000-0005-0000-0000-0000703D0000}"/>
    <cellStyle name="Hed Side 2 2 8 2" xfId="13808" xr:uid="{00000000-0005-0000-0000-0000713D0000}"/>
    <cellStyle name="Hed Side 2 2 8 2 2" xfId="13809" xr:uid="{00000000-0005-0000-0000-0000723D0000}"/>
    <cellStyle name="Hed Side 2 2 8 3" xfId="13810" xr:uid="{00000000-0005-0000-0000-0000733D0000}"/>
    <cellStyle name="Hed Side 2 2 8 3 2" xfId="13811" xr:uid="{00000000-0005-0000-0000-0000743D0000}"/>
    <cellStyle name="Hed Side 2 2 8 4" xfId="13812" xr:uid="{00000000-0005-0000-0000-0000753D0000}"/>
    <cellStyle name="Hed Side 2 2 8 4 2" xfId="13813" xr:uid="{00000000-0005-0000-0000-0000763D0000}"/>
    <cellStyle name="Hed Side 2 2 8 5" xfId="13814" xr:uid="{00000000-0005-0000-0000-0000773D0000}"/>
    <cellStyle name="Hed Side 2 2 8 5 2" xfId="13815" xr:uid="{00000000-0005-0000-0000-0000783D0000}"/>
    <cellStyle name="Hed Side 2 2 8 6" xfId="13816" xr:uid="{00000000-0005-0000-0000-0000793D0000}"/>
    <cellStyle name="Hed Side 2 2 8 6 2" xfId="13817" xr:uid="{00000000-0005-0000-0000-00007A3D0000}"/>
    <cellStyle name="Hed Side 2 2 8 7" xfId="13818" xr:uid="{00000000-0005-0000-0000-00007B3D0000}"/>
    <cellStyle name="Hed Side 2 2 8 7 2" xfId="13819" xr:uid="{00000000-0005-0000-0000-00007C3D0000}"/>
    <cellStyle name="Hed Side 2 2 8 8" xfId="13820" xr:uid="{00000000-0005-0000-0000-00007D3D0000}"/>
    <cellStyle name="Hed Side 2 2 8 8 2" xfId="13821" xr:uid="{00000000-0005-0000-0000-00007E3D0000}"/>
    <cellStyle name="Hed Side 2 2 8 9" xfId="13822" xr:uid="{00000000-0005-0000-0000-00007F3D0000}"/>
    <cellStyle name="Hed Side 2 2 8 9 2" xfId="13823" xr:uid="{00000000-0005-0000-0000-0000803D0000}"/>
    <cellStyle name="Hed Side 2 2 9" xfId="13824" xr:uid="{00000000-0005-0000-0000-0000813D0000}"/>
    <cellStyle name="Hed Side 2 2 9 10" xfId="13825" xr:uid="{00000000-0005-0000-0000-0000823D0000}"/>
    <cellStyle name="Hed Side 2 2 9 2" xfId="13826" xr:uid="{00000000-0005-0000-0000-0000833D0000}"/>
    <cellStyle name="Hed Side 2 2 9 2 2" xfId="13827" xr:uid="{00000000-0005-0000-0000-0000843D0000}"/>
    <cellStyle name="Hed Side 2 2 9 3" xfId="13828" xr:uid="{00000000-0005-0000-0000-0000853D0000}"/>
    <cellStyle name="Hed Side 2 2 9 3 2" xfId="13829" xr:uid="{00000000-0005-0000-0000-0000863D0000}"/>
    <cellStyle name="Hed Side 2 2 9 4" xfId="13830" xr:uid="{00000000-0005-0000-0000-0000873D0000}"/>
    <cellStyle name="Hed Side 2 2 9 4 2" xfId="13831" xr:uid="{00000000-0005-0000-0000-0000883D0000}"/>
    <cellStyle name="Hed Side 2 2 9 5" xfId="13832" xr:uid="{00000000-0005-0000-0000-0000893D0000}"/>
    <cellStyle name="Hed Side 2 2 9 5 2" xfId="13833" xr:uid="{00000000-0005-0000-0000-00008A3D0000}"/>
    <cellStyle name="Hed Side 2 2 9 6" xfId="13834" xr:uid="{00000000-0005-0000-0000-00008B3D0000}"/>
    <cellStyle name="Hed Side 2 2 9 6 2" xfId="13835" xr:uid="{00000000-0005-0000-0000-00008C3D0000}"/>
    <cellStyle name="Hed Side 2 2 9 7" xfId="13836" xr:uid="{00000000-0005-0000-0000-00008D3D0000}"/>
    <cellStyle name="Hed Side 2 2 9 7 2" xfId="13837" xr:uid="{00000000-0005-0000-0000-00008E3D0000}"/>
    <cellStyle name="Hed Side 2 2 9 8" xfId="13838" xr:uid="{00000000-0005-0000-0000-00008F3D0000}"/>
    <cellStyle name="Hed Side 2 2 9 8 2" xfId="13839" xr:uid="{00000000-0005-0000-0000-0000903D0000}"/>
    <cellStyle name="Hed Side 2 2 9 9" xfId="13840" xr:uid="{00000000-0005-0000-0000-0000913D0000}"/>
    <cellStyle name="Hed Side 2 2 9 9 2" xfId="13841" xr:uid="{00000000-0005-0000-0000-0000923D0000}"/>
    <cellStyle name="Hed Side 2 3" xfId="13842" xr:uid="{00000000-0005-0000-0000-0000933D0000}"/>
    <cellStyle name="Hed Side 2 3 10" xfId="13843" xr:uid="{00000000-0005-0000-0000-0000943D0000}"/>
    <cellStyle name="Hed Side 2 3 10 10" xfId="13844" xr:uid="{00000000-0005-0000-0000-0000953D0000}"/>
    <cellStyle name="Hed Side 2 3 10 2" xfId="13845" xr:uid="{00000000-0005-0000-0000-0000963D0000}"/>
    <cellStyle name="Hed Side 2 3 10 2 2" xfId="13846" xr:uid="{00000000-0005-0000-0000-0000973D0000}"/>
    <cellStyle name="Hed Side 2 3 10 3" xfId="13847" xr:uid="{00000000-0005-0000-0000-0000983D0000}"/>
    <cellStyle name="Hed Side 2 3 10 3 2" xfId="13848" xr:uid="{00000000-0005-0000-0000-0000993D0000}"/>
    <cellStyle name="Hed Side 2 3 10 4" xfId="13849" xr:uid="{00000000-0005-0000-0000-00009A3D0000}"/>
    <cellStyle name="Hed Side 2 3 10 4 2" xfId="13850" xr:uid="{00000000-0005-0000-0000-00009B3D0000}"/>
    <cellStyle name="Hed Side 2 3 10 5" xfId="13851" xr:uid="{00000000-0005-0000-0000-00009C3D0000}"/>
    <cellStyle name="Hed Side 2 3 10 5 2" xfId="13852" xr:uid="{00000000-0005-0000-0000-00009D3D0000}"/>
    <cellStyle name="Hed Side 2 3 10 6" xfId="13853" xr:uid="{00000000-0005-0000-0000-00009E3D0000}"/>
    <cellStyle name="Hed Side 2 3 10 6 2" xfId="13854" xr:uid="{00000000-0005-0000-0000-00009F3D0000}"/>
    <cellStyle name="Hed Side 2 3 10 7" xfId="13855" xr:uid="{00000000-0005-0000-0000-0000A03D0000}"/>
    <cellStyle name="Hed Side 2 3 10 7 2" xfId="13856" xr:uid="{00000000-0005-0000-0000-0000A13D0000}"/>
    <cellStyle name="Hed Side 2 3 10 8" xfId="13857" xr:uid="{00000000-0005-0000-0000-0000A23D0000}"/>
    <cellStyle name="Hed Side 2 3 10 8 2" xfId="13858" xr:uid="{00000000-0005-0000-0000-0000A33D0000}"/>
    <cellStyle name="Hed Side 2 3 10 9" xfId="13859" xr:uid="{00000000-0005-0000-0000-0000A43D0000}"/>
    <cellStyle name="Hed Side 2 3 10 9 2" xfId="13860" xr:uid="{00000000-0005-0000-0000-0000A53D0000}"/>
    <cellStyle name="Hed Side 2 3 11" xfId="13861" xr:uid="{00000000-0005-0000-0000-0000A63D0000}"/>
    <cellStyle name="Hed Side 2 3 11 2" xfId="13862" xr:uid="{00000000-0005-0000-0000-0000A73D0000}"/>
    <cellStyle name="Hed Side 2 3 11 2 2" xfId="13863" xr:uid="{00000000-0005-0000-0000-0000A83D0000}"/>
    <cellStyle name="Hed Side 2 3 11 3" xfId="13864" xr:uid="{00000000-0005-0000-0000-0000A93D0000}"/>
    <cellStyle name="Hed Side 2 3 11 3 2" xfId="13865" xr:uid="{00000000-0005-0000-0000-0000AA3D0000}"/>
    <cellStyle name="Hed Side 2 3 11 4" xfId="13866" xr:uid="{00000000-0005-0000-0000-0000AB3D0000}"/>
    <cellStyle name="Hed Side 2 3 11 4 2" xfId="13867" xr:uid="{00000000-0005-0000-0000-0000AC3D0000}"/>
    <cellStyle name="Hed Side 2 3 11 5" xfId="13868" xr:uid="{00000000-0005-0000-0000-0000AD3D0000}"/>
    <cellStyle name="Hed Side 2 3 11 5 2" xfId="13869" xr:uid="{00000000-0005-0000-0000-0000AE3D0000}"/>
    <cellStyle name="Hed Side 2 3 11 6" xfId="13870" xr:uid="{00000000-0005-0000-0000-0000AF3D0000}"/>
    <cellStyle name="Hed Side 2 3 11 6 2" xfId="13871" xr:uid="{00000000-0005-0000-0000-0000B03D0000}"/>
    <cellStyle name="Hed Side 2 3 11 7" xfId="13872" xr:uid="{00000000-0005-0000-0000-0000B13D0000}"/>
    <cellStyle name="Hed Side 2 3 11 7 2" xfId="13873" xr:uid="{00000000-0005-0000-0000-0000B23D0000}"/>
    <cellStyle name="Hed Side 2 3 11 8" xfId="13874" xr:uid="{00000000-0005-0000-0000-0000B33D0000}"/>
    <cellStyle name="Hed Side 2 3 11 8 2" xfId="13875" xr:uid="{00000000-0005-0000-0000-0000B43D0000}"/>
    <cellStyle name="Hed Side 2 3 11 9" xfId="13876" xr:uid="{00000000-0005-0000-0000-0000B53D0000}"/>
    <cellStyle name="Hed Side 2 3 2" xfId="13877" xr:uid="{00000000-0005-0000-0000-0000B63D0000}"/>
    <cellStyle name="Hed Side 2 3 2 10" xfId="13878" xr:uid="{00000000-0005-0000-0000-0000B73D0000}"/>
    <cellStyle name="Hed Side 2 3 2 2" xfId="13879" xr:uid="{00000000-0005-0000-0000-0000B83D0000}"/>
    <cellStyle name="Hed Side 2 3 2 2 2" xfId="13880" xr:uid="{00000000-0005-0000-0000-0000B93D0000}"/>
    <cellStyle name="Hed Side 2 3 2 3" xfId="13881" xr:uid="{00000000-0005-0000-0000-0000BA3D0000}"/>
    <cellStyle name="Hed Side 2 3 2 3 2" xfId="13882" xr:uid="{00000000-0005-0000-0000-0000BB3D0000}"/>
    <cellStyle name="Hed Side 2 3 2 4" xfId="13883" xr:uid="{00000000-0005-0000-0000-0000BC3D0000}"/>
    <cellStyle name="Hed Side 2 3 2 4 2" xfId="13884" xr:uid="{00000000-0005-0000-0000-0000BD3D0000}"/>
    <cellStyle name="Hed Side 2 3 2 5" xfId="13885" xr:uid="{00000000-0005-0000-0000-0000BE3D0000}"/>
    <cellStyle name="Hed Side 2 3 2 5 2" xfId="13886" xr:uid="{00000000-0005-0000-0000-0000BF3D0000}"/>
    <cellStyle name="Hed Side 2 3 2 6" xfId="13887" xr:uid="{00000000-0005-0000-0000-0000C03D0000}"/>
    <cellStyle name="Hed Side 2 3 2 6 2" xfId="13888" xr:uid="{00000000-0005-0000-0000-0000C13D0000}"/>
    <cellStyle name="Hed Side 2 3 2 7" xfId="13889" xr:uid="{00000000-0005-0000-0000-0000C23D0000}"/>
    <cellStyle name="Hed Side 2 3 2 7 2" xfId="13890" xr:uid="{00000000-0005-0000-0000-0000C33D0000}"/>
    <cellStyle name="Hed Side 2 3 2 8" xfId="13891" xr:uid="{00000000-0005-0000-0000-0000C43D0000}"/>
    <cellStyle name="Hed Side 2 3 2 8 2" xfId="13892" xr:uid="{00000000-0005-0000-0000-0000C53D0000}"/>
    <cellStyle name="Hed Side 2 3 2 9" xfId="13893" xr:uid="{00000000-0005-0000-0000-0000C63D0000}"/>
    <cellStyle name="Hed Side 2 3 2 9 2" xfId="13894" xr:uid="{00000000-0005-0000-0000-0000C73D0000}"/>
    <cellStyle name="Hed Side 2 3 3" xfId="13895" xr:uid="{00000000-0005-0000-0000-0000C83D0000}"/>
    <cellStyle name="Hed Side 2 3 3 10" xfId="13896" xr:uid="{00000000-0005-0000-0000-0000C93D0000}"/>
    <cellStyle name="Hed Side 2 3 3 2" xfId="13897" xr:uid="{00000000-0005-0000-0000-0000CA3D0000}"/>
    <cellStyle name="Hed Side 2 3 3 2 2" xfId="13898" xr:uid="{00000000-0005-0000-0000-0000CB3D0000}"/>
    <cellStyle name="Hed Side 2 3 3 3" xfId="13899" xr:uid="{00000000-0005-0000-0000-0000CC3D0000}"/>
    <cellStyle name="Hed Side 2 3 3 3 2" xfId="13900" xr:uid="{00000000-0005-0000-0000-0000CD3D0000}"/>
    <cellStyle name="Hed Side 2 3 3 4" xfId="13901" xr:uid="{00000000-0005-0000-0000-0000CE3D0000}"/>
    <cellStyle name="Hed Side 2 3 3 4 2" xfId="13902" xr:uid="{00000000-0005-0000-0000-0000CF3D0000}"/>
    <cellStyle name="Hed Side 2 3 3 5" xfId="13903" xr:uid="{00000000-0005-0000-0000-0000D03D0000}"/>
    <cellStyle name="Hed Side 2 3 3 5 2" xfId="13904" xr:uid="{00000000-0005-0000-0000-0000D13D0000}"/>
    <cellStyle name="Hed Side 2 3 3 6" xfId="13905" xr:uid="{00000000-0005-0000-0000-0000D23D0000}"/>
    <cellStyle name="Hed Side 2 3 3 6 2" xfId="13906" xr:uid="{00000000-0005-0000-0000-0000D33D0000}"/>
    <cellStyle name="Hed Side 2 3 3 7" xfId="13907" xr:uid="{00000000-0005-0000-0000-0000D43D0000}"/>
    <cellStyle name="Hed Side 2 3 3 7 2" xfId="13908" xr:uid="{00000000-0005-0000-0000-0000D53D0000}"/>
    <cellStyle name="Hed Side 2 3 3 8" xfId="13909" xr:uid="{00000000-0005-0000-0000-0000D63D0000}"/>
    <cellStyle name="Hed Side 2 3 3 8 2" xfId="13910" xr:uid="{00000000-0005-0000-0000-0000D73D0000}"/>
    <cellStyle name="Hed Side 2 3 3 9" xfId="13911" xr:uid="{00000000-0005-0000-0000-0000D83D0000}"/>
    <cellStyle name="Hed Side 2 3 3 9 2" xfId="13912" xr:uid="{00000000-0005-0000-0000-0000D93D0000}"/>
    <cellStyle name="Hed Side 2 3 4" xfId="13913" xr:uid="{00000000-0005-0000-0000-0000DA3D0000}"/>
    <cellStyle name="Hed Side 2 3 4 10" xfId="13914" xr:uid="{00000000-0005-0000-0000-0000DB3D0000}"/>
    <cellStyle name="Hed Side 2 3 4 2" xfId="13915" xr:uid="{00000000-0005-0000-0000-0000DC3D0000}"/>
    <cellStyle name="Hed Side 2 3 4 2 2" xfId="13916" xr:uid="{00000000-0005-0000-0000-0000DD3D0000}"/>
    <cellStyle name="Hed Side 2 3 4 3" xfId="13917" xr:uid="{00000000-0005-0000-0000-0000DE3D0000}"/>
    <cellStyle name="Hed Side 2 3 4 3 2" xfId="13918" xr:uid="{00000000-0005-0000-0000-0000DF3D0000}"/>
    <cellStyle name="Hed Side 2 3 4 4" xfId="13919" xr:uid="{00000000-0005-0000-0000-0000E03D0000}"/>
    <cellStyle name="Hed Side 2 3 4 4 2" xfId="13920" xr:uid="{00000000-0005-0000-0000-0000E13D0000}"/>
    <cellStyle name="Hed Side 2 3 4 5" xfId="13921" xr:uid="{00000000-0005-0000-0000-0000E23D0000}"/>
    <cellStyle name="Hed Side 2 3 4 5 2" xfId="13922" xr:uid="{00000000-0005-0000-0000-0000E33D0000}"/>
    <cellStyle name="Hed Side 2 3 4 6" xfId="13923" xr:uid="{00000000-0005-0000-0000-0000E43D0000}"/>
    <cellStyle name="Hed Side 2 3 4 6 2" xfId="13924" xr:uid="{00000000-0005-0000-0000-0000E53D0000}"/>
    <cellStyle name="Hed Side 2 3 4 7" xfId="13925" xr:uid="{00000000-0005-0000-0000-0000E63D0000}"/>
    <cellStyle name="Hed Side 2 3 4 7 2" xfId="13926" xr:uid="{00000000-0005-0000-0000-0000E73D0000}"/>
    <cellStyle name="Hed Side 2 3 4 8" xfId="13927" xr:uid="{00000000-0005-0000-0000-0000E83D0000}"/>
    <cellStyle name="Hed Side 2 3 4 8 2" xfId="13928" xr:uid="{00000000-0005-0000-0000-0000E93D0000}"/>
    <cellStyle name="Hed Side 2 3 4 9" xfId="13929" xr:uid="{00000000-0005-0000-0000-0000EA3D0000}"/>
    <cellStyle name="Hed Side 2 3 4 9 2" xfId="13930" xr:uid="{00000000-0005-0000-0000-0000EB3D0000}"/>
    <cellStyle name="Hed Side 2 3 5" xfId="13931" xr:uid="{00000000-0005-0000-0000-0000EC3D0000}"/>
    <cellStyle name="Hed Side 2 3 5 10" xfId="13932" xr:uid="{00000000-0005-0000-0000-0000ED3D0000}"/>
    <cellStyle name="Hed Side 2 3 5 2" xfId="13933" xr:uid="{00000000-0005-0000-0000-0000EE3D0000}"/>
    <cellStyle name="Hed Side 2 3 5 2 2" xfId="13934" xr:uid="{00000000-0005-0000-0000-0000EF3D0000}"/>
    <cellStyle name="Hed Side 2 3 5 3" xfId="13935" xr:uid="{00000000-0005-0000-0000-0000F03D0000}"/>
    <cellStyle name="Hed Side 2 3 5 3 2" xfId="13936" xr:uid="{00000000-0005-0000-0000-0000F13D0000}"/>
    <cellStyle name="Hed Side 2 3 5 4" xfId="13937" xr:uid="{00000000-0005-0000-0000-0000F23D0000}"/>
    <cellStyle name="Hed Side 2 3 5 4 2" xfId="13938" xr:uid="{00000000-0005-0000-0000-0000F33D0000}"/>
    <cellStyle name="Hed Side 2 3 5 5" xfId="13939" xr:uid="{00000000-0005-0000-0000-0000F43D0000}"/>
    <cellStyle name="Hed Side 2 3 5 5 2" xfId="13940" xr:uid="{00000000-0005-0000-0000-0000F53D0000}"/>
    <cellStyle name="Hed Side 2 3 5 6" xfId="13941" xr:uid="{00000000-0005-0000-0000-0000F63D0000}"/>
    <cellStyle name="Hed Side 2 3 5 6 2" xfId="13942" xr:uid="{00000000-0005-0000-0000-0000F73D0000}"/>
    <cellStyle name="Hed Side 2 3 5 7" xfId="13943" xr:uid="{00000000-0005-0000-0000-0000F83D0000}"/>
    <cellStyle name="Hed Side 2 3 5 7 2" xfId="13944" xr:uid="{00000000-0005-0000-0000-0000F93D0000}"/>
    <cellStyle name="Hed Side 2 3 5 8" xfId="13945" xr:uid="{00000000-0005-0000-0000-0000FA3D0000}"/>
    <cellStyle name="Hed Side 2 3 5 8 2" xfId="13946" xr:uid="{00000000-0005-0000-0000-0000FB3D0000}"/>
    <cellStyle name="Hed Side 2 3 5 9" xfId="13947" xr:uid="{00000000-0005-0000-0000-0000FC3D0000}"/>
    <cellStyle name="Hed Side 2 3 5 9 2" xfId="13948" xr:uid="{00000000-0005-0000-0000-0000FD3D0000}"/>
    <cellStyle name="Hed Side 2 3 6" xfId="13949" xr:uid="{00000000-0005-0000-0000-0000FE3D0000}"/>
    <cellStyle name="Hed Side 2 3 6 10" xfId="13950" xr:uid="{00000000-0005-0000-0000-0000FF3D0000}"/>
    <cellStyle name="Hed Side 2 3 6 2" xfId="13951" xr:uid="{00000000-0005-0000-0000-0000003E0000}"/>
    <cellStyle name="Hed Side 2 3 6 2 2" xfId="13952" xr:uid="{00000000-0005-0000-0000-0000013E0000}"/>
    <cellStyle name="Hed Side 2 3 6 3" xfId="13953" xr:uid="{00000000-0005-0000-0000-0000023E0000}"/>
    <cellStyle name="Hed Side 2 3 6 3 2" xfId="13954" xr:uid="{00000000-0005-0000-0000-0000033E0000}"/>
    <cellStyle name="Hed Side 2 3 6 4" xfId="13955" xr:uid="{00000000-0005-0000-0000-0000043E0000}"/>
    <cellStyle name="Hed Side 2 3 6 4 2" xfId="13956" xr:uid="{00000000-0005-0000-0000-0000053E0000}"/>
    <cellStyle name="Hed Side 2 3 6 5" xfId="13957" xr:uid="{00000000-0005-0000-0000-0000063E0000}"/>
    <cellStyle name="Hed Side 2 3 6 5 2" xfId="13958" xr:uid="{00000000-0005-0000-0000-0000073E0000}"/>
    <cellStyle name="Hed Side 2 3 6 6" xfId="13959" xr:uid="{00000000-0005-0000-0000-0000083E0000}"/>
    <cellStyle name="Hed Side 2 3 6 6 2" xfId="13960" xr:uid="{00000000-0005-0000-0000-0000093E0000}"/>
    <cellStyle name="Hed Side 2 3 6 7" xfId="13961" xr:uid="{00000000-0005-0000-0000-00000A3E0000}"/>
    <cellStyle name="Hed Side 2 3 6 7 2" xfId="13962" xr:uid="{00000000-0005-0000-0000-00000B3E0000}"/>
    <cellStyle name="Hed Side 2 3 6 8" xfId="13963" xr:uid="{00000000-0005-0000-0000-00000C3E0000}"/>
    <cellStyle name="Hed Side 2 3 6 8 2" xfId="13964" xr:uid="{00000000-0005-0000-0000-00000D3E0000}"/>
    <cellStyle name="Hed Side 2 3 6 9" xfId="13965" xr:uid="{00000000-0005-0000-0000-00000E3E0000}"/>
    <cellStyle name="Hed Side 2 3 6 9 2" xfId="13966" xr:uid="{00000000-0005-0000-0000-00000F3E0000}"/>
    <cellStyle name="Hed Side 2 3 7" xfId="13967" xr:uid="{00000000-0005-0000-0000-0000103E0000}"/>
    <cellStyle name="Hed Side 2 3 7 10" xfId="13968" xr:uid="{00000000-0005-0000-0000-0000113E0000}"/>
    <cellStyle name="Hed Side 2 3 7 2" xfId="13969" xr:uid="{00000000-0005-0000-0000-0000123E0000}"/>
    <cellStyle name="Hed Side 2 3 7 2 2" xfId="13970" xr:uid="{00000000-0005-0000-0000-0000133E0000}"/>
    <cellStyle name="Hed Side 2 3 7 3" xfId="13971" xr:uid="{00000000-0005-0000-0000-0000143E0000}"/>
    <cellStyle name="Hed Side 2 3 7 3 2" xfId="13972" xr:uid="{00000000-0005-0000-0000-0000153E0000}"/>
    <cellStyle name="Hed Side 2 3 7 4" xfId="13973" xr:uid="{00000000-0005-0000-0000-0000163E0000}"/>
    <cellStyle name="Hed Side 2 3 7 4 2" xfId="13974" xr:uid="{00000000-0005-0000-0000-0000173E0000}"/>
    <cellStyle name="Hed Side 2 3 7 5" xfId="13975" xr:uid="{00000000-0005-0000-0000-0000183E0000}"/>
    <cellStyle name="Hed Side 2 3 7 5 2" xfId="13976" xr:uid="{00000000-0005-0000-0000-0000193E0000}"/>
    <cellStyle name="Hed Side 2 3 7 6" xfId="13977" xr:uid="{00000000-0005-0000-0000-00001A3E0000}"/>
    <cellStyle name="Hed Side 2 3 7 6 2" xfId="13978" xr:uid="{00000000-0005-0000-0000-00001B3E0000}"/>
    <cellStyle name="Hed Side 2 3 7 7" xfId="13979" xr:uid="{00000000-0005-0000-0000-00001C3E0000}"/>
    <cellStyle name="Hed Side 2 3 7 7 2" xfId="13980" xr:uid="{00000000-0005-0000-0000-00001D3E0000}"/>
    <cellStyle name="Hed Side 2 3 7 8" xfId="13981" xr:uid="{00000000-0005-0000-0000-00001E3E0000}"/>
    <cellStyle name="Hed Side 2 3 7 8 2" xfId="13982" xr:uid="{00000000-0005-0000-0000-00001F3E0000}"/>
    <cellStyle name="Hed Side 2 3 7 9" xfId="13983" xr:uid="{00000000-0005-0000-0000-0000203E0000}"/>
    <cellStyle name="Hed Side 2 3 7 9 2" xfId="13984" xr:uid="{00000000-0005-0000-0000-0000213E0000}"/>
    <cellStyle name="Hed Side 2 3 8" xfId="13985" xr:uid="{00000000-0005-0000-0000-0000223E0000}"/>
    <cellStyle name="Hed Side 2 3 8 10" xfId="13986" xr:uid="{00000000-0005-0000-0000-0000233E0000}"/>
    <cellStyle name="Hed Side 2 3 8 2" xfId="13987" xr:uid="{00000000-0005-0000-0000-0000243E0000}"/>
    <cellStyle name="Hed Side 2 3 8 2 2" xfId="13988" xr:uid="{00000000-0005-0000-0000-0000253E0000}"/>
    <cellStyle name="Hed Side 2 3 8 3" xfId="13989" xr:uid="{00000000-0005-0000-0000-0000263E0000}"/>
    <cellStyle name="Hed Side 2 3 8 3 2" xfId="13990" xr:uid="{00000000-0005-0000-0000-0000273E0000}"/>
    <cellStyle name="Hed Side 2 3 8 4" xfId="13991" xr:uid="{00000000-0005-0000-0000-0000283E0000}"/>
    <cellStyle name="Hed Side 2 3 8 4 2" xfId="13992" xr:uid="{00000000-0005-0000-0000-0000293E0000}"/>
    <cellStyle name="Hed Side 2 3 8 5" xfId="13993" xr:uid="{00000000-0005-0000-0000-00002A3E0000}"/>
    <cellStyle name="Hed Side 2 3 8 5 2" xfId="13994" xr:uid="{00000000-0005-0000-0000-00002B3E0000}"/>
    <cellStyle name="Hed Side 2 3 8 6" xfId="13995" xr:uid="{00000000-0005-0000-0000-00002C3E0000}"/>
    <cellStyle name="Hed Side 2 3 8 6 2" xfId="13996" xr:uid="{00000000-0005-0000-0000-00002D3E0000}"/>
    <cellStyle name="Hed Side 2 3 8 7" xfId="13997" xr:uid="{00000000-0005-0000-0000-00002E3E0000}"/>
    <cellStyle name="Hed Side 2 3 8 7 2" xfId="13998" xr:uid="{00000000-0005-0000-0000-00002F3E0000}"/>
    <cellStyle name="Hed Side 2 3 8 8" xfId="13999" xr:uid="{00000000-0005-0000-0000-0000303E0000}"/>
    <cellStyle name="Hed Side 2 3 8 8 2" xfId="14000" xr:uid="{00000000-0005-0000-0000-0000313E0000}"/>
    <cellStyle name="Hed Side 2 3 8 9" xfId="14001" xr:uid="{00000000-0005-0000-0000-0000323E0000}"/>
    <cellStyle name="Hed Side 2 3 8 9 2" xfId="14002" xr:uid="{00000000-0005-0000-0000-0000333E0000}"/>
    <cellStyle name="Hed Side 2 3 9" xfId="14003" xr:uid="{00000000-0005-0000-0000-0000343E0000}"/>
    <cellStyle name="Hed Side 2 3 9 10" xfId="14004" xr:uid="{00000000-0005-0000-0000-0000353E0000}"/>
    <cellStyle name="Hed Side 2 3 9 2" xfId="14005" xr:uid="{00000000-0005-0000-0000-0000363E0000}"/>
    <cellStyle name="Hed Side 2 3 9 2 2" xfId="14006" xr:uid="{00000000-0005-0000-0000-0000373E0000}"/>
    <cellStyle name="Hed Side 2 3 9 3" xfId="14007" xr:uid="{00000000-0005-0000-0000-0000383E0000}"/>
    <cellStyle name="Hed Side 2 3 9 3 2" xfId="14008" xr:uid="{00000000-0005-0000-0000-0000393E0000}"/>
    <cellStyle name="Hed Side 2 3 9 4" xfId="14009" xr:uid="{00000000-0005-0000-0000-00003A3E0000}"/>
    <cellStyle name="Hed Side 2 3 9 4 2" xfId="14010" xr:uid="{00000000-0005-0000-0000-00003B3E0000}"/>
    <cellStyle name="Hed Side 2 3 9 5" xfId="14011" xr:uid="{00000000-0005-0000-0000-00003C3E0000}"/>
    <cellStyle name="Hed Side 2 3 9 5 2" xfId="14012" xr:uid="{00000000-0005-0000-0000-00003D3E0000}"/>
    <cellStyle name="Hed Side 2 3 9 6" xfId="14013" xr:uid="{00000000-0005-0000-0000-00003E3E0000}"/>
    <cellStyle name="Hed Side 2 3 9 6 2" xfId="14014" xr:uid="{00000000-0005-0000-0000-00003F3E0000}"/>
    <cellStyle name="Hed Side 2 3 9 7" xfId="14015" xr:uid="{00000000-0005-0000-0000-0000403E0000}"/>
    <cellStyle name="Hed Side 2 3 9 7 2" xfId="14016" xr:uid="{00000000-0005-0000-0000-0000413E0000}"/>
    <cellStyle name="Hed Side 2 3 9 8" xfId="14017" xr:uid="{00000000-0005-0000-0000-0000423E0000}"/>
    <cellStyle name="Hed Side 2 3 9 8 2" xfId="14018" xr:uid="{00000000-0005-0000-0000-0000433E0000}"/>
    <cellStyle name="Hed Side 2 3 9 9" xfId="14019" xr:uid="{00000000-0005-0000-0000-0000443E0000}"/>
    <cellStyle name="Hed Side 2 3 9 9 2" xfId="14020" xr:uid="{00000000-0005-0000-0000-0000453E0000}"/>
    <cellStyle name="Hed Side 2 4" xfId="14021" xr:uid="{00000000-0005-0000-0000-0000463E0000}"/>
    <cellStyle name="Hed Side 2 4 10" xfId="14022" xr:uid="{00000000-0005-0000-0000-0000473E0000}"/>
    <cellStyle name="Hed Side 2 4 10 2" xfId="14023" xr:uid="{00000000-0005-0000-0000-0000483E0000}"/>
    <cellStyle name="Hed Side 2 4 10 2 2" xfId="14024" xr:uid="{00000000-0005-0000-0000-0000493E0000}"/>
    <cellStyle name="Hed Side 2 4 10 3" xfId="14025" xr:uid="{00000000-0005-0000-0000-00004A3E0000}"/>
    <cellStyle name="Hed Side 2 4 10 3 2" xfId="14026" xr:uid="{00000000-0005-0000-0000-00004B3E0000}"/>
    <cellStyle name="Hed Side 2 4 10 4" xfId="14027" xr:uid="{00000000-0005-0000-0000-00004C3E0000}"/>
    <cellStyle name="Hed Side 2 4 10 4 2" xfId="14028" xr:uid="{00000000-0005-0000-0000-00004D3E0000}"/>
    <cellStyle name="Hed Side 2 4 10 5" xfId="14029" xr:uid="{00000000-0005-0000-0000-00004E3E0000}"/>
    <cellStyle name="Hed Side 2 4 10 5 2" xfId="14030" xr:uid="{00000000-0005-0000-0000-00004F3E0000}"/>
    <cellStyle name="Hed Side 2 4 10 6" xfId="14031" xr:uid="{00000000-0005-0000-0000-0000503E0000}"/>
    <cellStyle name="Hed Side 2 4 10 6 2" xfId="14032" xr:uid="{00000000-0005-0000-0000-0000513E0000}"/>
    <cellStyle name="Hed Side 2 4 10 7" xfId="14033" xr:uid="{00000000-0005-0000-0000-0000523E0000}"/>
    <cellStyle name="Hed Side 2 4 10 7 2" xfId="14034" xr:uid="{00000000-0005-0000-0000-0000533E0000}"/>
    <cellStyle name="Hed Side 2 4 10 8" xfId="14035" xr:uid="{00000000-0005-0000-0000-0000543E0000}"/>
    <cellStyle name="Hed Side 2 4 10 8 2" xfId="14036" xr:uid="{00000000-0005-0000-0000-0000553E0000}"/>
    <cellStyle name="Hed Side 2 4 10 9" xfId="14037" xr:uid="{00000000-0005-0000-0000-0000563E0000}"/>
    <cellStyle name="Hed Side 2 4 11" xfId="14038" xr:uid="{00000000-0005-0000-0000-0000573E0000}"/>
    <cellStyle name="Hed Side 2 4 11 2" xfId="14039" xr:uid="{00000000-0005-0000-0000-0000583E0000}"/>
    <cellStyle name="Hed Side 2 4 12" xfId="14040" xr:uid="{00000000-0005-0000-0000-0000593E0000}"/>
    <cellStyle name="Hed Side 2 4 12 2" xfId="14041" xr:uid="{00000000-0005-0000-0000-00005A3E0000}"/>
    <cellStyle name="Hed Side 2 4 13" xfId="14042" xr:uid="{00000000-0005-0000-0000-00005B3E0000}"/>
    <cellStyle name="Hed Side 2 4 13 2" xfId="14043" xr:uid="{00000000-0005-0000-0000-00005C3E0000}"/>
    <cellStyle name="Hed Side 2 4 14" xfId="14044" xr:uid="{00000000-0005-0000-0000-00005D3E0000}"/>
    <cellStyle name="Hed Side 2 4 14 2" xfId="14045" xr:uid="{00000000-0005-0000-0000-00005E3E0000}"/>
    <cellStyle name="Hed Side 2 4 15" xfId="14046" xr:uid="{00000000-0005-0000-0000-00005F3E0000}"/>
    <cellStyle name="Hed Side 2 4 15 2" xfId="14047" xr:uid="{00000000-0005-0000-0000-0000603E0000}"/>
    <cellStyle name="Hed Side 2 4 16" xfId="14048" xr:uid="{00000000-0005-0000-0000-0000613E0000}"/>
    <cellStyle name="Hed Side 2 4 16 2" xfId="14049" xr:uid="{00000000-0005-0000-0000-0000623E0000}"/>
    <cellStyle name="Hed Side 2 4 17" xfId="14050" xr:uid="{00000000-0005-0000-0000-0000633E0000}"/>
    <cellStyle name="Hed Side 2 4 17 2" xfId="14051" xr:uid="{00000000-0005-0000-0000-0000643E0000}"/>
    <cellStyle name="Hed Side 2 4 18" xfId="14052" xr:uid="{00000000-0005-0000-0000-0000653E0000}"/>
    <cellStyle name="Hed Side 2 4 2" xfId="14053" xr:uid="{00000000-0005-0000-0000-0000663E0000}"/>
    <cellStyle name="Hed Side 2 4 2 10" xfId="14054" xr:uid="{00000000-0005-0000-0000-0000673E0000}"/>
    <cellStyle name="Hed Side 2 4 2 2" xfId="14055" xr:uid="{00000000-0005-0000-0000-0000683E0000}"/>
    <cellStyle name="Hed Side 2 4 2 2 2" xfId="14056" xr:uid="{00000000-0005-0000-0000-0000693E0000}"/>
    <cellStyle name="Hed Side 2 4 2 3" xfId="14057" xr:uid="{00000000-0005-0000-0000-00006A3E0000}"/>
    <cellStyle name="Hed Side 2 4 2 3 2" xfId="14058" xr:uid="{00000000-0005-0000-0000-00006B3E0000}"/>
    <cellStyle name="Hed Side 2 4 2 4" xfId="14059" xr:uid="{00000000-0005-0000-0000-00006C3E0000}"/>
    <cellStyle name="Hed Side 2 4 2 4 2" xfId="14060" xr:uid="{00000000-0005-0000-0000-00006D3E0000}"/>
    <cellStyle name="Hed Side 2 4 2 5" xfId="14061" xr:uid="{00000000-0005-0000-0000-00006E3E0000}"/>
    <cellStyle name="Hed Side 2 4 2 5 2" xfId="14062" xr:uid="{00000000-0005-0000-0000-00006F3E0000}"/>
    <cellStyle name="Hed Side 2 4 2 6" xfId="14063" xr:uid="{00000000-0005-0000-0000-0000703E0000}"/>
    <cellStyle name="Hed Side 2 4 2 6 2" xfId="14064" xr:uid="{00000000-0005-0000-0000-0000713E0000}"/>
    <cellStyle name="Hed Side 2 4 2 7" xfId="14065" xr:uid="{00000000-0005-0000-0000-0000723E0000}"/>
    <cellStyle name="Hed Side 2 4 2 7 2" xfId="14066" xr:uid="{00000000-0005-0000-0000-0000733E0000}"/>
    <cellStyle name="Hed Side 2 4 2 8" xfId="14067" xr:uid="{00000000-0005-0000-0000-0000743E0000}"/>
    <cellStyle name="Hed Side 2 4 2 8 2" xfId="14068" xr:uid="{00000000-0005-0000-0000-0000753E0000}"/>
    <cellStyle name="Hed Side 2 4 2 9" xfId="14069" xr:uid="{00000000-0005-0000-0000-0000763E0000}"/>
    <cellStyle name="Hed Side 2 4 2 9 2" xfId="14070" xr:uid="{00000000-0005-0000-0000-0000773E0000}"/>
    <cellStyle name="Hed Side 2 4 3" xfId="14071" xr:uid="{00000000-0005-0000-0000-0000783E0000}"/>
    <cellStyle name="Hed Side 2 4 3 10" xfId="14072" xr:uid="{00000000-0005-0000-0000-0000793E0000}"/>
    <cellStyle name="Hed Side 2 4 3 2" xfId="14073" xr:uid="{00000000-0005-0000-0000-00007A3E0000}"/>
    <cellStyle name="Hed Side 2 4 3 2 2" xfId="14074" xr:uid="{00000000-0005-0000-0000-00007B3E0000}"/>
    <cellStyle name="Hed Side 2 4 3 3" xfId="14075" xr:uid="{00000000-0005-0000-0000-00007C3E0000}"/>
    <cellStyle name="Hed Side 2 4 3 3 2" xfId="14076" xr:uid="{00000000-0005-0000-0000-00007D3E0000}"/>
    <cellStyle name="Hed Side 2 4 3 4" xfId="14077" xr:uid="{00000000-0005-0000-0000-00007E3E0000}"/>
    <cellStyle name="Hed Side 2 4 3 4 2" xfId="14078" xr:uid="{00000000-0005-0000-0000-00007F3E0000}"/>
    <cellStyle name="Hed Side 2 4 3 5" xfId="14079" xr:uid="{00000000-0005-0000-0000-0000803E0000}"/>
    <cellStyle name="Hed Side 2 4 3 5 2" xfId="14080" xr:uid="{00000000-0005-0000-0000-0000813E0000}"/>
    <cellStyle name="Hed Side 2 4 3 6" xfId="14081" xr:uid="{00000000-0005-0000-0000-0000823E0000}"/>
    <cellStyle name="Hed Side 2 4 3 6 2" xfId="14082" xr:uid="{00000000-0005-0000-0000-0000833E0000}"/>
    <cellStyle name="Hed Side 2 4 3 7" xfId="14083" xr:uid="{00000000-0005-0000-0000-0000843E0000}"/>
    <cellStyle name="Hed Side 2 4 3 7 2" xfId="14084" xr:uid="{00000000-0005-0000-0000-0000853E0000}"/>
    <cellStyle name="Hed Side 2 4 3 8" xfId="14085" xr:uid="{00000000-0005-0000-0000-0000863E0000}"/>
    <cellStyle name="Hed Side 2 4 3 8 2" xfId="14086" xr:uid="{00000000-0005-0000-0000-0000873E0000}"/>
    <cellStyle name="Hed Side 2 4 3 9" xfId="14087" xr:uid="{00000000-0005-0000-0000-0000883E0000}"/>
    <cellStyle name="Hed Side 2 4 3 9 2" xfId="14088" xr:uid="{00000000-0005-0000-0000-0000893E0000}"/>
    <cellStyle name="Hed Side 2 4 4" xfId="14089" xr:uid="{00000000-0005-0000-0000-00008A3E0000}"/>
    <cellStyle name="Hed Side 2 4 4 10" xfId="14090" xr:uid="{00000000-0005-0000-0000-00008B3E0000}"/>
    <cellStyle name="Hed Side 2 4 4 2" xfId="14091" xr:uid="{00000000-0005-0000-0000-00008C3E0000}"/>
    <cellStyle name="Hed Side 2 4 4 2 2" xfId="14092" xr:uid="{00000000-0005-0000-0000-00008D3E0000}"/>
    <cellStyle name="Hed Side 2 4 4 3" xfId="14093" xr:uid="{00000000-0005-0000-0000-00008E3E0000}"/>
    <cellStyle name="Hed Side 2 4 4 3 2" xfId="14094" xr:uid="{00000000-0005-0000-0000-00008F3E0000}"/>
    <cellStyle name="Hed Side 2 4 4 4" xfId="14095" xr:uid="{00000000-0005-0000-0000-0000903E0000}"/>
    <cellStyle name="Hed Side 2 4 4 4 2" xfId="14096" xr:uid="{00000000-0005-0000-0000-0000913E0000}"/>
    <cellStyle name="Hed Side 2 4 4 5" xfId="14097" xr:uid="{00000000-0005-0000-0000-0000923E0000}"/>
    <cellStyle name="Hed Side 2 4 4 5 2" xfId="14098" xr:uid="{00000000-0005-0000-0000-0000933E0000}"/>
    <cellStyle name="Hed Side 2 4 4 6" xfId="14099" xr:uid="{00000000-0005-0000-0000-0000943E0000}"/>
    <cellStyle name="Hed Side 2 4 4 6 2" xfId="14100" xr:uid="{00000000-0005-0000-0000-0000953E0000}"/>
    <cellStyle name="Hed Side 2 4 4 7" xfId="14101" xr:uid="{00000000-0005-0000-0000-0000963E0000}"/>
    <cellStyle name="Hed Side 2 4 4 7 2" xfId="14102" xr:uid="{00000000-0005-0000-0000-0000973E0000}"/>
    <cellStyle name="Hed Side 2 4 4 8" xfId="14103" xr:uid="{00000000-0005-0000-0000-0000983E0000}"/>
    <cellStyle name="Hed Side 2 4 4 8 2" xfId="14104" xr:uid="{00000000-0005-0000-0000-0000993E0000}"/>
    <cellStyle name="Hed Side 2 4 4 9" xfId="14105" xr:uid="{00000000-0005-0000-0000-00009A3E0000}"/>
    <cellStyle name="Hed Side 2 4 4 9 2" xfId="14106" xr:uid="{00000000-0005-0000-0000-00009B3E0000}"/>
    <cellStyle name="Hed Side 2 4 5" xfId="14107" xr:uid="{00000000-0005-0000-0000-00009C3E0000}"/>
    <cellStyle name="Hed Side 2 4 5 10" xfId="14108" xr:uid="{00000000-0005-0000-0000-00009D3E0000}"/>
    <cellStyle name="Hed Side 2 4 5 2" xfId="14109" xr:uid="{00000000-0005-0000-0000-00009E3E0000}"/>
    <cellStyle name="Hed Side 2 4 5 2 2" xfId="14110" xr:uid="{00000000-0005-0000-0000-00009F3E0000}"/>
    <cellStyle name="Hed Side 2 4 5 3" xfId="14111" xr:uid="{00000000-0005-0000-0000-0000A03E0000}"/>
    <cellStyle name="Hed Side 2 4 5 3 2" xfId="14112" xr:uid="{00000000-0005-0000-0000-0000A13E0000}"/>
    <cellStyle name="Hed Side 2 4 5 4" xfId="14113" xr:uid="{00000000-0005-0000-0000-0000A23E0000}"/>
    <cellStyle name="Hed Side 2 4 5 4 2" xfId="14114" xr:uid="{00000000-0005-0000-0000-0000A33E0000}"/>
    <cellStyle name="Hed Side 2 4 5 5" xfId="14115" xr:uid="{00000000-0005-0000-0000-0000A43E0000}"/>
    <cellStyle name="Hed Side 2 4 5 5 2" xfId="14116" xr:uid="{00000000-0005-0000-0000-0000A53E0000}"/>
    <cellStyle name="Hed Side 2 4 5 6" xfId="14117" xr:uid="{00000000-0005-0000-0000-0000A63E0000}"/>
    <cellStyle name="Hed Side 2 4 5 6 2" xfId="14118" xr:uid="{00000000-0005-0000-0000-0000A73E0000}"/>
    <cellStyle name="Hed Side 2 4 5 7" xfId="14119" xr:uid="{00000000-0005-0000-0000-0000A83E0000}"/>
    <cellStyle name="Hed Side 2 4 5 7 2" xfId="14120" xr:uid="{00000000-0005-0000-0000-0000A93E0000}"/>
    <cellStyle name="Hed Side 2 4 5 8" xfId="14121" xr:uid="{00000000-0005-0000-0000-0000AA3E0000}"/>
    <cellStyle name="Hed Side 2 4 5 8 2" xfId="14122" xr:uid="{00000000-0005-0000-0000-0000AB3E0000}"/>
    <cellStyle name="Hed Side 2 4 5 9" xfId="14123" xr:uid="{00000000-0005-0000-0000-0000AC3E0000}"/>
    <cellStyle name="Hed Side 2 4 5 9 2" xfId="14124" xr:uid="{00000000-0005-0000-0000-0000AD3E0000}"/>
    <cellStyle name="Hed Side 2 4 6" xfId="14125" xr:uid="{00000000-0005-0000-0000-0000AE3E0000}"/>
    <cellStyle name="Hed Side 2 4 6 10" xfId="14126" xr:uid="{00000000-0005-0000-0000-0000AF3E0000}"/>
    <cellStyle name="Hed Side 2 4 6 2" xfId="14127" xr:uid="{00000000-0005-0000-0000-0000B03E0000}"/>
    <cellStyle name="Hed Side 2 4 6 2 2" xfId="14128" xr:uid="{00000000-0005-0000-0000-0000B13E0000}"/>
    <cellStyle name="Hed Side 2 4 6 3" xfId="14129" xr:uid="{00000000-0005-0000-0000-0000B23E0000}"/>
    <cellStyle name="Hed Side 2 4 6 3 2" xfId="14130" xr:uid="{00000000-0005-0000-0000-0000B33E0000}"/>
    <cellStyle name="Hed Side 2 4 6 4" xfId="14131" xr:uid="{00000000-0005-0000-0000-0000B43E0000}"/>
    <cellStyle name="Hed Side 2 4 6 4 2" xfId="14132" xr:uid="{00000000-0005-0000-0000-0000B53E0000}"/>
    <cellStyle name="Hed Side 2 4 6 5" xfId="14133" xr:uid="{00000000-0005-0000-0000-0000B63E0000}"/>
    <cellStyle name="Hed Side 2 4 6 5 2" xfId="14134" xr:uid="{00000000-0005-0000-0000-0000B73E0000}"/>
    <cellStyle name="Hed Side 2 4 6 6" xfId="14135" xr:uid="{00000000-0005-0000-0000-0000B83E0000}"/>
    <cellStyle name="Hed Side 2 4 6 6 2" xfId="14136" xr:uid="{00000000-0005-0000-0000-0000B93E0000}"/>
    <cellStyle name="Hed Side 2 4 6 7" xfId="14137" xr:uid="{00000000-0005-0000-0000-0000BA3E0000}"/>
    <cellStyle name="Hed Side 2 4 6 7 2" xfId="14138" xr:uid="{00000000-0005-0000-0000-0000BB3E0000}"/>
    <cellStyle name="Hed Side 2 4 6 8" xfId="14139" xr:uid="{00000000-0005-0000-0000-0000BC3E0000}"/>
    <cellStyle name="Hed Side 2 4 6 8 2" xfId="14140" xr:uid="{00000000-0005-0000-0000-0000BD3E0000}"/>
    <cellStyle name="Hed Side 2 4 6 9" xfId="14141" xr:uid="{00000000-0005-0000-0000-0000BE3E0000}"/>
    <cellStyle name="Hed Side 2 4 6 9 2" xfId="14142" xr:uid="{00000000-0005-0000-0000-0000BF3E0000}"/>
    <cellStyle name="Hed Side 2 4 7" xfId="14143" xr:uid="{00000000-0005-0000-0000-0000C03E0000}"/>
    <cellStyle name="Hed Side 2 4 7 10" xfId="14144" xr:uid="{00000000-0005-0000-0000-0000C13E0000}"/>
    <cellStyle name="Hed Side 2 4 7 2" xfId="14145" xr:uid="{00000000-0005-0000-0000-0000C23E0000}"/>
    <cellStyle name="Hed Side 2 4 7 2 2" xfId="14146" xr:uid="{00000000-0005-0000-0000-0000C33E0000}"/>
    <cellStyle name="Hed Side 2 4 7 3" xfId="14147" xr:uid="{00000000-0005-0000-0000-0000C43E0000}"/>
    <cellStyle name="Hed Side 2 4 7 3 2" xfId="14148" xr:uid="{00000000-0005-0000-0000-0000C53E0000}"/>
    <cellStyle name="Hed Side 2 4 7 4" xfId="14149" xr:uid="{00000000-0005-0000-0000-0000C63E0000}"/>
    <cellStyle name="Hed Side 2 4 7 4 2" xfId="14150" xr:uid="{00000000-0005-0000-0000-0000C73E0000}"/>
    <cellStyle name="Hed Side 2 4 7 5" xfId="14151" xr:uid="{00000000-0005-0000-0000-0000C83E0000}"/>
    <cellStyle name="Hed Side 2 4 7 5 2" xfId="14152" xr:uid="{00000000-0005-0000-0000-0000C93E0000}"/>
    <cellStyle name="Hed Side 2 4 7 6" xfId="14153" xr:uid="{00000000-0005-0000-0000-0000CA3E0000}"/>
    <cellStyle name="Hed Side 2 4 7 6 2" xfId="14154" xr:uid="{00000000-0005-0000-0000-0000CB3E0000}"/>
    <cellStyle name="Hed Side 2 4 7 7" xfId="14155" xr:uid="{00000000-0005-0000-0000-0000CC3E0000}"/>
    <cellStyle name="Hed Side 2 4 7 7 2" xfId="14156" xr:uid="{00000000-0005-0000-0000-0000CD3E0000}"/>
    <cellStyle name="Hed Side 2 4 7 8" xfId="14157" xr:uid="{00000000-0005-0000-0000-0000CE3E0000}"/>
    <cellStyle name="Hed Side 2 4 7 8 2" xfId="14158" xr:uid="{00000000-0005-0000-0000-0000CF3E0000}"/>
    <cellStyle name="Hed Side 2 4 7 9" xfId="14159" xr:uid="{00000000-0005-0000-0000-0000D03E0000}"/>
    <cellStyle name="Hed Side 2 4 7 9 2" xfId="14160" xr:uid="{00000000-0005-0000-0000-0000D13E0000}"/>
    <cellStyle name="Hed Side 2 4 8" xfId="14161" xr:uid="{00000000-0005-0000-0000-0000D23E0000}"/>
    <cellStyle name="Hed Side 2 4 8 10" xfId="14162" xr:uid="{00000000-0005-0000-0000-0000D33E0000}"/>
    <cellStyle name="Hed Side 2 4 8 2" xfId="14163" xr:uid="{00000000-0005-0000-0000-0000D43E0000}"/>
    <cellStyle name="Hed Side 2 4 8 2 2" xfId="14164" xr:uid="{00000000-0005-0000-0000-0000D53E0000}"/>
    <cellStyle name="Hed Side 2 4 8 3" xfId="14165" xr:uid="{00000000-0005-0000-0000-0000D63E0000}"/>
    <cellStyle name="Hed Side 2 4 8 3 2" xfId="14166" xr:uid="{00000000-0005-0000-0000-0000D73E0000}"/>
    <cellStyle name="Hed Side 2 4 8 4" xfId="14167" xr:uid="{00000000-0005-0000-0000-0000D83E0000}"/>
    <cellStyle name="Hed Side 2 4 8 4 2" xfId="14168" xr:uid="{00000000-0005-0000-0000-0000D93E0000}"/>
    <cellStyle name="Hed Side 2 4 8 5" xfId="14169" xr:uid="{00000000-0005-0000-0000-0000DA3E0000}"/>
    <cellStyle name="Hed Side 2 4 8 5 2" xfId="14170" xr:uid="{00000000-0005-0000-0000-0000DB3E0000}"/>
    <cellStyle name="Hed Side 2 4 8 6" xfId="14171" xr:uid="{00000000-0005-0000-0000-0000DC3E0000}"/>
    <cellStyle name="Hed Side 2 4 8 6 2" xfId="14172" xr:uid="{00000000-0005-0000-0000-0000DD3E0000}"/>
    <cellStyle name="Hed Side 2 4 8 7" xfId="14173" xr:uid="{00000000-0005-0000-0000-0000DE3E0000}"/>
    <cellStyle name="Hed Side 2 4 8 7 2" xfId="14174" xr:uid="{00000000-0005-0000-0000-0000DF3E0000}"/>
    <cellStyle name="Hed Side 2 4 8 8" xfId="14175" xr:uid="{00000000-0005-0000-0000-0000E03E0000}"/>
    <cellStyle name="Hed Side 2 4 8 8 2" xfId="14176" xr:uid="{00000000-0005-0000-0000-0000E13E0000}"/>
    <cellStyle name="Hed Side 2 4 8 9" xfId="14177" xr:uid="{00000000-0005-0000-0000-0000E23E0000}"/>
    <cellStyle name="Hed Side 2 4 8 9 2" xfId="14178" xr:uid="{00000000-0005-0000-0000-0000E33E0000}"/>
    <cellStyle name="Hed Side 2 4 9" xfId="14179" xr:uid="{00000000-0005-0000-0000-0000E43E0000}"/>
    <cellStyle name="Hed Side 2 4 9 10" xfId="14180" xr:uid="{00000000-0005-0000-0000-0000E53E0000}"/>
    <cellStyle name="Hed Side 2 4 9 2" xfId="14181" xr:uid="{00000000-0005-0000-0000-0000E63E0000}"/>
    <cellStyle name="Hed Side 2 4 9 2 2" xfId="14182" xr:uid="{00000000-0005-0000-0000-0000E73E0000}"/>
    <cellStyle name="Hed Side 2 4 9 3" xfId="14183" xr:uid="{00000000-0005-0000-0000-0000E83E0000}"/>
    <cellStyle name="Hed Side 2 4 9 3 2" xfId="14184" xr:uid="{00000000-0005-0000-0000-0000E93E0000}"/>
    <cellStyle name="Hed Side 2 4 9 4" xfId="14185" xr:uid="{00000000-0005-0000-0000-0000EA3E0000}"/>
    <cellStyle name="Hed Side 2 4 9 4 2" xfId="14186" xr:uid="{00000000-0005-0000-0000-0000EB3E0000}"/>
    <cellStyle name="Hed Side 2 4 9 5" xfId="14187" xr:uid="{00000000-0005-0000-0000-0000EC3E0000}"/>
    <cellStyle name="Hed Side 2 4 9 5 2" xfId="14188" xr:uid="{00000000-0005-0000-0000-0000ED3E0000}"/>
    <cellStyle name="Hed Side 2 4 9 6" xfId="14189" xr:uid="{00000000-0005-0000-0000-0000EE3E0000}"/>
    <cellStyle name="Hed Side 2 4 9 6 2" xfId="14190" xr:uid="{00000000-0005-0000-0000-0000EF3E0000}"/>
    <cellStyle name="Hed Side 2 4 9 7" xfId="14191" xr:uid="{00000000-0005-0000-0000-0000F03E0000}"/>
    <cellStyle name="Hed Side 2 4 9 7 2" xfId="14192" xr:uid="{00000000-0005-0000-0000-0000F13E0000}"/>
    <cellStyle name="Hed Side 2 4 9 8" xfId="14193" xr:uid="{00000000-0005-0000-0000-0000F23E0000}"/>
    <cellStyle name="Hed Side 2 4 9 8 2" xfId="14194" xr:uid="{00000000-0005-0000-0000-0000F33E0000}"/>
    <cellStyle name="Hed Side 2 4 9 9" xfId="14195" xr:uid="{00000000-0005-0000-0000-0000F43E0000}"/>
    <cellStyle name="Hed Side 2 4 9 9 2" xfId="14196" xr:uid="{00000000-0005-0000-0000-0000F53E0000}"/>
    <cellStyle name="Hed Side 2 5" xfId="14197" xr:uid="{00000000-0005-0000-0000-0000F63E0000}"/>
    <cellStyle name="Hed Side 2 5 10" xfId="14198" xr:uid="{00000000-0005-0000-0000-0000F73E0000}"/>
    <cellStyle name="Hed Side 2 5 10 2" xfId="14199" xr:uid="{00000000-0005-0000-0000-0000F83E0000}"/>
    <cellStyle name="Hed Side 2 5 10 2 2" xfId="14200" xr:uid="{00000000-0005-0000-0000-0000F93E0000}"/>
    <cellStyle name="Hed Side 2 5 10 3" xfId="14201" xr:uid="{00000000-0005-0000-0000-0000FA3E0000}"/>
    <cellStyle name="Hed Side 2 5 10 3 2" xfId="14202" xr:uid="{00000000-0005-0000-0000-0000FB3E0000}"/>
    <cellStyle name="Hed Side 2 5 10 4" xfId="14203" xr:uid="{00000000-0005-0000-0000-0000FC3E0000}"/>
    <cellStyle name="Hed Side 2 5 10 4 2" xfId="14204" xr:uid="{00000000-0005-0000-0000-0000FD3E0000}"/>
    <cellStyle name="Hed Side 2 5 10 5" xfId="14205" xr:uid="{00000000-0005-0000-0000-0000FE3E0000}"/>
    <cellStyle name="Hed Side 2 5 10 5 2" xfId="14206" xr:uid="{00000000-0005-0000-0000-0000FF3E0000}"/>
    <cellStyle name="Hed Side 2 5 10 6" xfId="14207" xr:uid="{00000000-0005-0000-0000-0000003F0000}"/>
    <cellStyle name="Hed Side 2 5 10 6 2" xfId="14208" xr:uid="{00000000-0005-0000-0000-0000013F0000}"/>
    <cellStyle name="Hed Side 2 5 10 7" xfId="14209" xr:uid="{00000000-0005-0000-0000-0000023F0000}"/>
    <cellStyle name="Hed Side 2 5 10 7 2" xfId="14210" xr:uid="{00000000-0005-0000-0000-0000033F0000}"/>
    <cellStyle name="Hed Side 2 5 10 8" xfId="14211" xr:uid="{00000000-0005-0000-0000-0000043F0000}"/>
    <cellStyle name="Hed Side 2 5 10 8 2" xfId="14212" xr:uid="{00000000-0005-0000-0000-0000053F0000}"/>
    <cellStyle name="Hed Side 2 5 10 9" xfId="14213" xr:uid="{00000000-0005-0000-0000-0000063F0000}"/>
    <cellStyle name="Hed Side 2 5 11" xfId="14214" xr:uid="{00000000-0005-0000-0000-0000073F0000}"/>
    <cellStyle name="Hed Side 2 5 11 2" xfId="14215" xr:uid="{00000000-0005-0000-0000-0000083F0000}"/>
    <cellStyle name="Hed Side 2 5 12" xfId="14216" xr:uid="{00000000-0005-0000-0000-0000093F0000}"/>
    <cellStyle name="Hed Side 2 5 12 2" xfId="14217" xr:uid="{00000000-0005-0000-0000-00000A3F0000}"/>
    <cellStyle name="Hed Side 2 5 13" xfId="14218" xr:uid="{00000000-0005-0000-0000-00000B3F0000}"/>
    <cellStyle name="Hed Side 2 5 13 2" xfId="14219" xr:uid="{00000000-0005-0000-0000-00000C3F0000}"/>
    <cellStyle name="Hed Side 2 5 14" xfId="14220" xr:uid="{00000000-0005-0000-0000-00000D3F0000}"/>
    <cellStyle name="Hed Side 2 5 14 2" xfId="14221" xr:uid="{00000000-0005-0000-0000-00000E3F0000}"/>
    <cellStyle name="Hed Side 2 5 15" xfId="14222" xr:uid="{00000000-0005-0000-0000-00000F3F0000}"/>
    <cellStyle name="Hed Side 2 5 15 2" xfId="14223" xr:uid="{00000000-0005-0000-0000-0000103F0000}"/>
    <cellStyle name="Hed Side 2 5 16" xfId="14224" xr:uid="{00000000-0005-0000-0000-0000113F0000}"/>
    <cellStyle name="Hed Side 2 5 16 2" xfId="14225" xr:uid="{00000000-0005-0000-0000-0000123F0000}"/>
    <cellStyle name="Hed Side 2 5 17" xfId="14226" xr:uid="{00000000-0005-0000-0000-0000133F0000}"/>
    <cellStyle name="Hed Side 2 5 17 2" xfId="14227" xr:uid="{00000000-0005-0000-0000-0000143F0000}"/>
    <cellStyle name="Hed Side 2 5 18" xfId="14228" xr:uid="{00000000-0005-0000-0000-0000153F0000}"/>
    <cellStyle name="Hed Side 2 5 2" xfId="14229" xr:uid="{00000000-0005-0000-0000-0000163F0000}"/>
    <cellStyle name="Hed Side 2 5 2 10" xfId="14230" xr:uid="{00000000-0005-0000-0000-0000173F0000}"/>
    <cellStyle name="Hed Side 2 5 2 2" xfId="14231" xr:uid="{00000000-0005-0000-0000-0000183F0000}"/>
    <cellStyle name="Hed Side 2 5 2 2 2" xfId="14232" xr:uid="{00000000-0005-0000-0000-0000193F0000}"/>
    <cellStyle name="Hed Side 2 5 2 3" xfId="14233" xr:uid="{00000000-0005-0000-0000-00001A3F0000}"/>
    <cellStyle name="Hed Side 2 5 2 3 2" xfId="14234" xr:uid="{00000000-0005-0000-0000-00001B3F0000}"/>
    <cellStyle name="Hed Side 2 5 2 4" xfId="14235" xr:uid="{00000000-0005-0000-0000-00001C3F0000}"/>
    <cellStyle name="Hed Side 2 5 2 4 2" xfId="14236" xr:uid="{00000000-0005-0000-0000-00001D3F0000}"/>
    <cellStyle name="Hed Side 2 5 2 5" xfId="14237" xr:uid="{00000000-0005-0000-0000-00001E3F0000}"/>
    <cellStyle name="Hed Side 2 5 2 5 2" xfId="14238" xr:uid="{00000000-0005-0000-0000-00001F3F0000}"/>
    <cellStyle name="Hed Side 2 5 2 6" xfId="14239" xr:uid="{00000000-0005-0000-0000-0000203F0000}"/>
    <cellStyle name="Hed Side 2 5 2 6 2" xfId="14240" xr:uid="{00000000-0005-0000-0000-0000213F0000}"/>
    <cellStyle name="Hed Side 2 5 2 7" xfId="14241" xr:uid="{00000000-0005-0000-0000-0000223F0000}"/>
    <cellStyle name="Hed Side 2 5 2 7 2" xfId="14242" xr:uid="{00000000-0005-0000-0000-0000233F0000}"/>
    <cellStyle name="Hed Side 2 5 2 8" xfId="14243" xr:uid="{00000000-0005-0000-0000-0000243F0000}"/>
    <cellStyle name="Hed Side 2 5 2 8 2" xfId="14244" xr:uid="{00000000-0005-0000-0000-0000253F0000}"/>
    <cellStyle name="Hed Side 2 5 2 9" xfId="14245" xr:uid="{00000000-0005-0000-0000-0000263F0000}"/>
    <cellStyle name="Hed Side 2 5 2 9 2" xfId="14246" xr:uid="{00000000-0005-0000-0000-0000273F0000}"/>
    <cellStyle name="Hed Side 2 5 3" xfId="14247" xr:uid="{00000000-0005-0000-0000-0000283F0000}"/>
    <cellStyle name="Hed Side 2 5 3 10" xfId="14248" xr:uid="{00000000-0005-0000-0000-0000293F0000}"/>
    <cellStyle name="Hed Side 2 5 3 2" xfId="14249" xr:uid="{00000000-0005-0000-0000-00002A3F0000}"/>
    <cellStyle name="Hed Side 2 5 3 2 2" xfId="14250" xr:uid="{00000000-0005-0000-0000-00002B3F0000}"/>
    <cellStyle name="Hed Side 2 5 3 3" xfId="14251" xr:uid="{00000000-0005-0000-0000-00002C3F0000}"/>
    <cellStyle name="Hed Side 2 5 3 3 2" xfId="14252" xr:uid="{00000000-0005-0000-0000-00002D3F0000}"/>
    <cellStyle name="Hed Side 2 5 3 4" xfId="14253" xr:uid="{00000000-0005-0000-0000-00002E3F0000}"/>
    <cellStyle name="Hed Side 2 5 3 4 2" xfId="14254" xr:uid="{00000000-0005-0000-0000-00002F3F0000}"/>
    <cellStyle name="Hed Side 2 5 3 5" xfId="14255" xr:uid="{00000000-0005-0000-0000-0000303F0000}"/>
    <cellStyle name="Hed Side 2 5 3 5 2" xfId="14256" xr:uid="{00000000-0005-0000-0000-0000313F0000}"/>
    <cellStyle name="Hed Side 2 5 3 6" xfId="14257" xr:uid="{00000000-0005-0000-0000-0000323F0000}"/>
    <cellStyle name="Hed Side 2 5 3 6 2" xfId="14258" xr:uid="{00000000-0005-0000-0000-0000333F0000}"/>
    <cellStyle name="Hed Side 2 5 3 7" xfId="14259" xr:uid="{00000000-0005-0000-0000-0000343F0000}"/>
    <cellStyle name="Hed Side 2 5 3 7 2" xfId="14260" xr:uid="{00000000-0005-0000-0000-0000353F0000}"/>
    <cellStyle name="Hed Side 2 5 3 8" xfId="14261" xr:uid="{00000000-0005-0000-0000-0000363F0000}"/>
    <cellStyle name="Hed Side 2 5 3 8 2" xfId="14262" xr:uid="{00000000-0005-0000-0000-0000373F0000}"/>
    <cellStyle name="Hed Side 2 5 3 9" xfId="14263" xr:uid="{00000000-0005-0000-0000-0000383F0000}"/>
    <cellStyle name="Hed Side 2 5 3 9 2" xfId="14264" xr:uid="{00000000-0005-0000-0000-0000393F0000}"/>
    <cellStyle name="Hed Side 2 5 4" xfId="14265" xr:uid="{00000000-0005-0000-0000-00003A3F0000}"/>
    <cellStyle name="Hed Side 2 5 4 10" xfId="14266" xr:uid="{00000000-0005-0000-0000-00003B3F0000}"/>
    <cellStyle name="Hed Side 2 5 4 2" xfId="14267" xr:uid="{00000000-0005-0000-0000-00003C3F0000}"/>
    <cellStyle name="Hed Side 2 5 4 2 2" xfId="14268" xr:uid="{00000000-0005-0000-0000-00003D3F0000}"/>
    <cellStyle name="Hed Side 2 5 4 3" xfId="14269" xr:uid="{00000000-0005-0000-0000-00003E3F0000}"/>
    <cellStyle name="Hed Side 2 5 4 3 2" xfId="14270" xr:uid="{00000000-0005-0000-0000-00003F3F0000}"/>
    <cellStyle name="Hed Side 2 5 4 4" xfId="14271" xr:uid="{00000000-0005-0000-0000-0000403F0000}"/>
    <cellStyle name="Hed Side 2 5 4 4 2" xfId="14272" xr:uid="{00000000-0005-0000-0000-0000413F0000}"/>
    <cellStyle name="Hed Side 2 5 4 5" xfId="14273" xr:uid="{00000000-0005-0000-0000-0000423F0000}"/>
    <cellStyle name="Hed Side 2 5 4 5 2" xfId="14274" xr:uid="{00000000-0005-0000-0000-0000433F0000}"/>
    <cellStyle name="Hed Side 2 5 4 6" xfId="14275" xr:uid="{00000000-0005-0000-0000-0000443F0000}"/>
    <cellStyle name="Hed Side 2 5 4 6 2" xfId="14276" xr:uid="{00000000-0005-0000-0000-0000453F0000}"/>
    <cellStyle name="Hed Side 2 5 4 7" xfId="14277" xr:uid="{00000000-0005-0000-0000-0000463F0000}"/>
    <cellStyle name="Hed Side 2 5 4 7 2" xfId="14278" xr:uid="{00000000-0005-0000-0000-0000473F0000}"/>
    <cellStyle name="Hed Side 2 5 4 8" xfId="14279" xr:uid="{00000000-0005-0000-0000-0000483F0000}"/>
    <cellStyle name="Hed Side 2 5 4 8 2" xfId="14280" xr:uid="{00000000-0005-0000-0000-0000493F0000}"/>
    <cellStyle name="Hed Side 2 5 4 9" xfId="14281" xr:uid="{00000000-0005-0000-0000-00004A3F0000}"/>
    <cellStyle name="Hed Side 2 5 4 9 2" xfId="14282" xr:uid="{00000000-0005-0000-0000-00004B3F0000}"/>
    <cellStyle name="Hed Side 2 5 5" xfId="14283" xr:uid="{00000000-0005-0000-0000-00004C3F0000}"/>
    <cellStyle name="Hed Side 2 5 5 10" xfId="14284" xr:uid="{00000000-0005-0000-0000-00004D3F0000}"/>
    <cellStyle name="Hed Side 2 5 5 2" xfId="14285" xr:uid="{00000000-0005-0000-0000-00004E3F0000}"/>
    <cellStyle name="Hed Side 2 5 5 2 2" xfId="14286" xr:uid="{00000000-0005-0000-0000-00004F3F0000}"/>
    <cellStyle name="Hed Side 2 5 5 3" xfId="14287" xr:uid="{00000000-0005-0000-0000-0000503F0000}"/>
    <cellStyle name="Hed Side 2 5 5 3 2" xfId="14288" xr:uid="{00000000-0005-0000-0000-0000513F0000}"/>
    <cellStyle name="Hed Side 2 5 5 4" xfId="14289" xr:uid="{00000000-0005-0000-0000-0000523F0000}"/>
    <cellStyle name="Hed Side 2 5 5 4 2" xfId="14290" xr:uid="{00000000-0005-0000-0000-0000533F0000}"/>
    <cellStyle name="Hed Side 2 5 5 5" xfId="14291" xr:uid="{00000000-0005-0000-0000-0000543F0000}"/>
    <cellStyle name="Hed Side 2 5 5 5 2" xfId="14292" xr:uid="{00000000-0005-0000-0000-0000553F0000}"/>
    <cellStyle name="Hed Side 2 5 5 6" xfId="14293" xr:uid="{00000000-0005-0000-0000-0000563F0000}"/>
    <cellStyle name="Hed Side 2 5 5 6 2" xfId="14294" xr:uid="{00000000-0005-0000-0000-0000573F0000}"/>
    <cellStyle name="Hed Side 2 5 5 7" xfId="14295" xr:uid="{00000000-0005-0000-0000-0000583F0000}"/>
    <cellStyle name="Hed Side 2 5 5 7 2" xfId="14296" xr:uid="{00000000-0005-0000-0000-0000593F0000}"/>
    <cellStyle name="Hed Side 2 5 5 8" xfId="14297" xr:uid="{00000000-0005-0000-0000-00005A3F0000}"/>
    <cellStyle name="Hed Side 2 5 5 8 2" xfId="14298" xr:uid="{00000000-0005-0000-0000-00005B3F0000}"/>
    <cellStyle name="Hed Side 2 5 5 9" xfId="14299" xr:uid="{00000000-0005-0000-0000-00005C3F0000}"/>
    <cellStyle name="Hed Side 2 5 5 9 2" xfId="14300" xr:uid="{00000000-0005-0000-0000-00005D3F0000}"/>
    <cellStyle name="Hed Side 2 5 6" xfId="14301" xr:uid="{00000000-0005-0000-0000-00005E3F0000}"/>
    <cellStyle name="Hed Side 2 5 6 10" xfId="14302" xr:uid="{00000000-0005-0000-0000-00005F3F0000}"/>
    <cellStyle name="Hed Side 2 5 6 2" xfId="14303" xr:uid="{00000000-0005-0000-0000-0000603F0000}"/>
    <cellStyle name="Hed Side 2 5 6 2 2" xfId="14304" xr:uid="{00000000-0005-0000-0000-0000613F0000}"/>
    <cellStyle name="Hed Side 2 5 6 3" xfId="14305" xr:uid="{00000000-0005-0000-0000-0000623F0000}"/>
    <cellStyle name="Hed Side 2 5 6 3 2" xfId="14306" xr:uid="{00000000-0005-0000-0000-0000633F0000}"/>
    <cellStyle name="Hed Side 2 5 6 4" xfId="14307" xr:uid="{00000000-0005-0000-0000-0000643F0000}"/>
    <cellStyle name="Hed Side 2 5 6 4 2" xfId="14308" xr:uid="{00000000-0005-0000-0000-0000653F0000}"/>
    <cellStyle name="Hed Side 2 5 6 5" xfId="14309" xr:uid="{00000000-0005-0000-0000-0000663F0000}"/>
    <cellStyle name="Hed Side 2 5 6 5 2" xfId="14310" xr:uid="{00000000-0005-0000-0000-0000673F0000}"/>
    <cellStyle name="Hed Side 2 5 6 6" xfId="14311" xr:uid="{00000000-0005-0000-0000-0000683F0000}"/>
    <cellStyle name="Hed Side 2 5 6 6 2" xfId="14312" xr:uid="{00000000-0005-0000-0000-0000693F0000}"/>
    <cellStyle name="Hed Side 2 5 6 7" xfId="14313" xr:uid="{00000000-0005-0000-0000-00006A3F0000}"/>
    <cellStyle name="Hed Side 2 5 6 7 2" xfId="14314" xr:uid="{00000000-0005-0000-0000-00006B3F0000}"/>
    <cellStyle name="Hed Side 2 5 6 8" xfId="14315" xr:uid="{00000000-0005-0000-0000-00006C3F0000}"/>
    <cellStyle name="Hed Side 2 5 6 8 2" xfId="14316" xr:uid="{00000000-0005-0000-0000-00006D3F0000}"/>
    <cellStyle name="Hed Side 2 5 6 9" xfId="14317" xr:uid="{00000000-0005-0000-0000-00006E3F0000}"/>
    <cellStyle name="Hed Side 2 5 6 9 2" xfId="14318" xr:uid="{00000000-0005-0000-0000-00006F3F0000}"/>
    <cellStyle name="Hed Side 2 5 7" xfId="14319" xr:uid="{00000000-0005-0000-0000-0000703F0000}"/>
    <cellStyle name="Hed Side 2 5 7 10" xfId="14320" xr:uid="{00000000-0005-0000-0000-0000713F0000}"/>
    <cellStyle name="Hed Side 2 5 7 2" xfId="14321" xr:uid="{00000000-0005-0000-0000-0000723F0000}"/>
    <cellStyle name="Hed Side 2 5 7 2 2" xfId="14322" xr:uid="{00000000-0005-0000-0000-0000733F0000}"/>
    <cellStyle name="Hed Side 2 5 7 3" xfId="14323" xr:uid="{00000000-0005-0000-0000-0000743F0000}"/>
    <cellStyle name="Hed Side 2 5 7 3 2" xfId="14324" xr:uid="{00000000-0005-0000-0000-0000753F0000}"/>
    <cellStyle name="Hed Side 2 5 7 4" xfId="14325" xr:uid="{00000000-0005-0000-0000-0000763F0000}"/>
    <cellStyle name="Hed Side 2 5 7 4 2" xfId="14326" xr:uid="{00000000-0005-0000-0000-0000773F0000}"/>
    <cellStyle name="Hed Side 2 5 7 5" xfId="14327" xr:uid="{00000000-0005-0000-0000-0000783F0000}"/>
    <cellStyle name="Hed Side 2 5 7 5 2" xfId="14328" xr:uid="{00000000-0005-0000-0000-0000793F0000}"/>
    <cellStyle name="Hed Side 2 5 7 6" xfId="14329" xr:uid="{00000000-0005-0000-0000-00007A3F0000}"/>
    <cellStyle name="Hed Side 2 5 7 6 2" xfId="14330" xr:uid="{00000000-0005-0000-0000-00007B3F0000}"/>
    <cellStyle name="Hed Side 2 5 7 7" xfId="14331" xr:uid="{00000000-0005-0000-0000-00007C3F0000}"/>
    <cellStyle name="Hed Side 2 5 7 7 2" xfId="14332" xr:uid="{00000000-0005-0000-0000-00007D3F0000}"/>
    <cellStyle name="Hed Side 2 5 7 8" xfId="14333" xr:uid="{00000000-0005-0000-0000-00007E3F0000}"/>
    <cellStyle name="Hed Side 2 5 7 8 2" xfId="14334" xr:uid="{00000000-0005-0000-0000-00007F3F0000}"/>
    <cellStyle name="Hed Side 2 5 7 9" xfId="14335" xr:uid="{00000000-0005-0000-0000-0000803F0000}"/>
    <cellStyle name="Hed Side 2 5 7 9 2" xfId="14336" xr:uid="{00000000-0005-0000-0000-0000813F0000}"/>
    <cellStyle name="Hed Side 2 5 8" xfId="14337" xr:uid="{00000000-0005-0000-0000-0000823F0000}"/>
    <cellStyle name="Hed Side 2 5 8 10" xfId="14338" xr:uid="{00000000-0005-0000-0000-0000833F0000}"/>
    <cellStyle name="Hed Side 2 5 8 2" xfId="14339" xr:uid="{00000000-0005-0000-0000-0000843F0000}"/>
    <cellStyle name="Hed Side 2 5 8 2 2" xfId="14340" xr:uid="{00000000-0005-0000-0000-0000853F0000}"/>
    <cellStyle name="Hed Side 2 5 8 3" xfId="14341" xr:uid="{00000000-0005-0000-0000-0000863F0000}"/>
    <cellStyle name="Hed Side 2 5 8 3 2" xfId="14342" xr:uid="{00000000-0005-0000-0000-0000873F0000}"/>
    <cellStyle name="Hed Side 2 5 8 4" xfId="14343" xr:uid="{00000000-0005-0000-0000-0000883F0000}"/>
    <cellStyle name="Hed Side 2 5 8 4 2" xfId="14344" xr:uid="{00000000-0005-0000-0000-0000893F0000}"/>
    <cellStyle name="Hed Side 2 5 8 5" xfId="14345" xr:uid="{00000000-0005-0000-0000-00008A3F0000}"/>
    <cellStyle name="Hed Side 2 5 8 5 2" xfId="14346" xr:uid="{00000000-0005-0000-0000-00008B3F0000}"/>
    <cellStyle name="Hed Side 2 5 8 6" xfId="14347" xr:uid="{00000000-0005-0000-0000-00008C3F0000}"/>
    <cellStyle name="Hed Side 2 5 8 6 2" xfId="14348" xr:uid="{00000000-0005-0000-0000-00008D3F0000}"/>
    <cellStyle name="Hed Side 2 5 8 7" xfId="14349" xr:uid="{00000000-0005-0000-0000-00008E3F0000}"/>
    <cellStyle name="Hed Side 2 5 8 7 2" xfId="14350" xr:uid="{00000000-0005-0000-0000-00008F3F0000}"/>
    <cellStyle name="Hed Side 2 5 8 8" xfId="14351" xr:uid="{00000000-0005-0000-0000-0000903F0000}"/>
    <cellStyle name="Hed Side 2 5 8 8 2" xfId="14352" xr:uid="{00000000-0005-0000-0000-0000913F0000}"/>
    <cellStyle name="Hed Side 2 5 8 9" xfId="14353" xr:uid="{00000000-0005-0000-0000-0000923F0000}"/>
    <cellStyle name="Hed Side 2 5 8 9 2" xfId="14354" xr:uid="{00000000-0005-0000-0000-0000933F0000}"/>
    <cellStyle name="Hed Side 2 5 9" xfId="14355" xr:uid="{00000000-0005-0000-0000-0000943F0000}"/>
    <cellStyle name="Hed Side 2 5 9 10" xfId="14356" xr:uid="{00000000-0005-0000-0000-0000953F0000}"/>
    <cellStyle name="Hed Side 2 5 9 2" xfId="14357" xr:uid="{00000000-0005-0000-0000-0000963F0000}"/>
    <cellStyle name="Hed Side 2 5 9 2 2" xfId="14358" xr:uid="{00000000-0005-0000-0000-0000973F0000}"/>
    <cellStyle name="Hed Side 2 5 9 3" xfId="14359" xr:uid="{00000000-0005-0000-0000-0000983F0000}"/>
    <cellStyle name="Hed Side 2 5 9 3 2" xfId="14360" xr:uid="{00000000-0005-0000-0000-0000993F0000}"/>
    <cellStyle name="Hed Side 2 5 9 4" xfId="14361" xr:uid="{00000000-0005-0000-0000-00009A3F0000}"/>
    <cellStyle name="Hed Side 2 5 9 4 2" xfId="14362" xr:uid="{00000000-0005-0000-0000-00009B3F0000}"/>
    <cellStyle name="Hed Side 2 5 9 5" xfId="14363" xr:uid="{00000000-0005-0000-0000-00009C3F0000}"/>
    <cellStyle name="Hed Side 2 5 9 5 2" xfId="14364" xr:uid="{00000000-0005-0000-0000-00009D3F0000}"/>
    <cellStyle name="Hed Side 2 5 9 6" xfId="14365" xr:uid="{00000000-0005-0000-0000-00009E3F0000}"/>
    <cellStyle name="Hed Side 2 5 9 6 2" xfId="14366" xr:uid="{00000000-0005-0000-0000-00009F3F0000}"/>
    <cellStyle name="Hed Side 2 5 9 7" xfId="14367" xr:uid="{00000000-0005-0000-0000-0000A03F0000}"/>
    <cellStyle name="Hed Side 2 5 9 7 2" xfId="14368" xr:uid="{00000000-0005-0000-0000-0000A13F0000}"/>
    <cellStyle name="Hed Side 2 5 9 8" xfId="14369" xr:uid="{00000000-0005-0000-0000-0000A23F0000}"/>
    <cellStyle name="Hed Side 2 5 9 8 2" xfId="14370" xr:uid="{00000000-0005-0000-0000-0000A33F0000}"/>
    <cellStyle name="Hed Side 2 5 9 9" xfId="14371" xr:uid="{00000000-0005-0000-0000-0000A43F0000}"/>
    <cellStyle name="Hed Side 2 5 9 9 2" xfId="14372" xr:uid="{00000000-0005-0000-0000-0000A53F0000}"/>
    <cellStyle name="Hed Side 2 6" xfId="14373" xr:uid="{00000000-0005-0000-0000-0000A63F0000}"/>
    <cellStyle name="Hed Side 2 6 10" xfId="14374" xr:uid="{00000000-0005-0000-0000-0000A73F0000}"/>
    <cellStyle name="Hed Side 2 6 10 2" xfId="14375" xr:uid="{00000000-0005-0000-0000-0000A83F0000}"/>
    <cellStyle name="Hed Side 2 6 10 2 2" xfId="14376" xr:uid="{00000000-0005-0000-0000-0000A93F0000}"/>
    <cellStyle name="Hed Side 2 6 10 3" xfId="14377" xr:uid="{00000000-0005-0000-0000-0000AA3F0000}"/>
    <cellStyle name="Hed Side 2 6 10 3 2" xfId="14378" xr:uid="{00000000-0005-0000-0000-0000AB3F0000}"/>
    <cellStyle name="Hed Side 2 6 10 4" xfId="14379" xr:uid="{00000000-0005-0000-0000-0000AC3F0000}"/>
    <cellStyle name="Hed Side 2 6 10 4 2" xfId="14380" xr:uid="{00000000-0005-0000-0000-0000AD3F0000}"/>
    <cellStyle name="Hed Side 2 6 10 5" xfId="14381" xr:uid="{00000000-0005-0000-0000-0000AE3F0000}"/>
    <cellStyle name="Hed Side 2 6 10 5 2" xfId="14382" xr:uid="{00000000-0005-0000-0000-0000AF3F0000}"/>
    <cellStyle name="Hed Side 2 6 10 6" xfId="14383" xr:uid="{00000000-0005-0000-0000-0000B03F0000}"/>
    <cellStyle name="Hed Side 2 6 10 6 2" xfId="14384" xr:uid="{00000000-0005-0000-0000-0000B13F0000}"/>
    <cellStyle name="Hed Side 2 6 10 7" xfId="14385" xr:uid="{00000000-0005-0000-0000-0000B23F0000}"/>
    <cellStyle name="Hed Side 2 6 10 7 2" xfId="14386" xr:uid="{00000000-0005-0000-0000-0000B33F0000}"/>
    <cellStyle name="Hed Side 2 6 10 8" xfId="14387" xr:uid="{00000000-0005-0000-0000-0000B43F0000}"/>
    <cellStyle name="Hed Side 2 6 10 8 2" xfId="14388" xr:uid="{00000000-0005-0000-0000-0000B53F0000}"/>
    <cellStyle name="Hed Side 2 6 10 9" xfId="14389" xr:uid="{00000000-0005-0000-0000-0000B63F0000}"/>
    <cellStyle name="Hed Side 2 6 11" xfId="14390" xr:uid="{00000000-0005-0000-0000-0000B73F0000}"/>
    <cellStyle name="Hed Side 2 6 11 2" xfId="14391" xr:uid="{00000000-0005-0000-0000-0000B83F0000}"/>
    <cellStyle name="Hed Side 2 6 12" xfId="14392" xr:uid="{00000000-0005-0000-0000-0000B93F0000}"/>
    <cellStyle name="Hed Side 2 6 12 2" xfId="14393" xr:uid="{00000000-0005-0000-0000-0000BA3F0000}"/>
    <cellStyle name="Hed Side 2 6 13" xfId="14394" xr:uid="{00000000-0005-0000-0000-0000BB3F0000}"/>
    <cellStyle name="Hed Side 2 6 13 2" xfId="14395" xr:uid="{00000000-0005-0000-0000-0000BC3F0000}"/>
    <cellStyle name="Hed Side 2 6 14" xfId="14396" xr:uid="{00000000-0005-0000-0000-0000BD3F0000}"/>
    <cellStyle name="Hed Side 2 6 14 2" xfId="14397" xr:uid="{00000000-0005-0000-0000-0000BE3F0000}"/>
    <cellStyle name="Hed Side 2 6 15" xfId="14398" xr:uid="{00000000-0005-0000-0000-0000BF3F0000}"/>
    <cellStyle name="Hed Side 2 6 15 2" xfId="14399" xr:uid="{00000000-0005-0000-0000-0000C03F0000}"/>
    <cellStyle name="Hed Side 2 6 16" xfId="14400" xr:uid="{00000000-0005-0000-0000-0000C13F0000}"/>
    <cellStyle name="Hed Side 2 6 16 2" xfId="14401" xr:uid="{00000000-0005-0000-0000-0000C23F0000}"/>
    <cellStyle name="Hed Side 2 6 17" xfId="14402" xr:uid="{00000000-0005-0000-0000-0000C33F0000}"/>
    <cellStyle name="Hed Side 2 6 17 2" xfId="14403" xr:uid="{00000000-0005-0000-0000-0000C43F0000}"/>
    <cellStyle name="Hed Side 2 6 18" xfId="14404" xr:uid="{00000000-0005-0000-0000-0000C53F0000}"/>
    <cellStyle name="Hed Side 2 6 2" xfId="14405" xr:uid="{00000000-0005-0000-0000-0000C63F0000}"/>
    <cellStyle name="Hed Side 2 6 2 10" xfId="14406" xr:uid="{00000000-0005-0000-0000-0000C73F0000}"/>
    <cellStyle name="Hed Side 2 6 2 2" xfId="14407" xr:uid="{00000000-0005-0000-0000-0000C83F0000}"/>
    <cellStyle name="Hed Side 2 6 2 2 2" xfId="14408" xr:uid="{00000000-0005-0000-0000-0000C93F0000}"/>
    <cellStyle name="Hed Side 2 6 2 3" xfId="14409" xr:uid="{00000000-0005-0000-0000-0000CA3F0000}"/>
    <cellStyle name="Hed Side 2 6 2 3 2" xfId="14410" xr:uid="{00000000-0005-0000-0000-0000CB3F0000}"/>
    <cellStyle name="Hed Side 2 6 2 4" xfId="14411" xr:uid="{00000000-0005-0000-0000-0000CC3F0000}"/>
    <cellStyle name="Hed Side 2 6 2 4 2" xfId="14412" xr:uid="{00000000-0005-0000-0000-0000CD3F0000}"/>
    <cellStyle name="Hed Side 2 6 2 5" xfId="14413" xr:uid="{00000000-0005-0000-0000-0000CE3F0000}"/>
    <cellStyle name="Hed Side 2 6 2 5 2" xfId="14414" xr:uid="{00000000-0005-0000-0000-0000CF3F0000}"/>
    <cellStyle name="Hed Side 2 6 2 6" xfId="14415" xr:uid="{00000000-0005-0000-0000-0000D03F0000}"/>
    <cellStyle name="Hed Side 2 6 2 6 2" xfId="14416" xr:uid="{00000000-0005-0000-0000-0000D13F0000}"/>
    <cellStyle name="Hed Side 2 6 2 7" xfId="14417" xr:uid="{00000000-0005-0000-0000-0000D23F0000}"/>
    <cellStyle name="Hed Side 2 6 2 7 2" xfId="14418" xr:uid="{00000000-0005-0000-0000-0000D33F0000}"/>
    <cellStyle name="Hed Side 2 6 2 8" xfId="14419" xr:uid="{00000000-0005-0000-0000-0000D43F0000}"/>
    <cellStyle name="Hed Side 2 6 2 8 2" xfId="14420" xr:uid="{00000000-0005-0000-0000-0000D53F0000}"/>
    <cellStyle name="Hed Side 2 6 2 9" xfId="14421" xr:uid="{00000000-0005-0000-0000-0000D63F0000}"/>
    <cellStyle name="Hed Side 2 6 2 9 2" xfId="14422" xr:uid="{00000000-0005-0000-0000-0000D73F0000}"/>
    <cellStyle name="Hed Side 2 6 3" xfId="14423" xr:uid="{00000000-0005-0000-0000-0000D83F0000}"/>
    <cellStyle name="Hed Side 2 6 3 10" xfId="14424" xr:uid="{00000000-0005-0000-0000-0000D93F0000}"/>
    <cellStyle name="Hed Side 2 6 3 2" xfId="14425" xr:uid="{00000000-0005-0000-0000-0000DA3F0000}"/>
    <cellStyle name="Hed Side 2 6 3 2 2" xfId="14426" xr:uid="{00000000-0005-0000-0000-0000DB3F0000}"/>
    <cellStyle name="Hed Side 2 6 3 3" xfId="14427" xr:uid="{00000000-0005-0000-0000-0000DC3F0000}"/>
    <cellStyle name="Hed Side 2 6 3 3 2" xfId="14428" xr:uid="{00000000-0005-0000-0000-0000DD3F0000}"/>
    <cellStyle name="Hed Side 2 6 3 4" xfId="14429" xr:uid="{00000000-0005-0000-0000-0000DE3F0000}"/>
    <cellStyle name="Hed Side 2 6 3 4 2" xfId="14430" xr:uid="{00000000-0005-0000-0000-0000DF3F0000}"/>
    <cellStyle name="Hed Side 2 6 3 5" xfId="14431" xr:uid="{00000000-0005-0000-0000-0000E03F0000}"/>
    <cellStyle name="Hed Side 2 6 3 5 2" xfId="14432" xr:uid="{00000000-0005-0000-0000-0000E13F0000}"/>
    <cellStyle name="Hed Side 2 6 3 6" xfId="14433" xr:uid="{00000000-0005-0000-0000-0000E23F0000}"/>
    <cellStyle name="Hed Side 2 6 3 6 2" xfId="14434" xr:uid="{00000000-0005-0000-0000-0000E33F0000}"/>
    <cellStyle name="Hed Side 2 6 3 7" xfId="14435" xr:uid="{00000000-0005-0000-0000-0000E43F0000}"/>
    <cellStyle name="Hed Side 2 6 3 7 2" xfId="14436" xr:uid="{00000000-0005-0000-0000-0000E53F0000}"/>
    <cellStyle name="Hed Side 2 6 3 8" xfId="14437" xr:uid="{00000000-0005-0000-0000-0000E63F0000}"/>
    <cellStyle name="Hed Side 2 6 3 8 2" xfId="14438" xr:uid="{00000000-0005-0000-0000-0000E73F0000}"/>
    <cellStyle name="Hed Side 2 6 3 9" xfId="14439" xr:uid="{00000000-0005-0000-0000-0000E83F0000}"/>
    <cellStyle name="Hed Side 2 6 3 9 2" xfId="14440" xr:uid="{00000000-0005-0000-0000-0000E93F0000}"/>
    <cellStyle name="Hed Side 2 6 4" xfId="14441" xr:uid="{00000000-0005-0000-0000-0000EA3F0000}"/>
    <cellStyle name="Hed Side 2 6 4 10" xfId="14442" xr:uid="{00000000-0005-0000-0000-0000EB3F0000}"/>
    <cellStyle name="Hed Side 2 6 4 2" xfId="14443" xr:uid="{00000000-0005-0000-0000-0000EC3F0000}"/>
    <cellStyle name="Hed Side 2 6 4 2 2" xfId="14444" xr:uid="{00000000-0005-0000-0000-0000ED3F0000}"/>
    <cellStyle name="Hed Side 2 6 4 3" xfId="14445" xr:uid="{00000000-0005-0000-0000-0000EE3F0000}"/>
    <cellStyle name="Hed Side 2 6 4 3 2" xfId="14446" xr:uid="{00000000-0005-0000-0000-0000EF3F0000}"/>
    <cellStyle name="Hed Side 2 6 4 4" xfId="14447" xr:uid="{00000000-0005-0000-0000-0000F03F0000}"/>
    <cellStyle name="Hed Side 2 6 4 4 2" xfId="14448" xr:uid="{00000000-0005-0000-0000-0000F13F0000}"/>
    <cellStyle name="Hed Side 2 6 4 5" xfId="14449" xr:uid="{00000000-0005-0000-0000-0000F23F0000}"/>
    <cellStyle name="Hed Side 2 6 4 5 2" xfId="14450" xr:uid="{00000000-0005-0000-0000-0000F33F0000}"/>
    <cellStyle name="Hed Side 2 6 4 6" xfId="14451" xr:uid="{00000000-0005-0000-0000-0000F43F0000}"/>
    <cellStyle name="Hed Side 2 6 4 6 2" xfId="14452" xr:uid="{00000000-0005-0000-0000-0000F53F0000}"/>
    <cellStyle name="Hed Side 2 6 4 7" xfId="14453" xr:uid="{00000000-0005-0000-0000-0000F63F0000}"/>
    <cellStyle name="Hed Side 2 6 4 7 2" xfId="14454" xr:uid="{00000000-0005-0000-0000-0000F73F0000}"/>
    <cellStyle name="Hed Side 2 6 4 8" xfId="14455" xr:uid="{00000000-0005-0000-0000-0000F83F0000}"/>
    <cellStyle name="Hed Side 2 6 4 8 2" xfId="14456" xr:uid="{00000000-0005-0000-0000-0000F93F0000}"/>
    <cellStyle name="Hed Side 2 6 4 9" xfId="14457" xr:uid="{00000000-0005-0000-0000-0000FA3F0000}"/>
    <cellStyle name="Hed Side 2 6 4 9 2" xfId="14458" xr:uid="{00000000-0005-0000-0000-0000FB3F0000}"/>
    <cellStyle name="Hed Side 2 6 5" xfId="14459" xr:uid="{00000000-0005-0000-0000-0000FC3F0000}"/>
    <cellStyle name="Hed Side 2 6 5 10" xfId="14460" xr:uid="{00000000-0005-0000-0000-0000FD3F0000}"/>
    <cellStyle name="Hed Side 2 6 5 2" xfId="14461" xr:uid="{00000000-0005-0000-0000-0000FE3F0000}"/>
    <cellStyle name="Hed Side 2 6 5 2 2" xfId="14462" xr:uid="{00000000-0005-0000-0000-0000FF3F0000}"/>
    <cellStyle name="Hed Side 2 6 5 3" xfId="14463" xr:uid="{00000000-0005-0000-0000-000000400000}"/>
    <cellStyle name="Hed Side 2 6 5 3 2" xfId="14464" xr:uid="{00000000-0005-0000-0000-000001400000}"/>
    <cellStyle name="Hed Side 2 6 5 4" xfId="14465" xr:uid="{00000000-0005-0000-0000-000002400000}"/>
    <cellStyle name="Hed Side 2 6 5 4 2" xfId="14466" xr:uid="{00000000-0005-0000-0000-000003400000}"/>
    <cellStyle name="Hed Side 2 6 5 5" xfId="14467" xr:uid="{00000000-0005-0000-0000-000004400000}"/>
    <cellStyle name="Hed Side 2 6 5 5 2" xfId="14468" xr:uid="{00000000-0005-0000-0000-000005400000}"/>
    <cellStyle name="Hed Side 2 6 5 6" xfId="14469" xr:uid="{00000000-0005-0000-0000-000006400000}"/>
    <cellStyle name="Hed Side 2 6 5 6 2" xfId="14470" xr:uid="{00000000-0005-0000-0000-000007400000}"/>
    <cellStyle name="Hed Side 2 6 5 7" xfId="14471" xr:uid="{00000000-0005-0000-0000-000008400000}"/>
    <cellStyle name="Hed Side 2 6 5 7 2" xfId="14472" xr:uid="{00000000-0005-0000-0000-000009400000}"/>
    <cellStyle name="Hed Side 2 6 5 8" xfId="14473" xr:uid="{00000000-0005-0000-0000-00000A400000}"/>
    <cellStyle name="Hed Side 2 6 5 8 2" xfId="14474" xr:uid="{00000000-0005-0000-0000-00000B400000}"/>
    <cellStyle name="Hed Side 2 6 5 9" xfId="14475" xr:uid="{00000000-0005-0000-0000-00000C400000}"/>
    <cellStyle name="Hed Side 2 6 5 9 2" xfId="14476" xr:uid="{00000000-0005-0000-0000-00000D400000}"/>
    <cellStyle name="Hed Side 2 6 6" xfId="14477" xr:uid="{00000000-0005-0000-0000-00000E400000}"/>
    <cellStyle name="Hed Side 2 6 6 10" xfId="14478" xr:uid="{00000000-0005-0000-0000-00000F400000}"/>
    <cellStyle name="Hed Side 2 6 6 2" xfId="14479" xr:uid="{00000000-0005-0000-0000-000010400000}"/>
    <cellStyle name="Hed Side 2 6 6 2 2" xfId="14480" xr:uid="{00000000-0005-0000-0000-000011400000}"/>
    <cellStyle name="Hed Side 2 6 6 3" xfId="14481" xr:uid="{00000000-0005-0000-0000-000012400000}"/>
    <cellStyle name="Hed Side 2 6 6 3 2" xfId="14482" xr:uid="{00000000-0005-0000-0000-000013400000}"/>
    <cellStyle name="Hed Side 2 6 6 4" xfId="14483" xr:uid="{00000000-0005-0000-0000-000014400000}"/>
    <cellStyle name="Hed Side 2 6 6 4 2" xfId="14484" xr:uid="{00000000-0005-0000-0000-000015400000}"/>
    <cellStyle name="Hed Side 2 6 6 5" xfId="14485" xr:uid="{00000000-0005-0000-0000-000016400000}"/>
    <cellStyle name="Hed Side 2 6 6 5 2" xfId="14486" xr:uid="{00000000-0005-0000-0000-000017400000}"/>
    <cellStyle name="Hed Side 2 6 6 6" xfId="14487" xr:uid="{00000000-0005-0000-0000-000018400000}"/>
    <cellStyle name="Hed Side 2 6 6 6 2" xfId="14488" xr:uid="{00000000-0005-0000-0000-000019400000}"/>
    <cellStyle name="Hed Side 2 6 6 7" xfId="14489" xr:uid="{00000000-0005-0000-0000-00001A400000}"/>
    <cellStyle name="Hed Side 2 6 6 7 2" xfId="14490" xr:uid="{00000000-0005-0000-0000-00001B400000}"/>
    <cellStyle name="Hed Side 2 6 6 8" xfId="14491" xr:uid="{00000000-0005-0000-0000-00001C400000}"/>
    <cellStyle name="Hed Side 2 6 6 8 2" xfId="14492" xr:uid="{00000000-0005-0000-0000-00001D400000}"/>
    <cellStyle name="Hed Side 2 6 6 9" xfId="14493" xr:uid="{00000000-0005-0000-0000-00001E400000}"/>
    <cellStyle name="Hed Side 2 6 6 9 2" xfId="14494" xr:uid="{00000000-0005-0000-0000-00001F400000}"/>
    <cellStyle name="Hed Side 2 6 7" xfId="14495" xr:uid="{00000000-0005-0000-0000-000020400000}"/>
    <cellStyle name="Hed Side 2 6 7 10" xfId="14496" xr:uid="{00000000-0005-0000-0000-000021400000}"/>
    <cellStyle name="Hed Side 2 6 7 2" xfId="14497" xr:uid="{00000000-0005-0000-0000-000022400000}"/>
    <cellStyle name="Hed Side 2 6 7 2 2" xfId="14498" xr:uid="{00000000-0005-0000-0000-000023400000}"/>
    <cellStyle name="Hed Side 2 6 7 3" xfId="14499" xr:uid="{00000000-0005-0000-0000-000024400000}"/>
    <cellStyle name="Hed Side 2 6 7 3 2" xfId="14500" xr:uid="{00000000-0005-0000-0000-000025400000}"/>
    <cellStyle name="Hed Side 2 6 7 4" xfId="14501" xr:uid="{00000000-0005-0000-0000-000026400000}"/>
    <cellStyle name="Hed Side 2 6 7 4 2" xfId="14502" xr:uid="{00000000-0005-0000-0000-000027400000}"/>
    <cellStyle name="Hed Side 2 6 7 5" xfId="14503" xr:uid="{00000000-0005-0000-0000-000028400000}"/>
    <cellStyle name="Hed Side 2 6 7 5 2" xfId="14504" xr:uid="{00000000-0005-0000-0000-000029400000}"/>
    <cellStyle name="Hed Side 2 6 7 6" xfId="14505" xr:uid="{00000000-0005-0000-0000-00002A400000}"/>
    <cellStyle name="Hed Side 2 6 7 6 2" xfId="14506" xr:uid="{00000000-0005-0000-0000-00002B400000}"/>
    <cellStyle name="Hed Side 2 6 7 7" xfId="14507" xr:uid="{00000000-0005-0000-0000-00002C400000}"/>
    <cellStyle name="Hed Side 2 6 7 7 2" xfId="14508" xr:uid="{00000000-0005-0000-0000-00002D400000}"/>
    <cellStyle name="Hed Side 2 6 7 8" xfId="14509" xr:uid="{00000000-0005-0000-0000-00002E400000}"/>
    <cellStyle name="Hed Side 2 6 7 8 2" xfId="14510" xr:uid="{00000000-0005-0000-0000-00002F400000}"/>
    <cellStyle name="Hed Side 2 6 7 9" xfId="14511" xr:uid="{00000000-0005-0000-0000-000030400000}"/>
    <cellStyle name="Hed Side 2 6 7 9 2" xfId="14512" xr:uid="{00000000-0005-0000-0000-000031400000}"/>
    <cellStyle name="Hed Side 2 6 8" xfId="14513" xr:uid="{00000000-0005-0000-0000-000032400000}"/>
    <cellStyle name="Hed Side 2 6 8 10" xfId="14514" xr:uid="{00000000-0005-0000-0000-000033400000}"/>
    <cellStyle name="Hed Side 2 6 8 2" xfId="14515" xr:uid="{00000000-0005-0000-0000-000034400000}"/>
    <cellStyle name="Hed Side 2 6 8 2 2" xfId="14516" xr:uid="{00000000-0005-0000-0000-000035400000}"/>
    <cellStyle name="Hed Side 2 6 8 3" xfId="14517" xr:uid="{00000000-0005-0000-0000-000036400000}"/>
    <cellStyle name="Hed Side 2 6 8 3 2" xfId="14518" xr:uid="{00000000-0005-0000-0000-000037400000}"/>
    <cellStyle name="Hed Side 2 6 8 4" xfId="14519" xr:uid="{00000000-0005-0000-0000-000038400000}"/>
    <cellStyle name="Hed Side 2 6 8 4 2" xfId="14520" xr:uid="{00000000-0005-0000-0000-000039400000}"/>
    <cellStyle name="Hed Side 2 6 8 5" xfId="14521" xr:uid="{00000000-0005-0000-0000-00003A400000}"/>
    <cellStyle name="Hed Side 2 6 8 5 2" xfId="14522" xr:uid="{00000000-0005-0000-0000-00003B400000}"/>
    <cellStyle name="Hed Side 2 6 8 6" xfId="14523" xr:uid="{00000000-0005-0000-0000-00003C400000}"/>
    <cellStyle name="Hed Side 2 6 8 6 2" xfId="14524" xr:uid="{00000000-0005-0000-0000-00003D400000}"/>
    <cellStyle name="Hed Side 2 6 8 7" xfId="14525" xr:uid="{00000000-0005-0000-0000-00003E400000}"/>
    <cellStyle name="Hed Side 2 6 8 7 2" xfId="14526" xr:uid="{00000000-0005-0000-0000-00003F400000}"/>
    <cellStyle name="Hed Side 2 6 8 8" xfId="14527" xr:uid="{00000000-0005-0000-0000-000040400000}"/>
    <cellStyle name="Hed Side 2 6 8 8 2" xfId="14528" xr:uid="{00000000-0005-0000-0000-000041400000}"/>
    <cellStyle name="Hed Side 2 6 8 9" xfId="14529" xr:uid="{00000000-0005-0000-0000-000042400000}"/>
    <cellStyle name="Hed Side 2 6 8 9 2" xfId="14530" xr:uid="{00000000-0005-0000-0000-000043400000}"/>
    <cellStyle name="Hed Side 2 6 9" xfId="14531" xr:uid="{00000000-0005-0000-0000-000044400000}"/>
    <cellStyle name="Hed Side 2 6 9 10" xfId="14532" xr:uid="{00000000-0005-0000-0000-000045400000}"/>
    <cellStyle name="Hed Side 2 6 9 2" xfId="14533" xr:uid="{00000000-0005-0000-0000-000046400000}"/>
    <cellStyle name="Hed Side 2 6 9 2 2" xfId="14534" xr:uid="{00000000-0005-0000-0000-000047400000}"/>
    <cellStyle name="Hed Side 2 6 9 3" xfId="14535" xr:uid="{00000000-0005-0000-0000-000048400000}"/>
    <cellStyle name="Hed Side 2 6 9 3 2" xfId="14536" xr:uid="{00000000-0005-0000-0000-000049400000}"/>
    <cellStyle name="Hed Side 2 6 9 4" xfId="14537" xr:uid="{00000000-0005-0000-0000-00004A400000}"/>
    <cellStyle name="Hed Side 2 6 9 4 2" xfId="14538" xr:uid="{00000000-0005-0000-0000-00004B400000}"/>
    <cellStyle name="Hed Side 2 6 9 5" xfId="14539" xr:uid="{00000000-0005-0000-0000-00004C400000}"/>
    <cellStyle name="Hed Side 2 6 9 5 2" xfId="14540" xr:uid="{00000000-0005-0000-0000-00004D400000}"/>
    <cellStyle name="Hed Side 2 6 9 6" xfId="14541" xr:uid="{00000000-0005-0000-0000-00004E400000}"/>
    <cellStyle name="Hed Side 2 6 9 6 2" xfId="14542" xr:uid="{00000000-0005-0000-0000-00004F400000}"/>
    <cellStyle name="Hed Side 2 6 9 7" xfId="14543" xr:uid="{00000000-0005-0000-0000-000050400000}"/>
    <cellStyle name="Hed Side 2 6 9 7 2" xfId="14544" xr:uid="{00000000-0005-0000-0000-000051400000}"/>
    <cellStyle name="Hed Side 2 6 9 8" xfId="14545" xr:uid="{00000000-0005-0000-0000-000052400000}"/>
    <cellStyle name="Hed Side 2 6 9 8 2" xfId="14546" xr:uid="{00000000-0005-0000-0000-000053400000}"/>
    <cellStyle name="Hed Side 2 6 9 9" xfId="14547" xr:uid="{00000000-0005-0000-0000-000054400000}"/>
    <cellStyle name="Hed Side 2 6 9 9 2" xfId="14548" xr:uid="{00000000-0005-0000-0000-000055400000}"/>
    <cellStyle name="Hed Side 2 7" xfId="14549" xr:uid="{00000000-0005-0000-0000-000056400000}"/>
    <cellStyle name="Hed Side 2 7 10" xfId="14550" xr:uid="{00000000-0005-0000-0000-000057400000}"/>
    <cellStyle name="Hed Side 2 7 10 2" xfId="14551" xr:uid="{00000000-0005-0000-0000-000058400000}"/>
    <cellStyle name="Hed Side 2 7 10 2 2" xfId="14552" xr:uid="{00000000-0005-0000-0000-000059400000}"/>
    <cellStyle name="Hed Side 2 7 10 3" xfId="14553" xr:uid="{00000000-0005-0000-0000-00005A400000}"/>
    <cellStyle name="Hed Side 2 7 10 3 2" xfId="14554" xr:uid="{00000000-0005-0000-0000-00005B400000}"/>
    <cellStyle name="Hed Side 2 7 10 4" xfId="14555" xr:uid="{00000000-0005-0000-0000-00005C400000}"/>
    <cellStyle name="Hed Side 2 7 10 4 2" xfId="14556" xr:uid="{00000000-0005-0000-0000-00005D400000}"/>
    <cellStyle name="Hed Side 2 7 10 5" xfId="14557" xr:uid="{00000000-0005-0000-0000-00005E400000}"/>
    <cellStyle name="Hed Side 2 7 10 5 2" xfId="14558" xr:uid="{00000000-0005-0000-0000-00005F400000}"/>
    <cellStyle name="Hed Side 2 7 10 6" xfId="14559" xr:uid="{00000000-0005-0000-0000-000060400000}"/>
    <cellStyle name="Hed Side 2 7 10 6 2" xfId="14560" xr:uid="{00000000-0005-0000-0000-000061400000}"/>
    <cellStyle name="Hed Side 2 7 10 7" xfId="14561" xr:uid="{00000000-0005-0000-0000-000062400000}"/>
    <cellStyle name="Hed Side 2 7 10 7 2" xfId="14562" xr:uid="{00000000-0005-0000-0000-000063400000}"/>
    <cellStyle name="Hed Side 2 7 10 8" xfId="14563" xr:uid="{00000000-0005-0000-0000-000064400000}"/>
    <cellStyle name="Hed Side 2 7 10 8 2" xfId="14564" xr:uid="{00000000-0005-0000-0000-000065400000}"/>
    <cellStyle name="Hed Side 2 7 10 9" xfId="14565" xr:uid="{00000000-0005-0000-0000-000066400000}"/>
    <cellStyle name="Hed Side 2 7 11" xfId="14566" xr:uid="{00000000-0005-0000-0000-000067400000}"/>
    <cellStyle name="Hed Side 2 7 11 2" xfId="14567" xr:uid="{00000000-0005-0000-0000-000068400000}"/>
    <cellStyle name="Hed Side 2 7 12" xfId="14568" xr:uid="{00000000-0005-0000-0000-000069400000}"/>
    <cellStyle name="Hed Side 2 7 12 2" xfId="14569" xr:uid="{00000000-0005-0000-0000-00006A400000}"/>
    <cellStyle name="Hed Side 2 7 13" xfId="14570" xr:uid="{00000000-0005-0000-0000-00006B400000}"/>
    <cellStyle name="Hed Side 2 7 13 2" xfId="14571" xr:uid="{00000000-0005-0000-0000-00006C400000}"/>
    <cellStyle name="Hed Side 2 7 14" xfId="14572" xr:uid="{00000000-0005-0000-0000-00006D400000}"/>
    <cellStyle name="Hed Side 2 7 14 2" xfId="14573" xr:uid="{00000000-0005-0000-0000-00006E400000}"/>
    <cellStyle name="Hed Side 2 7 15" xfId="14574" xr:uid="{00000000-0005-0000-0000-00006F400000}"/>
    <cellStyle name="Hed Side 2 7 15 2" xfId="14575" xr:uid="{00000000-0005-0000-0000-000070400000}"/>
    <cellStyle name="Hed Side 2 7 16" xfId="14576" xr:uid="{00000000-0005-0000-0000-000071400000}"/>
    <cellStyle name="Hed Side 2 7 16 2" xfId="14577" xr:uid="{00000000-0005-0000-0000-000072400000}"/>
    <cellStyle name="Hed Side 2 7 17" xfId="14578" xr:uid="{00000000-0005-0000-0000-000073400000}"/>
    <cellStyle name="Hed Side 2 7 17 2" xfId="14579" xr:uid="{00000000-0005-0000-0000-000074400000}"/>
    <cellStyle name="Hed Side 2 7 18" xfId="14580" xr:uid="{00000000-0005-0000-0000-000075400000}"/>
    <cellStyle name="Hed Side 2 7 2" xfId="14581" xr:uid="{00000000-0005-0000-0000-000076400000}"/>
    <cellStyle name="Hed Side 2 7 2 10" xfId="14582" xr:uid="{00000000-0005-0000-0000-000077400000}"/>
    <cellStyle name="Hed Side 2 7 2 2" xfId="14583" xr:uid="{00000000-0005-0000-0000-000078400000}"/>
    <cellStyle name="Hed Side 2 7 2 2 2" xfId="14584" xr:uid="{00000000-0005-0000-0000-000079400000}"/>
    <cellStyle name="Hed Side 2 7 2 3" xfId="14585" xr:uid="{00000000-0005-0000-0000-00007A400000}"/>
    <cellStyle name="Hed Side 2 7 2 3 2" xfId="14586" xr:uid="{00000000-0005-0000-0000-00007B400000}"/>
    <cellStyle name="Hed Side 2 7 2 4" xfId="14587" xr:uid="{00000000-0005-0000-0000-00007C400000}"/>
    <cellStyle name="Hed Side 2 7 2 4 2" xfId="14588" xr:uid="{00000000-0005-0000-0000-00007D400000}"/>
    <cellStyle name="Hed Side 2 7 2 5" xfId="14589" xr:uid="{00000000-0005-0000-0000-00007E400000}"/>
    <cellStyle name="Hed Side 2 7 2 5 2" xfId="14590" xr:uid="{00000000-0005-0000-0000-00007F400000}"/>
    <cellStyle name="Hed Side 2 7 2 6" xfId="14591" xr:uid="{00000000-0005-0000-0000-000080400000}"/>
    <cellStyle name="Hed Side 2 7 2 6 2" xfId="14592" xr:uid="{00000000-0005-0000-0000-000081400000}"/>
    <cellStyle name="Hed Side 2 7 2 7" xfId="14593" xr:uid="{00000000-0005-0000-0000-000082400000}"/>
    <cellStyle name="Hed Side 2 7 2 7 2" xfId="14594" xr:uid="{00000000-0005-0000-0000-000083400000}"/>
    <cellStyle name="Hed Side 2 7 2 8" xfId="14595" xr:uid="{00000000-0005-0000-0000-000084400000}"/>
    <cellStyle name="Hed Side 2 7 2 8 2" xfId="14596" xr:uid="{00000000-0005-0000-0000-000085400000}"/>
    <cellStyle name="Hed Side 2 7 2 9" xfId="14597" xr:uid="{00000000-0005-0000-0000-000086400000}"/>
    <cellStyle name="Hed Side 2 7 2 9 2" xfId="14598" xr:uid="{00000000-0005-0000-0000-000087400000}"/>
    <cellStyle name="Hed Side 2 7 3" xfId="14599" xr:uid="{00000000-0005-0000-0000-000088400000}"/>
    <cellStyle name="Hed Side 2 7 3 10" xfId="14600" xr:uid="{00000000-0005-0000-0000-000089400000}"/>
    <cellStyle name="Hed Side 2 7 3 2" xfId="14601" xr:uid="{00000000-0005-0000-0000-00008A400000}"/>
    <cellStyle name="Hed Side 2 7 3 2 2" xfId="14602" xr:uid="{00000000-0005-0000-0000-00008B400000}"/>
    <cellStyle name="Hed Side 2 7 3 3" xfId="14603" xr:uid="{00000000-0005-0000-0000-00008C400000}"/>
    <cellStyle name="Hed Side 2 7 3 3 2" xfId="14604" xr:uid="{00000000-0005-0000-0000-00008D400000}"/>
    <cellStyle name="Hed Side 2 7 3 4" xfId="14605" xr:uid="{00000000-0005-0000-0000-00008E400000}"/>
    <cellStyle name="Hed Side 2 7 3 4 2" xfId="14606" xr:uid="{00000000-0005-0000-0000-00008F400000}"/>
    <cellStyle name="Hed Side 2 7 3 5" xfId="14607" xr:uid="{00000000-0005-0000-0000-000090400000}"/>
    <cellStyle name="Hed Side 2 7 3 5 2" xfId="14608" xr:uid="{00000000-0005-0000-0000-000091400000}"/>
    <cellStyle name="Hed Side 2 7 3 6" xfId="14609" xr:uid="{00000000-0005-0000-0000-000092400000}"/>
    <cellStyle name="Hed Side 2 7 3 6 2" xfId="14610" xr:uid="{00000000-0005-0000-0000-000093400000}"/>
    <cellStyle name="Hed Side 2 7 3 7" xfId="14611" xr:uid="{00000000-0005-0000-0000-000094400000}"/>
    <cellStyle name="Hed Side 2 7 3 7 2" xfId="14612" xr:uid="{00000000-0005-0000-0000-000095400000}"/>
    <cellStyle name="Hed Side 2 7 3 8" xfId="14613" xr:uid="{00000000-0005-0000-0000-000096400000}"/>
    <cellStyle name="Hed Side 2 7 3 8 2" xfId="14614" xr:uid="{00000000-0005-0000-0000-000097400000}"/>
    <cellStyle name="Hed Side 2 7 3 9" xfId="14615" xr:uid="{00000000-0005-0000-0000-000098400000}"/>
    <cellStyle name="Hed Side 2 7 3 9 2" xfId="14616" xr:uid="{00000000-0005-0000-0000-000099400000}"/>
    <cellStyle name="Hed Side 2 7 4" xfId="14617" xr:uid="{00000000-0005-0000-0000-00009A400000}"/>
    <cellStyle name="Hed Side 2 7 4 10" xfId="14618" xr:uid="{00000000-0005-0000-0000-00009B400000}"/>
    <cellStyle name="Hed Side 2 7 4 2" xfId="14619" xr:uid="{00000000-0005-0000-0000-00009C400000}"/>
    <cellStyle name="Hed Side 2 7 4 2 2" xfId="14620" xr:uid="{00000000-0005-0000-0000-00009D400000}"/>
    <cellStyle name="Hed Side 2 7 4 3" xfId="14621" xr:uid="{00000000-0005-0000-0000-00009E400000}"/>
    <cellStyle name="Hed Side 2 7 4 3 2" xfId="14622" xr:uid="{00000000-0005-0000-0000-00009F400000}"/>
    <cellStyle name="Hed Side 2 7 4 4" xfId="14623" xr:uid="{00000000-0005-0000-0000-0000A0400000}"/>
    <cellStyle name="Hed Side 2 7 4 4 2" xfId="14624" xr:uid="{00000000-0005-0000-0000-0000A1400000}"/>
    <cellStyle name="Hed Side 2 7 4 5" xfId="14625" xr:uid="{00000000-0005-0000-0000-0000A2400000}"/>
    <cellStyle name="Hed Side 2 7 4 5 2" xfId="14626" xr:uid="{00000000-0005-0000-0000-0000A3400000}"/>
    <cellStyle name="Hed Side 2 7 4 6" xfId="14627" xr:uid="{00000000-0005-0000-0000-0000A4400000}"/>
    <cellStyle name="Hed Side 2 7 4 6 2" xfId="14628" xr:uid="{00000000-0005-0000-0000-0000A5400000}"/>
    <cellStyle name="Hed Side 2 7 4 7" xfId="14629" xr:uid="{00000000-0005-0000-0000-0000A6400000}"/>
    <cellStyle name="Hed Side 2 7 4 7 2" xfId="14630" xr:uid="{00000000-0005-0000-0000-0000A7400000}"/>
    <cellStyle name="Hed Side 2 7 4 8" xfId="14631" xr:uid="{00000000-0005-0000-0000-0000A8400000}"/>
    <cellStyle name="Hed Side 2 7 4 8 2" xfId="14632" xr:uid="{00000000-0005-0000-0000-0000A9400000}"/>
    <cellStyle name="Hed Side 2 7 4 9" xfId="14633" xr:uid="{00000000-0005-0000-0000-0000AA400000}"/>
    <cellStyle name="Hed Side 2 7 4 9 2" xfId="14634" xr:uid="{00000000-0005-0000-0000-0000AB400000}"/>
    <cellStyle name="Hed Side 2 7 5" xfId="14635" xr:uid="{00000000-0005-0000-0000-0000AC400000}"/>
    <cellStyle name="Hed Side 2 7 5 10" xfId="14636" xr:uid="{00000000-0005-0000-0000-0000AD400000}"/>
    <cellStyle name="Hed Side 2 7 5 2" xfId="14637" xr:uid="{00000000-0005-0000-0000-0000AE400000}"/>
    <cellStyle name="Hed Side 2 7 5 2 2" xfId="14638" xr:uid="{00000000-0005-0000-0000-0000AF400000}"/>
    <cellStyle name="Hed Side 2 7 5 3" xfId="14639" xr:uid="{00000000-0005-0000-0000-0000B0400000}"/>
    <cellStyle name="Hed Side 2 7 5 3 2" xfId="14640" xr:uid="{00000000-0005-0000-0000-0000B1400000}"/>
    <cellStyle name="Hed Side 2 7 5 4" xfId="14641" xr:uid="{00000000-0005-0000-0000-0000B2400000}"/>
    <cellStyle name="Hed Side 2 7 5 4 2" xfId="14642" xr:uid="{00000000-0005-0000-0000-0000B3400000}"/>
    <cellStyle name="Hed Side 2 7 5 5" xfId="14643" xr:uid="{00000000-0005-0000-0000-0000B4400000}"/>
    <cellStyle name="Hed Side 2 7 5 5 2" xfId="14644" xr:uid="{00000000-0005-0000-0000-0000B5400000}"/>
    <cellStyle name="Hed Side 2 7 5 6" xfId="14645" xr:uid="{00000000-0005-0000-0000-0000B6400000}"/>
    <cellStyle name="Hed Side 2 7 5 6 2" xfId="14646" xr:uid="{00000000-0005-0000-0000-0000B7400000}"/>
    <cellStyle name="Hed Side 2 7 5 7" xfId="14647" xr:uid="{00000000-0005-0000-0000-0000B8400000}"/>
    <cellStyle name="Hed Side 2 7 5 7 2" xfId="14648" xr:uid="{00000000-0005-0000-0000-0000B9400000}"/>
    <cellStyle name="Hed Side 2 7 5 8" xfId="14649" xr:uid="{00000000-0005-0000-0000-0000BA400000}"/>
    <cellStyle name="Hed Side 2 7 5 8 2" xfId="14650" xr:uid="{00000000-0005-0000-0000-0000BB400000}"/>
    <cellStyle name="Hed Side 2 7 5 9" xfId="14651" xr:uid="{00000000-0005-0000-0000-0000BC400000}"/>
    <cellStyle name="Hed Side 2 7 5 9 2" xfId="14652" xr:uid="{00000000-0005-0000-0000-0000BD400000}"/>
    <cellStyle name="Hed Side 2 7 6" xfId="14653" xr:uid="{00000000-0005-0000-0000-0000BE400000}"/>
    <cellStyle name="Hed Side 2 7 6 10" xfId="14654" xr:uid="{00000000-0005-0000-0000-0000BF400000}"/>
    <cellStyle name="Hed Side 2 7 6 2" xfId="14655" xr:uid="{00000000-0005-0000-0000-0000C0400000}"/>
    <cellStyle name="Hed Side 2 7 6 2 2" xfId="14656" xr:uid="{00000000-0005-0000-0000-0000C1400000}"/>
    <cellStyle name="Hed Side 2 7 6 3" xfId="14657" xr:uid="{00000000-0005-0000-0000-0000C2400000}"/>
    <cellStyle name="Hed Side 2 7 6 3 2" xfId="14658" xr:uid="{00000000-0005-0000-0000-0000C3400000}"/>
    <cellStyle name="Hed Side 2 7 6 4" xfId="14659" xr:uid="{00000000-0005-0000-0000-0000C4400000}"/>
    <cellStyle name="Hed Side 2 7 6 4 2" xfId="14660" xr:uid="{00000000-0005-0000-0000-0000C5400000}"/>
    <cellStyle name="Hed Side 2 7 6 5" xfId="14661" xr:uid="{00000000-0005-0000-0000-0000C6400000}"/>
    <cellStyle name="Hed Side 2 7 6 5 2" xfId="14662" xr:uid="{00000000-0005-0000-0000-0000C7400000}"/>
    <cellStyle name="Hed Side 2 7 6 6" xfId="14663" xr:uid="{00000000-0005-0000-0000-0000C8400000}"/>
    <cellStyle name="Hed Side 2 7 6 6 2" xfId="14664" xr:uid="{00000000-0005-0000-0000-0000C9400000}"/>
    <cellStyle name="Hed Side 2 7 6 7" xfId="14665" xr:uid="{00000000-0005-0000-0000-0000CA400000}"/>
    <cellStyle name="Hed Side 2 7 6 7 2" xfId="14666" xr:uid="{00000000-0005-0000-0000-0000CB400000}"/>
    <cellStyle name="Hed Side 2 7 6 8" xfId="14667" xr:uid="{00000000-0005-0000-0000-0000CC400000}"/>
    <cellStyle name="Hed Side 2 7 6 8 2" xfId="14668" xr:uid="{00000000-0005-0000-0000-0000CD400000}"/>
    <cellStyle name="Hed Side 2 7 6 9" xfId="14669" xr:uid="{00000000-0005-0000-0000-0000CE400000}"/>
    <cellStyle name="Hed Side 2 7 6 9 2" xfId="14670" xr:uid="{00000000-0005-0000-0000-0000CF400000}"/>
    <cellStyle name="Hed Side 2 7 7" xfId="14671" xr:uid="{00000000-0005-0000-0000-0000D0400000}"/>
    <cellStyle name="Hed Side 2 7 7 10" xfId="14672" xr:uid="{00000000-0005-0000-0000-0000D1400000}"/>
    <cellStyle name="Hed Side 2 7 7 2" xfId="14673" xr:uid="{00000000-0005-0000-0000-0000D2400000}"/>
    <cellStyle name="Hed Side 2 7 7 2 2" xfId="14674" xr:uid="{00000000-0005-0000-0000-0000D3400000}"/>
    <cellStyle name="Hed Side 2 7 7 3" xfId="14675" xr:uid="{00000000-0005-0000-0000-0000D4400000}"/>
    <cellStyle name="Hed Side 2 7 7 3 2" xfId="14676" xr:uid="{00000000-0005-0000-0000-0000D5400000}"/>
    <cellStyle name="Hed Side 2 7 7 4" xfId="14677" xr:uid="{00000000-0005-0000-0000-0000D6400000}"/>
    <cellStyle name="Hed Side 2 7 7 4 2" xfId="14678" xr:uid="{00000000-0005-0000-0000-0000D7400000}"/>
    <cellStyle name="Hed Side 2 7 7 5" xfId="14679" xr:uid="{00000000-0005-0000-0000-0000D8400000}"/>
    <cellStyle name="Hed Side 2 7 7 5 2" xfId="14680" xr:uid="{00000000-0005-0000-0000-0000D9400000}"/>
    <cellStyle name="Hed Side 2 7 7 6" xfId="14681" xr:uid="{00000000-0005-0000-0000-0000DA400000}"/>
    <cellStyle name="Hed Side 2 7 7 6 2" xfId="14682" xr:uid="{00000000-0005-0000-0000-0000DB400000}"/>
    <cellStyle name="Hed Side 2 7 7 7" xfId="14683" xr:uid="{00000000-0005-0000-0000-0000DC400000}"/>
    <cellStyle name="Hed Side 2 7 7 7 2" xfId="14684" xr:uid="{00000000-0005-0000-0000-0000DD400000}"/>
    <cellStyle name="Hed Side 2 7 7 8" xfId="14685" xr:uid="{00000000-0005-0000-0000-0000DE400000}"/>
    <cellStyle name="Hed Side 2 7 7 8 2" xfId="14686" xr:uid="{00000000-0005-0000-0000-0000DF400000}"/>
    <cellStyle name="Hed Side 2 7 7 9" xfId="14687" xr:uid="{00000000-0005-0000-0000-0000E0400000}"/>
    <cellStyle name="Hed Side 2 7 7 9 2" xfId="14688" xr:uid="{00000000-0005-0000-0000-0000E1400000}"/>
    <cellStyle name="Hed Side 2 7 8" xfId="14689" xr:uid="{00000000-0005-0000-0000-0000E2400000}"/>
    <cellStyle name="Hed Side 2 7 8 10" xfId="14690" xr:uid="{00000000-0005-0000-0000-0000E3400000}"/>
    <cellStyle name="Hed Side 2 7 8 2" xfId="14691" xr:uid="{00000000-0005-0000-0000-0000E4400000}"/>
    <cellStyle name="Hed Side 2 7 8 2 2" xfId="14692" xr:uid="{00000000-0005-0000-0000-0000E5400000}"/>
    <cellStyle name="Hed Side 2 7 8 3" xfId="14693" xr:uid="{00000000-0005-0000-0000-0000E6400000}"/>
    <cellStyle name="Hed Side 2 7 8 3 2" xfId="14694" xr:uid="{00000000-0005-0000-0000-0000E7400000}"/>
    <cellStyle name="Hed Side 2 7 8 4" xfId="14695" xr:uid="{00000000-0005-0000-0000-0000E8400000}"/>
    <cellStyle name="Hed Side 2 7 8 4 2" xfId="14696" xr:uid="{00000000-0005-0000-0000-0000E9400000}"/>
    <cellStyle name="Hed Side 2 7 8 5" xfId="14697" xr:uid="{00000000-0005-0000-0000-0000EA400000}"/>
    <cellStyle name="Hed Side 2 7 8 5 2" xfId="14698" xr:uid="{00000000-0005-0000-0000-0000EB400000}"/>
    <cellStyle name="Hed Side 2 7 8 6" xfId="14699" xr:uid="{00000000-0005-0000-0000-0000EC400000}"/>
    <cellStyle name="Hed Side 2 7 8 6 2" xfId="14700" xr:uid="{00000000-0005-0000-0000-0000ED400000}"/>
    <cellStyle name="Hed Side 2 7 8 7" xfId="14701" xr:uid="{00000000-0005-0000-0000-0000EE400000}"/>
    <cellStyle name="Hed Side 2 7 8 7 2" xfId="14702" xr:uid="{00000000-0005-0000-0000-0000EF400000}"/>
    <cellStyle name="Hed Side 2 7 8 8" xfId="14703" xr:uid="{00000000-0005-0000-0000-0000F0400000}"/>
    <cellStyle name="Hed Side 2 7 8 8 2" xfId="14704" xr:uid="{00000000-0005-0000-0000-0000F1400000}"/>
    <cellStyle name="Hed Side 2 7 8 9" xfId="14705" xr:uid="{00000000-0005-0000-0000-0000F2400000}"/>
    <cellStyle name="Hed Side 2 7 8 9 2" xfId="14706" xr:uid="{00000000-0005-0000-0000-0000F3400000}"/>
    <cellStyle name="Hed Side 2 7 9" xfId="14707" xr:uid="{00000000-0005-0000-0000-0000F4400000}"/>
    <cellStyle name="Hed Side 2 7 9 10" xfId="14708" xr:uid="{00000000-0005-0000-0000-0000F5400000}"/>
    <cellStyle name="Hed Side 2 7 9 2" xfId="14709" xr:uid="{00000000-0005-0000-0000-0000F6400000}"/>
    <cellStyle name="Hed Side 2 7 9 2 2" xfId="14710" xr:uid="{00000000-0005-0000-0000-0000F7400000}"/>
    <cellStyle name="Hed Side 2 7 9 3" xfId="14711" xr:uid="{00000000-0005-0000-0000-0000F8400000}"/>
    <cellStyle name="Hed Side 2 7 9 3 2" xfId="14712" xr:uid="{00000000-0005-0000-0000-0000F9400000}"/>
    <cellStyle name="Hed Side 2 7 9 4" xfId="14713" xr:uid="{00000000-0005-0000-0000-0000FA400000}"/>
    <cellStyle name="Hed Side 2 7 9 4 2" xfId="14714" xr:uid="{00000000-0005-0000-0000-0000FB400000}"/>
    <cellStyle name="Hed Side 2 7 9 5" xfId="14715" xr:uid="{00000000-0005-0000-0000-0000FC400000}"/>
    <cellStyle name="Hed Side 2 7 9 5 2" xfId="14716" xr:uid="{00000000-0005-0000-0000-0000FD400000}"/>
    <cellStyle name="Hed Side 2 7 9 6" xfId="14717" xr:uid="{00000000-0005-0000-0000-0000FE400000}"/>
    <cellStyle name="Hed Side 2 7 9 6 2" xfId="14718" xr:uid="{00000000-0005-0000-0000-0000FF400000}"/>
    <cellStyle name="Hed Side 2 7 9 7" xfId="14719" xr:uid="{00000000-0005-0000-0000-000000410000}"/>
    <cellStyle name="Hed Side 2 7 9 7 2" xfId="14720" xr:uid="{00000000-0005-0000-0000-000001410000}"/>
    <cellStyle name="Hed Side 2 7 9 8" xfId="14721" xr:uid="{00000000-0005-0000-0000-000002410000}"/>
    <cellStyle name="Hed Side 2 7 9 8 2" xfId="14722" xr:uid="{00000000-0005-0000-0000-000003410000}"/>
    <cellStyle name="Hed Side 2 7 9 9" xfId="14723" xr:uid="{00000000-0005-0000-0000-000004410000}"/>
    <cellStyle name="Hed Side 2 7 9 9 2" xfId="14724" xr:uid="{00000000-0005-0000-0000-000005410000}"/>
    <cellStyle name="Hed Side 2 8" xfId="14725" xr:uid="{00000000-0005-0000-0000-000006410000}"/>
    <cellStyle name="Hed Side 2 8 10" xfId="14726" xr:uid="{00000000-0005-0000-0000-000007410000}"/>
    <cellStyle name="Hed Side 2 8 10 2" xfId="14727" xr:uid="{00000000-0005-0000-0000-000008410000}"/>
    <cellStyle name="Hed Side 2 8 10 2 2" xfId="14728" xr:uid="{00000000-0005-0000-0000-000009410000}"/>
    <cellStyle name="Hed Side 2 8 10 3" xfId="14729" xr:uid="{00000000-0005-0000-0000-00000A410000}"/>
    <cellStyle name="Hed Side 2 8 10 3 2" xfId="14730" xr:uid="{00000000-0005-0000-0000-00000B410000}"/>
    <cellStyle name="Hed Side 2 8 10 4" xfId="14731" xr:uid="{00000000-0005-0000-0000-00000C410000}"/>
    <cellStyle name="Hed Side 2 8 10 4 2" xfId="14732" xr:uid="{00000000-0005-0000-0000-00000D410000}"/>
    <cellStyle name="Hed Side 2 8 10 5" xfId="14733" xr:uid="{00000000-0005-0000-0000-00000E410000}"/>
    <cellStyle name="Hed Side 2 8 10 5 2" xfId="14734" xr:uid="{00000000-0005-0000-0000-00000F410000}"/>
    <cellStyle name="Hed Side 2 8 10 6" xfId="14735" xr:uid="{00000000-0005-0000-0000-000010410000}"/>
    <cellStyle name="Hed Side 2 8 10 6 2" xfId="14736" xr:uid="{00000000-0005-0000-0000-000011410000}"/>
    <cellStyle name="Hed Side 2 8 10 7" xfId="14737" xr:uid="{00000000-0005-0000-0000-000012410000}"/>
    <cellStyle name="Hed Side 2 8 10 7 2" xfId="14738" xr:uid="{00000000-0005-0000-0000-000013410000}"/>
    <cellStyle name="Hed Side 2 8 10 8" xfId="14739" xr:uid="{00000000-0005-0000-0000-000014410000}"/>
    <cellStyle name="Hed Side 2 8 10 8 2" xfId="14740" xr:uid="{00000000-0005-0000-0000-000015410000}"/>
    <cellStyle name="Hed Side 2 8 10 9" xfId="14741" xr:uid="{00000000-0005-0000-0000-000016410000}"/>
    <cellStyle name="Hed Side 2 8 11" xfId="14742" xr:uid="{00000000-0005-0000-0000-000017410000}"/>
    <cellStyle name="Hed Side 2 8 11 2" xfId="14743" xr:uid="{00000000-0005-0000-0000-000018410000}"/>
    <cellStyle name="Hed Side 2 8 12" xfId="14744" xr:uid="{00000000-0005-0000-0000-000019410000}"/>
    <cellStyle name="Hed Side 2 8 12 2" xfId="14745" xr:uid="{00000000-0005-0000-0000-00001A410000}"/>
    <cellStyle name="Hed Side 2 8 13" xfId="14746" xr:uid="{00000000-0005-0000-0000-00001B410000}"/>
    <cellStyle name="Hed Side 2 8 13 2" xfId="14747" xr:uid="{00000000-0005-0000-0000-00001C410000}"/>
    <cellStyle name="Hed Side 2 8 14" xfId="14748" xr:uid="{00000000-0005-0000-0000-00001D410000}"/>
    <cellStyle name="Hed Side 2 8 14 2" xfId="14749" xr:uid="{00000000-0005-0000-0000-00001E410000}"/>
    <cellStyle name="Hed Side 2 8 15" xfId="14750" xr:uid="{00000000-0005-0000-0000-00001F410000}"/>
    <cellStyle name="Hed Side 2 8 15 2" xfId="14751" xr:uid="{00000000-0005-0000-0000-000020410000}"/>
    <cellStyle name="Hed Side 2 8 16" xfId="14752" xr:uid="{00000000-0005-0000-0000-000021410000}"/>
    <cellStyle name="Hed Side 2 8 16 2" xfId="14753" xr:uid="{00000000-0005-0000-0000-000022410000}"/>
    <cellStyle name="Hed Side 2 8 17" xfId="14754" xr:uid="{00000000-0005-0000-0000-000023410000}"/>
    <cellStyle name="Hed Side 2 8 17 2" xfId="14755" xr:uid="{00000000-0005-0000-0000-000024410000}"/>
    <cellStyle name="Hed Side 2 8 18" xfId="14756" xr:uid="{00000000-0005-0000-0000-000025410000}"/>
    <cellStyle name="Hed Side 2 8 2" xfId="14757" xr:uid="{00000000-0005-0000-0000-000026410000}"/>
    <cellStyle name="Hed Side 2 8 2 10" xfId="14758" xr:uid="{00000000-0005-0000-0000-000027410000}"/>
    <cellStyle name="Hed Side 2 8 2 2" xfId="14759" xr:uid="{00000000-0005-0000-0000-000028410000}"/>
    <cellStyle name="Hed Side 2 8 2 2 2" xfId="14760" xr:uid="{00000000-0005-0000-0000-000029410000}"/>
    <cellStyle name="Hed Side 2 8 2 3" xfId="14761" xr:uid="{00000000-0005-0000-0000-00002A410000}"/>
    <cellStyle name="Hed Side 2 8 2 3 2" xfId="14762" xr:uid="{00000000-0005-0000-0000-00002B410000}"/>
    <cellStyle name="Hed Side 2 8 2 4" xfId="14763" xr:uid="{00000000-0005-0000-0000-00002C410000}"/>
    <cellStyle name="Hed Side 2 8 2 4 2" xfId="14764" xr:uid="{00000000-0005-0000-0000-00002D410000}"/>
    <cellStyle name="Hed Side 2 8 2 5" xfId="14765" xr:uid="{00000000-0005-0000-0000-00002E410000}"/>
    <cellStyle name="Hed Side 2 8 2 5 2" xfId="14766" xr:uid="{00000000-0005-0000-0000-00002F410000}"/>
    <cellStyle name="Hed Side 2 8 2 6" xfId="14767" xr:uid="{00000000-0005-0000-0000-000030410000}"/>
    <cellStyle name="Hed Side 2 8 2 6 2" xfId="14768" xr:uid="{00000000-0005-0000-0000-000031410000}"/>
    <cellStyle name="Hed Side 2 8 2 7" xfId="14769" xr:uid="{00000000-0005-0000-0000-000032410000}"/>
    <cellStyle name="Hed Side 2 8 2 7 2" xfId="14770" xr:uid="{00000000-0005-0000-0000-000033410000}"/>
    <cellStyle name="Hed Side 2 8 2 8" xfId="14771" xr:uid="{00000000-0005-0000-0000-000034410000}"/>
    <cellStyle name="Hed Side 2 8 2 8 2" xfId="14772" xr:uid="{00000000-0005-0000-0000-000035410000}"/>
    <cellStyle name="Hed Side 2 8 2 9" xfId="14773" xr:uid="{00000000-0005-0000-0000-000036410000}"/>
    <cellStyle name="Hed Side 2 8 2 9 2" xfId="14774" xr:uid="{00000000-0005-0000-0000-000037410000}"/>
    <cellStyle name="Hed Side 2 8 3" xfId="14775" xr:uid="{00000000-0005-0000-0000-000038410000}"/>
    <cellStyle name="Hed Side 2 8 3 10" xfId="14776" xr:uid="{00000000-0005-0000-0000-000039410000}"/>
    <cellStyle name="Hed Side 2 8 3 2" xfId="14777" xr:uid="{00000000-0005-0000-0000-00003A410000}"/>
    <cellStyle name="Hed Side 2 8 3 2 2" xfId="14778" xr:uid="{00000000-0005-0000-0000-00003B410000}"/>
    <cellStyle name="Hed Side 2 8 3 3" xfId="14779" xr:uid="{00000000-0005-0000-0000-00003C410000}"/>
    <cellStyle name="Hed Side 2 8 3 3 2" xfId="14780" xr:uid="{00000000-0005-0000-0000-00003D410000}"/>
    <cellStyle name="Hed Side 2 8 3 4" xfId="14781" xr:uid="{00000000-0005-0000-0000-00003E410000}"/>
    <cellStyle name="Hed Side 2 8 3 4 2" xfId="14782" xr:uid="{00000000-0005-0000-0000-00003F410000}"/>
    <cellStyle name="Hed Side 2 8 3 5" xfId="14783" xr:uid="{00000000-0005-0000-0000-000040410000}"/>
    <cellStyle name="Hed Side 2 8 3 5 2" xfId="14784" xr:uid="{00000000-0005-0000-0000-000041410000}"/>
    <cellStyle name="Hed Side 2 8 3 6" xfId="14785" xr:uid="{00000000-0005-0000-0000-000042410000}"/>
    <cellStyle name="Hed Side 2 8 3 6 2" xfId="14786" xr:uid="{00000000-0005-0000-0000-000043410000}"/>
    <cellStyle name="Hed Side 2 8 3 7" xfId="14787" xr:uid="{00000000-0005-0000-0000-000044410000}"/>
    <cellStyle name="Hed Side 2 8 3 7 2" xfId="14788" xr:uid="{00000000-0005-0000-0000-000045410000}"/>
    <cellStyle name="Hed Side 2 8 3 8" xfId="14789" xr:uid="{00000000-0005-0000-0000-000046410000}"/>
    <cellStyle name="Hed Side 2 8 3 8 2" xfId="14790" xr:uid="{00000000-0005-0000-0000-000047410000}"/>
    <cellStyle name="Hed Side 2 8 3 9" xfId="14791" xr:uid="{00000000-0005-0000-0000-000048410000}"/>
    <cellStyle name="Hed Side 2 8 3 9 2" xfId="14792" xr:uid="{00000000-0005-0000-0000-000049410000}"/>
    <cellStyle name="Hed Side 2 8 4" xfId="14793" xr:uid="{00000000-0005-0000-0000-00004A410000}"/>
    <cellStyle name="Hed Side 2 8 4 10" xfId="14794" xr:uid="{00000000-0005-0000-0000-00004B410000}"/>
    <cellStyle name="Hed Side 2 8 4 2" xfId="14795" xr:uid="{00000000-0005-0000-0000-00004C410000}"/>
    <cellStyle name="Hed Side 2 8 4 2 2" xfId="14796" xr:uid="{00000000-0005-0000-0000-00004D410000}"/>
    <cellStyle name="Hed Side 2 8 4 3" xfId="14797" xr:uid="{00000000-0005-0000-0000-00004E410000}"/>
    <cellStyle name="Hed Side 2 8 4 3 2" xfId="14798" xr:uid="{00000000-0005-0000-0000-00004F410000}"/>
    <cellStyle name="Hed Side 2 8 4 4" xfId="14799" xr:uid="{00000000-0005-0000-0000-000050410000}"/>
    <cellStyle name="Hed Side 2 8 4 4 2" xfId="14800" xr:uid="{00000000-0005-0000-0000-000051410000}"/>
    <cellStyle name="Hed Side 2 8 4 5" xfId="14801" xr:uid="{00000000-0005-0000-0000-000052410000}"/>
    <cellStyle name="Hed Side 2 8 4 5 2" xfId="14802" xr:uid="{00000000-0005-0000-0000-000053410000}"/>
    <cellStyle name="Hed Side 2 8 4 6" xfId="14803" xr:uid="{00000000-0005-0000-0000-000054410000}"/>
    <cellStyle name="Hed Side 2 8 4 6 2" xfId="14804" xr:uid="{00000000-0005-0000-0000-000055410000}"/>
    <cellStyle name="Hed Side 2 8 4 7" xfId="14805" xr:uid="{00000000-0005-0000-0000-000056410000}"/>
    <cellStyle name="Hed Side 2 8 4 7 2" xfId="14806" xr:uid="{00000000-0005-0000-0000-000057410000}"/>
    <cellStyle name="Hed Side 2 8 4 8" xfId="14807" xr:uid="{00000000-0005-0000-0000-000058410000}"/>
    <cellStyle name="Hed Side 2 8 4 8 2" xfId="14808" xr:uid="{00000000-0005-0000-0000-000059410000}"/>
    <cellStyle name="Hed Side 2 8 4 9" xfId="14809" xr:uid="{00000000-0005-0000-0000-00005A410000}"/>
    <cellStyle name="Hed Side 2 8 4 9 2" xfId="14810" xr:uid="{00000000-0005-0000-0000-00005B410000}"/>
    <cellStyle name="Hed Side 2 8 5" xfId="14811" xr:uid="{00000000-0005-0000-0000-00005C410000}"/>
    <cellStyle name="Hed Side 2 8 5 10" xfId="14812" xr:uid="{00000000-0005-0000-0000-00005D410000}"/>
    <cellStyle name="Hed Side 2 8 5 2" xfId="14813" xr:uid="{00000000-0005-0000-0000-00005E410000}"/>
    <cellStyle name="Hed Side 2 8 5 2 2" xfId="14814" xr:uid="{00000000-0005-0000-0000-00005F410000}"/>
    <cellStyle name="Hed Side 2 8 5 3" xfId="14815" xr:uid="{00000000-0005-0000-0000-000060410000}"/>
    <cellStyle name="Hed Side 2 8 5 3 2" xfId="14816" xr:uid="{00000000-0005-0000-0000-000061410000}"/>
    <cellStyle name="Hed Side 2 8 5 4" xfId="14817" xr:uid="{00000000-0005-0000-0000-000062410000}"/>
    <cellStyle name="Hed Side 2 8 5 4 2" xfId="14818" xr:uid="{00000000-0005-0000-0000-000063410000}"/>
    <cellStyle name="Hed Side 2 8 5 5" xfId="14819" xr:uid="{00000000-0005-0000-0000-000064410000}"/>
    <cellStyle name="Hed Side 2 8 5 5 2" xfId="14820" xr:uid="{00000000-0005-0000-0000-000065410000}"/>
    <cellStyle name="Hed Side 2 8 5 6" xfId="14821" xr:uid="{00000000-0005-0000-0000-000066410000}"/>
    <cellStyle name="Hed Side 2 8 5 6 2" xfId="14822" xr:uid="{00000000-0005-0000-0000-000067410000}"/>
    <cellStyle name="Hed Side 2 8 5 7" xfId="14823" xr:uid="{00000000-0005-0000-0000-000068410000}"/>
    <cellStyle name="Hed Side 2 8 5 7 2" xfId="14824" xr:uid="{00000000-0005-0000-0000-000069410000}"/>
    <cellStyle name="Hed Side 2 8 5 8" xfId="14825" xr:uid="{00000000-0005-0000-0000-00006A410000}"/>
    <cellStyle name="Hed Side 2 8 5 8 2" xfId="14826" xr:uid="{00000000-0005-0000-0000-00006B410000}"/>
    <cellStyle name="Hed Side 2 8 5 9" xfId="14827" xr:uid="{00000000-0005-0000-0000-00006C410000}"/>
    <cellStyle name="Hed Side 2 8 5 9 2" xfId="14828" xr:uid="{00000000-0005-0000-0000-00006D410000}"/>
    <cellStyle name="Hed Side 2 8 6" xfId="14829" xr:uid="{00000000-0005-0000-0000-00006E410000}"/>
    <cellStyle name="Hed Side 2 8 6 10" xfId="14830" xr:uid="{00000000-0005-0000-0000-00006F410000}"/>
    <cellStyle name="Hed Side 2 8 6 2" xfId="14831" xr:uid="{00000000-0005-0000-0000-000070410000}"/>
    <cellStyle name="Hed Side 2 8 6 2 2" xfId="14832" xr:uid="{00000000-0005-0000-0000-000071410000}"/>
    <cellStyle name="Hed Side 2 8 6 3" xfId="14833" xr:uid="{00000000-0005-0000-0000-000072410000}"/>
    <cellStyle name="Hed Side 2 8 6 3 2" xfId="14834" xr:uid="{00000000-0005-0000-0000-000073410000}"/>
    <cellStyle name="Hed Side 2 8 6 4" xfId="14835" xr:uid="{00000000-0005-0000-0000-000074410000}"/>
    <cellStyle name="Hed Side 2 8 6 4 2" xfId="14836" xr:uid="{00000000-0005-0000-0000-000075410000}"/>
    <cellStyle name="Hed Side 2 8 6 5" xfId="14837" xr:uid="{00000000-0005-0000-0000-000076410000}"/>
    <cellStyle name="Hed Side 2 8 6 5 2" xfId="14838" xr:uid="{00000000-0005-0000-0000-000077410000}"/>
    <cellStyle name="Hed Side 2 8 6 6" xfId="14839" xr:uid="{00000000-0005-0000-0000-000078410000}"/>
    <cellStyle name="Hed Side 2 8 6 6 2" xfId="14840" xr:uid="{00000000-0005-0000-0000-000079410000}"/>
    <cellStyle name="Hed Side 2 8 6 7" xfId="14841" xr:uid="{00000000-0005-0000-0000-00007A410000}"/>
    <cellStyle name="Hed Side 2 8 6 7 2" xfId="14842" xr:uid="{00000000-0005-0000-0000-00007B410000}"/>
    <cellStyle name="Hed Side 2 8 6 8" xfId="14843" xr:uid="{00000000-0005-0000-0000-00007C410000}"/>
    <cellStyle name="Hed Side 2 8 6 8 2" xfId="14844" xr:uid="{00000000-0005-0000-0000-00007D410000}"/>
    <cellStyle name="Hed Side 2 8 6 9" xfId="14845" xr:uid="{00000000-0005-0000-0000-00007E410000}"/>
    <cellStyle name="Hed Side 2 8 6 9 2" xfId="14846" xr:uid="{00000000-0005-0000-0000-00007F410000}"/>
    <cellStyle name="Hed Side 2 8 7" xfId="14847" xr:uid="{00000000-0005-0000-0000-000080410000}"/>
    <cellStyle name="Hed Side 2 8 7 10" xfId="14848" xr:uid="{00000000-0005-0000-0000-000081410000}"/>
    <cellStyle name="Hed Side 2 8 7 2" xfId="14849" xr:uid="{00000000-0005-0000-0000-000082410000}"/>
    <cellStyle name="Hed Side 2 8 7 2 2" xfId="14850" xr:uid="{00000000-0005-0000-0000-000083410000}"/>
    <cellStyle name="Hed Side 2 8 7 3" xfId="14851" xr:uid="{00000000-0005-0000-0000-000084410000}"/>
    <cellStyle name="Hed Side 2 8 7 3 2" xfId="14852" xr:uid="{00000000-0005-0000-0000-000085410000}"/>
    <cellStyle name="Hed Side 2 8 7 4" xfId="14853" xr:uid="{00000000-0005-0000-0000-000086410000}"/>
    <cellStyle name="Hed Side 2 8 7 4 2" xfId="14854" xr:uid="{00000000-0005-0000-0000-000087410000}"/>
    <cellStyle name="Hed Side 2 8 7 5" xfId="14855" xr:uid="{00000000-0005-0000-0000-000088410000}"/>
    <cellStyle name="Hed Side 2 8 7 5 2" xfId="14856" xr:uid="{00000000-0005-0000-0000-000089410000}"/>
    <cellStyle name="Hed Side 2 8 7 6" xfId="14857" xr:uid="{00000000-0005-0000-0000-00008A410000}"/>
    <cellStyle name="Hed Side 2 8 7 6 2" xfId="14858" xr:uid="{00000000-0005-0000-0000-00008B410000}"/>
    <cellStyle name="Hed Side 2 8 7 7" xfId="14859" xr:uid="{00000000-0005-0000-0000-00008C410000}"/>
    <cellStyle name="Hed Side 2 8 7 7 2" xfId="14860" xr:uid="{00000000-0005-0000-0000-00008D410000}"/>
    <cellStyle name="Hed Side 2 8 7 8" xfId="14861" xr:uid="{00000000-0005-0000-0000-00008E410000}"/>
    <cellStyle name="Hed Side 2 8 7 8 2" xfId="14862" xr:uid="{00000000-0005-0000-0000-00008F410000}"/>
    <cellStyle name="Hed Side 2 8 7 9" xfId="14863" xr:uid="{00000000-0005-0000-0000-000090410000}"/>
    <cellStyle name="Hed Side 2 8 7 9 2" xfId="14864" xr:uid="{00000000-0005-0000-0000-000091410000}"/>
    <cellStyle name="Hed Side 2 8 8" xfId="14865" xr:uid="{00000000-0005-0000-0000-000092410000}"/>
    <cellStyle name="Hed Side 2 8 8 10" xfId="14866" xr:uid="{00000000-0005-0000-0000-000093410000}"/>
    <cellStyle name="Hed Side 2 8 8 2" xfId="14867" xr:uid="{00000000-0005-0000-0000-000094410000}"/>
    <cellStyle name="Hed Side 2 8 8 2 2" xfId="14868" xr:uid="{00000000-0005-0000-0000-000095410000}"/>
    <cellStyle name="Hed Side 2 8 8 3" xfId="14869" xr:uid="{00000000-0005-0000-0000-000096410000}"/>
    <cellStyle name="Hed Side 2 8 8 3 2" xfId="14870" xr:uid="{00000000-0005-0000-0000-000097410000}"/>
    <cellStyle name="Hed Side 2 8 8 4" xfId="14871" xr:uid="{00000000-0005-0000-0000-000098410000}"/>
    <cellStyle name="Hed Side 2 8 8 4 2" xfId="14872" xr:uid="{00000000-0005-0000-0000-000099410000}"/>
    <cellStyle name="Hed Side 2 8 8 5" xfId="14873" xr:uid="{00000000-0005-0000-0000-00009A410000}"/>
    <cellStyle name="Hed Side 2 8 8 5 2" xfId="14874" xr:uid="{00000000-0005-0000-0000-00009B410000}"/>
    <cellStyle name="Hed Side 2 8 8 6" xfId="14875" xr:uid="{00000000-0005-0000-0000-00009C410000}"/>
    <cellStyle name="Hed Side 2 8 8 6 2" xfId="14876" xr:uid="{00000000-0005-0000-0000-00009D410000}"/>
    <cellStyle name="Hed Side 2 8 8 7" xfId="14877" xr:uid="{00000000-0005-0000-0000-00009E410000}"/>
    <cellStyle name="Hed Side 2 8 8 7 2" xfId="14878" xr:uid="{00000000-0005-0000-0000-00009F410000}"/>
    <cellStyle name="Hed Side 2 8 8 8" xfId="14879" xr:uid="{00000000-0005-0000-0000-0000A0410000}"/>
    <cellStyle name="Hed Side 2 8 8 8 2" xfId="14880" xr:uid="{00000000-0005-0000-0000-0000A1410000}"/>
    <cellStyle name="Hed Side 2 8 8 9" xfId="14881" xr:uid="{00000000-0005-0000-0000-0000A2410000}"/>
    <cellStyle name="Hed Side 2 8 8 9 2" xfId="14882" xr:uid="{00000000-0005-0000-0000-0000A3410000}"/>
    <cellStyle name="Hed Side 2 8 9" xfId="14883" xr:uid="{00000000-0005-0000-0000-0000A4410000}"/>
    <cellStyle name="Hed Side 2 8 9 10" xfId="14884" xr:uid="{00000000-0005-0000-0000-0000A5410000}"/>
    <cellStyle name="Hed Side 2 8 9 2" xfId="14885" xr:uid="{00000000-0005-0000-0000-0000A6410000}"/>
    <cellStyle name="Hed Side 2 8 9 2 2" xfId="14886" xr:uid="{00000000-0005-0000-0000-0000A7410000}"/>
    <cellStyle name="Hed Side 2 8 9 3" xfId="14887" xr:uid="{00000000-0005-0000-0000-0000A8410000}"/>
    <cellStyle name="Hed Side 2 8 9 3 2" xfId="14888" xr:uid="{00000000-0005-0000-0000-0000A9410000}"/>
    <cellStyle name="Hed Side 2 8 9 4" xfId="14889" xr:uid="{00000000-0005-0000-0000-0000AA410000}"/>
    <cellStyle name="Hed Side 2 8 9 4 2" xfId="14890" xr:uid="{00000000-0005-0000-0000-0000AB410000}"/>
    <cellStyle name="Hed Side 2 8 9 5" xfId="14891" xr:uid="{00000000-0005-0000-0000-0000AC410000}"/>
    <cellStyle name="Hed Side 2 8 9 5 2" xfId="14892" xr:uid="{00000000-0005-0000-0000-0000AD410000}"/>
    <cellStyle name="Hed Side 2 8 9 6" xfId="14893" xr:uid="{00000000-0005-0000-0000-0000AE410000}"/>
    <cellStyle name="Hed Side 2 8 9 6 2" xfId="14894" xr:uid="{00000000-0005-0000-0000-0000AF410000}"/>
    <cellStyle name="Hed Side 2 8 9 7" xfId="14895" xr:uid="{00000000-0005-0000-0000-0000B0410000}"/>
    <cellStyle name="Hed Side 2 8 9 7 2" xfId="14896" xr:uid="{00000000-0005-0000-0000-0000B1410000}"/>
    <cellStyle name="Hed Side 2 8 9 8" xfId="14897" xr:uid="{00000000-0005-0000-0000-0000B2410000}"/>
    <cellStyle name="Hed Side 2 8 9 8 2" xfId="14898" xr:uid="{00000000-0005-0000-0000-0000B3410000}"/>
    <cellStyle name="Hed Side 2 8 9 9" xfId="14899" xr:uid="{00000000-0005-0000-0000-0000B4410000}"/>
    <cellStyle name="Hed Side 2 8 9 9 2" xfId="14900" xr:uid="{00000000-0005-0000-0000-0000B5410000}"/>
    <cellStyle name="Hed Side 3" xfId="169" xr:uid="{00000000-0005-0000-0000-0000B6410000}"/>
    <cellStyle name="Hed Side 3 2" xfId="14901" xr:uid="{00000000-0005-0000-0000-0000B7410000}"/>
    <cellStyle name="Hed Side 3 2 10" xfId="14902" xr:uid="{00000000-0005-0000-0000-0000B8410000}"/>
    <cellStyle name="Hed Side 3 2 10 10" xfId="14903" xr:uid="{00000000-0005-0000-0000-0000B9410000}"/>
    <cellStyle name="Hed Side 3 2 10 2" xfId="14904" xr:uid="{00000000-0005-0000-0000-0000BA410000}"/>
    <cellStyle name="Hed Side 3 2 10 2 2" xfId="14905" xr:uid="{00000000-0005-0000-0000-0000BB410000}"/>
    <cellStyle name="Hed Side 3 2 10 3" xfId="14906" xr:uid="{00000000-0005-0000-0000-0000BC410000}"/>
    <cellStyle name="Hed Side 3 2 10 3 2" xfId="14907" xr:uid="{00000000-0005-0000-0000-0000BD410000}"/>
    <cellStyle name="Hed Side 3 2 10 4" xfId="14908" xr:uid="{00000000-0005-0000-0000-0000BE410000}"/>
    <cellStyle name="Hed Side 3 2 10 4 2" xfId="14909" xr:uid="{00000000-0005-0000-0000-0000BF410000}"/>
    <cellStyle name="Hed Side 3 2 10 5" xfId="14910" xr:uid="{00000000-0005-0000-0000-0000C0410000}"/>
    <cellStyle name="Hed Side 3 2 10 5 2" xfId="14911" xr:uid="{00000000-0005-0000-0000-0000C1410000}"/>
    <cellStyle name="Hed Side 3 2 10 6" xfId="14912" xr:uid="{00000000-0005-0000-0000-0000C2410000}"/>
    <cellStyle name="Hed Side 3 2 10 6 2" xfId="14913" xr:uid="{00000000-0005-0000-0000-0000C3410000}"/>
    <cellStyle name="Hed Side 3 2 10 7" xfId="14914" xr:uid="{00000000-0005-0000-0000-0000C4410000}"/>
    <cellStyle name="Hed Side 3 2 10 7 2" xfId="14915" xr:uid="{00000000-0005-0000-0000-0000C5410000}"/>
    <cellStyle name="Hed Side 3 2 10 8" xfId="14916" xr:uid="{00000000-0005-0000-0000-0000C6410000}"/>
    <cellStyle name="Hed Side 3 2 10 8 2" xfId="14917" xr:uid="{00000000-0005-0000-0000-0000C7410000}"/>
    <cellStyle name="Hed Side 3 2 10 9" xfId="14918" xr:uid="{00000000-0005-0000-0000-0000C8410000}"/>
    <cellStyle name="Hed Side 3 2 10 9 2" xfId="14919" xr:uid="{00000000-0005-0000-0000-0000C9410000}"/>
    <cellStyle name="Hed Side 3 2 11" xfId="14920" xr:uid="{00000000-0005-0000-0000-0000CA410000}"/>
    <cellStyle name="Hed Side 3 2 11 2" xfId="14921" xr:uid="{00000000-0005-0000-0000-0000CB410000}"/>
    <cellStyle name="Hed Side 3 2 11 2 2" xfId="14922" xr:uid="{00000000-0005-0000-0000-0000CC410000}"/>
    <cellStyle name="Hed Side 3 2 11 3" xfId="14923" xr:uid="{00000000-0005-0000-0000-0000CD410000}"/>
    <cellStyle name="Hed Side 3 2 11 3 2" xfId="14924" xr:uid="{00000000-0005-0000-0000-0000CE410000}"/>
    <cellStyle name="Hed Side 3 2 11 4" xfId="14925" xr:uid="{00000000-0005-0000-0000-0000CF410000}"/>
    <cellStyle name="Hed Side 3 2 11 4 2" xfId="14926" xr:uid="{00000000-0005-0000-0000-0000D0410000}"/>
    <cellStyle name="Hed Side 3 2 11 5" xfId="14927" xr:uid="{00000000-0005-0000-0000-0000D1410000}"/>
    <cellStyle name="Hed Side 3 2 11 5 2" xfId="14928" xr:uid="{00000000-0005-0000-0000-0000D2410000}"/>
    <cellStyle name="Hed Side 3 2 11 6" xfId="14929" xr:uid="{00000000-0005-0000-0000-0000D3410000}"/>
    <cellStyle name="Hed Side 3 2 11 6 2" xfId="14930" xr:uid="{00000000-0005-0000-0000-0000D4410000}"/>
    <cellStyle name="Hed Side 3 2 11 7" xfId="14931" xr:uid="{00000000-0005-0000-0000-0000D5410000}"/>
    <cellStyle name="Hed Side 3 2 11 7 2" xfId="14932" xr:uid="{00000000-0005-0000-0000-0000D6410000}"/>
    <cellStyle name="Hed Side 3 2 11 8" xfId="14933" xr:uid="{00000000-0005-0000-0000-0000D7410000}"/>
    <cellStyle name="Hed Side 3 2 11 8 2" xfId="14934" xr:uid="{00000000-0005-0000-0000-0000D8410000}"/>
    <cellStyle name="Hed Side 3 2 11 9" xfId="14935" xr:uid="{00000000-0005-0000-0000-0000D9410000}"/>
    <cellStyle name="Hed Side 3 2 2" xfId="14936" xr:uid="{00000000-0005-0000-0000-0000DA410000}"/>
    <cellStyle name="Hed Side 3 2 2 10" xfId="14937" xr:uid="{00000000-0005-0000-0000-0000DB410000}"/>
    <cellStyle name="Hed Side 3 2 2 2" xfId="14938" xr:uid="{00000000-0005-0000-0000-0000DC410000}"/>
    <cellStyle name="Hed Side 3 2 2 2 2" xfId="14939" xr:uid="{00000000-0005-0000-0000-0000DD410000}"/>
    <cellStyle name="Hed Side 3 2 2 3" xfId="14940" xr:uid="{00000000-0005-0000-0000-0000DE410000}"/>
    <cellStyle name="Hed Side 3 2 2 3 2" xfId="14941" xr:uid="{00000000-0005-0000-0000-0000DF410000}"/>
    <cellStyle name="Hed Side 3 2 2 4" xfId="14942" xr:uid="{00000000-0005-0000-0000-0000E0410000}"/>
    <cellStyle name="Hed Side 3 2 2 4 2" xfId="14943" xr:uid="{00000000-0005-0000-0000-0000E1410000}"/>
    <cellStyle name="Hed Side 3 2 2 5" xfId="14944" xr:uid="{00000000-0005-0000-0000-0000E2410000}"/>
    <cellStyle name="Hed Side 3 2 2 5 2" xfId="14945" xr:uid="{00000000-0005-0000-0000-0000E3410000}"/>
    <cellStyle name="Hed Side 3 2 2 6" xfId="14946" xr:uid="{00000000-0005-0000-0000-0000E4410000}"/>
    <cellStyle name="Hed Side 3 2 2 6 2" xfId="14947" xr:uid="{00000000-0005-0000-0000-0000E5410000}"/>
    <cellStyle name="Hed Side 3 2 2 7" xfId="14948" xr:uid="{00000000-0005-0000-0000-0000E6410000}"/>
    <cellStyle name="Hed Side 3 2 2 7 2" xfId="14949" xr:uid="{00000000-0005-0000-0000-0000E7410000}"/>
    <cellStyle name="Hed Side 3 2 2 8" xfId="14950" xr:uid="{00000000-0005-0000-0000-0000E8410000}"/>
    <cellStyle name="Hed Side 3 2 2 8 2" xfId="14951" xr:uid="{00000000-0005-0000-0000-0000E9410000}"/>
    <cellStyle name="Hed Side 3 2 2 9" xfId="14952" xr:uid="{00000000-0005-0000-0000-0000EA410000}"/>
    <cellStyle name="Hed Side 3 2 2 9 2" xfId="14953" xr:uid="{00000000-0005-0000-0000-0000EB410000}"/>
    <cellStyle name="Hed Side 3 2 3" xfId="14954" xr:uid="{00000000-0005-0000-0000-0000EC410000}"/>
    <cellStyle name="Hed Side 3 2 3 10" xfId="14955" xr:uid="{00000000-0005-0000-0000-0000ED410000}"/>
    <cellStyle name="Hed Side 3 2 3 2" xfId="14956" xr:uid="{00000000-0005-0000-0000-0000EE410000}"/>
    <cellStyle name="Hed Side 3 2 3 2 2" xfId="14957" xr:uid="{00000000-0005-0000-0000-0000EF410000}"/>
    <cellStyle name="Hed Side 3 2 3 3" xfId="14958" xr:uid="{00000000-0005-0000-0000-0000F0410000}"/>
    <cellStyle name="Hed Side 3 2 3 3 2" xfId="14959" xr:uid="{00000000-0005-0000-0000-0000F1410000}"/>
    <cellStyle name="Hed Side 3 2 3 4" xfId="14960" xr:uid="{00000000-0005-0000-0000-0000F2410000}"/>
    <cellStyle name="Hed Side 3 2 3 4 2" xfId="14961" xr:uid="{00000000-0005-0000-0000-0000F3410000}"/>
    <cellStyle name="Hed Side 3 2 3 5" xfId="14962" xr:uid="{00000000-0005-0000-0000-0000F4410000}"/>
    <cellStyle name="Hed Side 3 2 3 5 2" xfId="14963" xr:uid="{00000000-0005-0000-0000-0000F5410000}"/>
    <cellStyle name="Hed Side 3 2 3 6" xfId="14964" xr:uid="{00000000-0005-0000-0000-0000F6410000}"/>
    <cellStyle name="Hed Side 3 2 3 6 2" xfId="14965" xr:uid="{00000000-0005-0000-0000-0000F7410000}"/>
    <cellStyle name="Hed Side 3 2 3 7" xfId="14966" xr:uid="{00000000-0005-0000-0000-0000F8410000}"/>
    <cellStyle name="Hed Side 3 2 3 7 2" xfId="14967" xr:uid="{00000000-0005-0000-0000-0000F9410000}"/>
    <cellStyle name="Hed Side 3 2 3 8" xfId="14968" xr:uid="{00000000-0005-0000-0000-0000FA410000}"/>
    <cellStyle name="Hed Side 3 2 3 8 2" xfId="14969" xr:uid="{00000000-0005-0000-0000-0000FB410000}"/>
    <cellStyle name="Hed Side 3 2 3 9" xfId="14970" xr:uid="{00000000-0005-0000-0000-0000FC410000}"/>
    <cellStyle name="Hed Side 3 2 3 9 2" xfId="14971" xr:uid="{00000000-0005-0000-0000-0000FD410000}"/>
    <cellStyle name="Hed Side 3 2 4" xfId="14972" xr:uid="{00000000-0005-0000-0000-0000FE410000}"/>
    <cellStyle name="Hed Side 3 2 4 10" xfId="14973" xr:uid="{00000000-0005-0000-0000-0000FF410000}"/>
    <cellStyle name="Hed Side 3 2 4 2" xfId="14974" xr:uid="{00000000-0005-0000-0000-000000420000}"/>
    <cellStyle name="Hed Side 3 2 4 2 2" xfId="14975" xr:uid="{00000000-0005-0000-0000-000001420000}"/>
    <cellStyle name="Hed Side 3 2 4 3" xfId="14976" xr:uid="{00000000-0005-0000-0000-000002420000}"/>
    <cellStyle name="Hed Side 3 2 4 3 2" xfId="14977" xr:uid="{00000000-0005-0000-0000-000003420000}"/>
    <cellStyle name="Hed Side 3 2 4 4" xfId="14978" xr:uid="{00000000-0005-0000-0000-000004420000}"/>
    <cellStyle name="Hed Side 3 2 4 4 2" xfId="14979" xr:uid="{00000000-0005-0000-0000-000005420000}"/>
    <cellStyle name="Hed Side 3 2 4 5" xfId="14980" xr:uid="{00000000-0005-0000-0000-000006420000}"/>
    <cellStyle name="Hed Side 3 2 4 5 2" xfId="14981" xr:uid="{00000000-0005-0000-0000-000007420000}"/>
    <cellStyle name="Hed Side 3 2 4 6" xfId="14982" xr:uid="{00000000-0005-0000-0000-000008420000}"/>
    <cellStyle name="Hed Side 3 2 4 6 2" xfId="14983" xr:uid="{00000000-0005-0000-0000-000009420000}"/>
    <cellStyle name="Hed Side 3 2 4 7" xfId="14984" xr:uid="{00000000-0005-0000-0000-00000A420000}"/>
    <cellStyle name="Hed Side 3 2 4 7 2" xfId="14985" xr:uid="{00000000-0005-0000-0000-00000B420000}"/>
    <cellStyle name="Hed Side 3 2 4 8" xfId="14986" xr:uid="{00000000-0005-0000-0000-00000C420000}"/>
    <cellStyle name="Hed Side 3 2 4 8 2" xfId="14987" xr:uid="{00000000-0005-0000-0000-00000D420000}"/>
    <cellStyle name="Hed Side 3 2 4 9" xfId="14988" xr:uid="{00000000-0005-0000-0000-00000E420000}"/>
    <cellStyle name="Hed Side 3 2 4 9 2" xfId="14989" xr:uid="{00000000-0005-0000-0000-00000F420000}"/>
    <cellStyle name="Hed Side 3 2 5" xfId="14990" xr:uid="{00000000-0005-0000-0000-000010420000}"/>
    <cellStyle name="Hed Side 3 2 5 10" xfId="14991" xr:uid="{00000000-0005-0000-0000-000011420000}"/>
    <cellStyle name="Hed Side 3 2 5 2" xfId="14992" xr:uid="{00000000-0005-0000-0000-000012420000}"/>
    <cellStyle name="Hed Side 3 2 5 2 2" xfId="14993" xr:uid="{00000000-0005-0000-0000-000013420000}"/>
    <cellStyle name="Hed Side 3 2 5 3" xfId="14994" xr:uid="{00000000-0005-0000-0000-000014420000}"/>
    <cellStyle name="Hed Side 3 2 5 3 2" xfId="14995" xr:uid="{00000000-0005-0000-0000-000015420000}"/>
    <cellStyle name="Hed Side 3 2 5 4" xfId="14996" xr:uid="{00000000-0005-0000-0000-000016420000}"/>
    <cellStyle name="Hed Side 3 2 5 4 2" xfId="14997" xr:uid="{00000000-0005-0000-0000-000017420000}"/>
    <cellStyle name="Hed Side 3 2 5 5" xfId="14998" xr:uid="{00000000-0005-0000-0000-000018420000}"/>
    <cellStyle name="Hed Side 3 2 5 5 2" xfId="14999" xr:uid="{00000000-0005-0000-0000-000019420000}"/>
    <cellStyle name="Hed Side 3 2 5 6" xfId="15000" xr:uid="{00000000-0005-0000-0000-00001A420000}"/>
    <cellStyle name="Hed Side 3 2 5 6 2" xfId="15001" xr:uid="{00000000-0005-0000-0000-00001B420000}"/>
    <cellStyle name="Hed Side 3 2 5 7" xfId="15002" xr:uid="{00000000-0005-0000-0000-00001C420000}"/>
    <cellStyle name="Hed Side 3 2 5 7 2" xfId="15003" xr:uid="{00000000-0005-0000-0000-00001D420000}"/>
    <cellStyle name="Hed Side 3 2 5 8" xfId="15004" xr:uid="{00000000-0005-0000-0000-00001E420000}"/>
    <cellStyle name="Hed Side 3 2 5 8 2" xfId="15005" xr:uid="{00000000-0005-0000-0000-00001F420000}"/>
    <cellStyle name="Hed Side 3 2 5 9" xfId="15006" xr:uid="{00000000-0005-0000-0000-000020420000}"/>
    <cellStyle name="Hed Side 3 2 5 9 2" xfId="15007" xr:uid="{00000000-0005-0000-0000-000021420000}"/>
    <cellStyle name="Hed Side 3 2 6" xfId="15008" xr:uid="{00000000-0005-0000-0000-000022420000}"/>
    <cellStyle name="Hed Side 3 2 6 10" xfId="15009" xr:uid="{00000000-0005-0000-0000-000023420000}"/>
    <cellStyle name="Hed Side 3 2 6 2" xfId="15010" xr:uid="{00000000-0005-0000-0000-000024420000}"/>
    <cellStyle name="Hed Side 3 2 6 2 2" xfId="15011" xr:uid="{00000000-0005-0000-0000-000025420000}"/>
    <cellStyle name="Hed Side 3 2 6 3" xfId="15012" xr:uid="{00000000-0005-0000-0000-000026420000}"/>
    <cellStyle name="Hed Side 3 2 6 3 2" xfId="15013" xr:uid="{00000000-0005-0000-0000-000027420000}"/>
    <cellStyle name="Hed Side 3 2 6 4" xfId="15014" xr:uid="{00000000-0005-0000-0000-000028420000}"/>
    <cellStyle name="Hed Side 3 2 6 4 2" xfId="15015" xr:uid="{00000000-0005-0000-0000-000029420000}"/>
    <cellStyle name="Hed Side 3 2 6 5" xfId="15016" xr:uid="{00000000-0005-0000-0000-00002A420000}"/>
    <cellStyle name="Hed Side 3 2 6 5 2" xfId="15017" xr:uid="{00000000-0005-0000-0000-00002B420000}"/>
    <cellStyle name="Hed Side 3 2 6 6" xfId="15018" xr:uid="{00000000-0005-0000-0000-00002C420000}"/>
    <cellStyle name="Hed Side 3 2 6 6 2" xfId="15019" xr:uid="{00000000-0005-0000-0000-00002D420000}"/>
    <cellStyle name="Hed Side 3 2 6 7" xfId="15020" xr:uid="{00000000-0005-0000-0000-00002E420000}"/>
    <cellStyle name="Hed Side 3 2 6 7 2" xfId="15021" xr:uid="{00000000-0005-0000-0000-00002F420000}"/>
    <cellStyle name="Hed Side 3 2 6 8" xfId="15022" xr:uid="{00000000-0005-0000-0000-000030420000}"/>
    <cellStyle name="Hed Side 3 2 6 8 2" xfId="15023" xr:uid="{00000000-0005-0000-0000-000031420000}"/>
    <cellStyle name="Hed Side 3 2 6 9" xfId="15024" xr:uid="{00000000-0005-0000-0000-000032420000}"/>
    <cellStyle name="Hed Side 3 2 6 9 2" xfId="15025" xr:uid="{00000000-0005-0000-0000-000033420000}"/>
    <cellStyle name="Hed Side 3 2 7" xfId="15026" xr:uid="{00000000-0005-0000-0000-000034420000}"/>
    <cellStyle name="Hed Side 3 2 7 10" xfId="15027" xr:uid="{00000000-0005-0000-0000-000035420000}"/>
    <cellStyle name="Hed Side 3 2 7 2" xfId="15028" xr:uid="{00000000-0005-0000-0000-000036420000}"/>
    <cellStyle name="Hed Side 3 2 7 2 2" xfId="15029" xr:uid="{00000000-0005-0000-0000-000037420000}"/>
    <cellStyle name="Hed Side 3 2 7 3" xfId="15030" xr:uid="{00000000-0005-0000-0000-000038420000}"/>
    <cellStyle name="Hed Side 3 2 7 3 2" xfId="15031" xr:uid="{00000000-0005-0000-0000-000039420000}"/>
    <cellStyle name="Hed Side 3 2 7 4" xfId="15032" xr:uid="{00000000-0005-0000-0000-00003A420000}"/>
    <cellStyle name="Hed Side 3 2 7 4 2" xfId="15033" xr:uid="{00000000-0005-0000-0000-00003B420000}"/>
    <cellStyle name="Hed Side 3 2 7 5" xfId="15034" xr:uid="{00000000-0005-0000-0000-00003C420000}"/>
    <cellStyle name="Hed Side 3 2 7 5 2" xfId="15035" xr:uid="{00000000-0005-0000-0000-00003D420000}"/>
    <cellStyle name="Hed Side 3 2 7 6" xfId="15036" xr:uid="{00000000-0005-0000-0000-00003E420000}"/>
    <cellStyle name="Hed Side 3 2 7 6 2" xfId="15037" xr:uid="{00000000-0005-0000-0000-00003F420000}"/>
    <cellStyle name="Hed Side 3 2 7 7" xfId="15038" xr:uid="{00000000-0005-0000-0000-000040420000}"/>
    <cellStyle name="Hed Side 3 2 7 7 2" xfId="15039" xr:uid="{00000000-0005-0000-0000-000041420000}"/>
    <cellStyle name="Hed Side 3 2 7 8" xfId="15040" xr:uid="{00000000-0005-0000-0000-000042420000}"/>
    <cellStyle name="Hed Side 3 2 7 8 2" xfId="15041" xr:uid="{00000000-0005-0000-0000-000043420000}"/>
    <cellStyle name="Hed Side 3 2 7 9" xfId="15042" xr:uid="{00000000-0005-0000-0000-000044420000}"/>
    <cellStyle name="Hed Side 3 2 7 9 2" xfId="15043" xr:uid="{00000000-0005-0000-0000-000045420000}"/>
    <cellStyle name="Hed Side 3 2 8" xfId="15044" xr:uid="{00000000-0005-0000-0000-000046420000}"/>
    <cellStyle name="Hed Side 3 2 8 10" xfId="15045" xr:uid="{00000000-0005-0000-0000-000047420000}"/>
    <cellStyle name="Hed Side 3 2 8 2" xfId="15046" xr:uid="{00000000-0005-0000-0000-000048420000}"/>
    <cellStyle name="Hed Side 3 2 8 2 2" xfId="15047" xr:uid="{00000000-0005-0000-0000-000049420000}"/>
    <cellStyle name="Hed Side 3 2 8 3" xfId="15048" xr:uid="{00000000-0005-0000-0000-00004A420000}"/>
    <cellStyle name="Hed Side 3 2 8 3 2" xfId="15049" xr:uid="{00000000-0005-0000-0000-00004B420000}"/>
    <cellStyle name="Hed Side 3 2 8 4" xfId="15050" xr:uid="{00000000-0005-0000-0000-00004C420000}"/>
    <cellStyle name="Hed Side 3 2 8 4 2" xfId="15051" xr:uid="{00000000-0005-0000-0000-00004D420000}"/>
    <cellStyle name="Hed Side 3 2 8 5" xfId="15052" xr:uid="{00000000-0005-0000-0000-00004E420000}"/>
    <cellStyle name="Hed Side 3 2 8 5 2" xfId="15053" xr:uid="{00000000-0005-0000-0000-00004F420000}"/>
    <cellStyle name="Hed Side 3 2 8 6" xfId="15054" xr:uid="{00000000-0005-0000-0000-000050420000}"/>
    <cellStyle name="Hed Side 3 2 8 6 2" xfId="15055" xr:uid="{00000000-0005-0000-0000-000051420000}"/>
    <cellStyle name="Hed Side 3 2 8 7" xfId="15056" xr:uid="{00000000-0005-0000-0000-000052420000}"/>
    <cellStyle name="Hed Side 3 2 8 7 2" xfId="15057" xr:uid="{00000000-0005-0000-0000-000053420000}"/>
    <cellStyle name="Hed Side 3 2 8 8" xfId="15058" xr:uid="{00000000-0005-0000-0000-000054420000}"/>
    <cellStyle name="Hed Side 3 2 8 8 2" xfId="15059" xr:uid="{00000000-0005-0000-0000-000055420000}"/>
    <cellStyle name="Hed Side 3 2 8 9" xfId="15060" xr:uid="{00000000-0005-0000-0000-000056420000}"/>
    <cellStyle name="Hed Side 3 2 8 9 2" xfId="15061" xr:uid="{00000000-0005-0000-0000-000057420000}"/>
    <cellStyle name="Hed Side 3 2 9" xfId="15062" xr:uid="{00000000-0005-0000-0000-000058420000}"/>
    <cellStyle name="Hed Side 3 2 9 10" xfId="15063" xr:uid="{00000000-0005-0000-0000-000059420000}"/>
    <cellStyle name="Hed Side 3 2 9 2" xfId="15064" xr:uid="{00000000-0005-0000-0000-00005A420000}"/>
    <cellStyle name="Hed Side 3 2 9 2 2" xfId="15065" xr:uid="{00000000-0005-0000-0000-00005B420000}"/>
    <cellStyle name="Hed Side 3 2 9 3" xfId="15066" xr:uid="{00000000-0005-0000-0000-00005C420000}"/>
    <cellStyle name="Hed Side 3 2 9 3 2" xfId="15067" xr:uid="{00000000-0005-0000-0000-00005D420000}"/>
    <cellStyle name="Hed Side 3 2 9 4" xfId="15068" xr:uid="{00000000-0005-0000-0000-00005E420000}"/>
    <cellStyle name="Hed Side 3 2 9 4 2" xfId="15069" xr:uid="{00000000-0005-0000-0000-00005F420000}"/>
    <cellStyle name="Hed Side 3 2 9 5" xfId="15070" xr:uid="{00000000-0005-0000-0000-000060420000}"/>
    <cellStyle name="Hed Side 3 2 9 5 2" xfId="15071" xr:uid="{00000000-0005-0000-0000-000061420000}"/>
    <cellStyle name="Hed Side 3 2 9 6" xfId="15072" xr:uid="{00000000-0005-0000-0000-000062420000}"/>
    <cellStyle name="Hed Side 3 2 9 6 2" xfId="15073" xr:uid="{00000000-0005-0000-0000-000063420000}"/>
    <cellStyle name="Hed Side 3 2 9 7" xfId="15074" xr:uid="{00000000-0005-0000-0000-000064420000}"/>
    <cellStyle name="Hed Side 3 2 9 7 2" xfId="15075" xr:uid="{00000000-0005-0000-0000-000065420000}"/>
    <cellStyle name="Hed Side 3 2 9 8" xfId="15076" xr:uid="{00000000-0005-0000-0000-000066420000}"/>
    <cellStyle name="Hed Side 3 2 9 8 2" xfId="15077" xr:uid="{00000000-0005-0000-0000-000067420000}"/>
    <cellStyle name="Hed Side 3 2 9 9" xfId="15078" xr:uid="{00000000-0005-0000-0000-000068420000}"/>
    <cellStyle name="Hed Side 3 2 9 9 2" xfId="15079" xr:uid="{00000000-0005-0000-0000-000069420000}"/>
    <cellStyle name="Hed Side 3 3" xfId="15080" xr:uid="{00000000-0005-0000-0000-00006A420000}"/>
    <cellStyle name="Hed Side 3 3 10" xfId="15081" xr:uid="{00000000-0005-0000-0000-00006B420000}"/>
    <cellStyle name="Hed Side 3 3 10 10" xfId="15082" xr:uid="{00000000-0005-0000-0000-00006C420000}"/>
    <cellStyle name="Hed Side 3 3 10 2" xfId="15083" xr:uid="{00000000-0005-0000-0000-00006D420000}"/>
    <cellStyle name="Hed Side 3 3 10 2 2" xfId="15084" xr:uid="{00000000-0005-0000-0000-00006E420000}"/>
    <cellStyle name="Hed Side 3 3 10 3" xfId="15085" xr:uid="{00000000-0005-0000-0000-00006F420000}"/>
    <cellStyle name="Hed Side 3 3 10 3 2" xfId="15086" xr:uid="{00000000-0005-0000-0000-000070420000}"/>
    <cellStyle name="Hed Side 3 3 10 4" xfId="15087" xr:uid="{00000000-0005-0000-0000-000071420000}"/>
    <cellStyle name="Hed Side 3 3 10 4 2" xfId="15088" xr:uid="{00000000-0005-0000-0000-000072420000}"/>
    <cellStyle name="Hed Side 3 3 10 5" xfId="15089" xr:uid="{00000000-0005-0000-0000-000073420000}"/>
    <cellStyle name="Hed Side 3 3 10 5 2" xfId="15090" xr:uid="{00000000-0005-0000-0000-000074420000}"/>
    <cellStyle name="Hed Side 3 3 10 6" xfId="15091" xr:uid="{00000000-0005-0000-0000-000075420000}"/>
    <cellStyle name="Hed Side 3 3 10 6 2" xfId="15092" xr:uid="{00000000-0005-0000-0000-000076420000}"/>
    <cellStyle name="Hed Side 3 3 10 7" xfId="15093" xr:uid="{00000000-0005-0000-0000-000077420000}"/>
    <cellStyle name="Hed Side 3 3 10 7 2" xfId="15094" xr:uid="{00000000-0005-0000-0000-000078420000}"/>
    <cellStyle name="Hed Side 3 3 10 8" xfId="15095" xr:uid="{00000000-0005-0000-0000-000079420000}"/>
    <cellStyle name="Hed Side 3 3 10 8 2" xfId="15096" xr:uid="{00000000-0005-0000-0000-00007A420000}"/>
    <cellStyle name="Hed Side 3 3 10 9" xfId="15097" xr:uid="{00000000-0005-0000-0000-00007B420000}"/>
    <cellStyle name="Hed Side 3 3 10 9 2" xfId="15098" xr:uid="{00000000-0005-0000-0000-00007C420000}"/>
    <cellStyle name="Hed Side 3 3 11" xfId="15099" xr:uid="{00000000-0005-0000-0000-00007D420000}"/>
    <cellStyle name="Hed Side 3 3 11 2" xfId="15100" xr:uid="{00000000-0005-0000-0000-00007E420000}"/>
    <cellStyle name="Hed Side 3 3 11 2 2" xfId="15101" xr:uid="{00000000-0005-0000-0000-00007F420000}"/>
    <cellStyle name="Hed Side 3 3 11 3" xfId="15102" xr:uid="{00000000-0005-0000-0000-000080420000}"/>
    <cellStyle name="Hed Side 3 3 11 3 2" xfId="15103" xr:uid="{00000000-0005-0000-0000-000081420000}"/>
    <cellStyle name="Hed Side 3 3 11 4" xfId="15104" xr:uid="{00000000-0005-0000-0000-000082420000}"/>
    <cellStyle name="Hed Side 3 3 11 4 2" xfId="15105" xr:uid="{00000000-0005-0000-0000-000083420000}"/>
    <cellStyle name="Hed Side 3 3 11 5" xfId="15106" xr:uid="{00000000-0005-0000-0000-000084420000}"/>
    <cellStyle name="Hed Side 3 3 11 5 2" xfId="15107" xr:uid="{00000000-0005-0000-0000-000085420000}"/>
    <cellStyle name="Hed Side 3 3 11 6" xfId="15108" xr:uid="{00000000-0005-0000-0000-000086420000}"/>
    <cellStyle name="Hed Side 3 3 11 6 2" xfId="15109" xr:uid="{00000000-0005-0000-0000-000087420000}"/>
    <cellStyle name="Hed Side 3 3 11 7" xfId="15110" xr:uid="{00000000-0005-0000-0000-000088420000}"/>
    <cellStyle name="Hed Side 3 3 11 7 2" xfId="15111" xr:uid="{00000000-0005-0000-0000-000089420000}"/>
    <cellStyle name="Hed Side 3 3 11 8" xfId="15112" xr:uid="{00000000-0005-0000-0000-00008A420000}"/>
    <cellStyle name="Hed Side 3 3 11 8 2" xfId="15113" xr:uid="{00000000-0005-0000-0000-00008B420000}"/>
    <cellStyle name="Hed Side 3 3 11 9" xfId="15114" xr:uid="{00000000-0005-0000-0000-00008C420000}"/>
    <cellStyle name="Hed Side 3 3 2" xfId="15115" xr:uid="{00000000-0005-0000-0000-00008D420000}"/>
    <cellStyle name="Hed Side 3 3 2 10" xfId="15116" xr:uid="{00000000-0005-0000-0000-00008E420000}"/>
    <cellStyle name="Hed Side 3 3 2 2" xfId="15117" xr:uid="{00000000-0005-0000-0000-00008F420000}"/>
    <cellStyle name="Hed Side 3 3 2 2 2" xfId="15118" xr:uid="{00000000-0005-0000-0000-000090420000}"/>
    <cellStyle name="Hed Side 3 3 2 3" xfId="15119" xr:uid="{00000000-0005-0000-0000-000091420000}"/>
    <cellStyle name="Hed Side 3 3 2 3 2" xfId="15120" xr:uid="{00000000-0005-0000-0000-000092420000}"/>
    <cellStyle name="Hed Side 3 3 2 4" xfId="15121" xr:uid="{00000000-0005-0000-0000-000093420000}"/>
    <cellStyle name="Hed Side 3 3 2 4 2" xfId="15122" xr:uid="{00000000-0005-0000-0000-000094420000}"/>
    <cellStyle name="Hed Side 3 3 2 5" xfId="15123" xr:uid="{00000000-0005-0000-0000-000095420000}"/>
    <cellStyle name="Hed Side 3 3 2 5 2" xfId="15124" xr:uid="{00000000-0005-0000-0000-000096420000}"/>
    <cellStyle name="Hed Side 3 3 2 6" xfId="15125" xr:uid="{00000000-0005-0000-0000-000097420000}"/>
    <cellStyle name="Hed Side 3 3 2 6 2" xfId="15126" xr:uid="{00000000-0005-0000-0000-000098420000}"/>
    <cellStyle name="Hed Side 3 3 2 7" xfId="15127" xr:uid="{00000000-0005-0000-0000-000099420000}"/>
    <cellStyle name="Hed Side 3 3 2 7 2" xfId="15128" xr:uid="{00000000-0005-0000-0000-00009A420000}"/>
    <cellStyle name="Hed Side 3 3 2 8" xfId="15129" xr:uid="{00000000-0005-0000-0000-00009B420000}"/>
    <cellStyle name="Hed Side 3 3 2 8 2" xfId="15130" xr:uid="{00000000-0005-0000-0000-00009C420000}"/>
    <cellStyle name="Hed Side 3 3 2 9" xfId="15131" xr:uid="{00000000-0005-0000-0000-00009D420000}"/>
    <cellStyle name="Hed Side 3 3 2 9 2" xfId="15132" xr:uid="{00000000-0005-0000-0000-00009E420000}"/>
    <cellStyle name="Hed Side 3 3 3" xfId="15133" xr:uid="{00000000-0005-0000-0000-00009F420000}"/>
    <cellStyle name="Hed Side 3 3 3 10" xfId="15134" xr:uid="{00000000-0005-0000-0000-0000A0420000}"/>
    <cellStyle name="Hed Side 3 3 3 2" xfId="15135" xr:uid="{00000000-0005-0000-0000-0000A1420000}"/>
    <cellStyle name="Hed Side 3 3 3 2 2" xfId="15136" xr:uid="{00000000-0005-0000-0000-0000A2420000}"/>
    <cellStyle name="Hed Side 3 3 3 3" xfId="15137" xr:uid="{00000000-0005-0000-0000-0000A3420000}"/>
    <cellStyle name="Hed Side 3 3 3 3 2" xfId="15138" xr:uid="{00000000-0005-0000-0000-0000A4420000}"/>
    <cellStyle name="Hed Side 3 3 3 4" xfId="15139" xr:uid="{00000000-0005-0000-0000-0000A5420000}"/>
    <cellStyle name="Hed Side 3 3 3 4 2" xfId="15140" xr:uid="{00000000-0005-0000-0000-0000A6420000}"/>
    <cellStyle name="Hed Side 3 3 3 5" xfId="15141" xr:uid="{00000000-0005-0000-0000-0000A7420000}"/>
    <cellStyle name="Hed Side 3 3 3 5 2" xfId="15142" xr:uid="{00000000-0005-0000-0000-0000A8420000}"/>
    <cellStyle name="Hed Side 3 3 3 6" xfId="15143" xr:uid="{00000000-0005-0000-0000-0000A9420000}"/>
    <cellStyle name="Hed Side 3 3 3 6 2" xfId="15144" xr:uid="{00000000-0005-0000-0000-0000AA420000}"/>
    <cellStyle name="Hed Side 3 3 3 7" xfId="15145" xr:uid="{00000000-0005-0000-0000-0000AB420000}"/>
    <cellStyle name="Hed Side 3 3 3 7 2" xfId="15146" xr:uid="{00000000-0005-0000-0000-0000AC420000}"/>
    <cellStyle name="Hed Side 3 3 3 8" xfId="15147" xr:uid="{00000000-0005-0000-0000-0000AD420000}"/>
    <cellStyle name="Hed Side 3 3 3 8 2" xfId="15148" xr:uid="{00000000-0005-0000-0000-0000AE420000}"/>
    <cellStyle name="Hed Side 3 3 3 9" xfId="15149" xr:uid="{00000000-0005-0000-0000-0000AF420000}"/>
    <cellStyle name="Hed Side 3 3 3 9 2" xfId="15150" xr:uid="{00000000-0005-0000-0000-0000B0420000}"/>
    <cellStyle name="Hed Side 3 3 4" xfId="15151" xr:uid="{00000000-0005-0000-0000-0000B1420000}"/>
    <cellStyle name="Hed Side 3 3 4 10" xfId="15152" xr:uid="{00000000-0005-0000-0000-0000B2420000}"/>
    <cellStyle name="Hed Side 3 3 4 2" xfId="15153" xr:uid="{00000000-0005-0000-0000-0000B3420000}"/>
    <cellStyle name="Hed Side 3 3 4 2 2" xfId="15154" xr:uid="{00000000-0005-0000-0000-0000B4420000}"/>
    <cellStyle name="Hed Side 3 3 4 3" xfId="15155" xr:uid="{00000000-0005-0000-0000-0000B5420000}"/>
    <cellStyle name="Hed Side 3 3 4 3 2" xfId="15156" xr:uid="{00000000-0005-0000-0000-0000B6420000}"/>
    <cellStyle name="Hed Side 3 3 4 4" xfId="15157" xr:uid="{00000000-0005-0000-0000-0000B7420000}"/>
    <cellStyle name="Hed Side 3 3 4 4 2" xfId="15158" xr:uid="{00000000-0005-0000-0000-0000B8420000}"/>
    <cellStyle name="Hed Side 3 3 4 5" xfId="15159" xr:uid="{00000000-0005-0000-0000-0000B9420000}"/>
    <cellStyle name="Hed Side 3 3 4 5 2" xfId="15160" xr:uid="{00000000-0005-0000-0000-0000BA420000}"/>
    <cellStyle name="Hed Side 3 3 4 6" xfId="15161" xr:uid="{00000000-0005-0000-0000-0000BB420000}"/>
    <cellStyle name="Hed Side 3 3 4 6 2" xfId="15162" xr:uid="{00000000-0005-0000-0000-0000BC420000}"/>
    <cellStyle name="Hed Side 3 3 4 7" xfId="15163" xr:uid="{00000000-0005-0000-0000-0000BD420000}"/>
    <cellStyle name="Hed Side 3 3 4 7 2" xfId="15164" xr:uid="{00000000-0005-0000-0000-0000BE420000}"/>
    <cellStyle name="Hed Side 3 3 4 8" xfId="15165" xr:uid="{00000000-0005-0000-0000-0000BF420000}"/>
    <cellStyle name="Hed Side 3 3 4 8 2" xfId="15166" xr:uid="{00000000-0005-0000-0000-0000C0420000}"/>
    <cellStyle name="Hed Side 3 3 4 9" xfId="15167" xr:uid="{00000000-0005-0000-0000-0000C1420000}"/>
    <cellStyle name="Hed Side 3 3 4 9 2" xfId="15168" xr:uid="{00000000-0005-0000-0000-0000C2420000}"/>
    <cellStyle name="Hed Side 3 3 5" xfId="15169" xr:uid="{00000000-0005-0000-0000-0000C3420000}"/>
    <cellStyle name="Hed Side 3 3 5 10" xfId="15170" xr:uid="{00000000-0005-0000-0000-0000C4420000}"/>
    <cellStyle name="Hed Side 3 3 5 2" xfId="15171" xr:uid="{00000000-0005-0000-0000-0000C5420000}"/>
    <cellStyle name="Hed Side 3 3 5 2 2" xfId="15172" xr:uid="{00000000-0005-0000-0000-0000C6420000}"/>
    <cellStyle name="Hed Side 3 3 5 3" xfId="15173" xr:uid="{00000000-0005-0000-0000-0000C7420000}"/>
    <cellStyle name="Hed Side 3 3 5 3 2" xfId="15174" xr:uid="{00000000-0005-0000-0000-0000C8420000}"/>
    <cellStyle name="Hed Side 3 3 5 4" xfId="15175" xr:uid="{00000000-0005-0000-0000-0000C9420000}"/>
    <cellStyle name="Hed Side 3 3 5 4 2" xfId="15176" xr:uid="{00000000-0005-0000-0000-0000CA420000}"/>
    <cellStyle name="Hed Side 3 3 5 5" xfId="15177" xr:uid="{00000000-0005-0000-0000-0000CB420000}"/>
    <cellStyle name="Hed Side 3 3 5 5 2" xfId="15178" xr:uid="{00000000-0005-0000-0000-0000CC420000}"/>
    <cellStyle name="Hed Side 3 3 5 6" xfId="15179" xr:uid="{00000000-0005-0000-0000-0000CD420000}"/>
    <cellStyle name="Hed Side 3 3 5 6 2" xfId="15180" xr:uid="{00000000-0005-0000-0000-0000CE420000}"/>
    <cellStyle name="Hed Side 3 3 5 7" xfId="15181" xr:uid="{00000000-0005-0000-0000-0000CF420000}"/>
    <cellStyle name="Hed Side 3 3 5 7 2" xfId="15182" xr:uid="{00000000-0005-0000-0000-0000D0420000}"/>
    <cellStyle name="Hed Side 3 3 5 8" xfId="15183" xr:uid="{00000000-0005-0000-0000-0000D1420000}"/>
    <cellStyle name="Hed Side 3 3 5 8 2" xfId="15184" xr:uid="{00000000-0005-0000-0000-0000D2420000}"/>
    <cellStyle name="Hed Side 3 3 5 9" xfId="15185" xr:uid="{00000000-0005-0000-0000-0000D3420000}"/>
    <cellStyle name="Hed Side 3 3 5 9 2" xfId="15186" xr:uid="{00000000-0005-0000-0000-0000D4420000}"/>
    <cellStyle name="Hed Side 3 3 6" xfId="15187" xr:uid="{00000000-0005-0000-0000-0000D5420000}"/>
    <cellStyle name="Hed Side 3 3 6 10" xfId="15188" xr:uid="{00000000-0005-0000-0000-0000D6420000}"/>
    <cellStyle name="Hed Side 3 3 6 2" xfId="15189" xr:uid="{00000000-0005-0000-0000-0000D7420000}"/>
    <cellStyle name="Hed Side 3 3 6 2 2" xfId="15190" xr:uid="{00000000-0005-0000-0000-0000D8420000}"/>
    <cellStyle name="Hed Side 3 3 6 3" xfId="15191" xr:uid="{00000000-0005-0000-0000-0000D9420000}"/>
    <cellStyle name="Hed Side 3 3 6 3 2" xfId="15192" xr:uid="{00000000-0005-0000-0000-0000DA420000}"/>
    <cellStyle name="Hed Side 3 3 6 4" xfId="15193" xr:uid="{00000000-0005-0000-0000-0000DB420000}"/>
    <cellStyle name="Hed Side 3 3 6 4 2" xfId="15194" xr:uid="{00000000-0005-0000-0000-0000DC420000}"/>
    <cellStyle name="Hed Side 3 3 6 5" xfId="15195" xr:uid="{00000000-0005-0000-0000-0000DD420000}"/>
    <cellStyle name="Hed Side 3 3 6 5 2" xfId="15196" xr:uid="{00000000-0005-0000-0000-0000DE420000}"/>
    <cellStyle name="Hed Side 3 3 6 6" xfId="15197" xr:uid="{00000000-0005-0000-0000-0000DF420000}"/>
    <cellStyle name="Hed Side 3 3 6 6 2" xfId="15198" xr:uid="{00000000-0005-0000-0000-0000E0420000}"/>
    <cellStyle name="Hed Side 3 3 6 7" xfId="15199" xr:uid="{00000000-0005-0000-0000-0000E1420000}"/>
    <cellStyle name="Hed Side 3 3 6 7 2" xfId="15200" xr:uid="{00000000-0005-0000-0000-0000E2420000}"/>
    <cellStyle name="Hed Side 3 3 6 8" xfId="15201" xr:uid="{00000000-0005-0000-0000-0000E3420000}"/>
    <cellStyle name="Hed Side 3 3 6 8 2" xfId="15202" xr:uid="{00000000-0005-0000-0000-0000E4420000}"/>
    <cellStyle name="Hed Side 3 3 6 9" xfId="15203" xr:uid="{00000000-0005-0000-0000-0000E5420000}"/>
    <cellStyle name="Hed Side 3 3 6 9 2" xfId="15204" xr:uid="{00000000-0005-0000-0000-0000E6420000}"/>
    <cellStyle name="Hed Side 3 3 7" xfId="15205" xr:uid="{00000000-0005-0000-0000-0000E7420000}"/>
    <cellStyle name="Hed Side 3 3 7 10" xfId="15206" xr:uid="{00000000-0005-0000-0000-0000E8420000}"/>
    <cellStyle name="Hed Side 3 3 7 2" xfId="15207" xr:uid="{00000000-0005-0000-0000-0000E9420000}"/>
    <cellStyle name="Hed Side 3 3 7 2 2" xfId="15208" xr:uid="{00000000-0005-0000-0000-0000EA420000}"/>
    <cellStyle name="Hed Side 3 3 7 3" xfId="15209" xr:uid="{00000000-0005-0000-0000-0000EB420000}"/>
    <cellStyle name="Hed Side 3 3 7 3 2" xfId="15210" xr:uid="{00000000-0005-0000-0000-0000EC420000}"/>
    <cellStyle name="Hed Side 3 3 7 4" xfId="15211" xr:uid="{00000000-0005-0000-0000-0000ED420000}"/>
    <cellStyle name="Hed Side 3 3 7 4 2" xfId="15212" xr:uid="{00000000-0005-0000-0000-0000EE420000}"/>
    <cellStyle name="Hed Side 3 3 7 5" xfId="15213" xr:uid="{00000000-0005-0000-0000-0000EF420000}"/>
    <cellStyle name="Hed Side 3 3 7 5 2" xfId="15214" xr:uid="{00000000-0005-0000-0000-0000F0420000}"/>
    <cellStyle name="Hed Side 3 3 7 6" xfId="15215" xr:uid="{00000000-0005-0000-0000-0000F1420000}"/>
    <cellStyle name="Hed Side 3 3 7 6 2" xfId="15216" xr:uid="{00000000-0005-0000-0000-0000F2420000}"/>
    <cellStyle name="Hed Side 3 3 7 7" xfId="15217" xr:uid="{00000000-0005-0000-0000-0000F3420000}"/>
    <cellStyle name="Hed Side 3 3 7 7 2" xfId="15218" xr:uid="{00000000-0005-0000-0000-0000F4420000}"/>
    <cellStyle name="Hed Side 3 3 7 8" xfId="15219" xr:uid="{00000000-0005-0000-0000-0000F5420000}"/>
    <cellStyle name="Hed Side 3 3 7 8 2" xfId="15220" xr:uid="{00000000-0005-0000-0000-0000F6420000}"/>
    <cellStyle name="Hed Side 3 3 7 9" xfId="15221" xr:uid="{00000000-0005-0000-0000-0000F7420000}"/>
    <cellStyle name="Hed Side 3 3 7 9 2" xfId="15222" xr:uid="{00000000-0005-0000-0000-0000F8420000}"/>
    <cellStyle name="Hed Side 3 3 8" xfId="15223" xr:uid="{00000000-0005-0000-0000-0000F9420000}"/>
    <cellStyle name="Hed Side 3 3 8 10" xfId="15224" xr:uid="{00000000-0005-0000-0000-0000FA420000}"/>
    <cellStyle name="Hed Side 3 3 8 2" xfId="15225" xr:uid="{00000000-0005-0000-0000-0000FB420000}"/>
    <cellStyle name="Hed Side 3 3 8 2 2" xfId="15226" xr:uid="{00000000-0005-0000-0000-0000FC420000}"/>
    <cellStyle name="Hed Side 3 3 8 3" xfId="15227" xr:uid="{00000000-0005-0000-0000-0000FD420000}"/>
    <cellStyle name="Hed Side 3 3 8 3 2" xfId="15228" xr:uid="{00000000-0005-0000-0000-0000FE420000}"/>
    <cellStyle name="Hed Side 3 3 8 4" xfId="15229" xr:uid="{00000000-0005-0000-0000-0000FF420000}"/>
    <cellStyle name="Hed Side 3 3 8 4 2" xfId="15230" xr:uid="{00000000-0005-0000-0000-000000430000}"/>
    <cellStyle name="Hed Side 3 3 8 5" xfId="15231" xr:uid="{00000000-0005-0000-0000-000001430000}"/>
    <cellStyle name="Hed Side 3 3 8 5 2" xfId="15232" xr:uid="{00000000-0005-0000-0000-000002430000}"/>
    <cellStyle name="Hed Side 3 3 8 6" xfId="15233" xr:uid="{00000000-0005-0000-0000-000003430000}"/>
    <cellStyle name="Hed Side 3 3 8 6 2" xfId="15234" xr:uid="{00000000-0005-0000-0000-000004430000}"/>
    <cellStyle name="Hed Side 3 3 8 7" xfId="15235" xr:uid="{00000000-0005-0000-0000-000005430000}"/>
    <cellStyle name="Hed Side 3 3 8 7 2" xfId="15236" xr:uid="{00000000-0005-0000-0000-000006430000}"/>
    <cellStyle name="Hed Side 3 3 8 8" xfId="15237" xr:uid="{00000000-0005-0000-0000-000007430000}"/>
    <cellStyle name="Hed Side 3 3 8 8 2" xfId="15238" xr:uid="{00000000-0005-0000-0000-000008430000}"/>
    <cellStyle name="Hed Side 3 3 8 9" xfId="15239" xr:uid="{00000000-0005-0000-0000-000009430000}"/>
    <cellStyle name="Hed Side 3 3 8 9 2" xfId="15240" xr:uid="{00000000-0005-0000-0000-00000A430000}"/>
    <cellStyle name="Hed Side 3 3 9" xfId="15241" xr:uid="{00000000-0005-0000-0000-00000B430000}"/>
    <cellStyle name="Hed Side 3 3 9 10" xfId="15242" xr:uid="{00000000-0005-0000-0000-00000C430000}"/>
    <cellStyle name="Hed Side 3 3 9 2" xfId="15243" xr:uid="{00000000-0005-0000-0000-00000D430000}"/>
    <cellStyle name="Hed Side 3 3 9 2 2" xfId="15244" xr:uid="{00000000-0005-0000-0000-00000E430000}"/>
    <cellStyle name="Hed Side 3 3 9 3" xfId="15245" xr:uid="{00000000-0005-0000-0000-00000F430000}"/>
    <cellStyle name="Hed Side 3 3 9 3 2" xfId="15246" xr:uid="{00000000-0005-0000-0000-000010430000}"/>
    <cellStyle name="Hed Side 3 3 9 4" xfId="15247" xr:uid="{00000000-0005-0000-0000-000011430000}"/>
    <cellStyle name="Hed Side 3 3 9 4 2" xfId="15248" xr:uid="{00000000-0005-0000-0000-000012430000}"/>
    <cellStyle name="Hed Side 3 3 9 5" xfId="15249" xr:uid="{00000000-0005-0000-0000-000013430000}"/>
    <cellStyle name="Hed Side 3 3 9 5 2" xfId="15250" xr:uid="{00000000-0005-0000-0000-000014430000}"/>
    <cellStyle name="Hed Side 3 3 9 6" xfId="15251" xr:uid="{00000000-0005-0000-0000-000015430000}"/>
    <cellStyle name="Hed Side 3 3 9 6 2" xfId="15252" xr:uid="{00000000-0005-0000-0000-000016430000}"/>
    <cellStyle name="Hed Side 3 3 9 7" xfId="15253" xr:uid="{00000000-0005-0000-0000-000017430000}"/>
    <cellStyle name="Hed Side 3 3 9 7 2" xfId="15254" xr:uid="{00000000-0005-0000-0000-000018430000}"/>
    <cellStyle name="Hed Side 3 3 9 8" xfId="15255" xr:uid="{00000000-0005-0000-0000-000019430000}"/>
    <cellStyle name="Hed Side 3 3 9 8 2" xfId="15256" xr:uid="{00000000-0005-0000-0000-00001A430000}"/>
    <cellStyle name="Hed Side 3 3 9 9" xfId="15257" xr:uid="{00000000-0005-0000-0000-00001B430000}"/>
    <cellStyle name="Hed Side 3 3 9 9 2" xfId="15258" xr:uid="{00000000-0005-0000-0000-00001C430000}"/>
    <cellStyle name="Hed Side 3 4" xfId="15259" xr:uid="{00000000-0005-0000-0000-00001D430000}"/>
    <cellStyle name="Hed Side 3 4 10" xfId="15260" xr:uid="{00000000-0005-0000-0000-00001E430000}"/>
    <cellStyle name="Hed Side 3 4 10 2" xfId="15261" xr:uid="{00000000-0005-0000-0000-00001F430000}"/>
    <cellStyle name="Hed Side 3 4 10 2 2" xfId="15262" xr:uid="{00000000-0005-0000-0000-000020430000}"/>
    <cellStyle name="Hed Side 3 4 10 3" xfId="15263" xr:uid="{00000000-0005-0000-0000-000021430000}"/>
    <cellStyle name="Hed Side 3 4 10 3 2" xfId="15264" xr:uid="{00000000-0005-0000-0000-000022430000}"/>
    <cellStyle name="Hed Side 3 4 10 4" xfId="15265" xr:uid="{00000000-0005-0000-0000-000023430000}"/>
    <cellStyle name="Hed Side 3 4 10 4 2" xfId="15266" xr:uid="{00000000-0005-0000-0000-000024430000}"/>
    <cellStyle name="Hed Side 3 4 10 5" xfId="15267" xr:uid="{00000000-0005-0000-0000-000025430000}"/>
    <cellStyle name="Hed Side 3 4 10 5 2" xfId="15268" xr:uid="{00000000-0005-0000-0000-000026430000}"/>
    <cellStyle name="Hed Side 3 4 10 6" xfId="15269" xr:uid="{00000000-0005-0000-0000-000027430000}"/>
    <cellStyle name="Hed Side 3 4 10 6 2" xfId="15270" xr:uid="{00000000-0005-0000-0000-000028430000}"/>
    <cellStyle name="Hed Side 3 4 10 7" xfId="15271" xr:uid="{00000000-0005-0000-0000-000029430000}"/>
    <cellStyle name="Hed Side 3 4 10 7 2" xfId="15272" xr:uid="{00000000-0005-0000-0000-00002A430000}"/>
    <cellStyle name="Hed Side 3 4 10 8" xfId="15273" xr:uid="{00000000-0005-0000-0000-00002B430000}"/>
    <cellStyle name="Hed Side 3 4 10 8 2" xfId="15274" xr:uid="{00000000-0005-0000-0000-00002C430000}"/>
    <cellStyle name="Hed Side 3 4 10 9" xfId="15275" xr:uid="{00000000-0005-0000-0000-00002D430000}"/>
    <cellStyle name="Hed Side 3 4 11" xfId="15276" xr:uid="{00000000-0005-0000-0000-00002E430000}"/>
    <cellStyle name="Hed Side 3 4 11 2" xfId="15277" xr:uid="{00000000-0005-0000-0000-00002F430000}"/>
    <cellStyle name="Hed Side 3 4 12" xfId="15278" xr:uid="{00000000-0005-0000-0000-000030430000}"/>
    <cellStyle name="Hed Side 3 4 12 2" xfId="15279" xr:uid="{00000000-0005-0000-0000-000031430000}"/>
    <cellStyle name="Hed Side 3 4 13" xfId="15280" xr:uid="{00000000-0005-0000-0000-000032430000}"/>
    <cellStyle name="Hed Side 3 4 13 2" xfId="15281" xr:uid="{00000000-0005-0000-0000-000033430000}"/>
    <cellStyle name="Hed Side 3 4 14" xfId="15282" xr:uid="{00000000-0005-0000-0000-000034430000}"/>
    <cellStyle name="Hed Side 3 4 14 2" xfId="15283" xr:uid="{00000000-0005-0000-0000-000035430000}"/>
    <cellStyle name="Hed Side 3 4 15" xfId="15284" xr:uid="{00000000-0005-0000-0000-000036430000}"/>
    <cellStyle name="Hed Side 3 4 15 2" xfId="15285" xr:uid="{00000000-0005-0000-0000-000037430000}"/>
    <cellStyle name="Hed Side 3 4 16" xfId="15286" xr:uid="{00000000-0005-0000-0000-000038430000}"/>
    <cellStyle name="Hed Side 3 4 16 2" xfId="15287" xr:uid="{00000000-0005-0000-0000-000039430000}"/>
    <cellStyle name="Hed Side 3 4 17" xfId="15288" xr:uid="{00000000-0005-0000-0000-00003A430000}"/>
    <cellStyle name="Hed Side 3 4 17 2" xfId="15289" xr:uid="{00000000-0005-0000-0000-00003B430000}"/>
    <cellStyle name="Hed Side 3 4 18" xfId="15290" xr:uid="{00000000-0005-0000-0000-00003C430000}"/>
    <cellStyle name="Hed Side 3 4 2" xfId="15291" xr:uid="{00000000-0005-0000-0000-00003D430000}"/>
    <cellStyle name="Hed Side 3 4 2 10" xfId="15292" xr:uid="{00000000-0005-0000-0000-00003E430000}"/>
    <cellStyle name="Hed Side 3 4 2 2" xfId="15293" xr:uid="{00000000-0005-0000-0000-00003F430000}"/>
    <cellStyle name="Hed Side 3 4 2 2 2" xfId="15294" xr:uid="{00000000-0005-0000-0000-000040430000}"/>
    <cellStyle name="Hed Side 3 4 2 3" xfId="15295" xr:uid="{00000000-0005-0000-0000-000041430000}"/>
    <cellStyle name="Hed Side 3 4 2 3 2" xfId="15296" xr:uid="{00000000-0005-0000-0000-000042430000}"/>
    <cellStyle name="Hed Side 3 4 2 4" xfId="15297" xr:uid="{00000000-0005-0000-0000-000043430000}"/>
    <cellStyle name="Hed Side 3 4 2 4 2" xfId="15298" xr:uid="{00000000-0005-0000-0000-000044430000}"/>
    <cellStyle name="Hed Side 3 4 2 5" xfId="15299" xr:uid="{00000000-0005-0000-0000-000045430000}"/>
    <cellStyle name="Hed Side 3 4 2 5 2" xfId="15300" xr:uid="{00000000-0005-0000-0000-000046430000}"/>
    <cellStyle name="Hed Side 3 4 2 6" xfId="15301" xr:uid="{00000000-0005-0000-0000-000047430000}"/>
    <cellStyle name="Hed Side 3 4 2 6 2" xfId="15302" xr:uid="{00000000-0005-0000-0000-000048430000}"/>
    <cellStyle name="Hed Side 3 4 2 7" xfId="15303" xr:uid="{00000000-0005-0000-0000-000049430000}"/>
    <cellStyle name="Hed Side 3 4 2 7 2" xfId="15304" xr:uid="{00000000-0005-0000-0000-00004A430000}"/>
    <cellStyle name="Hed Side 3 4 2 8" xfId="15305" xr:uid="{00000000-0005-0000-0000-00004B430000}"/>
    <cellStyle name="Hed Side 3 4 2 8 2" xfId="15306" xr:uid="{00000000-0005-0000-0000-00004C430000}"/>
    <cellStyle name="Hed Side 3 4 2 9" xfId="15307" xr:uid="{00000000-0005-0000-0000-00004D430000}"/>
    <cellStyle name="Hed Side 3 4 2 9 2" xfId="15308" xr:uid="{00000000-0005-0000-0000-00004E430000}"/>
    <cellStyle name="Hed Side 3 4 3" xfId="15309" xr:uid="{00000000-0005-0000-0000-00004F430000}"/>
    <cellStyle name="Hed Side 3 4 3 10" xfId="15310" xr:uid="{00000000-0005-0000-0000-000050430000}"/>
    <cellStyle name="Hed Side 3 4 3 2" xfId="15311" xr:uid="{00000000-0005-0000-0000-000051430000}"/>
    <cellStyle name="Hed Side 3 4 3 2 2" xfId="15312" xr:uid="{00000000-0005-0000-0000-000052430000}"/>
    <cellStyle name="Hed Side 3 4 3 3" xfId="15313" xr:uid="{00000000-0005-0000-0000-000053430000}"/>
    <cellStyle name="Hed Side 3 4 3 3 2" xfId="15314" xr:uid="{00000000-0005-0000-0000-000054430000}"/>
    <cellStyle name="Hed Side 3 4 3 4" xfId="15315" xr:uid="{00000000-0005-0000-0000-000055430000}"/>
    <cellStyle name="Hed Side 3 4 3 4 2" xfId="15316" xr:uid="{00000000-0005-0000-0000-000056430000}"/>
    <cellStyle name="Hed Side 3 4 3 5" xfId="15317" xr:uid="{00000000-0005-0000-0000-000057430000}"/>
    <cellStyle name="Hed Side 3 4 3 5 2" xfId="15318" xr:uid="{00000000-0005-0000-0000-000058430000}"/>
    <cellStyle name="Hed Side 3 4 3 6" xfId="15319" xr:uid="{00000000-0005-0000-0000-000059430000}"/>
    <cellStyle name="Hed Side 3 4 3 6 2" xfId="15320" xr:uid="{00000000-0005-0000-0000-00005A430000}"/>
    <cellStyle name="Hed Side 3 4 3 7" xfId="15321" xr:uid="{00000000-0005-0000-0000-00005B430000}"/>
    <cellStyle name="Hed Side 3 4 3 7 2" xfId="15322" xr:uid="{00000000-0005-0000-0000-00005C430000}"/>
    <cellStyle name="Hed Side 3 4 3 8" xfId="15323" xr:uid="{00000000-0005-0000-0000-00005D430000}"/>
    <cellStyle name="Hed Side 3 4 3 8 2" xfId="15324" xr:uid="{00000000-0005-0000-0000-00005E430000}"/>
    <cellStyle name="Hed Side 3 4 3 9" xfId="15325" xr:uid="{00000000-0005-0000-0000-00005F430000}"/>
    <cellStyle name="Hed Side 3 4 3 9 2" xfId="15326" xr:uid="{00000000-0005-0000-0000-000060430000}"/>
    <cellStyle name="Hed Side 3 4 4" xfId="15327" xr:uid="{00000000-0005-0000-0000-000061430000}"/>
    <cellStyle name="Hed Side 3 4 4 10" xfId="15328" xr:uid="{00000000-0005-0000-0000-000062430000}"/>
    <cellStyle name="Hed Side 3 4 4 2" xfId="15329" xr:uid="{00000000-0005-0000-0000-000063430000}"/>
    <cellStyle name="Hed Side 3 4 4 2 2" xfId="15330" xr:uid="{00000000-0005-0000-0000-000064430000}"/>
    <cellStyle name="Hed Side 3 4 4 3" xfId="15331" xr:uid="{00000000-0005-0000-0000-000065430000}"/>
    <cellStyle name="Hed Side 3 4 4 3 2" xfId="15332" xr:uid="{00000000-0005-0000-0000-000066430000}"/>
    <cellStyle name="Hed Side 3 4 4 4" xfId="15333" xr:uid="{00000000-0005-0000-0000-000067430000}"/>
    <cellStyle name="Hed Side 3 4 4 4 2" xfId="15334" xr:uid="{00000000-0005-0000-0000-000068430000}"/>
    <cellStyle name="Hed Side 3 4 4 5" xfId="15335" xr:uid="{00000000-0005-0000-0000-000069430000}"/>
    <cellStyle name="Hed Side 3 4 4 5 2" xfId="15336" xr:uid="{00000000-0005-0000-0000-00006A430000}"/>
    <cellStyle name="Hed Side 3 4 4 6" xfId="15337" xr:uid="{00000000-0005-0000-0000-00006B430000}"/>
    <cellStyle name="Hed Side 3 4 4 6 2" xfId="15338" xr:uid="{00000000-0005-0000-0000-00006C430000}"/>
    <cellStyle name="Hed Side 3 4 4 7" xfId="15339" xr:uid="{00000000-0005-0000-0000-00006D430000}"/>
    <cellStyle name="Hed Side 3 4 4 7 2" xfId="15340" xr:uid="{00000000-0005-0000-0000-00006E430000}"/>
    <cellStyle name="Hed Side 3 4 4 8" xfId="15341" xr:uid="{00000000-0005-0000-0000-00006F430000}"/>
    <cellStyle name="Hed Side 3 4 4 8 2" xfId="15342" xr:uid="{00000000-0005-0000-0000-000070430000}"/>
    <cellStyle name="Hed Side 3 4 4 9" xfId="15343" xr:uid="{00000000-0005-0000-0000-000071430000}"/>
    <cellStyle name="Hed Side 3 4 4 9 2" xfId="15344" xr:uid="{00000000-0005-0000-0000-000072430000}"/>
    <cellStyle name="Hed Side 3 4 5" xfId="15345" xr:uid="{00000000-0005-0000-0000-000073430000}"/>
    <cellStyle name="Hed Side 3 4 5 10" xfId="15346" xr:uid="{00000000-0005-0000-0000-000074430000}"/>
    <cellStyle name="Hed Side 3 4 5 2" xfId="15347" xr:uid="{00000000-0005-0000-0000-000075430000}"/>
    <cellStyle name="Hed Side 3 4 5 2 2" xfId="15348" xr:uid="{00000000-0005-0000-0000-000076430000}"/>
    <cellStyle name="Hed Side 3 4 5 3" xfId="15349" xr:uid="{00000000-0005-0000-0000-000077430000}"/>
    <cellStyle name="Hed Side 3 4 5 3 2" xfId="15350" xr:uid="{00000000-0005-0000-0000-000078430000}"/>
    <cellStyle name="Hed Side 3 4 5 4" xfId="15351" xr:uid="{00000000-0005-0000-0000-000079430000}"/>
    <cellStyle name="Hed Side 3 4 5 4 2" xfId="15352" xr:uid="{00000000-0005-0000-0000-00007A430000}"/>
    <cellStyle name="Hed Side 3 4 5 5" xfId="15353" xr:uid="{00000000-0005-0000-0000-00007B430000}"/>
    <cellStyle name="Hed Side 3 4 5 5 2" xfId="15354" xr:uid="{00000000-0005-0000-0000-00007C430000}"/>
    <cellStyle name="Hed Side 3 4 5 6" xfId="15355" xr:uid="{00000000-0005-0000-0000-00007D430000}"/>
    <cellStyle name="Hed Side 3 4 5 6 2" xfId="15356" xr:uid="{00000000-0005-0000-0000-00007E430000}"/>
    <cellStyle name="Hed Side 3 4 5 7" xfId="15357" xr:uid="{00000000-0005-0000-0000-00007F430000}"/>
    <cellStyle name="Hed Side 3 4 5 7 2" xfId="15358" xr:uid="{00000000-0005-0000-0000-000080430000}"/>
    <cellStyle name="Hed Side 3 4 5 8" xfId="15359" xr:uid="{00000000-0005-0000-0000-000081430000}"/>
    <cellStyle name="Hed Side 3 4 5 8 2" xfId="15360" xr:uid="{00000000-0005-0000-0000-000082430000}"/>
    <cellStyle name="Hed Side 3 4 5 9" xfId="15361" xr:uid="{00000000-0005-0000-0000-000083430000}"/>
    <cellStyle name="Hed Side 3 4 5 9 2" xfId="15362" xr:uid="{00000000-0005-0000-0000-000084430000}"/>
    <cellStyle name="Hed Side 3 4 6" xfId="15363" xr:uid="{00000000-0005-0000-0000-000085430000}"/>
    <cellStyle name="Hed Side 3 4 6 10" xfId="15364" xr:uid="{00000000-0005-0000-0000-000086430000}"/>
    <cellStyle name="Hed Side 3 4 6 2" xfId="15365" xr:uid="{00000000-0005-0000-0000-000087430000}"/>
    <cellStyle name="Hed Side 3 4 6 2 2" xfId="15366" xr:uid="{00000000-0005-0000-0000-000088430000}"/>
    <cellStyle name="Hed Side 3 4 6 3" xfId="15367" xr:uid="{00000000-0005-0000-0000-000089430000}"/>
    <cellStyle name="Hed Side 3 4 6 3 2" xfId="15368" xr:uid="{00000000-0005-0000-0000-00008A430000}"/>
    <cellStyle name="Hed Side 3 4 6 4" xfId="15369" xr:uid="{00000000-0005-0000-0000-00008B430000}"/>
    <cellStyle name="Hed Side 3 4 6 4 2" xfId="15370" xr:uid="{00000000-0005-0000-0000-00008C430000}"/>
    <cellStyle name="Hed Side 3 4 6 5" xfId="15371" xr:uid="{00000000-0005-0000-0000-00008D430000}"/>
    <cellStyle name="Hed Side 3 4 6 5 2" xfId="15372" xr:uid="{00000000-0005-0000-0000-00008E430000}"/>
    <cellStyle name="Hed Side 3 4 6 6" xfId="15373" xr:uid="{00000000-0005-0000-0000-00008F430000}"/>
    <cellStyle name="Hed Side 3 4 6 6 2" xfId="15374" xr:uid="{00000000-0005-0000-0000-000090430000}"/>
    <cellStyle name="Hed Side 3 4 6 7" xfId="15375" xr:uid="{00000000-0005-0000-0000-000091430000}"/>
    <cellStyle name="Hed Side 3 4 6 7 2" xfId="15376" xr:uid="{00000000-0005-0000-0000-000092430000}"/>
    <cellStyle name="Hed Side 3 4 6 8" xfId="15377" xr:uid="{00000000-0005-0000-0000-000093430000}"/>
    <cellStyle name="Hed Side 3 4 6 8 2" xfId="15378" xr:uid="{00000000-0005-0000-0000-000094430000}"/>
    <cellStyle name="Hed Side 3 4 6 9" xfId="15379" xr:uid="{00000000-0005-0000-0000-000095430000}"/>
    <cellStyle name="Hed Side 3 4 6 9 2" xfId="15380" xr:uid="{00000000-0005-0000-0000-000096430000}"/>
    <cellStyle name="Hed Side 3 4 7" xfId="15381" xr:uid="{00000000-0005-0000-0000-000097430000}"/>
    <cellStyle name="Hed Side 3 4 7 10" xfId="15382" xr:uid="{00000000-0005-0000-0000-000098430000}"/>
    <cellStyle name="Hed Side 3 4 7 2" xfId="15383" xr:uid="{00000000-0005-0000-0000-000099430000}"/>
    <cellStyle name="Hed Side 3 4 7 2 2" xfId="15384" xr:uid="{00000000-0005-0000-0000-00009A430000}"/>
    <cellStyle name="Hed Side 3 4 7 3" xfId="15385" xr:uid="{00000000-0005-0000-0000-00009B430000}"/>
    <cellStyle name="Hed Side 3 4 7 3 2" xfId="15386" xr:uid="{00000000-0005-0000-0000-00009C430000}"/>
    <cellStyle name="Hed Side 3 4 7 4" xfId="15387" xr:uid="{00000000-0005-0000-0000-00009D430000}"/>
    <cellStyle name="Hed Side 3 4 7 4 2" xfId="15388" xr:uid="{00000000-0005-0000-0000-00009E430000}"/>
    <cellStyle name="Hed Side 3 4 7 5" xfId="15389" xr:uid="{00000000-0005-0000-0000-00009F430000}"/>
    <cellStyle name="Hed Side 3 4 7 5 2" xfId="15390" xr:uid="{00000000-0005-0000-0000-0000A0430000}"/>
    <cellStyle name="Hed Side 3 4 7 6" xfId="15391" xr:uid="{00000000-0005-0000-0000-0000A1430000}"/>
    <cellStyle name="Hed Side 3 4 7 6 2" xfId="15392" xr:uid="{00000000-0005-0000-0000-0000A2430000}"/>
    <cellStyle name="Hed Side 3 4 7 7" xfId="15393" xr:uid="{00000000-0005-0000-0000-0000A3430000}"/>
    <cellStyle name="Hed Side 3 4 7 7 2" xfId="15394" xr:uid="{00000000-0005-0000-0000-0000A4430000}"/>
    <cellStyle name="Hed Side 3 4 7 8" xfId="15395" xr:uid="{00000000-0005-0000-0000-0000A5430000}"/>
    <cellStyle name="Hed Side 3 4 7 8 2" xfId="15396" xr:uid="{00000000-0005-0000-0000-0000A6430000}"/>
    <cellStyle name="Hed Side 3 4 7 9" xfId="15397" xr:uid="{00000000-0005-0000-0000-0000A7430000}"/>
    <cellStyle name="Hed Side 3 4 7 9 2" xfId="15398" xr:uid="{00000000-0005-0000-0000-0000A8430000}"/>
    <cellStyle name="Hed Side 3 4 8" xfId="15399" xr:uid="{00000000-0005-0000-0000-0000A9430000}"/>
    <cellStyle name="Hed Side 3 4 8 10" xfId="15400" xr:uid="{00000000-0005-0000-0000-0000AA430000}"/>
    <cellStyle name="Hed Side 3 4 8 2" xfId="15401" xr:uid="{00000000-0005-0000-0000-0000AB430000}"/>
    <cellStyle name="Hed Side 3 4 8 2 2" xfId="15402" xr:uid="{00000000-0005-0000-0000-0000AC430000}"/>
    <cellStyle name="Hed Side 3 4 8 3" xfId="15403" xr:uid="{00000000-0005-0000-0000-0000AD430000}"/>
    <cellStyle name="Hed Side 3 4 8 3 2" xfId="15404" xr:uid="{00000000-0005-0000-0000-0000AE430000}"/>
    <cellStyle name="Hed Side 3 4 8 4" xfId="15405" xr:uid="{00000000-0005-0000-0000-0000AF430000}"/>
    <cellStyle name="Hed Side 3 4 8 4 2" xfId="15406" xr:uid="{00000000-0005-0000-0000-0000B0430000}"/>
    <cellStyle name="Hed Side 3 4 8 5" xfId="15407" xr:uid="{00000000-0005-0000-0000-0000B1430000}"/>
    <cellStyle name="Hed Side 3 4 8 5 2" xfId="15408" xr:uid="{00000000-0005-0000-0000-0000B2430000}"/>
    <cellStyle name="Hed Side 3 4 8 6" xfId="15409" xr:uid="{00000000-0005-0000-0000-0000B3430000}"/>
    <cellStyle name="Hed Side 3 4 8 6 2" xfId="15410" xr:uid="{00000000-0005-0000-0000-0000B4430000}"/>
    <cellStyle name="Hed Side 3 4 8 7" xfId="15411" xr:uid="{00000000-0005-0000-0000-0000B5430000}"/>
    <cellStyle name="Hed Side 3 4 8 7 2" xfId="15412" xr:uid="{00000000-0005-0000-0000-0000B6430000}"/>
    <cellStyle name="Hed Side 3 4 8 8" xfId="15413" xr:uid="{00000000-0005-0000-0000-0000B7430000}"/>
    <cellStyle name="Hed Side 3 4 8 8 2" xfId="15414" xr:uid="{00000000-0005-0000-0000-0000B8430000}"/>
    <cellStyle name="Hed Side 3 4 8 9" xfId="15415" xr:uid="{00000000-0005-0000-0000-0000B9430000}"/>
    <cellStyle name="Hed Side 3 4 8 9 2" xfId="15416" xr:uid="{00000000-0005-0000-0000-0000BA430000}"/>
    <cellStyle name="Hed Side 3 4 9" xfId="15417" xr:uid="{00000000-0005-0000-0000-0000BB430000}"/>
    <cellStyle name="Hed Side 3 4 9 10" xfId="15418" xr:uid="{00000000-0005-0000-0000-0000BC430000}"/>
    <cellStyle name="Hed Side 3 4 9 2" xfId="15419" xr:uid="{00000000-0005-0000-0000-0000BD430000}"/>
    <cellStyle name="Hed Side 3 4 9 2 2" xfId="15420" xr:uid="{00000000-0005-0000-0000-0000BE430000}"/>
    <cellStyle name="Hed Side 3 4 9 3" xfId="15421" xr:uid="{00000000-0005-0000-0000-0000BF430000}"/>
    <cellStyle name="Hed Side 3 4 9 3 2" xfId="15422" xr:uid="{00000000-0005-0000-0000-0000C0430000}"/>
    <cellStyle name="Hed Side 3 4 9 4" xfId="15423" xr:uid="{00000000-0005-0000-0000-0000C1430000}"/>
    <cellStyle name="Hed Side 3 4 9 4 2" xfId="15424" xr:uid="{00000000-0005-0000-0000-0000C2430000}"/>
    <cellStyle name="Hed Side 3 4 9 5" xfId="15425" xr:uid="{00000000-0005-0000-0000-0000C3430000}"/>
    <cellStyle name="Hed Side 3 4 9 5 2" xfId="15426" xr:uid="{00000000-0005-0000-0000-0000C4430000}"/>
    <cellStyle name="Hed Side 3 4 9 6" xfId="15427" xr:uid="{00000000-0005-0000-0000-0000C5430000}"/>
    <cellStyle name="Hed Side 3 4 9 6 2" xfId="15428" xr:uid="{00000000-0005-0000-0000-0000C6430000}"/>
    <cellStyle name="Hed Side 3 4 9 7" xfId="15429" xr:uid="{00000000-0005-0000-0000-0000C7430000}"/>
    <cellStyle name="Hed Side 3 4 9 7 2" xfId="15430" xr:uid="{00000000-0005-0000-0000-0000C8430000}"/>
    <cellStyle name="Hed Side 3 4 9 8" xfId="15431" xr:uid="{00000000-0005-0000-0000-0000C9430000}"/>
    <cellStyle name="Hed Side 3 4 9 8 2" xfId="15432" xr:uid="{00000000-0005-0000-0000-0000CA430000}"/>
    <cellStyle name="Hed Side 3 4 9 9" xfId="15433" xr:uid="{00000000-0005-0000-0000-0000CB430000}"/>
    <cellStyle name="Hed Side 3 4 9 9 2" xfId="15434" xr:uid="{00000000-0005-0000-0000-0000CC430000}"/>
    <cellStyle name="Hed Side 3 5" xfId="15435" xr:uid="{00000000-0005-0000-0000-0000CD430000}"/>
    <cellStyle name="Hed Side 3 5 10" xfId="15436" xr:uid="{00000000-0005-0000-0000-0000CE430000}"/>
    <cellStyle name="Hed Side 3 5 10 2" xfId="15437" xr:uid="{00000000-0005-0000-0000-0000CF430000}"/>
    <cellStyle name="Hed Side 3 5 10 2 2" xfId="15438" xr:uid="{00000000-0005-0000-0000-0000D0430000}"/>
    <cellStyle name="Hed Side 3 5 10 3" xfId="15439" xr:uid="{00000000-0005-0000-0000-0000D1430000}"/>
    <cellStyle name="Hed Side 3 5 10 3 2" xfId="15440" xr:uid="{00000000-0005-0000-0000-0000D2430000}"/>
    <cellStyle name="Hed Side 3 5 10 4" xfId="15441" xr:uid="{00000000-0005-0000-0000-0000D3430000}"/>
    <cellStyle name="Hed Side 3 5 10 4 2" xfId="15442" xr:uid="{00000000-0005-0000-0000-0000D4430000}"/>
    <cellStyle name="Hed Side 3 5 10 5" xfId="15443" xr:uid="{00000000-0005-0000-0000-0000D5430000}"/>
    <cellStyle name="Hed Side 3 5 10 5 2" xfId="15444" xr:uid="{00000000-0005-0000-0000-0000D6430000}"/>
    <cellStyle name="Hed Side 3 5 10 6" xfId="15445" xr:uid="{00000000-0005-0000-0000-0000D7430000}"/>
    <cellStyle name="Hed Side 3 5 10 6 2" xfId="15446" xr:uid="{00000000-0005-0000-0000-0000D8430000}"/>
    <cellStyle name="Hed Side 3 5 10 7" xfId="15447" xr:uid="{00000000-0005-0000-0000-0000D9430000}"/>
    <cellStyle name="Hed Side 3 5 10 7 2" xfId="15448" xr:uid="{00000000-0005-0000-0000-0000DA430000}"/>
    <cellStyle name="Hed Side 3 5 10 8" xfId="15449" xr:uid="{00000000-0005-0000-0000-0000DB430000}"/>
    <cellStyle name="Hed Side 3 5 10 8 2" xfId="15450" xr:uid="{00000000-0005-0000-0000-0000DC430000}"/>
    <cellStyle name="Hed Side 3 5 10 9" xfId="15451" xr:uid="{00000000-0005-0000-0000-0000DD430000}"/>
    <cellStyle name="Hed Side 3 5 11" xfId="15452" xr:uid="{00000000-0005-0000-0000-0000DE430000}"/>
    <cellStyle name="Hed Side 3 5 11 2" xfId="15453" xr:uid="{00000000-0005-0000-0000-0000DF430000}"/>
    <cellStyle name="Hed Side 3 5 12" xfId="15454" xr:uid="{00000000-0005-0000-0000-0000E0430000}"/>
    <cellStyle name="Hed Side 3 5 12 2" xfId="15455" xr:uid="{00000000-0005-0000-0000-0000E1430000}"/>
    <cellStyle name="Hed Side 3 5 13" xfId="15456" xr:uid="{00000000-0005-0000-0000-0000E2430000}"/>
    <cellStyle name="Hed Side 3 5 13 2" xfId="15457" xr:uid="{00000000-0005-0000-0000-0000E3430000}"/>
    <cellStyle name="Hed Side 3 5 14" xfId="15458" xr:uid="{00000000-0005-0000-0000-0000E4430000}"/>
    <cellStyle name="Hed Side 3 5 14 2" xfId="15459" xr:uid="{00000000-0005-0000-0000-0000E5430000}"/>
    <cellStyle name="Hed Side 3 5 15" xfId="15460" xr:uid="{00000000-0005-0000-0000-0000E6430000}"/>
    <cellStyle name="Hed Side 3 5 15 2" xfId="15461" xr:uid="{00000000-0005-0000-0000-0000E7430000}"/>
    <cellStyle name="Hed Side 3 5 16" xfId="15462" xr:uid="{00000000-0005-0000-0000-0000E8430000}"/>
    <cellStyle name="Hed Side 3 5 16 2" xfId="15463" xr:uid="{00000000-0005-0000-0000-0000E9430000}"/>
    <cellStyle name="Hed Side 3 5 17" xfId="15464" xr:uid="{00000000-0005-0000-0000-0000EA430000}"/>
    <cellStyle name="Hed Side 3 5 17 2" xfId="15465" xr:uid="{00000000-0005-0000-0000-0000EB430000}"/>
    <cellStyle name="Hed Side 3 5 18" xfId="15466" xr:uid="{00000000-0005-0000-0000-0000EC430000}"/>
    <cellStyle name="Hed Side 3 5 2" xfId="15467" xr:uid="{00000000-0005-0000-0000-0000ED430000}"/>
    <cellStyle name="Hed Side 3 5 2 10" xfId="15468" xr:uid="{00000000-0005-0000-0000-0000EE430000}"/>
    <cellStyle name="Hed Side 3 5 2 2" xfId="15469" xr:uid="{00000000-0005-0000-0000-0000EF430000}"/>
    <cellStyle name="Hed Side 3 5 2 2 2" xfId="15470" xr:uid="{00000000-0005-0000-0000-0000F0430000}"/>
    <cellStyle name="Hed Side 3 5 2 3" xfId="15471" xr:uid="{00000000-0005-0000-0000-0000F1430000}"/>
    <cellStyle name="Hed Side 3 5 2 3 2" xfId="15472" xr:uid="{00000000-0005-0000-0000-0000F2430000}"/>
    <cellStyle name="Hed Side 3 5 2 4" xfId="15473" xr:uid="{00000000-0005-0000-0000-0000F3430000}"/>
    <cellStyle name="Hed Side 3 5 2 4 2" xfId="15474" xr:uid="{00000000-0005-0000-0000-0000F4430000}"/>
    <cellStyle name="Hed Side 3 5 2 5" xfId="15475" xr:uid="{00000000-0005-0000-0000-0000F5430000}"/>
    <cellStyle name="Hed Side 3 5 2 5 2" xfId="15476" xr:uid="{00000000-0005-0000-0000-0000F6430000}"/>
    <cellStyle name="Hed Side 3 5 2 6" xfId="15477" xr:uid="{00000000-0005-0000-0000-0000F7430000}"/>
    <cellStyle name="Hed Side 3 5 2 6 2" xfId="15478" xr:uid="{00000000-0005-0000-0000-0000F8430000}"/>
    <cellStyle name="Hed Side 3 5 2 7" xfId="15479" xr:uid="{00000000-0005-0000-0000-0000F9430000}"/>
    <cellStyle name="Hed Side 3 5 2 7 2" xfId="15480" xr:uid="{00000000-0005-0000-0000-0000FA430000}"/>
    <cellStyle name="Hed Side 3 5 2 8" xfId="15481" xr:uid="{00000000-0005-0000-0000-0000FB430000}"/>
    <cellStyle name="Hed Side 3 5 2 8 2" xfId="15482" xr:uid="{00000000-0005-0000-0000-0000FC430000}"/>
    <cellStyle name="Hed Side 3 5 2 9" xfId="15483" xr:uid="{00000000-0005-0000-0000-0000FD430000}"/>
    <cellStyle name="Hed Side 3 5 2 9 2" xfId="15484" xr:uid="{00000000-0005-0000-0000-0000FE430000}"/>
    <cellStyle name="Hed Side 3 5 3" xfId="15485" xr:uid="{00000000-0005-0000-0000-0000FF430000}"/>
    <cellStyle name="Hed Side 3 5 3 10" xfId="15486" xr:uid="{00000000-0005-0000-0000-000000440000}"/>
    <cellStyle name="Hed Side 3 5 3 2" xfId="15487" xr:uid="{00000000-0005-0000-0000-000001440000}"/>
    <cellStyle name="Hed Side 3 5 3 2 2" xfId="15488" xr:uid="{00000000-0005-0000-0000-000002440000}"/>
    <cellStyle name="Hed Side 3 5 3 3" xfId="15489" xr:uid="{00000000-0005-0000-0000-000003440000}"/>
    <cellStyle name="Hed Side 3 5 3 3 2" xfId="15490" xr:uid="{00000000-0005-0000-0000-000004440000}"/>
    <cellStyle name="Hed Side 3 5 3 4" xfId="15491" xr:uid="{00000000-0005-0000-0000-000005440000}"/>
    <cellStyle name="Hed Side 3 5 3 4 2" xfId="15492" xr:uid="{00000000-0005-0000-0000-000006440000}"/>
    <cellStyle name="Hed Side 3 5 3 5" xfId="15493" xr:uid="{00000000-0005-0000-0000-000007440000}"/>
    <cellStyle name="Hed Side 3 5 3 5 2" xfId="15494" xr:uid="{00000000-0005-0000-0000-000008440000}"/>
    <cellStyle name="Hed Side 3 5 3 6" xfId="15495" xr:uid="{00000000-0005-0000-0000-000009440000}"/>
    <cellStyle name="Hed Side 3 5 3 6 2" xfId="15496" xr:uid="{00000000-0005-0000-0000-00000A440000}"/>
    <cellStyle name="Hed Side 3 5 3 7" xfId="15497" xr:uid="{00000000-0005-0000-0000-00000B440000}"/>
    <cellStyle name="Hed Side 3 5 3 7 2" xfId="15498" xr:uid="{00000000-0005-0000-0000-00000C440000}"/>
    <cellStyle name="Hed Side 3 5 3 8" xfId="15499" xr:uid="{00000000-0005-0000-0000-00000D440000}"/>
    <cellStyle name="Hed Side 3 5 3 8 2" xfId="15500" xr:uid="{00000000-0005-0000-0000-00000E440000}"/>
    <cellStyle name="Hed Side 3 5 3 9" xfId="15501" xr:uid="{00000000-0005-0000-0000-00000F440000}"/>
    <cellStyle name="Hed Side 3 5 3 9 2" xfId="15502" xr:uid="{00000000-0005-0000-0000-000010440000}"/>
    <cellStyle name="Hed Side 3 5 4" xfId="15503" xr:uid="{00000000-0005-0000-0000-000011440000}"/>
    <cellStyle name="Hed Side 3 5 4 10" xfId="15504" xr:uid="{00000000-0005-0000-0000-000012440000}"/>
    <cellStyle name="Hed Side 3 5 4 2" xfId="15505" xr:uid="{00000000-0005-0000-0000-000013440000}"/>
    <cellStyle name="Hed Side 3 5 4 2 2" xfId="15506" xr:uid="{00000000-0005-0000-0000-000014440000}"/>
    <cellStyle name="Hed Side 3 5 4 3" xfId="15507" xr:uid="{00000000-0005-0000-0000-000015440000}"/>
    <cellStyle name="Hed Side 3 5 4 3 2" xfId="15508" xr:uid="{00000000-0005-0000-0000-000016440000}"/>
    <cellStyle name="Hed Side 3 5 4 4" xfId="15509" xr:uid="{00000000-0005-0000-0000-000017440000}"/>
    <cellStyle name="Hed Side 3 5 4 4 2" xfId="15510" xr:uid="{00000000-0005-0000-0000-000018440000}"/>
    <cellStyle name="Hed Side 3 5 4 5" xfId="15511" xr:uid="{00000000-0005-0000-0000-000019440000}"/>
    <cellStyle name="Hed Side 3 5 4 5 2" xfId="15512" xr:uid="{00000000-0005-0000-0000-00001A440000}"/>
    <cellStyle name="Hed Side 3 5 4 6" xfId="15513" xr:uid="{00000000-0005-0000-0000-00001B440000}"/>
    <cellStyle name="Hed Side 3 5 4 6 2" xfId="15514" xr:uid="{00000000-0005-0000-0000-00001C440000}"/>
    <cellStyle name="Hed Side 3 5 4 7" xfId="15515" xr:uid="{00000000-0005-0000-0000-00001D440000}"/>
    <cellStyle name="Hed Side 3 5 4 7 2" xfId="15516" xr:uid="{00000000-0005-0000-0000-00001E440000}"/>
    <cellStyle name="Hed Side 3 5 4 8" xfId="15517" xr:uid="{00000000-0005-0000-0000-00001F440000}"/>
    <cellStyle name="Hed Side 3 5 4 8 2" xfId="15518" xr:uid="{00000000-0005-0000-0000-000020440000}"/>
    <cellStyle name="Hed Side 3 5 4 9" xfId="15519" xr:uid="{00000000-0005-0000-0000-000021440000}"/>
    <cellStyle name="Hed Side 3 5 4 9 2" xfId="15520" xr:uid="{00000000-0005-0000-0000-000022440000}"/>
    <cellStyle name="Hed Side 3 5 5" xfId="15521" xr:uid="{00000000-0005-0000-0000-000023440000}"/>
    <cellStyle name="Hed Side 3 5 5 10" xfId="15522" xr:uid="{00000000-0005-0000-0000-000024440000}"/>
    <cellStyle name="Hed Side 3 5 5 2" xfId="15523" xr:uid="{00000000-0005-0000-0000-000025440000}"/>
    <cellStyle name="Hed Side 3 5 5 2 2" xfId="15524" xr:uid="{00000000-0005-0000-0000-000026440000}"/>
    <cellStyle name="Hed Side 3 5 5 3" xfId="15525" xr:uid="{00000000-0005-0000-0000-000027440000}"/>
    <cellStyle name="Hed Side 3 5 5 3 2" xfId="15526" xr:uid="{00000000-0005-0000-0000-000028440000}"/>
    <cellStyle name="Hed Side 3 5 5 4" xfId="15527" xr:uid="{00000000-0005-0000-0000-000029440000}"/>
    <cellStyle name="Hed Side 3 5 5 4 2" xfId="15528" xr:uid="{00000000-0005-0000-0000-00002A440000}"/>
    <cellStyle name="Hed Side 3 5 5 5" xfId="15529" xr:uid="{00000000-0005-0000-0000-00002B440000}"/>
    <cellStyle name="Hed Side 3 5 5 5 2" xfId="15530" xr:uid="{00000000-0005-0000-0000-00002C440000}"/>
    <cellStyle name="Hed Side 3 5 5 6" xfId="15531" xr:uid="{00000000-0005-0000-0000-00002D440000}"/>
    <cellStyle name="Hed Side 3 5 5 6 2" xfId="15532" xr:uid="{00000000-0005-0000-0000-00002E440000}"/>
    <cellStyle name="Hed Side 3 5 5 7" xfId="15533" xr:uid="{00000000-0005-0000-0000-00002F440000}"/>
    <cellStyle name="Hed Side 3 5 5 7 2" xfId="15534" xr:uid="{00000000-0005-0000-0000-000030440000}"/>
    <cellStyle name="Hed Side 3 5 5 8" xfId="15535" xr:uid="{00000000-0005-0000-0000-000031440000}"/>
    <cellStyle name="Hed Side 3 5 5 8 2" xfId="15536" xr:uid="{00000000-0005-0000-0000-000032440000}"/>
    <cellStyle name="Hed Side 3 5 5 9" xfId="15537" xr:uid="{00000000-0005-0000-0000-000033440000}"/>
    <cellStyle name="Hed Side 3 5 5 9 2" xfId="15538" xr:uid="{00000000-0005-0000-0000-000034440000}"/>
    <cellStyle name="Hed Side 3 5 6" xfId="15539" xr:uid="{00000000-0005-0000-0000-000035440000}"/>
    <cellStyle name="Hed Side 3 5 6 10" xfId="15540" xr:uid="{00000000-0005-0000-0000-000036440000}"/>
    <cellStyle name="Hed Side 3 5 6 2" xfId="15541" xr:uid="{00000000-0005-0000-0000-000037440000}"/>
    <cellStyle name="Hed Side 3 5 6 2 2" xfId="15542" xr:uid="{00000000-0005-0000-0000-000038440000}"/>
    <cellStyle name="Hed Side 3 5 6 3" xfId="15543" xr:uid="{00000000-0005-0000-0000-000039440000}"/>
    <cellStyle name="Hed Side 3 5 6 3 2" xfId="15544" xr:uid="{00000000-0005-0000-0000-00003A440000}"/>
    <cellStyle name="Hed Side 3 5 6 4" xfId="15545" xr:uid="{00000000-0005-0000-0000-00003B440000}"/>
    <cellStyle name="Hed Side 3 5 6 4 2" xfId="15546" xr:uid="{00000000-0005-0000-0000-00003C440000}"/>
    <cellStyle name="Hed Side 3 5 6 5" xfId="15547" xr:uid="{00000000-0005-0000-0000-00003D440000}"/>
    <cellStyle name="Hed Side 3 5 6 5 2" xfId="15548" xr:uid="{00000000-0005-0000-0000-00003E440000}"/>
    <cellStyle name="Hed Side 3 5 6 6" xfId="15549" xr:uid="{00000000-0005-0000-0000-00003F440000}"/>
    <cellStyle name="Hed Side 3 5 6 6 2" xfId="15550" xr:uid="{00000000-0005-0000-0000-000040440000}"/>
    <cellStyle name="Hed Side 3 5 6 7" xfId="15551" xr:uid="{00000000-0005-0000-0000-000041440000}"/>
    <cellStyle name="Hed Side 3 5 6 7 2" xfId="15552" xr:uid="{00000000-0005-0000-0000-000042440000}"/>
    <cellStyle name="Hed Side 3 5 6 8" xfId="15553" xr:uid="{00000000-0005-0000-0000-000043440000}"/>
    <cellStyle name="Hed Side 3 5 6 8 2" xfId="15554" xr:uid="{00000000-0005-0000-0000-000044440000}"/>
    <cellStyle name="Hed Side 3 5 6 9" xfId="15555" xr:uid="{00000000-0005-0000-0000-000045440000}"/>
    <cellStyle name="Hed Side 3 5 6 9 2" xfId="15556" xr:uid="{00000000-0005-0000-0000-000046440000}"/>
    <cellStyle name="Hed Side 3 5 7" xfId="15557" xr:uid="{00000000-0005-0000-0000-000047440000}"/>
    <cellStyle name="Hed Side 3 5 7 10" xfId="15558" xr:uid="{00000000-0005-0000-0000-000048440000}"/>
    <cellStyle name="Hed Side 3 5 7 2" xfId="15559" xr:uid="{00000000-0005-0000-0000-000049440000}"/>
    <cellStyle name="Hed Side 3 5 7 2 2" xfId="15560" xr:uid="{00000000-0005-0000-0000-00004A440000}"/>
    <cellStyle name="Hed Side 3 5 7 3" xfId="15561" xr:uid="{00000000-0005-0000-0000-00004B440000}"/>
    <cellStyle name="Hed Side 3 5 7 3 2" xfId="15562" xr:uid="{00000000-0005-0000-0000-00004C440000}"/>
    <cellStyle name="Hed Side 3 5 7 4" xfId="15563" xr:uid="{00000000-0005-0000-0000-00004D440000}"/>
    <cellStyle name="Hed Side 3 5 7 4 2" xfId="15564" xr:uid="{00000000-0005-0000-0000-00004E440000}"/>
    <cellStyle name="Hed Side 3 5 7 5" xfId="15565" xr:uid="{00000000-0005-0000-0000-00004F440000}"/>
    <cellStyle name="Hed Side 3 5 7 5 2" xfId="15566" xr:uid="{00000000-0005-0000-0000-000050440000}"/>
    <cellStyle name="Hed Side 3 5 7 6" xfId="15567" xr:uid="{00000000-0005-0000-0000-000051440000}"/>
    <cellStyle name="Hed Side 3 5 7 6 2" xfId="15568" xr:uid="{00000000-0005-0000-0000-000052440000}"/>
    <cellStyle name="Hed Side 3 5 7 7" xfId="15569" xr:uid="{00000000-0005-0000-0000-000053440000}"/>
    <cellStyle name="Hed Side 3 5 7 7 2" xfId="15570" xr:uid="{00000000-0005-0000-0000-000054440000}"/>
    <cellStyle name="Hed Side 3 5 7 8" xfId="15571" xr:uid="{00000000-0005-0000-0000-000055440000}"/>
    <cellStyle name="Hed Side 3 5 7 8 2" xfId="15572" xr:uid="{00000000-0005-0000-0000-000056440000}"/>
    <cellStyle name="Hed Side 3 5 7 9" xfId="15573" xr:uid="{00000000-0005-0000-0000-000057440000}"/>
    <cellStyle name="Hed Side 3 5 7 9 2" xfId="15574" xr:uid="{00000000-0005-0000-0000-000058440000}"/>
    <cellStyle name="Hed Side 3 5 8" xfId="15575" xr:uid="{00000000-0005-0000-0000-000059440000}"/>
    <cellStyle name="Hed Side 3 5 8 10" xfId="15576" xr:uid="{00000000-0005-0000-0000-00005A440000}"/>
    <cellStyle name="Hed Side 3 5 8 2" xfId="15577" xr:uid="{00000000-0005-0000-0000-00005B440000}"/>
    <cellStyle name="Hed Side 3 5 8 2 2" xfId="15578" xr:uid="{00000000-0005-0000-0000-00005C440000}"/>
    <cellStyle name="Hed Side 3 5 8 3" xfId="15579" xr:uid="{00000000-0005-0000-0000-00005D440000}"/>
    <cellStyle name="Hed Side 3 5 8 3 2" xfId="15580" xr:uid="{00000000-0005-0000-0000-00005E440000}"/>
    <cellStyle name="Hed Side 3 5 8 4" xfId="15581" xr:uid="{00000000-0005-0000-0000-00005F440000}"/>
    <cellStyle name="Hed Side 3 5 8 4 2" xfId="15582" xr:uid="{00000000-0005-0000-0000-000060440000}"/>
    <cellStyle name="Hed Side 3 5 8 5" xfId="15583" xr:uid="{00000000-0005-0000-0000-000061440000}"/>
    <cellStyle name="Hed Side 3 5 8 5 2" xfId="15584" xr:uid="{00000000-0005-0000-0000-000062440000}"/>
    <cellStyle name="Hed Side 3 5 8 6" xfId="15585" xr:uid="{00000000-0005-0000-0000-000063440000}"/>
    <cellStyle name="Hed Side 3 5 8 6 2" xfId="15586" xr:uid="{00000000-0005-0000-0000-000064440000}"/>
    <cellStyle name="Hed Side 3 5 8 7" xfId="15587" xr:uid="{00000000-0005-0000-0000-000065440000}"/>
    <cellStyle name="Hed Side 3 5 8 7 2" xfId="15588" xr:uid="{00000000-0005-0000-0000-000066440000}"/>
    <cellStyle name="Hed Side 3 5 8 8" xfId="15589" xr:uid="{00000000-0005-0000-0000-000067440000}"/>
    <cellStyle name="Hed Side 3 5 8 8 2" xfId="15590" xr:uid="{00000000-0005-0000-0000-000068440000}"/>
    <cellStyle name="Hed Side 3 5 8 9" xfId="15591" xr:uid="{00000000-0005-0000-0000-000069440000}"/>
    <cellStyle name="Hed Side 3 5 8 9 2" xfId="15592" xr:uid="{00000000-0005-0000-0000-00006A440000}"/>
    <cellStyle name="Hed Side 3 5 9" xfId="15593" xr:uid="{00000000-0005-0000-0000-00006B440000}"/>
    <cellStyle name="Hed Side 3 5 9 10" xfId="15594" xr:uid="{00000000-0005-0000-0000-00006C440000}"/>
    <cellStyle name="Hed Side 3 5 9 2" xfId="15595" xr:uid="{00000000-0005-0000-0000-00006D440000}"/>
    <cellStyle name="Hed Side 3 5 9 2 2" xfId="15596" xr:uid="{00000000-0005-0000-0000-00006E440000}"/>
    <cellStyle name="Hed Side 3 5 9 3" xfId="15597" xr:uid="{00000000-0005-0000-0000-00006F440000}"/>
    <cellStyle name="Hed Side 3 5 9 3 2" xfId="15598" xr:uid="{00000000-0005-0000-0000-000070440000}"/>
    <cellStyle name="Hed Side 3 5 9 4" xfId="15599" xr:uid="{00000000-0005-0000-0000-000071440000}"/>
    <cellStyle name="Hed Side 3 5 9 4 2" xfId="15600" xr:uid="{00000000-0005-0000-0000-000072440000}"/>
    <cellStyle name="Hed Side 3 5 9 5" xfId="15601" xr:uid="{00000000-0005-0000-0000-000073440000}"/>
    <cellStyle name="Hed Side 3 5 9 5 2" xfId="15602" xr:uid="{00000000-0005-0000-0000-000074440000}"/>
    <cellStyle name="Hed Side 3 5 9 6" xfId="15603" xr:uid="{00000000-0005-0000-0000-000075440000}"/>
    <cellStyle name="Hed Side 3 5 9 6 2" xfId="15604" xr:uid="{00000000-0005-0000-0000-000076440000}"/>
    <cellStyle name="Hed Side 3 5 9 7" xfId="15605" xr:uid="{00000000-0005-0000-0000-000077440000}"/>
    <cellStyle name="Hed Side 3 5 9 7 2" xfId="15606" xr:uid="{00000000-0005-0000-0000-000078440000}"/>
    <cellStyle name="Hed Side 3 5 9 8" xfId="15607" xr:uid="{00000000-0005-0000-0000-000079440000}"/>
    <cellStyle name="Hed Side 3 5 9 8 2" xfId="15608" xr:uid="{00000000-0005-0000-0000-00007A440000}"/>
    <cellStyle name="Hed Side 3 5 9 9" xfId="15609" xr:uid="{00000000-0005-0000-0000-00007B440000}"/>
    <cellStyle name="Hed Side 3 5 9 9 2" xfId="15610" xr:uid="{00000000-0005-0000-0000-00007C440000}"/>
    <cellStyle name="Hed Side 3 6" xfId="15611" xr:uid="{00000000-0005-0000-0000-00007D440000}"/>
    <cellStyle name="Hed Side 3 6 10" xfId="15612" xr:uid="{00000000-0005-0000-0000-00007E440000}"/>
    <cellStyle name="Hed Side 3 6 10 2" xfId="15613" xr:uid="{00000000-0005-0000-0000-00007F440000}"/>
    <cellStyle name="Hed Side 3 6 10 2 2" xfId="15614" xr:uid="{00000000-0005-0000-0000-000080440000}"/>
    <cellStyle name="Hed Side 3 6 10 3" xfId="15615" xr:uid="{00000000-0005-0000-0000-000081440000}"/>
    <cellStyle name="Hed Side 3 6 10 3 2" xfId="15616" xr:uid="{00000000-0005-0000-0000-000082440000}"/>
    <cellStyle name="Hed Side 3 6 10 4" xfId="15617" xr:uid="{00000000-0005-0000-0000-000083440000}"/>
    <cellStyle name="Hed Side 3 6 10 4 2" xfId="15618" xr:uid="{00000000-0005-0000-0000-000084440000}"/>
    <cellStyle name="Hed Side 3 6 10 5" xfId="15619" xr:uid="{00000000-0005-0000-0000-000085440000}"/>
    <cellStyle name="Hed Side 3 6 10 5 2" xfId="15620" xr:uid="{00000000-0005-0000-0000-000086440000}"/>
    <cellStyle name="Hed Side 3 6 10 6" xfId="15621" xr:uid="{00000000-0005-0000-0000-000087440000}"/>
    <cellStyle name="Hed Side 3 6 10 6 2" xfId="15622" xr:uid="{00000000-0005-0000-0000-000088440000}"/>
    <cellStyle name="Hed Side 3 6 10 7" xfId="15623" xr:uid="{00000000-0005-0000-0000-000089440000}"/>
    <cellStyle name="Hed Side 3 6 10 7 2" xfId="15624" xr:uid="{00000000-0005-0000-0000-00008A440000}"/>
    <cellStyle name="Hed Side 3 6 10 8" xfId="15625" xr:uid="{00000000-0005-0000-0000-00008B440000}"/>
    <cellStyle name="Hed Side 3 6 10 8 2" xfId="15626" xr:uid="{00000000-0005-0000-0000-00008C440000}"/>
    <cellStyle name="Hed Side 3 6 10 9" xfId="15627" xr:uid="{00000000-0005-0000-0000-00008D440000}"/>
    <cellStyle name="Hed Side 3 6 11" xfId="15628" xr:uid="{00000000-0005-0000-0000-00008E440000}"/>
    <cellStyle name="Hed Side 3 6 11 2" xfId="15629" xr:uid="{00000000-0005-0000-0000-00008F440000}"/>
    <cellStyle name="Hed Side 3 6 12" xfId="15630" xr:uid="{00000000-0005-0000-0000-000090440000}"/>
    <cellStyle name="Hed Side 3 6 12 2" xfId="15631" xr:uid="{00000000-0005-0000-0000-000091440000}"/>
    <cellStyle name="Hed Side 3 6 13" xfId="15632" xr:uid="{00000000-0005-0000-0000-000092440000}"/>
    <cellStyle name="Hed Side 3 6 13 2" xfId="15633" xr:uid="{00000000-0005-0000-0000-000093440000}"/>
    <cellStyle name="Hed Side 3 6 14" xfId="15634" xr:uid="{00000000-0005-0000-0000-000094440000}"/>
    <cellStyle name="Hed Side 3 6 14 2" xfId="15635" xr:uid="{00000000-0005-0000-0000-000095440000}"/>
    <cellStyle name="Hed Side 3 6 15" xfId="15636" xr:uid="{00000000-0005-0000-0000-000096440000}"/>
    <cellStyle name="Hed Side 3 6 15 2" xfId="15637" xr:uid="{00000000-0005-0000-0000-000097440000}"/>
    <cellStyle name="Hed Side 3 6 16" xfId="15638" xr:uid="{00000000-0005-0000-0000-000098440000}"/>
    <cellStyle name="Hed Side 3 6 16 2" xfId="15639" xr:uid="{00000000-0005-0000-0000-000099440000}"/>
    <cellStyle name="Hed Side 3 6 17" xfId="15640" xr:uid="{00000000-0005-0000-0000-00009A440000}"/>
    <cellStyle name="Hed Side 3 6 17 2" xfId="15641" xr:uid="{00000000-0005-0000-0000-00009B440000}"/>
    <cellStyle name="Hed Side 3 6 18" xfId="15642" xr:uid="{00000000-0005-0000-0000-00009C440000}"/>
    <cellStyle name="Hed Side 3 6 2" xfId="15643" xr:uid="{00000000-0005-0000-0000-00009D440000}"/>
    <cellStyle name="Hed Side 3 6 2 10" xfId="15644" xr:uid="{00000000-0005-0000-0000-00009E440000}"/>
    <cellStyle name="Hed Side 3 6 2 2" xfId="15645" xr:uid="{00000000-0005-0000-0000-00009F440000}"/>
    <cellStyle name="Hed Side 3 6 2 2 2" xfId="15646" xr:uid="{00000000-0005-0000-0000-0000A0440000}"/>
    <cellStyle name="Hed Side 3 6 2 3" xfId="15647" xr:uid="{00000000-0005-0000-0000-0000A1440000}"/>
    <cellStyle name="Hed Side 3 6 2 3 2" xfId="15648" xr:uid="{00000000-0005-0000-0000-0000A2440000}"/>
    <cellStyle name="Hed Side 3 6 2 4" xfId="15649" xr:uid="{00000000-0005-0000-0000-0000A3440000}"/>
    <cellStyle name="Hed Side 3 6 2 4 2" xfId="15650" xr:uid="{00000000-0005-0000-0000-0000A4440000}"/>
    <cellStyle name="Hed Side 3 6 2 5" xfId="15651" xr:uid="{00000000-0005-0000-0000-0000A5440000}"/>
    <cellStyle name="Hed Side 3 6 2 5 2" xfId="15652" xr:uid="{00000000-0005-0000-0000-0000A6440000}"/>
    <cellStyle name="Hed Side 3 6 2 6" xfId="15653" xr:uid="{00000000-0005-0000-0000-0000A7440000}"/>
    <cellStyle name="Hed Side 3 6 2 6 2" xfId="15654" xr:uid="{00000000-0005-0000-0000-0000A8440000}"/>
    <cellStyle name="Hed Side 3 6 2 7" xfId="15655" xr:uid="{00000000-0005-0000-0000-0000A9440000}"/>
    <cellStyle name="Hed Side 3 6 2 7 2" xfId="15656" xr:uid="{00000000-0005-0000-0000-0000AA440000}"/>
    <cellStyle name="Hed Side 3 6 2 8" xfId="15657" xr:uid="{00000000-0005-0000-0000-0000AB440000}"/>
    <cellStyle name="Hed Side 3 6 2 8 2" xfId="15658" xr:uid="{00000000-0005-0000-0000-0000AC440000}"/>
    <cellStyle name="Hed Side 3 6 2 9" xfId="15659" xr:uid="{00000000-0005-0000-0000-0000AD440000}"/>
    <cellStyle name="Hed Side 3 6 2 9 2" xfId="15660" xr:uid="{00000000-0005-0000-0000-0000AE440000}"/>
    <cellStyle name="Hed Side 3 6 3" xfId="15661" xr:uid="{00000000-0005-0000-0000-0000AF440000}"/>
    <cellStyle name="Hed Side 3 6 3 10" xfId="15662" xr:uid="{00000000-0005-0000-0000-0000B0440000}"/>
    <cellStyle name="Hed Side 3 6 3 2" xfId="15663" xr:uid="{00000000-0005-0000-0000-0000B1440000}"/>
    <cellStyle name="Hed Side 3 6 3 2 2" xfId="15664" xr:uid="{00000000-0005-0000-0000-0000B2440000}"/>
    <cellStyle name="Hed Side 3 6 3 3" xfId="15665" xr:uid="{00000000-0005-0000-0000-0000B3440000}"/>
    <cellStyle name="Hed Side 3 6 3 3 2" xfId="15666" xr:uid="{00000000-0005-0000-0000-0000B4440000}"/>
    <cellStyle name="Hed Side 3 6 3 4" xfId="15667" xr:uid="{00000000-0005-0000-0000-0000B5440000}"/>
    <cellStyle name="Hed Side 3 6 3 4 2" xfId="15668" xr:uid="{00000000-0005-0000-0000-0000B6440000}"/>
    <cellStyle name="Hed Side 3 6 3 5" xfId="15669" xr:uid="{00000000-0005-0000-0000-0000B7440000}"/>
    <cellStyle name="Hed Side 3 6 3 5 2" xfId="15670" xr:uid="{00000000-0005-0000-0000-0000B8440000}"/>
    <cellStyle name="Hed Side 3 6 3 6" xfId="15671" xr:uid="{00000000-0005-0000-0000-0000B9440000}"/>
    <cellStyle name="Hed Side 3 6 3 6 2" xfId="15672" xr:uid="{00000000-0005-0000-0000-0000BA440000}"/>
    <cellStyle name="Hed Side 3 6 3 7" xfId="15673" xr:uid="{00000000-0005-0000-0000-0000BB440000}"/>
    <cellStyle name="Hed Side 3 6 3 7 2" xfId="15674" xr:uid="{00000000-0005-0000-0000-0000BC440000}"/>
    <cellStyle name="Hed Side 3 6 3 8" xfId="15675" xr:uid="{00000000-0005-0000-0000-0000BD440000}"/>
    <cellStyle name="Hed Side 3 6 3 8 2" xfId="15676" xr:uid="{00000000-0005-0000-0000-0000BE440000}"/>
    <cellStyle name="Hed Side 3 6 3 9" xfId="15677" xr:uid="{00000000-0005-0000-0000-0000BF440000}"/>
    <cellStyle name="Hed Side 3 6 3 9 2" xfId="15678" xr:uid="{00000000-0005-0000-0000-0000C0440000}"/>
    <cellStyle name="Hed Side 3 6 4" xfId="15679" xr:uid="{00000000-0005-0000-0000-0000C1440000}"/>
    <cellStyle name="Hed Side 3 6 4 10" xfId="15680" xr:uid="{00000000-0005-0000-0000-0000C2440000}"/>
    <cellStyle name="Hed Side 3 6 4 2" xfId="15681" xr:uid="{00000000-0005-0000-0000-0000C3440000}"/>
    <cellStyle name="Hed Side 3 6 4 2 2" xfId="15682" xr:uid="{00000000-0005-0000-0000-0000C4440000}"/>
    <cellStyle name="Hed Side 3 6 4 3" xfId="15683" xr:uid="{00000000-0005-0000-0000-0000C5440000}"/>
    <cellStyle name="Hed Side 3 6 4 3 2" xfId="15684" xr:uid="{00000000-0005-0000-0000-0000C6440000}"/>
    <cellStyle name="Hed Side 3 6 4 4" xfId="15685" xr:uid="{00000000-0005-0000-0000-0000C7440000}"/>
    <cellStyle name="Hed Side 3 6 4 4 2" xfId="15686" xr:uid="{00000000-0005-0000-0000-0000C8440000}"/>
    <cellStyle name="Hed Side 3 6 4 5" xfId="15687" xr:uid="{00000000-0005-0000-0000-0000C9440000}"/>
    <cellStyle name="Hed Side 3 6 4 5 2" xfId="15688" xr:uid="{00000000-0005-0000-0000-0000CA440000}"/>
    <cellStyle name="Hed Side 3 6 4 6" xfId="15689" xr:uid="{00000000-0005-0000-0000-0000CB440000}"/>
    <cellStyle name="Hed Side 3 6 4 6 2" xfId="15690" xr:uid="{00000000-0005-0000-0000-0000CC440000}"/>
    <cellStyle name="Hed Side 3 6 4 7" xfId="15691" xr:uid="{00000000-0005-0000-0000-0000CD440000}"/>
    <cellStyle name="Hed Side 3 6 4 7 2" xfId="15692" xr:uid="{00000000-0005-0000-0000-0000CE440000}"/>
    <cellStyle name="Hed Side 3 6 4 8" xfId="15693" xr:uid="{00000000-0005-0000-0000-0000CF440000}"/>
    <cellStyle name="Hed Side 3 6 4 8 2" xfId="15694" xr:uid="{00000000-0005-0000-0000-0000D0440000}"/>
    <cellStyle name="Hed Side 3 6 4 9" xfId="15695" xr:uid="{00000000-0005-0000-0000-0000D1440000}"/>
    <cellStyle name="Hed Side 3 6 4 9 2" xfId="15696" xr:uid="{00000000-0005-0000-0000-0000D2440000}"/>
    <cellStyle name="Hed Side 3 6 5" xfId="15697" xr:uid="{00000000-0005-0000-0000-0000D3440000}"/>
    <cellStyle name="Hed Side 3 6 5 10" xfId="15698" xr:uid="{00000000-0005-0000-0000-0000D4440000}"/>
    <cellStyle name="Hed Side 3 6 5 2" xfId="15699" xr:uid="{00000000-0005-0000-0000-0000D5440000}"/>
    <cellStyle name="Hed Side 3 6 5 2 2" xfId="15700" xr:uid="{00000000-0005-0000-0000-0000D6440000}"/>
    <cellStyle name="Hed Side 3 6 5 3" xfId="15701" xr:uid="{00000000-0005-0000-0000-0000D7440000}"/>
    <cellStyle name="Hed Side 3 6 5 3 2" xfId="15702" xr:uid="{00000000-0005-0000-0000-0000D8440000}"/>
    <cellStyle name="Hed Side 3 6 5 4" xfId="15703" xr:uid="{00000000-0005-0000-0000-0000D9440000}"/>
    <cellStyle name="Hed Side 3 6 5 4 2" xfId="15704" xr:uid="{00000000-0005-0000-0000-0000DA440000}"/>
    <cellStyle name="Hed Side 3 6 5 5" xfId="15705" xr:uid="{00000000-0005-0000-0000-0000DB440000}"/>
    <cellStyle name="Hed Side 3 6 5 5 2" xfId="15706" xr:uid="{00000000-0005-0000-0000-0000DC440000}"/>
    <cellStyle name="Hed Side 3 6 5 6" xfId="15707" xr:uid="{00000000-0005-0000-0000-0000DD440000}"/>
    <cellStyle name="Hed Side 3 6 5 6 2" xfId="15708" xr:uid="{00000000-0005-0000-0000-0000DE440000}"/>
    <cellStyle name="Hed Side 3 6 5 7" xfId="15709" xr:uid="{00000000-0005-0000-0000-0000DF440000}"/>
    <cellStyle name="Hed Side 3 6 5 7 2" xfId="15710" xr:uid="{00000000-0005-0000-0000-0000E0440000}"/>
    <cellStyle name="Hed Side 3 6 5 8" xfId="15711" xr:uid="{00000000-0005-0000-0000-0000E1440000}"/>
    <cellStyle name="Hed Side 3 6 5 8 2" xfId="15712" xr:uid="{00000000-0005-0000-0000-0000E2440000}"/>
    <cellStyle name="Hed Side 3 6 5 9" xfId="15713" xr:uid="{00000000-0005-0000-0000-0000E3440000}"/>
    <cellStyle name="Hed Side 3 6 5 9 2" xfId="15714" xr:uid="{00000000-0005-0000-0000-0000E4440000}"/>
    <cellStyle name="Hed Side 3 6 6" xfId="15715" xr:uid="{00000000-0005-0000-0000-0000E5440000}"/>
    <cellStyle name="Hed Side 3 6 6 10" xfId="15716" xr:uid="{00000000-0005-0000-0000-0000E6440000}"/>
    <cellStyle name="Hed Side 3 6 6 2" xfId="15717" xr:uid="{00000000-0005-0000-0000-0000E7440000}"/>
    <cellStyle name="Hed Side 3 6 6 2 2" xfId="15718" xr:uid="{00000000-0005-0000-0000-0000E8440000}"/>
    <cellStyle name="Hed Side 3 6 6 3" xfId="15719" xr:uid="{00000000-0005-0000-0000-0000E9440000}"/>
    <cellStyle name="Hed Side 3 6 6 3 2" xfId="15720" xr:uid="{00000000-0005-0000-0000-0000EA440000}"/>
    <cellStyle name="Hed Side 3 6 6 4" xfId="15721" xr:uid="{00000000-0005-0000-0000-0000EB440000}"/>
    <cellStyle name="Hed Side 3 6 6 4 2" xfId="15722" xr:uid="{00000000-0005-0000-0000-0000EC440000}"/>
    <cellStyle name="Hed Side 3 6 6 5" xfId="15723" xr:uid="{00000000-0005-0000-0000-0000ED440000}"/>
    <cellStyle name="Hed Side 3 6 6 5 2" xfId="15724" xr:uid="{00000000-0005-0000-0000-0000EE440000}"/>
    <cellStyle name="Hed Side 3 6 6 6" xfId="15725" xr:uid="{00000000-0005-0000-0000-0000EF440000}"/>
    <cellStyle name="Hed Side 3 6 6 6 2" xfId="15726" xr:uid="{00000000-0005-0000-0000-0000F0440000}"/>
    <cellStyle name="Hed Side 3 6 6 7" xfId="15727" xr:uid="{00000000-0005-0000-0000-0000F1440000}"/>
    <cellStyle name="Hed Side 3 6 6 7 2" xfId="15728" xr:uid="{00000000-0005-0000-0000-0000F2440000}"/>
    <cellStyle name="Hed Side 3 6 6 8" xfId="15729" xr:uid="{00000000-0005-0000-0000-0000F3440000}"/>
    <cellStyle name="Hed Side 3 6 6 8 2" xfId="15730" xr:uid="{00000000-0005-0000-0000-0000F4440000}"/>
    <cellStyle name="Hed Side 3 6 6 9" xfId="15731" xr:uid="{00000000-0005-0000-0000-0000F5440000}"/>
    <cellStyle name="Hed Side 3 6 6 9 2" xfId="15732" xr:uid="{00000000-0005-0000-0000-0000F6440000}"/>
    <cellStyle name="Hed Side 3 6 7" xfId="15733" xr:uid="{00000000-0005-0000-0000-0000F7440000}"/>
    <cellStyle name="Hed Side 3 6 7 10" xfId="15734" xr:uid="{00000000-0005-0000-0000-0000F8440000}"/>
    <cellStyle name="Hed Side 3 6 7 2" xfId="15735" xr:uid="{00000000-0005-0000-0000-0000F9440000}"/>
    <cellStyle name="Hed Side 3 6 7 2 2" xfId="15736" xr:uid="{00000000-0005-0000-0000-0000FA440000}"/>
    <cellStyle name="Hed Side 3 6 7 3" xfId="15737" xr:uid="{00000000-0005-0000-0000-0000FB440000}"/>
    <cellStyle name="Hed Side 3 6 7 3 2" xfId="15738" xr:uid="{00000000-0005-0000-0000-0000FC440000}"/>
    <cellStyle name="Hed Side 3 6 7 4" xfId="15739" xr:uid="{00000000-0005-0000-0000-0000FD440000}"/>
    <cellStyle name="Hed Side 3 6 7 4 2" xfId="15740" xr:uid="{00000000-0005-0000-0000-0000FE440000}"/>
    <cellStyle name="Hed Side 3 6 7 5" xfId="15741" xr:uid="{00000000-0005-0000-0000-0000FF440000}"/>
    <cellStyle name="Hed Side 3 6 7 5 2" xfId="15742" xr:uid="{00000000-0005-0000-0000-000000450000}"/>
    <cellStyle name="Hed Side 3 6 7 6" xfId="15743" xr:uid="{00000000-0005-0000-0000-000001450000}"/>
    <cellStyle name="Hed Side 3 6 7 6 2" xfId="15744" xr:uid="{00000000-0005-0000-0000-000002450000}"/>
    <cellStyle name="Hed Side 3 6 7 7" xfId="15745" xr:uid="{00000000-0005-0000-0000-000003450000}"/>
    <cellStyle name="Hed Side 3 6 7 7 2" xfId="15746" xr:uid="{00000000-0005-0000-0000-000004450000}"/>
    <cellStyle name="Hed Side 3 6 7 8" xfId="15747" xr:uid="{00000000-0005-0000-0000-000005450000}"/>
    <cellStyle name="Hed Side 3 6 7 8 2" xfId="15748" xr:uid="{00000000-0005-0000-0000-000006450000}"/>
    <cellStyle name="Hed Side 3 6 7 9" xfId="15749" xr:uid="{00000000-0005-0000-0000-000007450000}"/>
    <cellStyle name="Hed Side 3 6 7 9 2" xfId="15750" xr:uid="{00000000-0005-0000-0000-000008450000}"/>
    <cellStyle name="Hed Side 3 6 8" xfId="15751" xr:uid="{00000000-0005-0000-0000-000009450000}"/>
    <cellStyle name="Hed Side 3 6 8 10" xfId="15752" xr:uid="{00000000-0005-0000-0000-00000A450000}"/>
    <cellStyle name="Hed Side 3 6 8 2" xfId="15753" xr:uid="{00000000-0005-0000-0000-00000B450000}"/>
    <cellStyle name="Hed Side 3 6 8 2 2" xfId="15754" xr:uid="{00000000-0005-0000-0000-00000C450000}"/>
    <cellStyle name="Hed Side 3 6 8 3" xfId="15755" xr:uid="{00000000-0005-0000-0000-00000D450000}"/>
    <cellStyle name="Hed Side 3 6 8 3 2" xfId="15756" xr:uid="{00000000-0005-0000-0000-00000E450000}"/>
    <cellStyle name="Hed Side 3 6 8 4" xfId="15757" xr:uid="{00000000-0005-0000-0000-00000F450000}"/>
    <cellStyle name="Hed Side 3 6 8 4 2" xfId="15758" xr:uid="{00000000-0005-0000-0000-000010450000}"/>
    <cellStyle name="Hed Side 3 6 8 5" xfId="15759" xr:uid="{00000000-0005-0000-0000-000011450000}"/>
    <cellStyle name="Hed Side 3 6 8 5 2" xfId="15760" xr:uid="{00000000-0005-0000-0000-000012450000}"/>
    <cellStyle name="Hed Side 3 6 8 6" xfId="15761" xr:uid="{00000000-0005-0000-0000-000013450000}"/>
    <cellStyle name="Hed Side 3 6 8 6 2" xfId="15762" xr:uid="{00000000-0005-0000-0000-000014450000}"/>
    <cellStyle name="Hed Side 3 6 8 7" xfId="15763" xr:uid="{00000000-0005-0000-0000-000015450000}"/>
    <cellStyle name="Hed Side 3 6 8 7 2" xfId="15764" xr:uid="{00000000-0005-0000-0000-000016450000}"/>
    <cellStyle name="Hed Side 3 6 8 8" xfId="15765" xr:uid="{00000000-0005-0000-0000-000017450000}"/>
    <cellStyle name="Hed Side 3 6 8 8 2" xfId="15766" xr:uid="{00000000-0005-0000-0000-000018450000}"/>
    <cellStyle name="Hed Side 3 6 8 9" xfId="15767" xr:uid="{00000000-0005-0000-0000-000019450000}"/>
    <cellStyle name="Hed Side 3 6 8 9 2" xfId="15768" xr:uid="{00000000-0005-0000-0000-00001A450000}"/>
    <cellStyle name="Hed Side 3 6 9" xfId="15769" xr:uid="{00000000-0005-0000-0000-00001B450000}"/>
    <cellStyle name="Hed Side 3 6 9 10" xfId="15770" xr:uid="{00000000-0005-0000-0000-00001C450000}"/>
    <cellStyle name="Hed Side 3 6 9 2" xfId="15771" xr:uid="{00000000-0005-0000-0000-00001D450000}"/>
    <cellStyle name="Hed Side 3 6 9 2 2" xfId="15772" xr:uid="{00000000-0005-0000-0000-00001E450000}"/>
    <cellStyle name="Hed Side 3 6 9 3" xfId="15773" xr:uid="{00000000-0005-0000-0000-00001F450000}"/>
    <cellStyle name="Hed Side 3 6 9 3 2" xfId="15774" xr:uid="{00000000-0005-0000-0000-000020450000}"/>
    <cellStyle name="Hed Side 3 6 9 4" xfId="15775" xr:uid="{00000000-0005-0000-0000-000021450000}"/>
    <cellStyle name="Hed Side 3 6 9 4 2" xfId="15776" xr:uid="{00000000-0005-0000-0000-000022450000}"/>
    <cellStyle name="Hed Side 3 6 9 5" xfId="15777" xr:uid="{00000000-0005-0000-0000-000023450000}"/>
    <cellStyle name="Hed Side 3 6 9 5 2" xfId="15778" xr:uid="{00000000-0005-0000-0000-000024450000}"/>
    <cellStyle name="Hed Side 3 6 9 6" xfId="15779" xr:uid="{00000000-0005-0000-0000-000025450000}"/>
    <cellStyle name="Hed Side 3 6 9 6 2" xfId="15780" xr:uid="{00000000-0005-0000-0000-000026450000}"/>
    <cellStyle name="Hed Side 3 6 9 7" xfId="15781" xr:uid="{00000000-0005-0000-0000-000027450000}"/>
    <cellStyle name="Hed Side 3 6 9 7 2" xfId="15782" xr:uid="{00000000-0005-0000-0000-000028450000}"/>
    <cellStyle name="Hed Side 3 6 9 8" xfId="15783" xr:uid="{00000000-0005-0000-0000-000029450000}"/>
    <cellStyle name="Hed Side 3 6 9 8 2" xfId="15784" xr:uid="{00000000-0005-0000-0000-00002A450000}"/>
    <cellStyle name="Hed Side 3 6 9 9" xfId="15785" xr:uid="{00000000-0005-0000-0000-00002B450000}"/>
    <cellStyle name="Hed Side 3 6 9 9 2" xfId="15786" xr:uid="{00000000-0005-0000-0000-00002C450000}"/>
    <cellStyle name="Hed Side 3 7" xfId="15787" xr:uid="{00000000-0005-0000-0000-00002D450000}"/>
    <cellStyle name="Hed Side 3 7 10" xfId="15788" xr:uid="{00000000-0005-0000-0000-00002E450000}"/>
    <cellStyle name="Hed Side 3 7 10 2" xfId="15789" xr:uid="{00000000-0005-0000-0000-00002F450000}"/>
    <cellStyle name="Hed Side 3 7 10 2 2" xfId="15790" xr:uid="{00000000-0005-0000-0000-000030450000}"/>
    <cellStyle name="Hed Side 3 7 10 3" xfId="15791" xr:uid="{00000000-0005-0000-0000-000031450000}"/>
    <cellStyle name="Hed Side 3 7 10 3 2" xfId="15792" xr:uid="{00000000-0005-0000-0000-000032450000}"/>
    <cellStyle name="Hed Side 3 7 10 4" xfId="15793" xr:uid="{00000000-0005-0000-0000-000033450000}"/>
    <cellStyle name="Hed Side 3 7 10 4 2" xfId="15794" xr:uid="{00000000-0005-0000-0000-000034450000}"/>
    <cellStyle name="Hed Side 3 7 10 5" xfId="15795" xr:uid="{00000000-0005-0000-0000-000035450000}"/>
    <cellStyle name="Hed Side 3 7 10 5 2" xfId="15796" xr:uid="{00000000-0005-0000-0000-000036450000}"/>
    <cellStyle name="Hed Side 3 7 10 6" xfId="15797" xr:uid="{00000000-0005-0000-0000-000037450000}"/>
    <cellStyle name="Hed Side 3 7 10 6 2" xfId="15798" xr:uid="{00000000-0005-0000-0000-000038450000}"/>
    <cellStyle name="Hed Side 3 7 10 7" xfId="15799" xr:uid="{00000000-0005-0000-0000-000039450000}"/>
    <cellStyle name="Hed Side 3 7 10 7 2" xfId="15800" xr:uid="{00000000-0005-0000-0000-00003A450000}"/>
    <cellStyle name="Hed Side 3 7 10 8" xfId="15801" xr:uid="{00000000-0005-0000-0000-00003B450000}"/>
    <cellStyle name="Hed Side 3 7 10 8 2" xfId="15802" xr:uid="{00000000-0005-0000-0000-00003C450000}"/>
    <cellStyle name="Hed Side 3 7 10 9" xfId="15803" xr:uid="{00000000-0005-0000-0000-00003D450000}"/>
    <cellStyle name="Hed Side 3 7 11" xfId="15804" xr:uid="{00000000-0005-0000-0000-00003E450000}"/>
    <cellStyle name="Hed Side 3 7 11 2" xfId="15805" xr:uid="{00000000-0005-0000-0000-00003F450000}"/>
    <cellStyle name="Hed Side 3 7 12" xfId="15806" xr:uid="{00000000-0005-0000-0000-000040450000}"/>
    <cellStyle name="Hed Side 3 7 12 2" xfId="15807" xr:uid="{00000000-0005-0000-0000-000041450000}"/>
    <cellStyle name="Hed Side 3 7 13" xfId="15808" xr:uid="{00000000-0005-0000-0000-000042450000}"/>
    <cellStyle name="Hed Side 3 7 13 2" xfId="15809" xr:uid="{00000000-0005-0000-0000-000043450000}"/>
    <cellStyle name="Hed Side 3 7 14" xfId="15810" xr:uid="{00000000-0005-0000-0000-000044450000}"/>
    <cellStyle name="Hed Side 3 7 14 2" xfId="15811" xr:uid="{00000000-0005-0000-0000-000045450000}"/>
    <cellStyle name="Hed Side 3 7 15" xfId="15812" xr:uid="{00000000-0005-0000-0000-000046450000}"/>
    <cellStyle name="Hed Side 3 7 15 2" xfId="15813" xr:uid="{00000000-0005-0000-0000-000047450000}"/>
    <cellStyle name="Hed Side 3 7 16" xfId="15814" xr:uid="{00000000-0005-0000-0000-000048450000}"/>
    <cellStyle name="Hed Side 3 7 16 2" xfId="15815" xr:uid="{00000000-0005-0000-0000-000049450000}"/>
    <cellStyle name="Hed Side 3 7 17" xfId="15816" xr:uid="{00000000-0005-0000-0000-00004A450000}"/>
    <cellStyle name="Hed Side 3 7 17 2" xfId="15817" xr:uid="{00000000-0005-0000-0000-00004B450000}"/>
    <cellStyle name="Hed Side 3 7 18" xfId="15818" xr:uid="{00000000-0005-0000-0000-00004C450000}"/>
    <cellStyle name="Hed Side 3 7 2" xfId="15819" xr:uid="{00000000-0005-0000-0000-00004D450000}"/>
    <cellStyle name="Hed Side 3 7 2 10" xfId="15820" xr:uid="{00000000-0005-0000-0000-00004E450000}"/>
    <cellStyle name="Hed Side 3 7 2 2" xfId="15821" xr:uid="{00000000-0005-0000-0000-00004F450000}"/>
    <cellStyle name="Hed Side 3 7 2 2 2" xfId="15822" xr:uid="{00000000-0005-0000-0000-000050450000}"/>
    <cellStyle name="Hed Side 3 7 2 3" xfId="15823" xr:uid="{00000000-0005-0000-0000-000051450000}"/>
    <cellStyle name="Hed Side 3 7 2 3 2" xfId="15824" xr:uid="{00000000-0005-0000-0000-000052450000}"/>
    <cellStyle name="Hed Side 3 7 2 4" xfId="15825" xr:uid="{00000000-0005-0000-0000-000053450000}"/>
    <cellStyle name="Hed Side 3 7 2 4 2" xfId="15826" xr:uid="{00000000-0005-0000-0000-000054450000}"/>
    <cellStyle name="Hed Side 3 7 2 5" xfId="15827" xr:uid="{00000000-0005-0000-0000-000055450000}"/>
    <cellStyle name="Hed Side 3 7 2 5 2" xfId="15828" xr:uid="{00000000-0005-0000-0000-000056450000}"/>
    <cellStyle name="Hed Side 3 7 2 6" xfId="15829" xr:uid="{00000000-0005-0000-0000-000057450000}"/>
    <cellStyle name="Hed Side 3 7 2 6 2" xfId="15830" xr:uid="{00000000-0005-0000-0000-000058450000}"/>
    <cellStyle name="Hed Side 3 7 2 7" xfId="15831" xr:uid="{00000000-0005-0000-0000-000059450000}"/>
    <cellStyle name="Hed Side 3 7 2 7 2" xfId="15832" xr:uid="{00000000-0005-0000-0000-00005A450000}"/>
    <cellStyle name="Hed Side 3 7 2 8" xfId="15833" xr:uid="{00000000-0005-0000-0000-00005B450000}"/>
    <cellStyle name="Hed Side 3 7 2 8 2" xfId="15834" xr:uid="{00000000-0005-0000-0000-00005C450000}"/>
    <cellStyle name="Hed Side 3 7 2 9" xfId="15835" xr:uid="{00000000-0005-0000-0000-00005D450000}"/>
    <cellStyle name="Hed Side 3 7 2 9 2" xfId="15836" xr:uid="{00000000-0005-0000-0000-00005E450000}"/>
    <cellStyle name="Hed Side 3 7 3" xfId="15837" xr:uid="{00000000-0005-0000-0000-00005F450000}"/>
    <cellStyle name="Hed Side 3 7 3 10" xfId="15838" xr:uid="{00000000-0005-0000-0000-000060450000}"/>
    <cellStyle name="Hed Side 3 7 3 2" xfId="15839" xr:uid="{00000000-0005-0000-0000-000061450000}"/>
    <cellStyle name="Hed Side 3 7 3 2 2" xfId="15840" xr:uid="{00000000-0005-0000-0000-000062450000}"/>
    <cellStyle name="Hed Side 3 7 3 3" xfId="15841" xr:uid="{00000000-0005-0000-0000-000063450000}"/>
    <cellStyle name="Hed Side 3 7 3 3 2" xfId="15842" xr:uid="{00000000-0005-0000-0000-000064450000}"/>
    <cellStyle name="Hed Side 3 7 3 4" xfId="15843" xr:uid="{00000000-0005-0000-0000-000065450000}"/>
    <cellStyle name="Hed Side 3 7 3 4 2" xfId="15844" xr:uid="{00000000-0005-0000-0000-000066450000}"/>
    <cellStyle name="Hed Side 3 7 3 5" xfId="15845" xr:uid="{00000000-0005-0000-0000-000067450000}"/>
    <cellStyle name="Hed Side 3 7 3 5 2" xfId="15846" xr:uid="{00000000-0005-0000-0000-000068450000}"/>
    <cellStyle name="Hed Side 3 7 3 6" xfId="15847" xr:uid="{00000000-0005-0000-0000-000069450000}"/>
    <cellStyle name="Hed Side 3 7 3 6 2" xfId="15848" xr:uid="{00000000-0005-0000-0000-00006A450000}"/>
    <cellStyle name="Hed Side 3 7 3 7" xfId="15849" xr:uid="{00000000-0005-0000-0000-00006B450000}"/>
    <cellStyle name="Hed Side 3 7 3 7 2" xfId="15850" xr:uid="{00000000-0005-0000-0000-00006C450000}"/>
    <cellStyle name="Hed Side 3 7 3 8" xfId="15851" xr:uid="{00000000-0005-0000-0000-00006D450000}"/>
    <cellStyle name="Hed Side 3 7 3 8 2" xfId="15852" xr:uid="{00000000-0005-0000-0000-00006E450000}"/>
    <cellStyle name="Hed Side 3 7 3 9" xfId="15853" xr:uid="{00000000-0005-0000-0000-00006F450000}"/>
    <cellStyle name="Hed Side 3 7 3 9 2" xfId="15854" xr:uid="{00000000-0005-0000-0000-000070450000}"/>
    <cellStyle name="Hed Side 3 7 4" xfId="15855" xr:uid="{00000000-0005-0000-0000-000071450000}"/>
    <cellStyle name="Hed Side 3 7 4 10" xfId="15856" xr:uid="{00000000-0005-0000-0000-000072450000}"/>
    <cellStyle name="Hed Side 3 7 4 2" xfId="15857" xr:uid="{00000000-0005-0000-0000-000073450000}"/>
    <cellStyle name="Hed Side 3 7 4 2 2" xfId="15858" xr:uid="{00000000-0005-0000-0000-000074450000}"/>
    <cellStyle name="Hed Side 3 7 4 3" xfId="15859" xr:uid="{00000000-0005-0000-0000-000075450000}"/>
    <cellStyle name="Hed Side 3 7 4 3 2" xfId="15860" xr:uid="{00000000-0005-0000-0000-000076450000}"/>
    <cellStyle name="Hed Side 3 7 4 4" xfId="15861" xr:uid="{00000000-0005-0000-0000-000077450000}"/>
    <cellStyle name="Hed Side 3 7 4 4 2" xfId="15862" xr:uid="{00000000-0005-0000-0000-000078450000}"/>
    <cellStyle name="Hed Side 3 7 4 5" xfId="15863" xr:uid="{00000000-0005-0000-0000-000079450000}"/>
    <cellStyle name="Hed Side 3 7 4 5 2" xfId="15864" xr:uid="{00000000-0005-0000-0000-00007A450000}"/>
    <cellStyle name="Hed Side 3 7 4 6" xfId="15865" xr:uid="{00000000-0005-0000-0000-00007B450000}"/>
    <cellStyle name="Hed Side 3 7 4 6 2" xfId="15866" xr:uid="{00000000-0005-0000-0000-00007C450000}"/>
    <cellStyle name="Hed Side 3 7 4 7" xfId="15867" xr:uid="{00000000-0005-0000-0000-00007D450000}"/>
    <cellStyle name="Hed Side 3 7 4 7 2" xfId="15868" xr:uid="{00000000-0005-0000-0000-00007E450000}"/>
    <cellStyle name="Hed Side 3 7 4 8" xfId="15869" xr:uid="{00000000-0005-0000-0000-00007F450000}"/>
    <cellStyle name="Hed Side 3 7 4 8 2" xfId="15870" xr:uid="{00000000-0005-0000-0000-000080450000}"/>
    <cellStyle name="Hed Side 3 7 4 9" xfId="15871" xr:uid="{00000000-0005-0000-0000-000081450000}"/>
    <cellStyle name="Hed Side 3 7 4 9 2" xfId="15872" xr:uid="{00000000-0005-0000-0000-000082450000}"/>
    <cellStyle name="Hed Side 3 7 5" xfId="15873" xr:uid="{00000000-0005-0000-0000-000083450000}"/>
    <cellStyle name="Hed Side 3 7 5 10" xfId="15874" xr:uid="{00000000-0005-0000-0000-000084450000}"/>
    <cellStyle name="Hed Side 3 7 5 2" xfId="15875" xr:uid="{00000000-0005-0000-0000-000085450000}"/>
    <cellStyle name="Hed Side 3 7 5 2 2" xfId="15876" xr:uid="{00000000-0005-0000-0000-000086450000}"/>
    <cellStyle name="Hed Side 3 7 5 3" xfId="15877" xr:uid="{00000000-0005-0000-0000-000087450000}"/>
    <cellStyle name="Hed Side 3 7 5 3 2" xfId="15878" xr:uid="{00000000-0005-0000-0000-000088450000}"/>
    <cellStyle name="Hed Side 3 7 5 4" xfId="15879" xr:uid="{00000000-0005-0000-0000-000089450000}"/>
    <cellStyle name="Hed Side 3 7 5 4 2" xfId="15880" xr:uid="{00000000-0005-0000-0000-00008A450000}"/>
    <cellStyle name="Hed Side 3 7 5 5" xfId="15881" xr:uid="{00000000-0005-0000-0000-00008B450000}"/>
    <cellStyle name="Hed Side 3 7 5 5 2" xfId="15882" xr:uid="{00000000-0005-0000-0000-00008C450000}"/>
    <cellStyle name="Hed Side 3 7 5 6" xfId="15883" xr:uid="{00000000-0005-0000-0000-00008D450000}"/>
    <cellStyle name="Hed Side 3 7 5 6 2" xfId="15884" xr:uid="{00000000-0005-0000-0000-00008E450000}"/>
    <cellStyle name="Hed Side 3 7 5 7" xfId="15885" xr:uid="{00000000-0005-0000-0000-00008F450000}"/>
    <cellStyle name="Hed Side 3 7 5 7 2" xfId="15886" xr:uid="{00000000-0005-0000-0000-000090450000}"/>
    <cellStyle name="Hed Side 3 7 5 8" xfId="15887" xr:uid="{00000000-0005-0000-0000-000091450000}"/>
    <cellStyle name="Hed Side 3 7 5 8 2" xfId="15888" xr:uid="{00000000-0005-0000-0000-000092450000}"/>
    <cellStyle name="Hed Side 3 7 5 9" xfId="15889" xr:uid="{00000000-0005-0000-0000-000093450000}"/>
    <cellStyle name="Hed Side 3 7 5 9 2" xfId="15890" xr:uid="{00000000-0005-0000-0000-000094450000}"/>
    <cellStyle name="Hed Side 3 7 6" xfId="15891" xr:uid="{00000000-0005-0000-0000-000095450000}"/>
    <cellStyle name="Hed Side 3 7 6 10" xfId="15892" xr:uid="{00000000-0005-0000-0000-000096450000}"/>
    <cellStyle name="Hed Side 3 7 6 2" xfId="15893" xr:uid="{00000000-0005-0000-0000-000097450000}"/>
    <cellStyle name="Hed Side 3 7 6 2 2" xfId="15894" xr:uid="{00000000-0005-0000-0000-000098450000}"/>
    <cellStyle name="Hed Side 3 7 6 3" xfId="15895" xr:uid="{00000000-0005-0000-0000-000099450000}"/>
    <cellStyle name="Hed Side 3 7 6 3 2" xfId="15896" xr:uid="{00000000-0005-0000-0000-00009A450000}"/>
    <cellStyle name="Hed Side 3 7 6 4" xfId="15897" xr:uid="{00000000-0005-0000-0000-00009B450000}"/>
    <cellStyle name="Hed Side 3 7 6 4 2" xfId="15898" xr:uid="{00000000-0005-0000-0000-00009C450000}"/>
    <cellStyle name="Hed Side 3 7 6 5" xfId="15899" xr:uid="{00000000-0005-0000-0000-00009D450000}"/>
    <cellStyle name="Hed Side 3 7 6 5 2" xfId="15900" xr:uid="{00000000-0005-0000-0000-00009E450000}"/>
    <cellStyle name="Hed Side 3 7 6 6" xfId="15901" xr:uid="{00000000-0005-0000-0000-00009F450000}"/>
    <cellStyle name="Hed Side 3 7 6 6 2" xfId="15902" xr:uid="{00000000-0005-0000-0000-0000A0450000}"/>
    <cellStyle name="Hed Side 3 7 6 7" xfId="15903" xr:uid="{00000000-0005-0000-0000-0000A1450000}"/>
    <cellStyle name="Hed Side 3 7 6 7 2" xfId="15904" xr:uid="{00000000-0005-0000-0000-0000A2450000}"/>
    <cellStyle name="Hed Side 3 7 6 8" xfId="15905" xr:uid="{00000000-0005-0000-0000-0000A3450000}"/>
    <cellStyle name="Hed Side 3 7 6 8 2" xfId="15906" xr:uid="{00000000-0005-0000-0000-0000A4450000}"/>
    <cellStyle name="Hed Side 3 7 6 9" xfId="15907" xr:uid="{00000000-0005-0000-0000-0000A5450000}"/>
    <cellStyle name="Hed Side 3 7 6 9 2" xfId="15908" xr:uid="{00000000-0005-0000-0000-0000A6450000}"/>
    <cellStyle name="Hed Side 3 7 7" xfId="15909" xr:uid="{00000000-0005-0000-0000-0000A7450000}"/>
    <cellStyle name="Hed Side 3 7 7 10" xfId="15910" xr:uid="{00000000-0005-0000-0000-0000A8450000}"/>
    <cellStyle name="Hed Side 3 7 7 2" xfId="15911" xr:uid="{00000000-0005-0000-0000-0000A9450000}"/>
    <cellStyle name="Hed Side 3 7 7 2 2" xfId="15912" xr:uid="{00000000-0005-0000-0000-0000AA450000}"/>
    <cellStyle name="Hed Side 3 7 7 3" xfId="15913" xr:uid="{00000000-0005-0000-0000-0000AB450000}"/>
    <cellStyle name="Hed Side 3 7 7 3 2" xfId="15914" xr:uid="{00000000-0005-0000-0000-0000AC450000}"/>
    <cellStyle name="Hed Side 3 7 7 4" xfId="15915" xr:uid="{00000000-0005-0000-0000-0000AD450000}"/>
    <cellStyle name="Hed Side 3 7 7 4 2" xfId="15916" xr:uid="{00000000-0005-0000-0000-0000AE450000}"/>
    <cellStyle name="Hed Side 3 7 7 5" xfId="15917" xr:uid="{00000000-0005-0000-0000-0000AF450000}"/>
    <cellStyle name="Hed Side 3 7 7 5 2" xfId="15918" xr:uid="{00000000-0005-0000-0000-0000B0450000}"/>
    <cellStyle name="Hed Side 3 7 7 6" xfId="15919" xr:uid="{00000000-0005-0000-0000-0000B1450000}"/>
    <cellStyle name="Hed Side 3 7 7 6 2" xfId="15920" xr:uid="{00000000-0005-0000-0000-0000B2450000}"/>
    <cellStyle name="Hed Side 3 7 7 7" xfId="15921" xr:uid="{00000000-0005-0000-0000-0000B3450000}"/>
    <cellStyle name="Hed Side 3 7 7 7 2" xfId="15922" xr:uid="{00000000-0005-0000-0000-0000B4450000}"/>
    <cellStyle name="Hed Side 3 7 7 8" xfId="15923" xr:uid="{00000000-0005-0000-0000-0000B5450000}"/>
    <cellStyle name="Hed Side 3 7 7 8 2" xfId="15924" xr:uid="{00000000-0005-0000-0000-0000B6450000}"/>
    <cellStyle name="Hed Side 3 7 7 9" xfId="15925" xr:uid="{00000000-0005-0000-0000-0000B7450000}"/>
    <cellStyle name="Hed Side 3 7 7 9 2" xfId="15926" xr:uid="{00000000-0005-0000-0000-0000B8450000}"/>
    <cellStyle name="Hed Side 3 7 8" xfId="15927" xr:uid="{00000000-0005-0000-0000-0000B9450000}"/>
    <cellStyle name="Hed Side 3 7 8 10" xfId="15928" xr:uid="{00000000-0005-0000-0000-0000BA450000}"/>
    <cellStyle name="Hed Side 3 7 8 2" xfId="15929" xr:uid="{00000000-0005-0000-0000-0000BB450000}"/>
    <cellStyle name="Hed Side 3 7 8 2 2" xfId="15930" xr:uid="{00000000-0005-0000-0000-0000BC450000}"/>
    <cellStyle name="Hed Side 3 7 8 3" xfId="15931" xr:uid="{00000000-0005-0000-0000-0000BD450000}"/>
    <cellStyle name="Hed Side 3 7 8 3 2" xfId="15932" xr:uid="{00000000-0005-0000-0000-0000BE450000}"/>
    <cellStyle name="Hed Side 3 7 8 4" xfId="15933" xr:uid="{00000000-0005-0000-0000-0000BF450000}"/>
    <cellStyle name="Hed Side 3 7 8 4 2" xfId="15934" xr:uid="{00000000-0005-0000-0000-0000C0450000}"/>
    <cellStyle name="Hed Side 3 7 8 5" xfId="15935" xr:uid="{00000000-0005-0000-0000-0000C1450000}"/>
    <cellStyle name="Hed Side 3 7 8 5 2" xfId="15936" xr:uid="{00000000-0005-0000-0000-0000C2450000}"/>
    <cellStyle name="Hed Side 3 7 8 6" xfId="15937" xr:uid="{00000000-0005-0000-0000-0000C3450000}"/>
    <cellStyle name="Hed Side 3 7 8 6 2" xfId="15938" xr:uid="{00000000-0005-0000-0000-0000C4450000}"/>
    <cellStyle name="Hed Side 3 7 8 7" xfId="15939" xr:uid="{00000000-0005-0000-0000-0000C5450000}"/>
    <cellStyle name="Hed Side 3 7 8 7 2" xfId="15940" xr:uid="{00000000-0005-0000-0000-0000C6450000}"/>
    <cellStyle name="Hed Side 3 7 8 8" xfId="15941" xr:uid="{00000000-0005-0000-0000-0000C7450000}"/>
    <cellStyle name="Hed Side 3 7 8 8 2" xfId="15942" xr:uid="{00000000-0005-0000-0000-0000C8450000}"/>
    <cellStyle name="Hed Side 3 7 8 9" xfId="15943" xr:uid="{00000000-0005-0000-0000-0000C9450000}"/>
    <cellStyle name="Hed Side 3 7 8 9 2" xfId="15944" xr:uid="{00000000-0005-0000-0000-0000CA450000}"/>
    <cellStyle name="Hed Side 3 7 9" xfId="15945" xr:uid="{00000000-0005-0000-0000-0000CB450000}"/>
    <cellStyle name="Hed Side 3 7 9 10" xfId="15946" xr:uid="{00000000-0005-0000-0000-0000CC450000}"/>
    <cellStyle name="Hed Side 3 7 9 2" xfId="15947" xr:uid="{00000000-0005-0000-0000-0000CD450000}"/>
    <cellStyle name="Hed Side 3 7 9 2 2" xfId="15948" xr:uid="{00000000-0005-0000-0000-0000CE450000}"/>
    <cellStyle name="Hed Side 3 7 9 3" xfId="15949" xr:uid="{00000000-0005-0000-0000-0000CF450000}"/>
    <cellStyle name="Hed Side 3 7 9 3 2" xfId="15950" xr:uid="{00000000-0005-0000-0000-0000D0450000}"/>
    <cellStyle name="Hed Side 3 7 9 4" xfId="15951" xr:uid="{00000000-0005-0000-0000-0000D1450000}"/>
    <cellStyle name="Hed Side 3 7 9 4 2" xfId="15952" xr:uid="{00000000-0005-0000-0000-0000D2450000}"/>
    <cellStyle name="Hed Side 3 7 9 5" xfId="15953" xr:uid="{00000000-0005-0000-0000-0000D3450000}"/>
    <cellStyle name="Hed Side 3 7 9 5 2" xfId="15954" xr:uid="{00000000-0005-0000-0000-0000D4450000}"/>
    <cellStyle name="Hed Side 3 7 9 6" xfId="15955" xr:uid="{00000000-0005-0000-0000-0000D5450000}"/>
    <cellStyle name="Hed Side 3 7 9 6 2" xfId="15956" xr:uid="{00000000-0005-0000-0000-0000D6450000}"/>
    <cellStyle name="Hed Side 3 7 9 7" xfId="15957" xr:uid="{00000000-0005-0000-0000-0000D7450000}"/>
    <cellStyle name="Hed Side 3 7 9 7 2" xfId="15958" xr:uid="{00000000-0005-0000-0000-0000D8450000}"/>
    <cellStyle name="Hed Side 3 7 9 8" xfId="15959" xr:uid="{00000000-0005-0000-0000-0000D9450000}"/>
    <cellStyle name="Hed Side 3 7 9 8 2" xfId="15960" xr:uid="{00000000-0005-0000-0000-0000DA450000}"/>
    <cellStyle name="Hed Side 3 7 9 9" xfId="15961" xr:uid="{00000000-0005-0000-0000-0000DB450000}"/>
    <cellStyle name="Hed Side 3 7 9 9 2" xfId="15962" xr:uid="{00000000-0005-0000-0000-0000DC450000}"/>
    <cellStyle name="Hed Side 3 8" xfId="15963" xr:uid="{00000000-0005-0000-0000-0000DD450000}"/>
    <cellStyle name="Hed Side 3 8 10" xfId="15964" xr:uid="{00000000-0005-0000-0000-0000DE450000}"/>
    <cellStyle name="Hed Side 3 8 10 2" xfId="15965" xr:uid="{00000000-0005-0000-0000-0000DF450000}"/>
    <cellStyle name="Hed Side 3 8 10 2 2" xfId="15966" xr:uid="{00000000-0005-0000-0000-0000E0450000}"/>
    <cellStyle name="Hed Side 3 8 10 3" xfId="15967" xr:uid="{00000000-0005-0000-0000-0000E1450000}"/>
    <cellStyle name="Hed Side 3 8 10 3 2" xfId="15968" xr:uid="{00000000-0005-0000-0000-0000E2450000}"/>
    <cellStyle name="Hed Side 3 8 10 4" xfId="15969" xr:uid="{00000000-0005-0000-0000-0000E3450000}"/>
    <cellStyle name="Hed Side 3 8 10 4 2" xfId="15970" xr:uid="{00000000-0005-0000-0000-0000E4450000}"/>
    <cellStyle name="Hed Side 3 8 10 5" xfId="15971" xr:uid="{00000000-0005-0000-0000-0000E5450000}"/>
    <cellStyle name="Hed Side 3 8 10 5 2" xfId="15972" xr:uid="{00000000-0005-0000-0000-0000E6450000}"/>
    <cellStyle name="Hed Side 3 8 10 6" xfId="15973" xr:uid="{00000000-0005-0000-0000-0000E7450000}"/>
    <cellStyle name="Hed Side 3 8 10 6 2" xfId="15974" xr:uid="{00000000-0005-0000-0000-0000E8450000}"/>
    <cellStyle name="Hed Side 3 8 10 7" xfId="15975" xr:uid="{00000000-0005-0000-0000-0000E9450000}"/>
    <cellStyle name="Hed Side 3 8 10 7 2" xfId="15976" xr:uid="{00000000-0005-0000-0000-0000EA450000}"/>
    <cellStyle name="Hed Side 3 8 10 8" xfId="15977" xr:uid="{00000000-0005-0000-0000-0000EB450000}"/>
    <cellStyle name="Hed Side 3 8 10 8 2" xfId="15978" xr:uid="{00000000-0005-0000-0000-0000EC450000}"/>
    <cellStyle name="Hed Side 3 8 10 9" xfId="15979" xr:uid="{00000000-0005-0000-0000-0000ED450000}"/>
    <cellStyle name="Hed Side 3 8 11" xfId="15980" xr:uid="{00000000-0005-0000-0000-0000EE450000}"/>
    <cellStyle name="Hed Side 3 8 11 2" xfId="15981" xr:uid="{00000000-0005-0000-0000-0000EF450000}"/>
    <cellStyle name="Hed Side 3 8 12" xfId="15982" xr:uid="{00000000-0005-0000-0000-0000F0450000}"/>
    <cellStyle name="Hed Side 3 8 12 2" xfId="15983" xr:uid="{00000000-0005-0000-0000-0000F1450000}"/>
    <cellStyle name="Hed Side 3 8 13" xfId="15984" xr:uid="{00000000-0005-0000-0000-0000F2450000}"/>
    <cellStyle name="Hed Side 3 8 13 2" xfId="15985" xr:uid="{00000000-0005-0000-0000-0000F3450000}"/>
    <cellStyle name="Hed Side 3 8 14" xfId="15986" xr:uid="{00000000-0005-0000-0000-0000F4450000}"/>
    <cellStyle name="Hed Side 3 8 14 2" xfId="15987" xr:uid="{00000000-0005-0000-0000-0000F5450000}"/>
    <cellStyle name="Hed Side 3 8 15" xfId="15988" xr:uid="{00000000-0005-0000-0000-0000F6450000}"/>
    <cellStyle name="Hed Side 3 8 15 2" xfId="15989" xr:uid="{00000000-0005-0000-0000-0000F7450000}"/>
    <cellStyle name="Hed Side 3 8 16" xfId="15990" xr:uid="{00000000-0005-0000-0000-0000F8450000}"/>
    <cellStyle name="Hed Side 3 8 16 2" xfId="15991" xr:uid="{00000000-0005-0000-0000-0000F9450000}"/>
    <cellStyle name="Hed Side 3 8 17" xfId="15992" xr:uid="{00000000-0005-0000-0000-0000FA450000}"/>
    <cellStyle name="Hed Side 3 8 17 2" xfId="15993" xr:uid="{00000000-0005-0000-0000-0000FB450000}"/>
    <cellStyle name="Hed Side 3 8 18" xfId="15994" xr:uid="{00000000-0005-0000-0000-0000FC450000}"/>
    <cellStyle name="Hed Side 3 8 2" xfId="15995" xr:uid="{00000000-0005-0000-0000-0000FD450000}"/>
    <cellStyle name="Hed Side 3 8 2 10" xfId="15996" xr:uid="{00000000-0005-0000-0000-0000FE450000}"/>
    <cellStyle name="Hed Side 3 8 2 2" xfId="15997" xr:uid="{00000000-0005-0000-0000-0000FF450000}"/>
    <cellStyle name="Hed Side 3 8 2 2 2" xfId="15998" xr:uid="{00000000-0005-0000-0000-000000460000}"/>
    <cellStyle name="Hed Side 3 8 2 3" xfId="15999" xr:uid="{00000000-0005-0000-0000-000001460000}"/>
    <cellStyle name="Hed Side 3 8 2 3 2" xfId="16000" xr:uid="{00000000-0005-0000-0000-000002460000}"/>
    <cellStyle name="Hed Side 3 8 2 4" xfId="16001" xr:uid="{00000000-0005-0000-0000-000003460000}"/>
    <cellStyle name="Hed Side 3 8 2 4 2" xfId="16002" xr:uid="{00000000-0005-0000-0000-000004460000}"/>
    <cellStyle name="Hed Side 3 8 2 5" xfId="16003" xr:uid="{00000000-0005-0000-0000-000005460000}"/>
    <cellStyle name="Hed Side 3 8 2 5 2" xfId="16004" xr:uid="{00000000-0005-0000-0000-000006460000}"/>
    <cellStyle name="Hed Side 3 8 2 6" xfId="16005" xr:uid="{00000000-0005-0000-0000-000007460000}"/>
    <cellStyle name="Hed Side 3 8 2 6 2" xfId="16006" xr:uid="{00000000-0005-0000-0000-000008460000}"/>
    <cellStyle name="Hed Side 3 8 2 7" xfId="16007" xr:uid="{00000000-0005-0000-0000-000009460000}"/>
    <cellStyle name="Hed Side 3 8 2 7 2" xfId="16008" xr:uid="{00000000-0005-0000-0000-00000A460000}"/>
    <cellStyle name="Hed Side 3 8 2 8" xfId="16009" xr:uid="{00000000-0005-0000-0000-00000B460000}"/>
    <cellStyle name="Hed Side 3 8 2 8 2" xfId="16010" xr:uid="{00000000-0005-0000-0000-00000C460000}"/>
    <cellStyle name="Hed Side 3 8 2 9" xfId="16011" xr:uid="{00000000-0005-0000-0000-00000D460000}"/>
    <cellStyle name="Hed Side 3 8 2 9 2" xfId="16012" xr:uid="{00000000-0005-0000-0000-00000E460000}"/>
    <cellStyle name="Hed Side 3 8 3" xfId="16013" xr:uid="{00000000-0005-0000-0000-00000F460000}"/>
    <cellStyle name="Hed Side 3 8 3 10" xfId="16014" xr:uid="{00000000-0005-0000-0000-000010460000}"/>
    <cellStyle name="Hed Side 3 8 3 2" xfId="16015" xr:uid="{00000000-0005-0000-0000-000011460000}"/>
    <cellStyle name="Hed Side 3 8 3 2 2" xfId="16016" xr:uid="{00000000-0005-0000-0000-000012460000}"/>
    <cellStyle name="Hed Side 3 8 3 3" xfId="16017" xr:uid="{00000000-0005-0000-0000-000013460000}"/>
    <cellStyle name="Hed Side 3 8 3 3 2" xfId="16018" xr:uid="{00000000-0005-0000-0000-000014460000}"/>
    <cellStyle name="Hed Side 3 8 3 4" xfId="16019" xr:uid="{00000000-0005-0000-0000-000015460000}"/>
    <cellStyle name="Hed Side 3 8 3 4 2" xfId="16020" xr:uid="{00000000-0005-0000-0000-000016460000}"/>
    <cellStyle name="Hed Side 3 8 3 5" xfId="16021" xr:uid="{00000000-0005-0000-0000-000017460000}"/>
    <cellStyle name="Hed Side 3 8 3 5 2" xfId="16022" xr:uid="{00000000-0005-0000-0000-000018460000}"/>
    <cellStyle name="Hed Side 3 8 3 6" xfId="16023" xr:uid="{00000000-0005-0000-0000-000019460000}"/>
    <cellStyle name="Hed Side 3 8 3 6 2" xfId="16024" xr:uid="{00000000-0005-0000-0000-00001A460000}"/>
    <cellStyle name="Hed Side 3 8 3 7" xfId="16025" xr:uid="{00000000-0005-0000-0000-00001B460000}"/>
    <cellStyle name="Hed Side 3 8 3 7 2" xfId="16026" xr:uid="{00000000-0005-0000-0000-00001C460000}"/>
    <cellStyle name="Hed Side 3 8 3 8" xfId="16027" xr:uid="{00000000-0005-0000-0000-00001D460000}"/>
    <cellStyle name="Hed Side 3 8 3 8 2" xfId="16028" xr:uid="{00000000-0005-0000-0000-00001E460000}"/>
    <cellStyle name="Hed Side 3 8 3 9" xfId="16029" xr:uid="{00000000-0005-0000-0000-00001F460000}"/>
    <cellStyle name="Hed Side 3 8 3 9 2" xfId="16030" xr:uid="{00000000-0005-0000-0000-000020460000}"/>
    <cellStyle name="Hed Side 3 8 4" xfId="16031" xr:uid="{00000000-0005-0000-0000-000021460000}"/>
    <cellStyle name="Hed Side 3 8 4 10" xfId="16032" xr:uid="{00000000-0005-0000-0000-000022460000}"/>
    <cellStyle name="Hed Side 3 8 4 2" xfId="16033" xr:uid="{00000000-0005-0000-0000-000023460000}"/>
    <cellStyle name="Hed Side 3 8 4 2 2" xfId="16034" xr:uid="{00000000-0005-0000-0000-000024460000}"/>
    <cellStyle name="Hed Side 3 8 4 3" xfId="16035" xr:uid="{00000000-0005-0000-0000-000025460000}"/>
    <cellStyle name="Hed Side 3 8 4 3 2" xfId="16036" xr:uid="{00000000-0005-0000-0000-000026460000}"/>
    <cellStyle name="Hed Side 3 8 4 4" xfId="16037" xr:uid="{00000000-0005-0000-0000-000027460000}"/>
    <cellStyle name="Hed Side 3 8 4 4 2" xfId="16038" xr:uid="{00000000-0005-0000-0000-000028460000}"/>
    <cellStyle name="Hed Side 3 8 4 5" xfId="16039" xr:uid="{00000000-0005-0000-0000-000029460000}"/>
    <cellStyle name="Hed Side 3 8 4 5 2" xfId="16040" xr:uid="{00000000-0005-0000-0000-00002A460000}"/>
    <cellStyle name="Hed Side 3 8 4 6" xfId="16041" xr:uid="{00000000-0005-0000-0000-00002B460000}"/>
    <cellStyle name="Hed Side 3 8 4 6 2" xfId="16042" xr:uid="{00000000-0005-0000-0000-00002C460000}"/>
    <cellStyle name="Hed Side 3 8 4 7" xfId="16043" xr:uid="{00000000-0005-0000-0000-00002D460000}"/>
    <cellStyle name="Hed Side 3 8 4 7 2" xfId="16044" xr:uid="{00000000-0005-0000-0000-00002E460000}"/>
    <cellStyle name="Hed Side 3 8 4 8" xfId="16045" xr:uid="{00000000-0005-0000-0000-00002F460000}"/>
    <cellStyle name="Hed Side 3 8 4 8 2" xfId="16046" xr:uid="{00000000-0005-0000-0000-000030460000}"/>
    <cellStyle name="Hed Side 3 8 4 9" xfId="16047" xr:uid="{00000000-0005-0000-0000-000031460000}"/>
    <cellStyle name="Hed Side 3 8 4 9 2" xfId="16048" xr:uid="{00000000-0005-0000-0000-000032460000}"/>
    <cellStyle name="Hed Side 3 8 5" xfId="16049" xr:uid="{00000000-0005-0000-0000-000033460000}"/>
    <cellStyle name="Hed Side 3 8 5 10" xfId="16050" xr:uid="{00000000-0005-0000-0000-000034460000}"/>
    <cellStyle name="Hed Side 3 8 5 2" xfId="16051" xr:uid="{00000000-0005-0000-0000-000035460000}"/>
    <cellStyle name="Hed Side 3 8 5 2 2" xfId="16052" xr:uid="{00000000-0005-0000-0000-000036460000}"/>
    <cellStyle name="Hed Side 3 8 5 3" xfId="16053" xr:uid="{00000000-0005-0000-0000-000037460000}"/>
    <cellStyle name="Hed Side 3 8 5 3 2" xfId="16054" xr:uid="{00000000-0005-0000-0000-000038460000}"/>
    <cellStyle name="Hed Side 3 8 5 4" xfId="16055" xr:uid="{00000000-0005-0000-0000-000039460000}"/>
    <cellStyle name="Hed Side 3 8 5 4 2" xfId="16056" xr:uid="{00000000-0005-0000-0000-00003A460000}"/>
    <cellStyle name="Hed Side 3 8 5 5" xfId="16057" xr:uid="{00000000-0005-0000-0000-00003B460000}"/>
    <cellStyle name="Hed Side 3 8 5 5 2" xfId="16058" xr:uid="{00000000-0005-0000-0000-00003C460000}"/>
    <cellStyle name="Hed Side 3 8 5 6" xfId="16059" xr:uid="{00000000-0005-0000-0000-00003D460000}"/>
    <cellStyle name="Hed Side 3 8 5 6 2" xfId="16060" xr:uid="{00000000-0005-0000-0000-00003E460000}"/>
    <cellStyle name="Hed Side 3 8 5 7" xfId="16061" xr:uid="{00000000-0005-0000-0000-00003F460000}"/>
    <cellStyle name="Hed Side 3 8 5 7 2" xfId="16062" xr:uid="{00000000-0005-0000-0000-000040460000}"/>
    <cellStyle name="Hed Side 3 8 5 8" xfId="16063" xr:uid="{00000000-0005-0000-0000-000041460000}"/>
    <cellStyle name="Hed Side 3 8 5 8 2" xfId="16064" xr:uid="{00000000-0005-0000-0000-000042460000}"/>
    <cellStyle name="Hed Side 3 8 5 9" xfId="16065" xr:uid="{00000000-0005-0000-0000-000043460000}"/>
    <cellStyle name="Hed Side 3 8 5 9 2" xfId="16066" xr:uid="{00000000-0005-0000-0000-000044460000}"/>
    <cellStyle name="Hed Side 3 8 6" xfId="16067" xr:uid="{00000000-0005-0000-0000-000045460000}"/>
    <cellStyle name="Hed Side 3 8 6 10" xfId="16068" xr:uid="{00000000-0005-0000-0000-000046460000}"/>
    <cellStyle name="Hed Side 3 8 6 2" xfId="16069" xr:uid="{00000000-0005-0000-0000-000047460000}"/>
    <cellStyle name="Hed Side 3 8 6 2 2" xfId="16070" xr:uid="{00000000-0005-0000-0000-000048460000}"/>
    <cellStyle name="Hed Side 3 8 6 3" xfId="16071" xr:uid="{00000000-0005-0000-0000-000049460000}"/>
    <cellStyle name="Hed Side 3 8 6 3 2" xfId="16072" xr:uid="{00000000-0005-0000-0000-00004A460000}"/>
    <cellStyle name="Hed Side 3 8 6 4" xfId="16073" xr:uid="{00000000-0005-0000-0000-00004B460000}"/>
    <cellStyle name="Hed Side 3 8 6 4 2" xfId="16074" xr:uid="{00000000-0005-0000-0000-00004C460000}"/>
    <cellStyle name="Hed Side 3 8 6 5" xfId="16075" xr:uid="{00000000-0005-0000-0000-00004D460000}"/>
    <cellStyle name="Hed Side 3 8 6 5 2" xfId="16076" xr:uid="{00000000-0005-0000-0000-00004E460000}"/>
    <cellStyle name="Hed Side 3 8 6 6" xfId="16077" xr:uid="{00000000-0005-0000-0000-00004F460000}"/>
    <cellStyle name="Hed Side 3 8 6 6 2" xfId="16078" xr:uid="{00000000-0005-0000-0000-000050460000}"/>
    <cellStyle name="Hed Side 3 8 6 7" xfId="16079" xr:uid="{00000000-0005-0000-0000-000051460000}"/>
    <cellStyle name="Hed Side 3 8 6 7 2" xfId="16080" xr:uid="{00000000-0005-0000-0000-000052460000}"/>
    <cellStyle name="Hed Side 3 8 6 8" xfId="16081" xr:uid="{00000000-0005-0000-0000-000053460000}"/>
    <cellStyle name="Hed Side 3 8 6 8 2" xfId="16082" xr:uid="{00000000-0005-0000-0000-000054460000}"/>
    <cellStyle name="Hed Side 3 8 6 9" xfId="16083" xr:uid="{00000000-0005-0000-0000-000055460000}"/>
    <cellStyle name="Hed Side 3 8 6 9 2" xfId="16084" xr:uid="{00000000-0005-0000-0000-000056460000}"/>
    <cellStyle name="Hed Side 3 8 7" xfId="16085" xr:uid="{00000000-0005-0000-0000-000057460000}"/>
    <cellStyle name="Hed Side 3 8 7 10" xfId="16086" xr:uid="{00000000-0005-0000-0000-000058460000}"/>
    <cellStyle name="Hed Side 3 8 7 2" xfId="16087" xr:uid="{00000000-0005-0000-0000-000059460000}"/>
    <cellStyle name="Hed Side 3 8 7 2 2" xfId="16088" xr:uid="{00000000-0005-0000-0000-00005A460000}"/>
    <cellStyle name="Hed Side 3 8 7 3" xfId="16089" xr:uid="{00000000-0005-0000-0000-00005B460000}"/>
    <cellStyle name="Hed Side 3 8 7 3 2" xfId="16090" xr:uid="{00000000-0005-0000-0000-00005C460000}"/>
    <cellStyle name="Hed Side 3 8 7 4" xfId="16091" xr:uid="{00000000-0005-0000-0000-00005D460000}"/>
    <cellStyle name="Hed Side 3 8 7 4 2" xfId="16092" xr:uid="{00000000-0005-0000-0000-00005E460000}"/>
    <cellStyle name="Hed Side 3 8 7 5" xfId="16093" xr:uid="{00000000-0005-0000-0000-00005F460000}"/>
    <cellStyle name="Hed Side 3 8 7 5 2" xfId="16094" xr:uid="{00000000-0005-0000-0000-000060460000}"/>
    <cellStyle name="Hed Side 3 8 7 6" xfId="16095" xr:uid="{00000000-0005-0000-0000-000061460000}"/>
    <cellStyle name="Hed Side 3 8 7 6 2" xfId="16096" xr:uid="{00000000-0005-0000-0000-000062460000}"/>
    <cellStyle name="Hed Side 3 8 7 7" xfId="16097" xr:uid="{00000000-0005-0000-0000-000063460000}"/>
    <cellStyle name="Hed Side 3 8 7 7 2" xfId="16098" xr:uid="{00000000-0005-0000-0000-000064460000}"/>
    <cellStyle name="Hed Side 3 8 7 8" xfId="16099" xr:uid="{00000000-0005-0000-0000-000065460000}"/>
    <cellStyle name="Hed Side 3 8 7 8 2" xfId="16100" xr:uid="{00000000-0005-0000-0000-000066460000}"/>
    <cellStyle name="Hed Side 3 8 7 9" xfId="16101" xr:uid="{00000000-0005-0000-0000-000067460000}"/>
    <cellStyle name="Hed Side 3 8 7 9 2" xfId="16102" xr:uid="{00000000-0005-0000-0000-000068460000}"/>
    <cellStyle name="Hed Side 3 8 8" xfId="16103" xr:uid="{00000000-0005-0000-0000-000069460000}"/>
    <cellStyle name="Hed Side 3 8 8 10" xfId="16104" xr:uid="{00000000-0005-0000-0000-00006A460000}"/>
    <cellStyle name="Hed Side 3 8 8 2" xfId="16105" xr:uid="{00000000-0005-0000-0000-00006B460000}"/>
    <cellStyle name="Hed Side 3 8 8 2 2" xfId="16106" xr:uid="{00000000-0005-0000-0000-00006C460000}"/>
    <cellStyle name="Hed Side 3 8 8 3" xfId="16107" xr:uid="{00000000-0005-0000-0000-00006D460000}"/>
    <cellStyle name="Hed Side 3 8 8 3 2" xfId="16108" xr:uid="{00000000-0005-0000-0000-00006E460000}"/>
    <cellStyle name="Hed Side 3 8 8 4" xfId="16109" xr:uid="{00000000-0005-0000-0000-00006F460000}"/>
    <cellStyle name="Hed Side 3 8 8 4 2" xfId="16110" xr:uid="{00000000-0005-0000-0000-000070460000}"/>
    <cellStyle name="Hed Side 3 8 8 5" xfId="16111" xr:uid="{00000000-0005-0000-0000-000071460000}"/>
    <cellStyle name="Hed Side 3 8 8 5 2" xfId="16112" xr:uid="{00000000-0005-0000-0000-000072460000}"/>
    <cellStyle name="Hed Side 3 8 8 6" xfId="16113" xr:uid="{00000000-0005-0000-0000-000073460000}"/>
    <cellStyle name="Hed Side 3 8 8 6 2" xfId="16114" xr:uid="{00000000-0005-0000-0000-000074460000}"/>
    <cellStyle name="Hed Side 3 8 8 7" xfId="16115" xr:uid="{00000000-0005-0000-0000-000075460000}"/>
    <cellStyle name="Hed Side 3 8 8 7 2" xfId="16116" xr:uid="{00000000-0005-0000-0000-000076460000}"/>
    <cellStyle name="Hed Side 3 8 8 8" xfId="16117" xr:uid="{00000000-0005-0000-0000-000077460000}"/>
    <cellStyle name="Hed Side 3 8 8 8 2" xfId="16118" xr:uid="{00000000-0005-0000-0000-000078460000}"/>
    <cellStyle name="Hed Side 3 8 8 9" xfId="16119" xr:uid="{00000000-0005-0000-0000-000079460000}"/>
    <cellStyle name="Hed Side 3 8 8 9 2" xfId="16120" xr:uid="{00000000-0005-0000-0000-00007A460000}"/>
    <cellStyle name="Hed Side 3 8 9" xfId="16121" xr:uid="{00000000-0005-0000-0000-00007B460000}"/>
    <cellStyle name="Hed Side 3 8 9 10" xfId="16122" xr:uid="{00000000-0005-0000-0000-00007C460000}"/>
    <cellStyle name="Hed Side 3 8 9 2" xfId="16123" xr:uid="{00000000-0005-0000-0000-00007D460000}"/>
    <cellStyle name="Hed Side 3 8 9 2 2" xfId="16124" xr:uid="{00000000-0005-0000-0000-00007E460000}"/>
    <cellStyle name="Hed Side 3 8 9 3" xfId="16125" xr:uid="{00000000-0005-0000-0000-00007F460000}"/>
    <cellStyle name="Hed Side 3 8 9 3 2" xfId="16126" xr:uid="{00000000-0005-0000-0000-000080460000}"/>
    <cellStyle name="Hed Side 3 8 9 4" xfId="16127" xr:uid="{00000000-0005-0000-0000-000081460000}"/>
    <cellStyle name="Hed Side 3 8 9 4 2" xfId="16128" xr:uid="{00000000-0005-0000-0000-000082460000}"/>
    <cellStyle name="Hed Side 3 8 9 5" xfId="16129" xr:uid="{00000000-0005-0000-0000-000083460000}"/>
    <cellStyle name="Hed Side 3 8 9 5 2" xfId="16130" xr:uid="{00000000-0005-0000-0000-000084460000}"/>
    <cellStyle name="Hed Side 3 8 9 6" xfId="16131" xr:uid="{00000000-0005-0000-0000-000085460000}"/>
    <cellStyle name="Hed Side 3 8 9 6 2" xfId="16132" xr:uid="{00000000-0005-0000-0000-000086460000}"/>
    <cellStyle name="Hed Side 3 8 9 7" xfId="16133" xr:uid="{00000000-0005-0000-0000-000087460000}"/>
    <cellStyle name="Hed Side 3 8 9 7 2" xfId="16134" xr:uid="{00000000-0005-0000-0000-000088460000}"/>
    <cellStyle name="Hed Side 3 8 9 8" xfId="16135" xr:uid="{00000000-0005-0000-0000-000089460000}"/>
    <cellStyle name="Hed Side 3 8 9 8 2" xfId="16136" xr:uid="{00000000-0005-0000-0000-00008A460000}"/>
    <cellStyle name="Hed Side 3 8 9 9" xfId="16137" xr:uid="{00000000-0005-0000-0000-00008B460000}"/>
    <cellStyle name="Hed Side 3 8 9 9 2" xfId="16138" xr:uid="{00000000-0005-0000-0000-00008C460000}"/>
    <cellStyle name="Hed Side 4" xfId="16139" xr:uid="{00000000-0005-0000-0000-00008D460000}"/>
    <cellStyle name="Hed Side 4 10" xfId="16140" xr:uid="{00000000-0005-0000-0000-00008E460000}"/>
    <cellStyle name="Hed Side 4 10 10" xfId="16141" xr:uid="{00000000-0005-0000-0000-00008F460000}"/>
    <cellStyle name="Hed Side 4 10 2" xfId="16142" xr:uid="{00000000-0005-0000-0000-000090460000}"/>
    <cellStyle name="Hed Side 4 10 2 2" xfId="16143" xr:uid="{00000000-0005-0000-0000-000091460000}"/>
    <cellStyle name="Hed Side 4 10 3" xfId="16144" xr:uid="{00000000-0005-0000-0000-000092460000}"/>
    <cellStyle name="Hed Side 4 10 3 2" xfId="16145" xr:uid="{00000000-0005-0000-0000-000093460000}"/>
    <cellStyle name="Hed Side 4 10 4" xfId="16146" xr:uid="{00000000-0005-0000-0000-000094460000}"/>
    <cellStyle name="Hed Side 4 10 4 2" xfId="16147" xr:uid="{00000000-0005-0000-0000-000095460000}"/>
    <cellStyle name="Hed Side 4 10 5" xfId="16148" xr:uid="{00000000-0005-0000-0000-000096460000}"/>
    <cellStyle name="Hed Side 4 10 5 2" xfId="16149" xr:uid="{00000000-0005-0000-0000-000097460000}"/>
    <cellStyle name="Hed Side 4 10 6" xfId="16150" xr:uid="{00000000-0005-0000-0000-000098460000}"/>
    <cellStyle name="Hed Side 4 10 6 2" xfId="16151" xr:uid="{00000000-0005-0000-0000-000099460000}"/>
    <cellStyle name="Hed Side 4 10 7" xfId="16152" xr:uid="{00000000-0005-0000-0000-00009A460000}"/>
    <cellStyle name="Hed Side 4 10 7 2" xfId="16153" xr:uid="{00000000-0005-0000-0000-00009B460000}"/>
    <cellStyle name="Hed Side 4 10 8" xfId="16154" xr:uid="{00000000-0005-0000-0000-00009C460000}"/>
    <cellStyle name="Hed Side 4 10 8 2" xfId="16155" xr:uid="{00000000-0005-0000-0000-00009D460000}"/>
    <cellStyle name="Hed Side 4 10 9" xfId="16156" xr:uid="{00000000-0005-0000-0000-00009E460000}"/>
    <cellStyle name="Hed Side 4 10 9 2" xfId="16157" xr:uid="{00000000-0005-0000-0000-00009F460000}"/>
    <cellStyle name="Hed Side 4 11" xfId="16158" xr:uid="{00000000-0005-0000-0000-0000A0460000}"/>
    <cellStyle name="Hed Side 4 11 2" xfId="16159" xr:uid="{00000000-0005-0000-0000-0000A1460000}"/>
    <cellStyle name="Hed Side 4 11 2 2" xfId="16160" xr:uid="{00000000-0005-0000-0000-0000A2460000}"/>
    <cellStyle name="Hed Side 4 11 3" xfId="16161" xr:uid="{00000000-0005-0000-0000-0000A3460000}"/>
    <cellStyle name="Hed Side 4 11 3 2" xfId="16162" xr:uid="{00000000-0005-0000-0000-0000A4460000}"/>
    <cellStyle name="Hed Side 4 11 4" xfId="16163" xr:uid="{00000000-0005-0000-0000-0000A5460000}"/>
    <cellStyle name="Hed Side 4 11 4 2" xfId="16164" xr:uid="{00000000-0005-0000-0000-0000A6460000}"/>
    <cellStyle name="Hed Side 4 11 5" xfId="16165" xr:uid="{00000000-0005-0000-0000-0000A7460000}"/>
    <cellStyle name="Hed Side 4 11 5 2" xfId="16166" xr:uid="{00000000-0005-0000-0000-0000A8460000}"/>
    <cellStyle name="Hed Side 4 11 6" xfId="16167" xr:uid="{00000000-0005-0000-0000-0000A9460000}"/>
    <cellStyle name="Hed Side 4 11 6 2" xfId="16168" xr:uid="{00000000-0005-0000-0000-0000AA460000}"/>
    <cellStyle name="Hed Side 4 11 7" xfId="16169" xr:uid="{00000000-0005-0000-0000-0000AB460000}"/>
    <cellStyle name="Hed Side 4 11 7 2" xfId="16170" xr:uid="{00000000-0005-0000-0000-0000AC460000}"/>
    <cellStyle name="Hed Side 4 11 8" xfId="16171" xr:uid="{00000000-0005-0000-0000-0000AD460000}"/>
    <cellStyle name="Hed Side 4 11 8 2" xfId="16172" xr:uid="{00000000-0005-0000-0000-0000AE460000}"/>
    <cellStyle name="Hed Side 4 11 9" xfId="16173" xr:uid="{00000000-0005-0000-0000-0000AF460000}"/>
    <cellStyle name="Hed Side 4 2" xfId="16174" xr:uid="{00000000-0005-0000-0000-0000B0460000}"/>
    <cellStyle name="Hed Side 4 2 10" xfId="16175" xr:uid="{00000000-0005-0000-0000-0000B1460000}"/>
    <cellStyle name="Hed Side 4 2 2" xfId="16176" xr:uid="{00000000-0005-0000-0000-0000B2460000}"/>
    <cellStyle name="Hed Side 4 2 2 2" xfId="16177" xr:uid="{00000000-0005-0000-0000-0000B3460000}"/>
    <cellStyle name="Hed Side 4 2 3" xfId="16178" xr:uid="{00000000-0005-0000-0000-0000B4460000}"/>
    <cellStyle name="Hed Side 4 2 3 2" xfId="16179" xr:uid="{00000000-0005-0000-0000-0000B5460000}"/>
    <cellStyle name="Hed Side 4 2 4" xfId="16180" xr:uid="{00000000-0005-0000-0000-0000B6460000}"/>
    <cellStyle name="Hed Side 4 2 4 2" xfId="16181" xr:uid="{00000000-0005-0000-0000-0000B7460000}"/>
    <cellStyle name="Hed Side 4 2 5" xfId="16182" xr:uid="{00000000-0005-0000-0000-0000B8460000}"/>
    <cellStyle name="Hed Side 4 2 5 2" xfId="16183" xr:uid="{00000000-0005-0000-0000-0000B9460000}"/>
    <cellStyle name="Hed Side 4 2 6" xfId="16184" xr:uid="{00000000-0005-0000-0000-0000BA460000}"/>
    <cellStyle name="Hed Side 4 2 6 2" xfId="16185" xr:uid="{00000000-0005-0000-0000-0000BB460000}"/>
    <cellStyle name="Hed Side 4 2 7" xfId="16186" xr:uid="{00000000-0005-0000-0000-0000BC460000}"/>
    <cellStyle name="Hed Side 4 2 7 2" xfId="16187" xr:uid="{00000000-0005-0000-0000-0000BD460000}"/>
    <cellStyle name="Hed Side 4 2 8" xfId="16188" xr:uid="{00000000-0005-0000-0000-0000BE460000}"/>
    <cellStyle name="Hed Side 4 2 8 2" xfId="16189" xr:uid="{00000000-0005-0000-0000-0000BF460000}"/>
    <cellStyle name="Hed Side 4 2 9" xfId="16190" xr:uid="{00000000-0005-0000-0000-0000C0460000}"/>
    <cellStyle name="Hed Side 4 2 9 2" xfId="16191" xr:uid="{00000000-0005-0000-0000-0000C1460000}"/>
    <cellStyle name="Hed Side 4 3" xfId="16192" xr:uid="{00000000-0005-0000-0000-0000C2460000}"/>
    <cellStyle name="Hed Side 4 3 10" xfId="16193" xr:uid="{00000000-0005-0000-0000-0000C3460000}"/>
    <cellStyle name="Hed Side 4 3 2" xfId="16194" xr:uid="{00000000-0005-0000-0000-0000C4460000}"/>
    <cellStyle name="Hed Side 4 3 2 2" xfId="16195" xr:uid="{00000000-0005-0000-0000-0000C5460000}"/>
    <cellStyle name="Hed Side 4 3 3" xfId="16196" xr:uid="{00000000-0005-0000-0000-0000C6460000}"/>
    <cellStyle name="Hed Side 4 3 3 2" xfId="16197" xr:uid="{00000000-0005-0000-0000-0000C7460000}"/>
    <cellStyle name="Hed Side 4 3 4" xfId="16198" xr:uid="{00000000-0005-0000-0000-0000C8460000}"/>
    <cellStyle name="Hed Side 4 3 4 2" xfId="16199" xr:uid="{00000000-0005-0000-0000-0000C9460000}"/>
    <cellStyle name="Hed Side 4 3 5" xfId="16200" xr:uid="{00000000-0005-0000-0000-0000CA460000}"/>
    <cellStyle name="Hed Side 4 3 5 2" xfId="16201" xr:uid="{00000000-0005-0000-0000-0000CB460000}"/>
    <cellStyle name="Hed Side 4 3 6" xfId="16202" xr:uid="{00000000-0005-0000-0000-0000CC460000}"/>
    <cellStyle name="Hed Side 4 3 6 2" xfId="16203" xr:uid="{00000000-0005-0000-0000-0000CD460000}"/>
    <cellStyle name="Hed Side 4 3 7" xfId="16204" xr:uid="{00000000-0005-0000-0000-0000CE460000}"/>
    <cellStyle name="Hed Side 4 3 7 2" xfId="16205" xr:uid="{00000000-0005-0000-0000-0000CF460000}"/>
    <cellStyle name="Hed Side 4 3 8" xfId="16206" xr:uid="{00000000-0005-0000-0000-0000D0460000}"/>
    <cellStyle name="Hed Side 4 3 8 2" xfId="16207" xr:uid="{00000000-0005-0000-0000-0000D1460000}"/>
    <cellStyle name="Hed Side 4 3 9" xfId="16208" xr:uid="{00000000-0005-0000-0000-0000D2460000}"/>
    <cellStyle name="Hed Side 4 3 9 2" xfId="16209" xr:uid="{00000000-0005-0000-0000-0000D3460000}"/>
    <cellStyle name="Hed Side 4 4" xfId="16210" xr:uid="{00000000-0005-0000-0000-0000D4460000}"/>
    <cellStyle name="Hed Side 4 4 10" xfId="16211" xr:uid="{00000000-0005-0000-0000-0000D5460000}"/>
    <cellStyle name="Hed Side 4 4 2" xfId="16212" xr:uid="{00000000-0005-0000-0000-0000D6460000}"/>
    <cellStyle name="Hed Side 4 4 2 2" xfId="16213" xr:uid="{00000000-0005-0000-0000-0000D7460000}"/>
    <cellStyle name="Hed Side 4 4 3" xfId="16214" xr:uid="{00000000-0005-0000-0000-0000D8460000}"/>
    <cellStyle name="Hed Side 4 4 3 2" xfId="16215" xr:uid="{00000000-0005-0000-0000-0000D9460000}"/>
    <cellStyle name="Hed Side 4 4 4" xfId="16216" xr:uid="{00000000-0005-0000-0000-0000DA460000}"/>
    <cellStyle name="Hed Side 4 4 4 2" xfId="16217" xr:uid="{00000000-0005-0000-0000-0000DB460000}"/>
    <cellStyle name="Hed Side 4 4 5" xfId="16218" xr:uid="{00000000-0005-0000-0000-0000DC460000}"/>
    <cellStyle name="Hed Side 4 4 5 2" xfId="16219" xr:uid="{00000000-0005-0000-0000-0000DD460000}"/>
    <cellStyle name="Hed Side 4 4 6" xfId="16220" xr:uid="{00000000-0005-0000-0000-0000DE460000}"/>
    <cellStyle name="Hed Side 4 4 6 2" xfId="16221" xr:uid="{00000000-0005-0000-0000-0000DF460000}"/>
    <cellStyle name="Hed Side 4 4 7" xfId="16222" xr:uid="{00000000-0005-0000-0000-0000E0460000}"/>
    <cellStyle name="Hed Side 4 4 7 2" xfId="16223" xr:uid="{00000000-0005-0000-0000-0000E1460000}"/>
    <cellStyle name="Hed Side 4 4 8" xfId="16224" xr:uid="{00000000-0005-0000-0000-0000E2460000}"/>
    <cellStyle name="Hed Side 4 4 8 2" xfId="16225" xr:uid="{00000000-0005-0000-0000-0000E3460000}"/>
    <cellStyle name="Hed Side 4 4 9" xfId="16226" xr:uid="{00000000-0005-0000-0000-0000E4460000}"/>
    <cellStyle name="Hed Side 4 4 9 2" xfId="16227" xr:uid="{00000000-0005-0000-0000-0000E5460000}"/>
    <cellStyle name="Hed Side 4 5" xfId="16228" xr:uid="{00000000-0005-0000-0000-0000E6460000}"/>
    <cellStyle name="Hed Side 4 5 10" xfId="16229" xr:uid="{00000000-0005-0000-0000-0000E7460000}"/>
    <cellStyle name="Hed Side 4 5 2" xfId="16230" xr:uid="{00000000-0005-0000-0000-0000E8460000}"/>
    <cellStyle name="Hed Side 4 5 2 2" xfId="16231" xr:uid="{00000000-0005-0000-0000-0000E9460000}"/>
    <cellStyle name="Hed Side 4 5 3" xfId="16232" xr:uid="{00000000-0005-0000-0000-0000EA460000}"/>
    <cellStyle name="Hed Side 4 5 3 2" xfId="16233" xr:uid="{00000000-0005-0000-0000-0000EB460000}"/>
    <cellStyle name="Hed Side 4 5 4" xfId="16234" xr:uid="{00000000-0005-0000-0000-0000EC460000}"/>
    <cellStyle name="Hed Side 4 5 4 2" xfId="16235" xr:uid="{00000000-0005-0000-0000-0000ED460000}"/>
    <cellStyle name="Hed Side 4 5 5" xfId="16236" xr:uid="{00000000-0005-0000-0000-0000EE460000}"/>
    <cellStyle name="Hed Side 4 5 5 2" xfId="16237" xr:uid="{00000000-0005-0000-0000-0000EF460000}"/>
    <cellStyle name="Hed Side 4 5 6" xfId="16238" xr:uid="{00000000-0005-0000-0000-0000F0460000}"/>
    <cellStyle name="Hed Side 4 5 6 2" xfId="16239" xr:uid="{00000000-0005-0000-0000-0000F1460000}"/>
    <cellStyle name="Hed Side 4 5 7" xfId="16240" xr:uid="{00000000-0005-0000-0000-0000F2460000}"/>
    <cellStyle name="Hed Side 4 5 7 2" xfId="16241" xr:uid="{00000000-0005-0000-0000-0000F3460000}"/>
    <cellStyle name="Hed Side 4 5 8" xfId="16242" xr:uid="{00000000-0005-0000-0000-0000F4460000}"/>
    <cellStyle name="Hed Side 4 5 8 2" xfId="16243" xr:uid="{00000000-0005-0000-0000-0000F5460000}"/>
    <cellStyle name="Hed Side 4 5 9" xfId="16244" xr:uid="{00000000-0005-0000-0000-0000F6460000}"/>
    <cellStyle name="Hed Side 4 5 9 2" xfId="16245" xr:uid="{00000000-0005-0000-0000-0000F7460000}"/>
    <cellStyle name="Hed Side 4 6" xfId="16246" xr:uid="{00000000-0005-0000-0000-0000F8460000}"/>
    <cellStyle name="Hed Side 4 6 10" xfId="16247" xr:uid="{00000000-0005-0000-0000-0000F9460000}"/>
    <cellStyle name="Hed Side 4 6 2" xfId="16248" xr:uid="{00000000-0005-0000-0000-0000FA460000}"/>
    <cellStyle name="Hed Side 4 6 2 2" xfId="16249" xr:uid="{00000000-0005-0000-0000-0000FB460000}"/>
    <cellStyle name="Hed Side 4 6 3" xfId="16250" xr:uid="{00000000-0005-0000-0000-0000FC460000}"/>
    <cellStyle name="Hed Side 4 6 3 2" xfId="16251" xr:uid="{00000000-0005-0000-0000-0000FD460000}"/>
    <cellStyle name="Hed Side 4 6 4" xfId="16252" xr:uid="{00000000-0005-0000-0000-0000FE460000}"/>
    <cellStyle name="Hed Side 4 6 4 2" xfId="16253" xr:uid="{00000000-0005-0000-0000-0000FF460000}"/>
    <cellStyle name="Hed Side 4 6 5" xfId="16254" xr:uid="{00000000-0005-0000-0000-000000470000}"/>
    <cellStyle name="Hed Side 4 6 5 2" xfId="16255" xr:uid="{00000000-0005-0000-0000-000001470000}"/>
    <cellStyle name="Hed Side 4 6 6" xfId="16256" xr:uid="{00000000-0005-0000-0000-000002470000}"/>
    <cellStyle name="Hed Side 4 6 6 2" xfId="16257" xr:uid="{00000000-0005-0000-0000-000003470000}"/>
    <cellStyle name="Hed Side 4 6 7" xfId="16258" xr:uid="{00000000-0005-0000-0000-000004470000}"/>
    <cellStyle name="Hed Side 4 6 7 2" xfId="16259" xr:uid="{00000000-0005-0000-0000-000005470000}"/>
    <cellStyle name="Hed Side 4 6 8" xfId="16260" xr:uid="{00000000-0005-0000-0000-000006470000}"/>
    <cellStyle name="Hed Side 4 6 8 2" xfId="16261" xr:uid="{00000000-0005-0000-0000-000007470000}"/>
    <cellStyle name="Hed Side 4 6 9" xfId="16262" xr:uid="{00000000-0005-0000-0000-000008470000}"/>
    <cellStyle name="Hed Side 4 6 9 2" xfId="16263" xr:uid="{00000000-0005-0000-0000-000009470000}"/>
    <cellStyle name="Hed Side 4 7" xfId="16264" xr:uid="{00000000-0005-0000-0000-00000A470000}"/>
    <cellStyle name="Hed Side 4 7 10" xfId="16265" xr:uid="{00000000-0005-0000-0000-00000B470000}"/>
    <cellStyle name="Hed Side 4 7 2" xfId="16266" xr:uid="{00000000-0005-0000-0000-00000C470000}"/>
    <cellStyle name="Hed Side 4 7 2 2" xfId="16267" xr:uid="{00000000-0005-0000-0000-00000D470000}"/>
    <cellStyle name="Hed Side 4 7 3" xfId="16268" xr:uid="{00000000-0005-0000-0000-00000E470000}"/>
    <cellStyle name="Hed Side 4 7 3 2" xfId="16269" xr:uid="{00000000-0005-0000-0000-00000F470000}"/>
    <cellStyle name="Hed Side 4 7 4" xfId="16270" xr:uid="{00000000-0005-0000-0000-000010470000}"/>
    <cellStyle name="Hed Side 4 7 4 2" xfId="16271" xr:uid="{00000000-0005-0000-0000-000011470000}"/>
    <cellStyle name="Hed Side 4 7 5" xfId="16272" xr:uid="{00000000-0005-0000-0000-000012470000}"/>
    <cellStyle name="Hed Side 4 7 5 2" xfId="16273" xr:uid="{00000000-0005-0000-0000-000013470000}"/>
    <cellStyle name="Hed Side 4 7 6" xfId="16274" xr:uid="{00000000-0005-0000-0000-000014470000}"/>
    <cellStyle name="Hed Side 4 7 6 2" xfId="16275" xr:uid="{00000000-0005-0000-0000-000015470000}"/>
    <cellStyle name="Hed Side 4 7 7" xfId="16276" xr:uid="{00000000-0005-0000-0000-000016470000}"/>
    <cellStyle name="Hed Side 4 7 7 2" xfId="16277" xr:uid="{00000000-0005-0000-0000-000017470000}"/>
    <cellStyle name="Hed Side 4 7 8" xfId="16278" xr:uid="{00000000-0005-0000-0000-000018470000}"/>
    <cellStyle name="Hed Side 4 7 8 2" xfId="16279" xr:uid="{00000000-0005-0000-0000-000019470000}"/>
    <cellStyle name="Hed Side 4 7 9" xfId="16280" xr:uid="{00000000-0005-0000-0000-00001A470000}"/>
    <cellStyle name="Hed Side 4 7 9 2" xfId="16281" xr:uid="{00000000-0005-0000-0000-00001B470000}"/>
    <cellStyle name="Hed Side 4 8" xfId="16282" xr:uid="{00000000-0005-0000-0000-00001C470000}"/>
    <cellStyle name="Hed Side 4 8 10" xfId="16283" xr:uid="{00000000-0005-0000-0000-00001D470000}"/>
    <cellStyle name="Hed Side 4 8 2" xfId="16284" xr:uid="{00000000-0005-0000-0000-00001E470000}"/>
    <cellStyle name="Hed Side 4 8 2 2" xfId="16285" xr:uid="{00000000-0005-0000-0000-00001F470000}"/>
    <cellStyle name="Hed Side 4 8 3" xfId="16286" xr:uid="{00000000-0005-0000-0000-000020470000}"/>
    <cellStyle name="Hed Side 4 8 3 2" xfId="16287" xr:uid="{00000000-0005-0000-0000-000021470000}"/>
    <cellStyle name="Hed Side 4 8 4" xfId="16288" xr:uid="{00000000-0005-0000-0000-000022470000}"/>
    <cellStyle name="Hed Side 4 8 4 2" xfId="16289" xr:uid="{00000000-0005-0000-0000-000023470000}"/>
    <cellStyle name="Hed Side 4 8 5" xfId="16290" xr:uid="{00000000-0005-0000-0000-000024470000}"/>
    <cellStyle name="Hed Side 4 8 5 2" xfId="16291" xr:uid="{00000000-0005-0000-0000-000025470000}"/>
    <cellStyle name="Hed Side 4 8 6" xfId="16292" xr:uid="{00000000-0005-0000-0000-000026470000}"/>
    <cellStyle name="Hed Side 4 8 6 2" xfId="16293" xr:uid="{00000000-0005-0000-0000-000027470000}"/>
    <cellStyle name="Hed Side 4 8 7" xfId="16294" xr:uid="{00000000-0005-0000-0000-000028470000}"/>
    <cellStyle name="Hed Side 4 8 7 2" xfId="16295" xr:uid="{00000000-0005-0000-0000-000029470000}"/>
    <cellStyle name="Hed Side 4 8 8" xfId="16296" xr:uid="{00000000-0005-0000-0000-00002A470000}"/>
    <cellStyle name="Hed Side 4 8 8 2" xfId="16297" xr:uid="{00000000-0005-0000-0000-00002B470000}"/>
    <cellStyle name="Hed Side 4 8 9" xfId="16298" xr:uid="{00000000-0005-0000-0000-00002C470000}"/>
    <cellStyle name="Hed Side 4 8 9 2" xfId="16299" xr:uid="{00000000-0005-0000-0000-00002D470000}"/>
    <cellStyle name="Hed Side 4 9" xfId="16300" xr:uid="{00000000-0005-0000-0000-00002E470000}"/>
    <cellStyle name="Hed Side 4 9 10" xfId="16301" xr:uid="{00000000-0005-0000-0000-00002F470000}"/>
    <cellStyle name="Hed Side 4 9 2" xfId="16302" xr:uid="{00000000-0005-0000-0000-000030470000}"/>
    <cellStyle name="Hed Side 4 9 2 2" xfId="16303" xr:uid="{00000000-0005-0000-0000-000031470000}"/>
    <cellStyle name="Hed Side 4 9 3" xfId="16304" xr:uid="{00000000-0005-0000-0000-000032470000}"/>
    <cellStyle name="Hed Side 4 9 3 2" xfId="16305" xr:uid="{00000000-0005-0000-0000-000033470000}"/>
    <cellStyle name="Hed Side 4 9 4" xfId="16306" xr:uid="{00000000-0005-0000-0000-000034470000}"/>
    <cellStyle name="Hed Side 4 9 4 2" xfId="16307" xr:uid="{00000000-0005-0000-0000-000035470000}"/>
    <cellStyle name="Hed Side 4 9 5" xfId="16308" xr:uid="{00000000-0005-0000-0000-000036470000}"/>
    <cellStyle name="Hed Side 4 9 5 2" xfId="16309" xr:uid="{00000000-0005-0000-0000-000037470000}"/>
    <cellStyle name="Hed Side 4 9 6" xfId="16310" xr:uid="{00000000-0005-0000-0000-000038470000}"/>
    <cellStyle name="Hed Side 4 9 6 2" xfId="16311" xr:uid="{00000000-0005-0000-0000-000039470000}"/>
    <cellStyle name="Hed Side 4 9 7" xfId="16312" xr:uid="{00000000-0005-0000-0000-00003A470000}"/>
    <cellStyle name="Hed Side 4 9 7 2" xfId="16313" xr:uid="{00000000-0005-0000-0000-00003B470000}"/>
    <cellStyle name="Hed Side 4 9 8" xfId="16314" xr:uid="{00000000-0005-0000-0000-00003C470000}"/>
    <cellStyle name="Hed Side 4 9 8 2" xfId="16315" xr:uid="{00000000-0005-0000-0000-00003D470000}"/>
    <cellStyle name="Hed Side 4 9 9" xfId="16316" xr:uid="{00000000-0005-0000-0000-00003E470000}"/>
    <cellStyle name="Hed Side 4 9 9 2" xfId="16317" xr:uid="{00000000-0005-0000-0000-00003F470000}"/>
    <cellStyle name="Hed Side 5" xfId="16318" xr:uid="{00000000-0005-0000-0000-000040470000}"/>
    <cellStyle name="Hed Side 5 10" xfId="16319" xr:uid="{00000000-0005-0000-0000-000041470000}"/>
    <cellStyle name="Hed Side 5 10 2" xfId="16320" xr:uid="{00000000-0005-0000-0000-000042470000}"/>
    <cellStyle name="Hed Side 5 10 2 2" xfId="16321" xr:uid="{00000000-0005-0000-0000-000043470000}"/>
    <cellStyle name="Hed Side 5 10 3" xfId="16322" xr:uid="{00000000-0005-0000-0000-000044470000}"/>
    <cellStyle name="Hed Side 5 10 3 2" xfId="16323" xr:uid="{00000000-0005-0000-0000-000045470000}"/>
    <cellStyle name="Hed Side 5 10 4" xfId="16324" xr:uid="{00000000-0005-0000-0000-000046470000}"/>
    <cellStyle name="Hed Side 5 10 4 2" xfId="16325" xr:uid="{00000000-0005-0000-0000-000047470000}"/>
    <cellStyle name="Hed Side 5 10 5" xfId="16326" xr:uid="{00000000-0005-0000-0000-000048470000}"/>
    <cellStyle name="Hed Side 5 10 5 2" xfId="16327" xr:uid="{00000000-0005-0000-0000-000049470000}"/>
    <cellStyle name="Hed Side 5 10 6" xfId="16328" xr:uid="{00000000-0005-0000-0000-00004A470000}"/>
    <cellStyle name="Hed Side 5 10 6 2" xfId="16329" xr:uid="{00000000-0005-0000-0000-00004B470000}"/>
    <cellStyle name="Hed Side 5 10 7" xfId="16330" xr:uid="{00000000-0005-0000-0000-00004C470000}"/>
    <cellStyle name="Hed Side 5 10 7 2" xfId="16331" xr:uid="{00000000-0005-0000-0000-00004D470000}"/>
    <cellStyle name="Hed Side 5 10 8" xfId="16332" xr:uid="{00000000-0005-0000-0000-00004E470000}"/>
    <cellStyle name="Hed Side 5 10 8 2" xfId="16333" xr:uid="{00000000-0005-0000-0000-00004F470000}"/>
    <cellStyle name="Hed Side 5 10 9" xfId="16334" xr:uid="{00000000-0005-0000-0000-000050470000}"/>
    <cellStyle name="Hed Side 5 11" xfId="16335" xr:uid="{00000000-0005-0000-0000-000051470000}"/>
    <cellStyle name="Hed Side 5 11 2" xfId="16336" xr:uid="{00000000-0005-0000-0000-000052470000}"/>
    <cellStyle name="Hed Side 5 12" xfId="16337" xr:uid="{00000000-0005-0000-0000-000053470000}"/>
    <cellStyle name="Hed Side 5 12 2" xfId="16338" xr:uid="{00000000-0005-0000-0000-000054470000}"/>
    <cellStyle name="Hed Side 5 13" xfId="16339" xr:uid="{00000000-0005-0000-0000-000055470000}"/>
    <cellStyle name="Hed Side 5 13 2" xfId="16340" xr:uid="{00000000-0005-0000-0000-000056470000}"/>
    <cellStyle name="Hed Side 5 14" xfId="16341" xr:uid="{00000000-0005-0000-0000-000057470000}"/>
    <cellStyle name="Hed Side 5 14 2" xfId="16342" xr:uid="{00000000-0005-0000-0000-000058470000}"/>
    <cellStyle name="Hed Side 5 15" xfId="16343" xr:uid="{00000000-0005-0000-0000-000059470000}"/>
    <cellStyle name="Hed Side 5 15 2" xfId="16344" xr:uid="{00000000-0005-0000-0000-00005A470000}"/>
    <cellStyle name="Hed Side 5 16" xfId="16345" xr:uid="{00000000-0005-0000-0000-00005B470000}"/>
    <cellStyle name="Hed Side 5 16 2" xfId="16346" xr:uid="{00000000-0005-0000-0000-00005C470000}"/>
    <cellStyle name="Hed Side 5 17" xfId="16347" xr:uid="{00000000-0005-0000-0000-00005D470000}"/>
    <cellStyle name="Hed Side 5 17 2" xfId="16348" xr:uid="{00000000-0005-0000-0000-00005E470000}"/>
    <cellStyle name="Hed Side 5 18" xfId="16349" xr:uid="{00000000-0005-0000-0000-00005F470000}"/>
    <cellStyle name="Hed Side 5 2" xfId="16350" xr:uid="{00000000-0005-0000-0000-000060470000}"/>
    <cellStyle name="Hed Side 5 2 10" xfId="16351" xr:uid="{00000000-0005-0000-0000-000061470000}"/>
    <cellStyle name="Hed Side 5 2 2" xfId="16352" xr:uid="{00000000-0005-0000-0000-000062470000}"/>
    <cellStyle name="Hed Side 5 2 2 2" xfId="16353" xr:uid="{00000000-0005-0000-0000-000063470000}"/>
    <cellStyle name="Hed Side 5 2 3" xfId="16354" xr:uid="{00000000-0005-0000-0000-000064470000}"/>
    <cellStyle name="Hed Side 5 2 3 2" xfId="16355" xr:uid="{00000000-0005-0000-0000-000065470000}"/>
    <cellStyle name="Hed Side 5 2 4" xfId="16356" xr:uid="{00000000-0005-0000-0000-000066470000}"/>
    <cellStyle name="Hed Side 5 2 4 2" xfId="16357" xr:uid="{00000000-0005-0000-0000-000067470000}"/>
    <cellStyle name="Hed Side 5 2 5" xfId="16358" xr:uid="{00000000-0005-0000-0000-000068470000}"/>
    <cellStyle name="Hed Side 5 2 5 2" xfId="16359" xr:uid="{00000000-0005-0000-0000-000069470000}"/>
    <cellStyle name="Hed Side 5 2 6" xfId="16360" xr:uid="{00000000-0005-0000-0000-00006A470000}"/>
    <cellStyle name="Hed Side 5 2 6 2" xfId="16361" xr:uid="{00000000-0005-0000-0000-00006B470000}"/>
    <cellStyle name="Hed Side 5 2 7" xfId="16362" xr:uid="{00000000-0005-0000-0000-00006C470000}"/>
    <cellStyle name="Hed Side 5 2 7 2" xfId="16363" xr:uid="{00000000-0005-0000-0000-00006D470000}"/>
    <cellStyle name="Hed Side 5 2 8" xfId="16364" xr:uid="{00000000-0005-0000-0000-00006E470000}"/>
    <cellStyle name="Hed Side 5 2 8 2" xfId="16365" xr:uid="{00000000-0005-0000-0000-00006F470000}"/>
    <cellStyle name="Hed Side 5 2 9" xfId="16366" xr:uid="{00000000-0005-0000-0000-000070470000}"/>
    <cellStyle name="Hed Side 5 2 9 2" xfId="16367" xr:uid="{00000000-0005-0000-0000-000071470000}"/>
    <cellStyle name="Hed Side 5 3" xfId="16368" xr:uid="{00000000-0005-0000-0000-000072470000}"/>
    <cellStyle name="Hed Side 5 3 10" xfId="16369" xr:uid="{00000000-0005-0000-0000-000073470000}"/>
    <cellStyle name="Hed Side 5 3 2" xfId="16370" xr:uid="{00000000-0005-0000-0000-000074470000}"/>
    <cellStyle name="Hed Side 5 3 2 2" xfId="16371" xr:uid="{00000000-0005-0000-0000-000075470000}"/>
    <cellStyle name="Hed Side 5 3 3" xfId="16372" xr:uid="{00000000-0005-0000-0000-000076470000}"/>
    <cellStyle name="Hed Side 5 3 3 2" xfId="16373" xr:uid="{00000000-0005-0000-0000-000077470000}"/>
    <cellStyle name="Hed Side 5 3 4" xfId="16374" xr:uid="{00000000-0005-0000-0000-000078470000}"/>
    <cellStyle name="Hed Side 5 3 4 2" xfId="16375" xr:uid="{00000000-0005-0000-0000-000079470000}"/>
    <cellStyle name="Hed Side 5 3 5" xfId="16376" xr:uid="{00000000-0005-0000-0000-00007A470000}"/>
    <cellStyle name="Hed Side 5 3 5 2" xfId="16377" xr:uid="{00000000-0005-0000-0000-00007B470000}"/>
    <cellStyle name="Hed Side 5 3 6" xfId="16378" xr:uid="{00000000-0005-0000-0000-00007C470000}"/>
    <cellStyle name="Hed Side 5 3 6 2" xfId="16379" xr:uid="{00000000-0005-0000-0000-00007D470000}"/>
    <cellStyle name="Hed Side 5 3 7" xfId="16380" xr:uid="{00000000-0005-0000-0000-00007E470000}"/>
    <cellStyle name="Hed Side 5 3 7 2" xfId="16381" xr:uid="{00000000-0005-0000-0000-00007F470000}"/>
    <cellStyle name="Hed Side 5 3 8" xfId="16382" xr:uid="{00000000-0005-0000-0000-000080470000}"/>
    <cellStyle name="Hed Side 5 3 8 2" xfId="16383" xr:uid="{00000000-0005-0000-0000-000081470000}"/>
    <cellStyle name="Hed Side 5 3 9" xfId="16384" xr:uid="{00000000-0005-0000-0000-000082470000}"/>
    <cellStyle name="Hed Side 5 3 9 2" xfId="16385" xr:uid="{00000000-0005-0000-0000-000083470000}"/>
    <cellStyle name="Hed Side 5 4" xfId="16386" xr:uid="{00000000-0005-0000-0000-000084470000}"/>
    <cellStyle name="Hed Side 5 4 10" xfId="16387" xr:uid="{00000000-0005-0000-0000-000085470000}"/>
    <cellStyle name="Hed Side 5 4 2" xfId="16388" xr:uid="{00000000-0005-0000-0000-000086470000}"/>
    <cellStyle name="Hed Side 5 4 2 2" xfId="16389" xr:uid="{00000000-0005-0000-0000-000087470000}"/>
    <cellStyle name="Hed Side 5 4 3" xfId="16390" xr:uid="{00000000-0005-0000-0000-000088470000}"/>
    <cellStyle name="Hed Side 5 4 3 2" xfId="16391" xr:uid="{00000000-0005-0000-0000-000089470000}"/>
    <cellStyle name="Hed Side 5 4 4" xfId="16392" xr:uid="{00000000-0005-0000-0000-00008A470000}"/>
    <cellStyle name="Hed Side 5 4 4 2" xfId="16393" xr:uid="{00000000-0005-0000-0000-00008B470000}"/>
    <cellStyle name="Hed Side 5 4 5" xfId="16394" xr:uid="{00000000-0005-0000-0000-00008C470000}"/>
    <cellStyle name="Hed Side 5 4 5 2" xfId="16395" xr:uid="{00000000-0005-0000-0000-00008D470000}"/>
    <cellStyle name="Hed Side 5 4 6" xfId="16396" xr:uid="{00000000-0005-0000-0000-00008E470000}"/>
    <cellStyle name="Hed Side 5 4 6 2" xfId="16397" xr:uid="{00000000-0005-0000-0000-00008F470000}"/>
    <cellStyle name="Hed Side 5 4 7" xfId="16398" xr:uid="{00000000-0005-0000-0000-000090470000}"/>
    <cellStyle name="Hed Side 5 4 7 2" xfId="16399" xr:uid="{00000000-0005-0000-0000-000091470000}"/>
    <cellStyle name="Hed Side 5 4 8" xfId="16400" xr:uid="{00000000-0005-0000-0000-000092470000}"/>
    <cellStyle name="Hed Side 5 4 8 2" xfId="16401" xr:uid="{00000000-0005-0000-0000-000093470000}"/>
    <cellStyle name="Hed Side 5 4 9" xfId="16402" xr:uid="{00000000-0005-0000-0000-000094470000}"/>
    <cellStyle name="Hed Side 5 4 9 2" xfId="16403" xr:uid="{00000000-0005-0000-0000-000095470000}"/>
    <cellStyle name="Hed Side 5 5" xfId="16404" xr:uid="{00000000-0005-0000-0000-000096470000}"/>
    <cellStyle name="Hed Side 5 5 10" xfId="16405" xr:uid="{00000000-0005-0000-0000-000097470000}"/>
    <cellStyle name="Hed Side 5 5 2" xfId="16406" xr:uid="{00000000-0005-0000-0000-000098470000}"/>
    <cellStyle name="Hed Side 5 5 2 2" xfId="16407" xr:uid="{00000000-0005-0000-0000-000099470000}"/>
    <cellStyle name="Hed Side 5 5 3" xfId="16408" xr:uid="{00000000-0005-0000-0000-00009A470000}"/>
    <cellStyle name="Hed Side 5 5 3 2" xfId="16409" xr:uid="{00000000-0005-0000-0000-00009B470000}"/>
    <cellStyle name="Hed Side 5 5 4" xfId="16410" xr:uid="{00000000-0005-0000-0000-00009C470000}"/>
    <cellStyle name="Hed Side 5 5 4 2" xfId="16411" xr:uid="{00000000-0005-0000-0000-00009D470000}"/>
    <cellStyle name="Hed Side 5 5 5" xfId="16412" xr:uid="{00000000-0005-0000-0000-00009E470000}"/>
    <cellStyle name="Hed Side 5 5 5 2" xfId="16413" xr:uid="{00000000-0005-0000-0000-00009F470000}"/>
    <cellStyle name="Hed Side 5 5 6" xfId="16414" xr:uid="{00000000-0005-0000-0000-0000A0470000}"/>
    <cellStyle name="Hed Side 5 5 6 2" xfId="16415" xr:uid="{00000000-0005-0000-0000-0000A1470000}"/>
    <cellStyle name="Hed Side 5 5 7" xfId="16416" xr:uid="{00000000-0005-0000-0000-0000A2470000}"/>
    <cellStyle name="Hed Side 5 5 7 2" xfId="16417" xr:uid="{00000000-0005-0000-0000-0000A3470000}"/>
    <cellStyle name="Hed Side 5 5 8" xfId="16418" xr:uid="{00000000-0005-0000-0000-0000A4470000}"/>
    <cellStyle name="Hed Side 5 5 8 2" xfId="16419" xr:uid="{00000000-0005-0000-0000-0000A5470000}"/>
    <cellStyle name="Hed Side 5 5 9" xfId="16420" xr:uid="{00000000-0005-0000-0000-0000A6470000}"/>
    <cellStyle name="Hed Side 5 5 9 2" xfId="16421" xr:uid="{00000000-0005-0000-0000-0000A7470000}"/>
    <cellStyle name="Hed Side 5 6" xfId="16422" xr:uid="{00000000-0005-0000-0000-0000A8470000}"/>
    <cellStyle name="Hed Side 5 6 10" xfId="16423" xr:uid="{00000000-0005-0000-0000-0000A9470000}"/>
    <cellStyle name="Hed Side 5 6 2" xfId="16424" xr:uid="{00000000-0005-0000-0000-0000AA470000}"/>
    <cellStyle name="Hed Side 5 6 2 2" xfId="16425" xr:uid="{00000000-0005-0000-0000-0000AB470000}"/>
    <cellStyle name="Hed Side 5 6 3" xfId="16426" xr:uid="{00000000-0005-0000-0000-0000AC470000}"/>
    <cellStyle name="Hed Side 5 6 3 2" xfId="16427" xr:uid="{00000000-0005-0000-0000-0000AD470000}"/>
    <cellStyle name="Hed Side 5 6 4" xfId="16428" xr:uid="{00000000-0005-0000-0000-0000AE470000}"/>
    <cellStyle name="Hed Side 5 6 4 2" xfId="16429" xr:uid="{00000000-0005-0000-0000-0000AF470000}"/>
    <cellStyle name="Hed Side 5 6 5" xfId="16430" xr:uid="{00000000-0005-0000-0000-0000B0470000}"/>
    <cellStyle name="Hed Side 5 6 5 2" xfId="16431" xr:uid="{00000000-0005-0000-0000-0000B1470000}"/>
    <cellStyle name="Hed Side 5 6 6" xfId="16432" xr:uid="{00000000-0005-0000-0000-0000B2470000}"/>
    <cellStyle name="Hed Side 5 6 6 2" xfId="16433" xr:uid="{00000000-0005-0000-0000-0000B3470000}"/>
    <cellStyle name="Hed Side 5 6 7" xfId="16434" xr:uid="{00000000-0005-0000-0000-0000B4470000}"/>
    <cellStyle name="Hed Side 5 6 7 2" xfId="16435" xr:uid="{00000000-0005-0000-0000-0000B5470000}"/>
    <cellStyle name="Hed Side 5 6 8" xfId="16436" xr:uid="{00000000-0005-0000-0000-0000B6470000}"/>
    <cellStyle name="Hed Side 5 6 8 2" xfId="16437" xr:uid="{00000000-0005-0000-0000-0000B7470000}"/>
    <cellStyle name="Hed Side 5 6 9" xfId="16438" xr:uid="{00000000-0005-0000-0000-0000B8470000}"/>
    <cellStyle name="Hed Side 5 6 9 2" xfId="16439" xr:uid="{00000000-0005-0000-0000-0000B9470000}"/>
    <cellStyle name="Hed Side 5 7" xfId="16440" xr:uid="{00000000-0005-0000-0000-0000BA470000}"/>
    <cellStyle name="Hed Side 5 7 10" xfId="16441" xr:uid="{00000000-0005-0000-0000-0000BB470000}"/>
    <cellStyle name="Hed Side 5 7 2" xfId="16442" xr:uid="{00000000-0005-0000-0000-0000BC470000}"/>
    <cellStyle name="Hed Side 5 7 2 2" xfId="16443" xr:uid="{00000000-0005-0000-0000-0000BD470000}"/>
    <cellStyle name="Hed Side 5 7 3" xfId="16444" xr:uid="{00000000-0005-0000-0000-0000BE470000}"/>
    <cellStyle name="Hed Side 5 7 3 2" xfId="16445" xr:uid="{00000000-0005-0000-0000-0000BF470000}"/>
    <cellStyle name="Hed Side 5 7 4" xfId="16446" xr:uid="{00000000-0005-0000-0000-0000C0470000}"/>
    <cellStyle name="Hed Side 5 7 4 2" xfId="16447" xr:uid="{00000000-0005-0000-0000-0000C1470000}"/>
    <cellStyle name="Hed Side 5 7 5" xfId="16448" xr:uid="{00000000-0005-0000-0000-0000C2470000}"/>
    <cellStyle name="Hed Side 5 7 5 2" xfId="16449" xr:uid="{00000000-0005-0000-0000-0000C3470000}"/>
    <cellStyle name="Hed Side 5 7 6" xfId="16450" xr:uid="{00000000-0005-0000-0000-0000C4470000}"/>
    <cellStyle name="Hed Side 5 7 6 2" xfId="16451" xr:uid="{00000000-0005-0000-0000-0000C5470000}"/>
    <cellStyle name="Hed Side 5 7 7" xfId="16452" xr:uid="{00000000-0005-0000-0000-0000C6470000}"/>
    <cellStyle name="Hed Side 5 7 7 2" xfId="16453" xr:uid="{00000000-0005-0000-0000-0000C7470000}"/>
    <cellStyle name="Hed Side 5 7 8" xfId="16454" xr:uid="{00000000-0005-0000-0000-0000C8470000}"/>
    <cellStyle name="Hed Side 5 7 8 2" xfId="16455" xr:uid="{00000000-0005-0000-0000-0000C9470000}"/>
    <cellStyle name="Hed Side 5 7 9" xfId="16456" xr:uid="{00000000-0005-0000-0000-0000CA470000}"/>
    <cellStyle name="Hed Side 5 7 9 2" xfId="16457" xr:uid="{00000000-0005-0000-0000-0000CB470000}"/>
    <cellStyle name="Hed Side 5 8" xfId="16458" xr:uid="{00000000-0005-0000-0000-0000CC470000}"/>
    <cellStyle name="Hed Side 5 8 10" xfId="16459" xr:uid="{00000000-0005-0000-0000-0000CD470000}"/>
    <cellStyle name="Hed Side 5 8 2" xfId="16460" xr:uid="{00000000-0005-0000-0000-0000CE470000}"/>
    <cellStyle name="Hed Side 5 8 2 2" xfId="16461" xr:uid="{00000000-0005-0000-0000-0000CF470000}"/>
    <cellStyle name="Hed Side 5 8 3" xfId="16462" xr:uid="{00000000-0005-0000-0000-0000D0470000}"/>
    <cellStyle name="Hed Side 5 8 3 2" xfId="16463" xr:uid="{00000000-0005-0000-0000-0000D1470000}"/>
    <cellStyle name="Hed Side 5 8 4" xfId="16464" xr:uid="{00000000-0005-0000-0000-0000D2470000}"/>
    <cellStyle name="Hed Side 5 8 4 2" xfId="16465" xr:uid="{00000000-0005-0000-0000-0000D3470000}"/>
    <cellStyle name="Hed Side 5 8 5" xfId="16466" xr:uid="{00000000-0005-0000-0000-0000D4470000}"/>
    <cellStyle name="Hed Side 5 8 5 2" xfId="16467" xr:uid="{00000000-0005-0000-0000-0000D5470000}"/>
    <cellStyle name="Hed Side 5 8 6" xfId="16468" xr:uid="{00000000-0005-0000-0000-0000D6470000}"/>
    <cellStyle name="Hed Side 5 8 6 2" xfId="16469" xr:uid="{00000000-0005-0000-0000-0000D7470000}"/>
    <cellStyle name="Hed Side 5 8 7" xfId="16470" xr:uid="{00000000-0005-0000-0000-0000D8470000}"/>
    <cellStyle name="Hed Side 5 8 7 2" xfId="16471" xr:uid="{00000000-0005-0000-0000-0000D9470000}"/>
    <cellStyle name="Hed Side 5 8 8" xfId="16472" xr:uid="{00000000-0005-0000-0000-0000DA470000}"/>
    <cellStyle name="Hed Side 5 8 8 2" xfId="16473" xr:uid="{00000000-0005-0000-0000-0000DB470000}"/>
    <cellStyle name="Hed Side 5 8 9" xfId="16474" xr:uid="{00000000-0005-0000-0000-0000DC470000}"/>
    <cellStyle name="Hed Side 5 8 9 2" xfId="16475" xr:uid="{00000000-0005-0000-0000-0000DD470000}"/>
    <cellStyle name="Hed Side 5 9" xfId="16476" xr:uid="{00000000-0005-0000-0000-0000DE470000}"/>
    <cellStyle name="Hed Side 5 9 10" xfId="16477" xr:uid="{00000000-0005-0000-0000-0000DF470000}"/>
    <cellStyle name="Hed Side 5 9 2" xfId="16478" xr:uid="{00000000-0005-0000-0000-0000E0470000}"/>
    <cellStyle name="Hed Side 5 9 2 2" xfId="16479" xr:uid="{00000000-0005-0000-0000-0000E1470000}"/>
    <cellStyle name="Hed Side 5 9 3" xfId="16480" xr:uid="{00000000-0005-0000-0000-0000E2470000}"/>
    <cellStyle name="Hed Side 5 9 3 2" xfId="16481" xr:uid="{00000000-0005-0000-0000-0000E3470000}"/>
    <cellStyle name="Hed Side 5 9 4" xfId="16482" xr:uid="{00000000-0005-0000-0000-0000E4470000}"/>
    <cellStyle name="Hed Side 5 9 4 2" xfId="16483" xr:uid="{00000000-0005-0000-0000-0000E5470000}"/>
    <cellStyle name="Hed Side 5 9 5" xfId="16484" xr:uid="{00000000-0005-0000-0000-0000E6470000}"/>
    <cellStyle name="Hed Side 5 9 5 2" xfId="16485" xr:uid="{00000000-0005-0000-0000-0000E7470000}"/>
    <cellStyle name="Hed Side 5 9 6" xfId="16486" xr:uid="{00000000-0005-0000-0000-0000E8470000}"/>
    <cellStyle name="Hed Side 5 9 6 2" xfId="16487" xr:uid="{00000000-0005-0000-0000-0000E9470000}"/>
    <cellStyle name="Hed Side 5 9 7" xfId="16488" xr:uid="{00000000-0005-0000-0000-0000EA470000}"/>
    <cellStyle name="Hed Side 5 9 7 2" xfId="16489" xr:uid="{00000000-0005-0000-0000-0000EB470000}"/>
    <cellStyle name="Hed Side 5 9 8" xfId="16490" xr:uid="{00000000-0005-0000-0000-0000EC470000}"/>
    <cellStyle name="Hed Side 5 9 8 2" xfId="16491" xr:uid="{00000000-0005-0000-0000-0000ED470000}"/>
    <cellStyle name="Hed Side 5 9 9" xfId="16492" xr:uid="{00000000-0005-0000-0000-0000EE470000}"/>
    <cellStyle name="Hed Side 5 9 9 2" xfId="16493" xr:uid="{00000000-0005-0000-0000-0000EF470000}"/>
    <cellStyle name="Hed Side 6" xfId="16494" xr:uid="{00000000-0005-0000-0000-0000F0470000}"/>
    <cellStyle name="Hed Side 6 10" xfId="16495" xr:uid="{00000000-0005-0000-0000-0000F1470000}"/>
    <cellStyle name="Hed Side 6 10 2" xfId="16496" xr:uid="{00000000-0005-0000-0000-0000F2470000}"/>
    <cellStyle name="Hed Side 6 10 2 2" xfId="16497" xr:uid="{00000000-0005-0000-0000-0000F3470000}"/>
    <cellStyle name="Hed Side 6 10 3" xfId="16498" xr:uid="{00000000-0005-0000-0000-0000F4470000}"/>
    <cellStyle name="Hed Side 6 10 3 2" xfId="16499" xr:uid="{00000000-0005-0000-0000-0000F5470000}"/>
    <cellStyle name="Hed Side 6 10 4" xfId="16500" xr:uid="{00000000-0005-0000-0000-0000F6470000}"/>
    <cellStyle name="Hed Side 6 10 4 2" xfId="16501" xr:uid="{00000000-0005-0000-0000-0000F7470000}"/>
    <cellStyle name="Hed Side 6 10 5" xfId="16502" xr:uid="{00000000-0005-0000-0000-0000F8470000}"/>
    <cellStyle name="Hed Side 6 10 5 2" xfId="16503" xr:uid="{00000000-0005-0000-0000-0000F9470000}"/>
    <cellStyle name="Hed Side 6 10 6" xfId="16504" xr:uid="{00000000-0005-0000-0000-0000FA470000}"/>
    <cellStyle name="Hed Side 6 10 6 2" xfId="16505" xr:uid="{00000000-0005-0000-0000-0000FB470000}"/>
    <cellStyle name="Hed Side 6 10 7" xfId="16506" xr:uid="{00000000-0005-0000-0000-0000FC470000}"/>
    <cellStyle name="Hed Side 6 10 7 2" xfId="16507" xr:uid="{00000000-0005-0000-0000-0000FD470000}"/>
    <cellStyle name="Hed Side 6 10 8" xfId="16508" xr:uid="{00000000-0005-0000-0000-0000FE470000}"/>
    <cellStyle name="Hed Side 6 10 8 2" xfId="16509" xr:uid="{00000000-0005-0000-0000-0000FF470000}"/>
    <cellStyle name="Hed Side 6 10 9" xfId="16510" xr:uid="{00000000-0005-0000-0000-000000480000}"/>
    <cellStyle name="Hed Side 6 11" xfId="16511" xr:uid="{00000000-0005-0000-0000-000001480000}"/>
    <cellStyle name="Hed Side 6 11 2" xfId="16512" xr:uid="{00000000-0005-0000-0000-000002480000}"/>
    <cellStyle name="Hed Side 6 12" xfId="16513" xr:uid="{00000000-0005-0000-0000-000003480000}"/>
    <cellStyle name="Hed Side 6 12 2" xfId="16514" xr:uid="{00000000-0005-0000-0000-000004480000}"/>
    <cellStyle name="Hed Side 6 13" xfId="16515" xr:uid="{00000000-0005-0000-0000-000005480000}"/>
    <cellStyle name="Hed Side 6 13 2" xfId="16516" xr:uid="{00000000-0005-0000-0000-000006480000}"/>
    <cellStyle name="Hed Side 6 14" xfId="16517" xr:uid="{00000000-0005-0000-0000-000007480000}"/>
    <cellStyle name="Hed Side 6 14 2" xfId="16518" xr:uid="{00000000-0005-0000-0000-000008480000}"/>
    <cellStyle name="Hed Side 6 15" xfId="16519" xr:uid="{00000000-0005-0000-0000-000009480000}"/>
    <cellStyle name="Hed Side 6 15 2" xfId="16520" xr:uid="{00000000-0005-0000-0000-00000A480000}"/>
    <cellStyle name="Hed Side 6 16" xfId="16521" xr:uid="{00000000-0005-0000-0000-00000B480000}"/>
    <cellStyle name="Hed Side 6 16 2" xfId="16522" xr:uid="{00000000-0005-0000-0000-00000C480000}"/>
    <cellStyle name="Hed Side 6 17" xfId="16523" xr:uid="{00000000-0005-0000-0000-00000D480000}"/>
    <cellStyle name="Hed Side 6 17 2" xfId="16524" xr:uid="{00000000-0005-0000-0000-00000E480000}"/>
    <cellStyle name="Hed Side 6 18" xfId="16525" xr:uid="{00000000-0005-0000-0000-00000F480000}"/>
    <cellStyle name="Hed Side 6 2" xfId="16526" xr:uid="{00000000-0005-0000-0000-000010480000}"/>
    <cellStyle name="Hed Side 6 2 10" xfId="16527" xr:uid="{00000000-0005-0000-0000-000011480000}"/>
    <cellStyle name="Hed Side 6 2 2" xfId="16528" xr:uid="{00000000-0005-0000-0000-000012480000}"/>
    <cellStyle name="Hed Side 6 2 2 2" xfId="16529" xr:uid="{00000000-0005-0000-0000-000013480000}"/>
    <cellStyle name="Hed Side 6 2 3" xfId="16530" xr:uid="{00000000-0005-0000-0000-000014480000}"/>
    <cellStyle name="Hed Side 6 2 3 2" xfId="16531" xr:uid="{00000000-0005-0000-0000-000015480000}"/>
    <cellStyle name="Hed Side 6 2 4" xfId="16532" xr:uid="{00000000-0005-0000-0000-000016480000}"/>
    <cellStyle name="Hed Side 6 2 4 2" xfId="16533" xr:uid="{00000000-0005-0000-0000-000017480000}"/>
    <cellStyle name="Hed Side 6 2 5" xfId="16534" xr:uid="{00000000-0005-0000-0000-000018480000}"/>
    <cellStyle name="Hed Side 6 2 5 2" xfId="16535" xr:uid="{00000000-0005-0000-0000-000019480000}"/>
    <cellStyle name="Hed Side 6 2 6" xfId="16536" xr:uid="{00000000-0005-0000-0000-00001A480000}"/>
    <cellStyle name="Hed Side 6 2 6 2" xfId="16537" xr:uid="{00000000-0005-0000-0000-00001B480000}"/>
    <cellStyle name="Hed Side 6 2 7" xfId="16538" xr:uid="{00000000-0005-0000-0000-00001C480000}"/>
    <cellStyle name="Hed Side 6 2 7 2" xfId="16539" xr:uid="{00000000-0005-0000-0000-00001D480000}"/>
    <cellStyle name="Hed Side 6 2 8" xfId="16540" xr:uid="{00000000-0005-0000-0000-00001E480000}"/>
    <cellStyle name="Hed Side 6 2 8 2" xfId="16541" xr:uid="{00000000-0005-0000-0000-00001F480000}"/>
    <cellStyle name="Hed Side 6 2 9" xfId="16542" xr:uid="{00000000-0005-0000-0000-000020480000}"/>
    <cellStyle name="Hed Side 6 2 9 2" xfId="16543" xr:uid="{00000000-0005-0000-0000-000021480000}"/>
    <cellStyle name="Hed Side 6 3" xfId="16544" xr:uid="{00000000-0005-0000-0000-000022480000}"/>
    <cellStyle name="Hed Side 6 3 10" xfId="16545" xr:uid="{00000000-0005-0000-0000-000023480000}"/>
    <cellStyle name="Hed Side 6 3 2" xfId="16546" xr:uid="{00000000-0005-0000-0000-000024480000}"/>
    <cellStyle name="Hed Side 6 3 2 2" xfId="16547" xr:uid="{00000000-0005-0000-0000-000025480000}"/>
    <cellStyle name="Hed Side 6 3 3" xfId="16548" xr:uid="{00000000-0005-0000-0000-000026480000}"/>
    <cellStyle name="Hed Side 6 3 3 2" xfId="16549" xr:uid="{00000000-0005-0000-0000-000027480000}"/>
    <cellStyle name="Hed Side 6 3 4" xfId="16550" xr:uid="{00000000-0005-0000-0000-000028480000}"/>
    <cellStyle name="Hed Side 6 3 4 2" xfId="16551" xr:uid="{00000000-0005-0000-0000-000029480000}"/>
    <cellStyle name="Hed Side 6 3 5" xfId="16552" xr:uid="{00000000-0005-0000-0000-00002A480000}"/>
    <cellStyle name="Hed Side 6 3 5 2" xfId="16553" xr:uid="{00000000-0005-0000-0000-00002B480000}"/>
    <cellStyle name="Hed Side 6 3 6" xfId="16554" xr:uid="{00000000-0005-0000-0000-00002C480000}"/>
    <cellStyle name="Hed Side 6 3 6 2" xfId="16555" xr:uid="{00000000-0005-0000-0000-00002D480000}"/>
    <cellStyle name="Hed Side 6 3 7" xfId="16556" xr:uid="{00000000-0005-0000-0000-00002E480000}"/>
    <cellStyle name="Hed Side 6 3 7 2" xfId="16557" xr:uid="{00000000-0005-0000-0000-00002F480000}"/>
    <cellStyle name="Hed Side 6 3 8" xfId="16558" xr:uid="{00000000-0005-0000-0000-000030480000}"/>
    <cellStyle name="Hed Side 6 3 8 2" xfId="16559" xr:uid="{00000000-0005-0000-0000-000031480000}"/>
    <cellStyle name="Hed Side 6 3 9" xfId="16560" xr:uid="{00000000-0005-0000-0000-000032480000}"/>
    <cellStyle name="Hed Side 6 3 9 2" xfId="16561" xr:uid="{00000000-0005-0000-0000-000033480000}"/>
    <cellStyle name="Hed Side 6 4" xfId="16562" xr:uid="{00000000-0005-0000-0000-000034480000}"/>
    <cellStyle name="Hed Side 6 4 10" xfId="16563" xr:uid="{00000000-0005-0000-0000-000035480000}"/>
    <cellStyle name="Hed Side 6 4 2" xfId="16564" xr:uid="{00000000-0005-0000-0000-000036480000}"/>
    <cellStyle name="Hed Side 6 4 2 2" xfId="16565" xr:uid="{00000000-0005-0000-0000-000037480000}"/>
    <cellStyle name="Hed Side 6 4 3" xfId="16566" xr:uid="{00000000-0005-0000-0000-000038480000}"/>
    <cellStyle name="Hed Side 6 4 3 2" xfId="16567" xr:uid="{00000000-0005-0000-0000-000039480000}"/>
    <cellStyle name="Hed Side 6 4 4" xfId="16568" xr:uid="{00000000-0005-0000-0000-00003A480000}"/>
    <cellStyle name="Hed Side 6 4 4 2" xfId="16569" xr:uid="{00000000-0005-0000-0000-00003B480000}"/>
    <cellStyle name="Hed Side 6 4 5" xfId="16570" xr:uid="{00000000-0005-0000-0000-00003C480000}"/>
    <cellStyle name="Hed Side 6 4 5 2" xfId="16571" xr:uid="{00000000-0005-0000-0000-00003D480000}"/>
    <cellStyle name="Hed Side 6 4 6" xfId="16572" xr:uid="{00000000-0005-0000-0000-00003E480000}"/>
    <cellStyle name="Hed Side 6 4 6 2" xfId="16573" xr:uid="{00000000-0005-0000-0000-00003F480000}"/>
    <cellStyle name="Hed Side 6 4 7" xfId="16574" xr:uid="{00000000-0005-0000-0000-000040480000}"/>
    <cellStyle name="Hed Side 6 4 7 2" xfId="16575" xr:uid="{00000000-0005-0000-0000-000041480000}"/>
    <cellStyle name="Hed Side 6 4 8" xfId="16576" xr:uid="{00000000-0005-0000-0000-000042480000}"/>
    <cellStyle name="Hed Side 6 4 8 2" xfId="16577" xr:uid="{00000000-0005-0000-0000-000043480000}"/>
    <cellStyle name="Hed Side 6 4 9" xfId="16578" xr:uid="{00000000-0005-0000-0000-000044480000}"/>
    <cellStyle name="Hed Side 6 4 9 2" xfId="16579" xr:uid="{00000000-0005-0000-0000-000045480000}"/>
    <cellStyle name="Hed Side 6 5" xfId="16580" xr:uid="{00000000-0005-0000-0000-000046480000}"/>
    <cellStyle name="Hed Side 6 5 10" xfId="16581" xr:uid="{00000000-0005-0000-0000-000047480000}"/>
    <cellStyle name="Hed Side 6 5 2" xfId="16582" xr:uid="{00000000-0005-0000-0000-000048480000}"/>
    <cellStyle name="Hed Side 6 5 2 2" xfId="16583" xr:uid="{00000000-0005-0000-0000-000049480000}"/>
    <cellStyle name="Hed Side 6 5 3" xfId="16584" xr:uid="{00000000-0005-0000-0000-00004A480000}"/>
    <cellStyle name="Hed Side 6 5 3 2" xfId="16585" xr:uid="{00000000-0005-0000-0000-00004B480000}"/>
    <cellStyle name="Hed Side 6 5 4" xfId="16586" xr:uid="{00000000-0005-0000-0000-00004C480000}"/>
    <cellStyle name="Hed Side 6 5 4 2" xfId="16587" xr:uid="{00000000-0005-0000-0000-00004D480000}"/>
    <cellStyle name="Hed Side 6 5 5" xfId="16588" xr:uid="{00000000-0005-0000-0000-00004E480000}"/>
    <cellStyle name="Hed Side 6 5 5 2" xfId="16589" xr:uid="{00000000-0005-0000-0000-00004F480000}"/>
    <cellStyle name="Hed Side 6 5 6" xfId="16590" xr:uid="{00000000-0005-0000-0000-000050480000}"/>
    <cellStyle name="Hed Side 6 5 6 2" xfId="16591" xr:uid="{00000000-0005-0000-0000-000051480000}"/>
    <cellStyle name="Hed Side 6 5 7" xfId="16592" xr:uid="{00000000-0005-0000-0000-000052480000}"/>
    <cellStyle name="Hed Side 6 5 7 2" xfId="16593" xr:uid="{00000000-0005-0000-0000-000053480000}"/>
    <cellStyle name="Hed Side 6 5 8" xfId="16594" xr:uid="{00000000-0005-0000-0000-000054480000}"/>
    <cellStyle name="Hed Side 6 5 8 2" xfId="16595" xr:uid="{00000000-0005-0000-0000-000055480000}"/>
    <cellStyle name="Hed Side 6 5 9" xfId="16596" xr:uid="{00000000-0005-0000-0000-000056480000}"/>
    <cellStyle name="Hed Side 6 5 9 2" xfId="16597" xr:uid="{00000000-0005-0000-0000-000057480000}"/>
    <cellStyle name="Hed Side 6 6" xfId="16598" xr:uid="{00000000-0005-0000-0000-000058480000}"/>
    <cellStyle name="Hed Side 6 6 10" xfId="16599" xr:uid="{00000000-0005-0000-0000-000059480000}"/>
    <cellStyle name="Hed Side 6 6 2" xfId="16600" xr:uid="{00000000-0005-0000-0000-00005A480000}"/>
    <cellStyle name="Hed Side 6 6 2 2" xfId="16601" xr:uid="{00000000-0005-0000-0000-00005B480000}"/>
    <cellStyle name="Hed Side 6 6 3" xfId="16602" xr:uid="{00000000-0005-0000-0000-00005C480000}"/>
    <cellStyle name="Hed Side 6 6 3 2" xfId="16603" xr:uid="{00000000-0005-0000-0000-00005D480000}"/>
    <cellStyle name="Hed Side 6 6 4" xfId="16604" xr:uid="{00000000-0005-0000-0000-00005E480000}"/>
    <cellStyle name="Hed Side 6 6 4 2" xfId="16605" xr:uid="{00000000-0005-0000-0000-00005F480000}"/>
    <cellStyle name="Hed Side 6 6 5" xfId="16606" xr:uid="{00000000-0005-0000-0000-000060480000}"/>
    <cellStyle name="Hed Side 6 6 5 2" xfId="16607" xr:uid="{00000000-0005-0000-0000-000061480000}"/>
    <cellStyle name="Hed Side 6 6 6" xfId="16608" xr:uid="{00000000-0005-0000-0000-000062480000}"/>
    <cellStyle name="Hed Side 6 6 6 2" xfId="16609" xr:uid="{00000000-0005-0000-0000-000063480000}"/>
    <cellStyle name="Hed Side 6 6 7" xfId="16610" xr:uid="{00000000-0005-0000-0000-000064480000}"/>
    <cellStyle name="Hed Side 6 6 7 2" xfId="16611" xr:uid="{00000000-0005-0000-0000-000065480000}"/>
    <cellStyle name="Hed Side 6 6 8" xfId="16612" xr:uid="{00000000-0005-0000-0000-000066480000}"/>
    <cellStyle name="Hed Side 6 6 8 2" xfId="16613" xr:uid="{00000000-0005-0000-0000-000067480000}"/>
    <cellStyle name="Hed Side 6 6 9" xfId="16614" xr:uid="{00000000-0005-0000-0000-000068480000}"/>
    <cellStyle name="Hed Side 6 6 9 2" xfId="16615" xr:uid="{00000000-0005-0000-0000-000069480000}"/>
    <cellStyle name="Hed Side 6 7" xfId="16616" xr:uid="{00000000-0005-0000-0000-00006A480000}"/>
    <cellStyle name="Hed Side 6 7 10" xfId="16617" xr:uid="{00000000-0005-0000-0000-00006B480000}"/>
    <cellStyle name="Hed Side 6 7 2" xfId="16618" xr:uid="{00000000-0005-0000-0000-00006C480000}"/>
    <cellStyle name="Hed Side 6 7 2 2" xfId="16619" xr:uid="{00000000-0005-0000-0000-00006D480000}"/>
    <cellStyle name="Hed Side 6 7 3" xfId="16620" xr:uid="{00000000-0005-0000-0000-00006E480000}"/>
    <cellStyle name="Hed Side 6 7 3 2" xfId="16621" xr:uid="{00000000-0005-0000-0000-00006F480000}"/>
    <cellStyle name="Hed Side 6 7 4" xfId="16622" xr:uid="{00000000-0005-0000-0000-000070480000}"/>
    <cellStyle name="Hed Side 6 7 4 2" xfId="16623" xr:uid="{00000000-0005-0000-0000-000071480000}"/>
    <cellStyle name="Hed Side 6 7 5" xfId="16624" xr:uid="{00000000-0005-0000-0000-000072480000}"/>
    <cellStyle name="Hed Side 6 7 5 2" xfId="16625" xr:uid="{00000000-0005-0000-0000-000073480000}"/>
    <cellStyle name="Hed Side 6 7 6" xfId="16626" xr:uid="{00000000-0005-0000-0000-000074480000}"/>
    <cellStyle name="Hed Side 6 7 6 2" xfId="16627" xr:uid="{00000000-0005-0000-0000-000075480000}"/>
    <cellStyle name="Hed Side 6 7 7" xfId="16628" xr:uid="{00000000-0005-0000-0000-000076480000}"/>
    <cellStyle name="Hed Side 6 7 7 2" xfId="16629" xr:uid="{00000000-0005-0000-0000-000077480000}"/>
    <cellStyle name="Hed Side 6 7 8" xfId="16630" xr:uid="{00000000-0005-0000-0000-000078480000}"/>
    <cellStyle name="Hed Side 6 7 8 2" xfId="16631" xr:uid="{00000000-0005-0000-0000-000079480000}"/>
    <cellStyle name="Hed Side 6 7 9" xfId="16632" xr:uid="{00000000-0005-0000-0000-00007A480000}"/>
    <cellStyle name="Hed Side 6 7 9 2" xfId="16633" xr:uid="{00000000-0005-0000-0000-00007B480000}"/>
    <cellStyle name="Hed Side 6 8" xfId="16634" xr:uid="{00000000-0005-0000-0000-00007C480000}"/>
    <cellStyle name="Hed Side 6 8 10" xfId="16635" xr:uid="{00000000-0005-0000-0000-00007D480000}"/>
    <cellStyle name="Hed Side 6 8 2" xfId="16636" xr:uid="{00000000-0005-0000-0000-00007E480000}"/>
    <cellStyle name="Hed Side 6 8 2 2" xfId="16637" xr:uid="{00000000-0005-0000-0000-00007F480000}"/>
    <cellStyle name="Hed Side 6 8 3" xfId="16638" xr:uid="{00000000-0005-0000-0000-000080480000}"/>
    <cellStyle name="Hed Side 6 8 3 2" xfId="16639" xr:uid="{00000000-0005-0000-0000-000081480000}"/>
    <cellStyle name="Hed Side 6 8 4" xfId="16640" xr:uid="{00000000-0005-0000-0000-000082480000}"/>
    <cellStyle name="Hed Side 6 8 4 2" xfId="16641" xr:uid="{00000000-0005-0000-0000-000083480000}"/>
    <cellStyle name="Hed Side 6 8 5" xfId="16642" xr:uid="{00000000-0005-0000-0000-000084480000}"/>
    <cellStyle name="Hed Side 6 8 5 2" xfId="16643" xr:uid="{00000000-0005-0000-0000-000085480000}"/>
    <cellStyle name="Hed Side 6 8 6" xfId="16644" xr:uid="{00000000-0005-0000-0000-000086480000}"/>
    <cellStyle name="Hed Side 6 8 6 2" xfId="16645" xr:uid="{00000000-0005-0000-0000-000087480000}"/>
    <cellStyle name="Hed Side 6 8 7" xfId="16646" xr:uid="{00000000-0005-0000-0000-000088480000}"/>
    <cellStyle name="Hed Side 6 8 7 2" xfId="16647" xr:uid="{00000000-0005-0000-0000-000089480000}"/>
    <cellStyle name="Hed Side 6 8 8" xfId="16648" xr:uid="{00000000-0005-0000-0000-00008A480000}"/>
    <cellStyle name="Hed Side 6 8 8 2" xfId="16649" xr:uid="{00000000-0005-0000-0000-00008B480000}"/>
    <cellStyle name="Hed Side 6 8 9" xfId="16650" xr:uid="{00000000-0005-0000-0000-00008C480000}"/>
    <cellStyle name="Hed Side 6 8 9 2" xfId="16651" xr:uid="{00000000-0005-0000-0000-00008D480000}"/>
    <cellStyle name="Hed Side 6 9" xfId="16652" xr:uid="{00000000-0005-0000-0000-00008E480000}"/>
    <cellStyle name="Hed Side 6 9 10" xfId="16653" xr:uid="{00000000-0005-0000-0000-00008F480000}"/>
    <cellStyle name="Hed Side 6 9 2" xfId="16654" xr:uid="{00000000-0005-0000-0000-000090480000}"/>
    <cellStyle name="Hed Side 6 9 2 2" xfId="16655" xr:uid="{00000000-0005-0000-0000-000091480000}"/>
    <cellStyle name="Hed Side 6 9 3" xfId="16656" xr:uid="{00000000-0005-0000-0000-000092480000}"/>
    <cellStyle name="Hed Side 6 9 3 2" xfId="16657" xr:uid="{00000000-0005-0000-0000-000093480000}"/>
    <cellStyle name="Hed Side 6 9 4" xfId="16658" xr:uid="{00000000-0005-0000-0000-000094480000}"/>
    <cellStyle name="Hed Side 6 9 4 2" xfId="16659" xr:uid="{00000000-0005-0000-0000-000095480000}"/>
    <cellStyle name="Hed Side 6 9 5" xfId="16660" xr:uid="{00000000-0005-0000-0000-000096480000}"/>
    <cellStyle name="Hed Side 6 9 5 2" xfId="16661" xr:uid="{00000000-0005-0000-0000-000097480000}"/>
    <cellStyle name="Hed Side 6 9 6" xfId="16662" xr:uid="{00000000-0005-0000-0000-000098480000}"/>
    <cellStyle name="Hed Side 6 9 6 2" xfId="16663" xr:uid="{00000000-0005-0000-0000-000099480000}"/>
    <cellStyle name="Hed Side 6 9 7" xfId="16664" xr:uid="{00000000-0005-0000-0000-00009A480000}"/>
    <cellStyle name="Hed Side 6 9 7 2" xfId="16665" xr:uid="{00000000-0005-0000-0000-00009B480000}"/>
    <cellStyle name="Hed Side 6 9 8" xfId="16666" xr:uid="{00000000-0005-0000-0000-00009C480000}"/>
    <cellStyle name="Hed Side 6 9 8 2" xfId="16667" xr:uid="{00000000-0005-0000-0000-00009D480000}"/>
    <cellStyle name="Hed Side 6 9 9" xfId="16668" xr:uid="{00000000-0005-0000-0000-00009E480000}"/>
    <cellStyle name="Hed Side 6 9 9 2" xfId="16669" xr:uid="{00000000-0005-0000-0000-00009F480000}"/>
    <cellStyle name="Hed Side bold" xfId="76" xr:uid="{00000000-0005-0000-0000-0000A0480000}"/>
    <cellStyle name="Hed Side Indent" xfId="77" xr:uid="{00000000-0005-0000-0000-0000A1480000}"/>
    <cellStyle name="Hed Side Indent 2" xfId="170" xr:uid="{00000000-0005-0000-0000-0000A2480000}"/>
    <cellStyle name="Hed Side Indent 2 2" xfId="16670" xr:uid="{00000000-0005-0000-0000-0000A3480000}"/>
    <cellStyle name="Hed Side Indent 2 2 10" xfId="16671" xr:uid="{00000000-0005-0000-0000-0000A4480000}"/>
    <cellStyle name="Hed Side Indent 2 2 10 10" xfId="16672" xr:uid="{00000000-0005-0000-0000-0000A5480000}"/>
    <cellStyle name="Hed Side Indent 2 2 10 2" xfId="16673" xr:uid="{00000000-0005-0000-0000-0000A6480000}"/>
    <cellStyle name="Hed Side Indent 2 2 10 2 2" xfId="16674" xr:uid="{00000000-0005-0000-0000-0000A7480000}"/>
    <cellStyle name="Hed Side Indent 2 2 10 3" xfId="16675" xr:uid="{00000000-0005-0000-0000-0000A8480000}"/>
    <cellStyle name="Hed Side Indent 2 2 10 3 2" xfId="16676" xr:uid="{00000000-0005-0000-0000-0000A9480000}"/>
    <cellStyle name="Hed Side Indent 2 2 10 4" xfId="16677" xr:uid="{00000000-0005-0000-0000-0000AA480000}"/>
    <cellStyle name="Hed Side Indent 2 2 10 4 2" xfId="16678" xr:uid="{00000000-0005-0000-0000-0000AB480000}"/>
    <cellStyle name="Hed Side Indent 2 2 10 5" xfId="16679" xr:uid="{00000000-0005-0000-0000-0000AC480000}"/>
    <cellStyle name="Hed Side Indent 2 2 10 5 2" xfId="16680" xr:uid="{00000000-0005-0000-0000-0000AD480000}"/>
    <cellStyle name="Hed Side Indent 2 2 10 6" xfId="16681" xr:uid="{00000000-0005-0000-0000-0000AE480000}"/>
    <cellStyle name="Hed Side Indent 2 2 10 6 2" xfId="16682" xr:uid="{00000000-0005-0000-0000-0000AF480000}"/>
    <cellStyle name="Hed Side Indent 2 2 10 7" xfId="16683" xr:uid="{00000000-0005-0000-0000-0000B0480000}"/>
    <cellStyle name="Hed Side Indent 2 2 10 7 2" xfId="16684" xr:uid="{00000000-0005-0000-0000-0000B1480000}"/>
    <cellStyle name="Hed Side Indent 2 2 10 8" xfId="16685" xr:uid="{00000000-0005-0000-0000-0000B2480000}"/>
    <cellStyle name="Hed Side Indent 2 2 10 8 2" xfId="16686" xr:uid="{00000000-0005-0000-0000-0000B3480000}"/>
    <cellStyle name="Hed Side Indent 2 2 10 9" xfId="16687" xr:uid="{00000000-0005-0000-0000-0000B4480000}"/>
    <cellStyle name="Hed Side Indent 2 2 10 9 2" xfId="16688" xr:uid="{00000000-0005-0000-0000-0000B5480000}"/>
    <cellStyle name="Hed Side Indent 2 2 11" xfId="16689" xr:uid="{00000000-0005-0000-0000-0000B6480000}"/>
    <cellStyle name="Hed Side Indent 2 2 11 2" xfId="16690" xr:uid="{00000000-0005-0000-0000-0000B7480000}"/>
    <cellStyle name="Hed Side Indent 2 2 11 2 2" xfId="16691" xr:uid="{00000000-0005-0000-0000-0000B8480000}"/>
    <cellStyle name="Hed Side Indent 2 2 11 3" xfId="16692" xr:uid="{00000000-0005-0000-0000-0000B9480000}"/>
    <cellStyle name="Hed Side Indent 2 2 11 3 2" xfId="16693" xr:uid="{00000000-0005-0000-0000-0000BA480000}"/>
    <cellStyle name="Hed Side Indent 2 2 11 4" xfId="16694" xr:uid="{00000000-0005-0000-0000-0000BB480000}"/>
    <cellStyle name="Hed Side Indent 2 2 11 4 2" xfId="16695" xr:uid="{00000000-0005-0000-0000-0000BC480000}"/>
    <cellStyle name="Hed Side Indent 2 2 11 5" xfId="16696" xr:uid="{00000000-0005-0000-0000-0000BD480000}"/>
    <cellStyle name="Hed Side Indent 2 2 11 5 2" xfId="16697" xr:uid="{00000000-0005-0000-0000-0000BE480000}"/>
    <cellStyle name="Hed Side Indent 2 2 11 6" xfId="16698" xr:uid="{00000000-0005-0000-0000-0000BF480000}"/>
    <cellStyle name="Hed Side Indent 2 2 11 6 2" xfId="16699" xr:uid="{00000000-0005-0000-0000-0000C0480000}"/>
    <cellStyle name="Hed Side Indent 2 2 11 7" xfId="16700" xr:uid="{00000000-0005-0000-0000-0000C1480000}"/>
    <cellStyle name="Hed Side Indent 2 2 11 7 2" xfId="16701" xr:uid="{00000000-0005-0000-0000-0000C2480000}"/>
    <cellStyle name="Hed Side Indent 2 2 11 8" xfId="16702" xr:uid="{00000000-0005-0000-0000-0000C3480000}"/>
    <cellStyle name="Hed Side Indent 2 2 11 8 2" xfId="16703" xr:uid="{00000000-0005-0000-0000-0000C4480000}"/>
    <cellStyle name="Hed Side Indent 2 2 11 9" xfId="16704" xr:uid="{00000000-0005-0000-0000-0000C5480000}"/>
    <cellStyle name="Hed Side Indent 2 2 2" xfId="16705" xr:uid="{00000000-0005-0000-0000-0000C6480000}"/>
    <cellStyle name="Hed Side Indent 2 2 2 10" xfId="16706" xr:uid="{00000000-0005-0000-0000-0000C7480000}"/>
    <cellStyle name="Hed Side Indent 2 2 2 2" xfId="16707" xr:uid="{00000000-0005-0000-0000-0000C8480000}"/>
    <cellStyle name="Hed Side Indent 2 2 2 2 2" xfId="16708" xr:uid="{00000000-0005-0000-0000-0000C9480000}"/>
    <cellStyle name="Hed Side Indent 2 2 2 3" xfId="16709" xr:uid="{00000000-0005-0000-0000-0000CA480000}"/>
    <cellStyle name="Hed Side Indent 2 2 2 3 2" xfId="16710" xr:uid="{00000000-0005-0000-0000-0000CB480000}"/>
    <cellStyle name="Hed Side Indent 2 2 2 4" xfId="16711" xr:uid="{00000000-0005-0000-0000-0000CC480000}"/>
    <cellStyle name="Hed Side Indent 2 2 2 4 2" xfId="16712" xr:uid="{00000000-0005-0000-0000-0000CD480000}"/>
    <cellStyle name="Hed Side Indent 2 2 2 5" xfId="16713" xr:uid="{00000000-0005-0000-0000-0000CE480000}"/>
    <cellStyle name="Hed Side Indent 2 2 2 5 2" xfId="16714" xr:uid="{00000000-0005-0000-0000-0000CF480000}"/>
    <cellStyle name="Hed Side Indent 2 2 2 6" xfId="16715" xr:uid="{00000000-0005-0000-0000-0000D0480000}"/>
    <cellStyle name="Hed Side Indent 2 2 2 6 2" xfId="16716" xr:uid="{00000000-0005-0000-0000-0000D1480000}"/>
    <cellStyle name="Hed Side Indent 2 2 2 7" xfId="16717" xr:uid="{00000000-0005-0000-0000-0000D2480000}"/>
    <cellStyle name="Hed Side Indent 2 2 2 7 2" xfId="16718" xr:uid="{00000000-0005-0000-0000-0000D3480000}"/>
    <cellStyle name="Hed Side Indent 2 2 2 8" xfId="16719" xr:uid="{00000000-0005-0000-0000-0000D4480000}"/>
    <cellStyle name="Hed Side Indent 2 2 2 8 2" xfId="16720" xr:uid="{00000000-0005-0000-0000-0000D5480000}"/>
    <cellStyle name="Hed Side Indent 2 2 2 9" xfId="16721" xr:uid="{00000000-0005-0000-0000-0000D6480000}"/>
    <cellStyle name="Hed Side Indent 2 2 2 9 2" xfId="16722" xr:uid="{00000000-0005-0000-0000-0000D7480000}"/>
    <cellStyle name="Hed Side Indent 2 2 3" xfId="16723" xr:uid="{00000000-0005-0000-0000-0000D8480000}"/>
    <cellStyle name="Hed Side Indent 2 2 3 10" xfId="16724" xr:uid="{00000000-0005-0000-0000-0000D9480000}"/>
    <cellStyle name="Hed Side Indent 2 2 3 2" xfId="16725" xr:uid="{00000000-0005-0000-0000-0000DA480000}"/>
    <cellStyle name="Hed Side Indent 2 2 3 2 2" xfId="16726" xr:uid="{00000000-0005-0000-0000-0000DB480000}"/>
    <cellStyle name="Hed Side Indent 2 2 3 3" xfId="16727" xr:uid="{00000000-0005-0000-0000-0000DC480000}"/>
    <cellStyle name="Hed Side Indent 2 2 3 3 2" xfId="16728" xr:uid="{00000000-0005-0000-0000-0000DD480000}"/>
    <cellStyle name="Hed Side Indent 2 2 3 4" xfId="16729" xr:uid="{00000000-0005-0000-0000-0000DE480000}"/>
    <cellStyle name="Hed Side Indent 2 2 3 4 2" xfId="16730" xr:uid="{00000000-0005-0000-0000-0000DF480000}"/>
    <cellStyle name="Hed Side Indent 2 2 3 5" xfId="16731" xr:uid="{00000000-0005-0000-0000-0000E0480000}"/>
    <cellStyle name="Hed Side Indent 2 2 3 5 2" xfId="16732" xr:uid="{00000000-0005-0000-0000-0000E1480000}"/>
    <cellStyle name="Hed Side Indent 2 2 3 6" xfId="16733" xr:uid="{00000000-0005-0000-0000-0000E2480000}"/>
    <cellStyle name="Hed Side Indent 2 2 3 6 2" xfId="16734" xr:uid="{00000000-0005-0000-0000-0000E3480000}"/>
    <cellStyle name="Hed Side Indent 2 2 3 7" xfId="16735" xr:uid="{00000000-0005-0000-0000-0000E4480000}"/>
    <cellStyle name="Hed Side Indent 2 2 3 7 2" xfId="16736" xr:uid="{00000000-0005-0000-0000-0000E5480000}"/>
    <cellStyle name="Hed Side Indent 2 2 3 8" xfId="16737" xr:uid="{00000000-0005-0000-0000-0000E6480000}"/>
    <cellStyle name="Hed Side Indent 2 2 3 8 2" xfId="16738" xr:uid="{00000000-0005-0000-0000-0000E7480000}"/>
    <cellStyle name="Hed Side Indent 2 2 3 9" xfId="16739" xr:uid="{00000000-0005-0000-0000-0000E8480000}"/>
    <cellStyle name="Hed Side Indent 2 2 3 9 2" xfId="16740" xr:uid="{00000000-0005-0000-0000-0000E9480000}"/>
    <cellStyle name="Hed Side Indent 2 2 4" xfId="16741" xr:uid="{00000000-0005-0000-0000-0000EA480000}"/>
    <cellStyle name="Hed Side Indent 2 2 4 10" xfId="16742" xr:uid="{00000000-0005-0000-0000-0000EB480000}"/>
    <cellStyle name="Hed Side Indent 2 2 4 2" xfId="16743" xr:uid="{00000000-0005-0000-0000-0000EC480000}"/>
    <cellStyle name="Hed Side Indent 2 2 4 2 2" xfId="16744" xr:uid="{00000000-0005-0000-0000-0000ED480000}"/>
    <cellStyle name="Hed Side Indent 2 2 4 3" xfId="16745" xr:uid="{00000000-0005-0000-0000-0000EE480000}"/>
    <cellStyle name="Hed Side Indent 2 2 4 3 2" xfId="16746" xr:uid="{00000000-0005-0000-0000-0000EF480000}"/>
    <cellStyle name="Hed Side Indent 2 2 4 4" xfId="16747" xr:uid="{00000000-0005-0000-0000-0000F0480000}"/>
    <cellStyle name="Hed Side Indent 2 2 4 4 2" xfId="16748" xr:uid="{00000000-0005-0000-0000-0000F1480000}"/>
    <cellStyle name="Hed Side Indent 2 2 4 5" xfId="16749" xr:uid="{00000000-0005-0000-0000-0000F2480000}"/>
    <cellStyle name="Hed Side Indent 2 2 4 5 2" xfId="16750" xr:uid="{00000000-0005-0000-0000-0000F3480000}"/>
    <cellStyle name="Hed Side Indent 2 2 4 6" xfId="16751" xr:uid="{00000000-0005-0000-0000-0000F4480000}"/>
    <cellStyle name="Hed Side Indent 2 2 4 6 2" xfId="16752" xr:uid="{00000000-0005-0000-0000-0000F5480000}"/>
    <cellStyle name="Hed Side Indent 2 2 4 7" xfId="16753" xr:uid="{00000000-0005-0000-0000-0000F6480000}"/>
    <cellStyle name="Hed Side Indent 2 2 4 7 2" xfId="16754" xr:uid="{00000000-0005-0000-0000-0000F7480000}"/>
    <cellStyle name="Hed Side Indent 2 2 4 8" xfId="16755" xr:uid="{00000000-0005-0000-0000-0000F8480000}"/>
    <cellStyle name="Hed Side Indent 2 2 4 8 2" xfId="16756" xr:uid="{00000000-0005-0000-0000-0000F9480000}"/>
    <cellStyle name="Hed Side Indent 2 2 4 9" xfId="16757" xr:uid="{00000000-0005-0000-0000-0000FA480000}"/>
    <cellStyle name="Hed Side Indent 2 2 4 9 2" xfId="16758" xr:uid="{00000000-0005-0000-0000-0000FB480000}"/>
    <cellStyle name="Hed Side Indent 2 2 5" xfId="16759" xr:uid="{00000000-0005-0000-0000-0000FC480000}"/>
    <cellStyle name="Hed Side Indent 2 2 5 10" xfId="16760" xr:uid="{00000000-0005-0000-0000-0000FD480000}"/>
    <cellStyle name="Hed Side Indent 2 2 5 2" xfId="16761" xr:uid="{00000000-0005-0000-0000-0000FE480000}"/>
    <cellStyle name="Hed Side Indent 2 2 5 2 2" xfId="16762" xr:uid="{00000000-0005-0000-0000-0000FF480000}"/>
    <cellStyle name="Hed Side Indent 2 2 5 3" xfId="16763" xr:uid="{00000000-0005-0000-0000-000000490000}"/>
    <cellStyle name="Hed Side Indent 2 2 5 3 2" xfId="16764" xr:uid="{00000000-0005-0000-0000-000001490000}"/>
    <cellStyle name="Hed Side Indent 2 2 5 4" xfId="16765" xr:uid="{00000000-0005-0000-0000-000002490000}"/>
    <cellStyle name="Hed Side Indent 2 2 5 4 2" xfId="16766" xr:uid="{00000000-0005-0000-0000-000003490000}"/>
    <cellStyle name="Hed Side Indent 2 2 5 5" xfId="16767" xr:uid="{00000000-0005-0000-0000-000004490000}"/>
    <cellStyle name="Hed Side Indent 2 2 5 5 2" xfId="16768" xr:uid="{00000000-0005-0000-0000-000005490000}"/>
    <cellStyle name="Hed Side Indent 2 2 5 6" xfId="16769" xr:uid="{00000000-0005-0000-0000-000006490000}"/>
    <cellStyle name="Hed Side Indent 2 2 5 6 2" xfId="16770" xr:uid="{00000000-0005-0000-0000-000007490000}"/>
    <cellStyle name="Hed Side Indent 2 2 5 7" xfId="16771" xr:uid="{00000000-0005-0000-0000-000008490000}"/>
    <cellStyle name="Hed Side Indent 2 2 5 7 2" xfId="16772" xr:uid="{00000000-0005-0000-0000-000009490000}"/>
    <cellStyle name="Hed Side Indent 2 2 5 8" xfId="16773" xr:uid="{00000000-0005-0000-0000-00000A490000}"/>
    <cellStyle name="Hed Side Indent 2 2 5 8 2" xfId="16774" xr:uid="{00000000-0005-0000-0000-00000B490000}"/>
    <cellStyle name="Hed Side Indent 2 2 5 9" xfId="16775" xr:uid="{00000000-0005-0000-0000-00000C490000}"/>
    <cellStyle name="Hed Side Indent 2 2 5 9 2" xfId="16776" xr:uid="{00000000-0005-0000-0000-00000D490000}"/>
    <cellStyle name="Hed Side Indent 2 2 6" xfId="16777" xr:uid="{00000000-0005-0000-0000-00000E490000}"/>
    <cellStyle name="Hed Side Indent 2 2 6 10" xfId="16778" xr:uid="{00000000-0005-0000-0000-00000F490000}"/>
    <cellStyle name="Hed Side Indent 2 2 6 2" xfId="16779" xr:uid="{00000000-0005-0000-0000-000010490000}"/>
    <cellStyle name="Hed Side Indent 2 2 6 2 2" xfId="16780" xr:uid="{00000000-0005-0000-0000-000011490000}"/>
    <cellStyle name="Hed Side Indent 2 2 6 3" xfId="16781" xr:uid="{00000000-0005-0000-0000-000012490000}"/>
    <cellStyle name="Hed Side Indent 2 2 6 3 2" xfId="16782" xr:uid="{00000000-0005-0000-0000-000013490000}"/>
    <cellStyle name="Hed Side Indent 2 2 6 4" xfId="16783" xr:uid="{00000000-0005-0000-0000-000014490000}"/>
    <cellStyle name="Hed Side Indent 2 2 6 4 2" xfId="16784" xr:uid="{00000000-0005-0000-0000-000015490000}"/>
    <cellStyle name="Hed Side Indent 2 2 6 5" xfId="16785" xr:uid="{00000000-0005-0000-0000-000016490000}"/>
    <cellStyle name="Hed Side Indent 2 2 6 5 2" xfId="16786" xr:uid="{00000000-0005-0000-0000-000017490000}"/>
    <cellStyle name="Hed Side Indent 2 2 6 6" xfId="16787" xr:uid="{00000000-0005-0000-0000-000018490000}"/>
    <cellStyle name="Hed Side Indent 2 2 6 6 2" xfId="16788" xr:uid="{00000000-0005-0000-0000-000019490000}"/>
    <cellStyle name="Hed Side Indent 2 2 6 7" xfId="16789" xr:uid="{00000000-0005-0000-0000-00001A490000}"/>
    <cellStyle name="Hed Side Indent 2 2 6 7 2" xfId="16790" xr:uid="{00000000-0005-0000-0000-00001B490000}"/>
    <cellStyle name="Hed Side Indent 2 2 6 8" xfId="16791" xr:uid="{00000000-0005-0000-0000-00001C490000}"/>
    <cellStyle name="Hed Side Indent 2 2 6 8 2" xfId="16792" xr:uid="{00000000-0005-0000-0000-00001D490000}"/>
    <cellStyle name="Hed Side Indent 2 2 6 9" xfId="16793" xr:uid="{00000000-0005-0000-0000-00001E490000}"/>
    <cellStyle name="Hed Side Indent 2 2 6 9 2" xfId="16794" xr:uid="{00000000-0005-0000-0000-00001F490000}"/>
    <cellStyle name="Hed Side Indent 2 2 7" xfId="16795" xr:uid="{00000000-0005-0000-0000-000020490000}"/>
    <cellStyle name="Hed Side Indent 2 2 7 10" xfId="16796" xr:uid="{00000000-0005-0000-0000-000021490000}"/>
    <cellStyle name="Hed Side Indent 2 2 7 2" xfId="16797" xr:uid="{00000000-0005-0000-0000-000022490000}"/>
    <cellStyle name="Hed Side Indent 2 2 7 2 2" xfId="16798" xr:uid="{00000000-0005-0000-0000-000023490000}"/>
    <cellStyle name="Hed Side Indent 2 2 7 3" xfId="16799" xr:uid="{00000000-0005-0000-0000-000024490000}"/>
    <cellStyle name="Hed Side Indent 2 2 7 3 2" xfId="16800" xr:uid="{00000000-0005-0000-0000-000025490000}"/>
    <cellStyle name="Hed Side Indent 2 2 7 4" xfId="16801" xr:uid="{00000000-0005-0000-0000-000026490000}"/>
    <cellStyle name="Hed Side Indent 2 2 7 4 2" xfId="16802" xr:uid="{00000000-0005-0000-0000-000027490000}"/>
    <cellStyle name="Hed Side Indent 2 2 7 5" xfId="16803" xr:uid="{00000000-0005-0000-0000-000028490000}"/>
    <cellStyle name="Hed Side Indent 2 2 7 5 2" xfId="16804" xr:uid="{00000000-0005-0000-0000-000029490000}"/>
    <cellStyle name="Hed Side Indent 2 2 7 6" xfId="16805" xr:uid="{00000000-0005-0000-0000-00002A490000}"/>
    <cellStyle name="Hed Side Indent 2 2 7 6 2" xfId="16806" xr:uid="{00000000-0005-0000-0000-00002B490000}"/>
    <cellStyle name="Hed Side Indent 2 2 7 7" xfId="16807" xr:uid="{00000000-0005-0000-0000-00002C490000}"/>
    <cellStyle name="Hed Side Indent 2 2 7 7 2" xfId="16808" xr:uid="{00000000-0005-0000-0000-00002D490000}"/>
    <cellStyle name="Hed Side Indent 2 2 7 8" xfId="16809" xr:uid="{00000000-0005-0000-0000-00002E490000}"/>
    <cellStyle name="Hed Side Indent 2 2 7 8 2" xfId="16810" xr:uid="{00000000-0005-0000-0000-00002F490000}"/>
    <cellStyle name="Hed Side Indent 2 2 7 9" xfId="16811" xr:uid="{00000000-0005-0000-0000-000030490000}"/>
    <cellStyle name="Hed Side Indent 2 2 7 9 2" xfId="16812" xr:uid="{00000000-0005-0000-0000-000031490000}"/>
    <cellStyle name="Hed Side Indent 2 2 8" xfId="16813" xr:uid="{00000000-0005-0000-0000-000032490000}"/>
    <cellStyle name="Hed Side Indent 2 2 8 10" xfId="16814" xr:uid="{00000000-0005-0000-0000-000033490000}"/>
    <cellStyle name="Hed Side Indent 2 2 8 2" xfId="16815" xr:uid="{00000000-0005-0000-0000-000034490000}"/>
    <cellStyle name="Hed Side Indent 2 2 8 2 2" xfId="16816" xr:uid="{00000000-0005-0000-0000-000035490000}"/>
    <cellStyle name="Hed Side Indent 2 2 8 3" xfId="16817" xr:uid="{00000000-0005-0000-0000-000036490000}"/>
    <cellStyle name="Hed Side Indent 2 2 8 3 2" xfId="16818" xr:uid="{00000000-0005-0000-0000-000037490000}"/>
    <cellStyle name="Hed Side Indent 2 2 8 4" xfId="16819" xr:uid="{00000000-0005-0000-0000-000038490000}"/>
    <cellStyle name="Hed Side Indent 2 2 8 4 2" xfId="16820" xr:uid="{00000000-0005-0000-0000-000039490000}"/>
    <cellStyle name="Hed Side Indent 2 2 8 5" xfId="16821" xr:uid="{00000000-0005-0000-0000-00003A490000}"/>
    <cellStyle name="Hed Side Indent 2 2 8 5 2" xfId="16822" xr:uid="{00000000-0005-0000-0000-00003B490000}"/>
    <cellStyle name="Hed Side Indent 2 2 8 6" xfId="16823" xr:uid="{00000000-0005-0000-0000-00003C490000}"/>
    <cellStyle name="Hed Side Indent 2 2 8 6 2" xfId="16824" xr:uid="{00000000-0005-0000-0000-00003D490000}"/>
    <cellStyle name="Hed Side Indent 2 2 8 7" xfId="16825" xr:uid="{00000000-0005-0000-0000-00003E490000}"/>
    <cellStyle name="Hed Side Indent 2 2 8 7 2" xfId="16826" xr:uid="{00000000-0005-0000-0000-00003F490000}"/>
    <cellStyle name="Hed Side Indent 2 2 8 8" xfId="16827" xr:uid="{00000000-0005-0000-0000-000040490000}"/>
    <cellStyle name="Hed Side Indent 2 2 8 8 2" xfId="16828" xr:uid="{00000000-0005-0000-0000-000041490000}"/>
    <cellStyle name="Hed Side Indent 2 2 8 9" xfId="16829" xr:uid="{00000000-0005-0000-0000-000042490000}"/>
    <cellStyle name="Hed Side Indent 2 2 8 9 2" xfId="16830" xr:uid="{00000000-0005-0000-0000-000043490000}"/>
    <cellStyle name="Hed Side Indent 2 2 9" xfId="16831" xr:uid="{00000000-0005-0000-0000-000044490000}"/>
    <cellStyle name="Hed Side Indent 2 2 9 10" xfId="16832" xr:uid="{00000000-0005-0000-0000-000045490000}"/>
    <cellStyle name="Hed Side Indent 2 2 9 2" xfId="16833" xr:uid="{00000000-0005-0000-0000-000046490000}"/>
    <cellStyle name="Hed Side Indent 2 2 9 2 2" xfId="16834" xr:uid="{00000000-0005-0000-0000-000047490000}"/>
    <cellStyle name="Hed Side Indent 2 2 9 3" xfId="16835" xr:uid="{00000000-0005-0000-0000-000048490000}"/>
    <cellStyle name="Hed Side Indent 2 2 9 3 2" xfId="16836" xr:uid="{00000000-0005-0000-0000-000049490000}"/>
    <cellStyle name="Hed Side Indent 2 2 9 4" xfId="16837" xr:uid="{00000000-0005-0000-0000-00004A490000}"/>
    <cellStyle name="Hed Side Indent 2 2 9 4 2" xfId="16838" xr:uid="{00000000-0005-0000-0000-00004B490000}"/>
    <cellStyle name="Hed Side Indent 2 2 9 5" xfId="16839" xr:uid="{00000000-0005-0000-0000-00004C490000}"/>
    <cellStyle name="Hed Side Indent 2 2 9 5 2" xfId="16840" xr:uid="{00000000-0005-0000-0000-00004D490000}"/>
    <cellStyle name="Hed Side Indent 2 2 9 6" xfId="16841" xr:uid="{00000000-0005-0000-0000-00004E490000}"/>
    <cellStyle name="Hed Side Indent 2 2 9 6 2" xfId="16842" xr:uid="{00000000-0005-0000-0000-00004F490000}"/>
    <cellStyle name="Hed Side Indent 2 2 9 7" xfId="16843" xr:uid="{00000000-0005-0000-0000-000050490000}"/>
    <cellStyle name="Hed Side Indent 2 2 9 7 2" xfId="16844" xr:uid="{00000000-0005-0000-0000-000051490000}"/>
    <cellStyle name="Hed Side Indent 2 2 9 8" xfId="16845" xr:uid="{00000000-0005-0000-0000-000052490000}"/>
    <cellStyle name="Hed Side Indent 2 2 9 8 2" xfId="16846" xr:uid="{00000000-0005-0000-0000-000053490000}"/>
    <cellStyle name="Hed Side Indent 2 2 9 9" xfId="16847" xr:uid="{00000000-0005-0000-0000-000054490000}"/>
    <cellStyle name="Hed Side Indent 2 2 9 9 2" xfId="16848" xr:uid="{00000000-0005-0000-0000-000055490000}"/>
    <cellStyle name="Hed Side Indent 2 3" xfId="16849" xr:uid="{00000000-0005-0000-0000-000056490000}"/>
    <cellStyle name="Hed Side Indent 2 3 10" xfId="16850" xr:uid="{00000000-0005-0000-0000-000057490000}"/>
    <cellStyle name="Hed Side Indent 2 3 10 10" xfId="16851" xr:uid="{00000000-0005-0000-0000-000058490000}"/>
    <cellStyle name="Hed Side Indent 2 3 10 2" xfId="16852" xr:uid="{00000000-0005-0000-0000-000059490000}"/>
    <cellStyle name="Hed Side Indent 2 3 10 2 2" xfId="16853" xr:uid="{00000000-0005-0000-0000-00005A490000}"/>
    <cellStyle name="Hed Side Indent 2 3 10 3" xfId="16854" xr:uid="{00000000-0005-0000-0000-00005B490000}"/>
    <cellStyle name="Hed Side Indent 2 3 10 3 2" xfId="16855" xr:uid="{00000000-0005-0000-0000-00005C490000}"/>
    <cellStyle name="Hed Side Indent 2 3 10 4" xfId="16856" xr:uid="{00000000-0005-0000-0000-00005D490000}"/>
    <cellStyle name="Hed Side Indent 2 3 10 4 2" xfId="16857" xr:uid="{00000000-0005-0000-0000-00005E490000}"/>
    <cellStyle name="Hed Side Indent 2 3 10 5" xfId="16858" xr:uid="{00000000-0005-0000-0000-00005F490000}"/>
    <cellStyle name="Hed Side Indent 2 3 10 5 2" xfId="16859" xr:uid="{00000000-0005-0000-0000-000060490000}"/>
    <cellStyle name="Hed Side Indent 2 3 10 6" xfId="16860" xr:uid="{00000000-0005-0000-0000-000061490000}"/>
    <cellStyle name="Hed Side Indent 2 3 10 6 2" xfId="16861" xr:uid="{00000000-0005-0000-0000-000062490000}"/>
    <cellStyle name="Hed Side Indent 2 3 10 7" xfId="16862" xr:uid="{00000000-0005-0000-0000-000063490000}"/>
    <cellStyle name="Hed Side Indent 2 3 10 7 2" xfId="16863" xr:uid="{00000000-0005-0000-0000-000064490000}"/>
    <cellStyle name="Hed Side Indent 2 3 10 8" xfId="16864" xr:uid="{00000000-0005-0000-0000-000065490000}"/>
    <cellStyle name="Hed Side Indent 2 3 10 8 2" xfId="16865" xr:uid="{00000000-0005-0000-0000-000066490000}"/>
    <cellStyle name="Hed Side Indent 2 3 10 9" xfId="16866" xr:uid="{00000000-0005-0000-0000-000067490000}"/>
    <cellStyle name="Hed Side Indent 2 3 10 9 2" xfId="16867" xr:uid="{00000000-0005-0000-0000-000068490000}"/>
    <cellStyle name="Hed Side Indent 2 3 11" xfId="16868" xr:uid="{00000000-0005-0000-0000-000069490000}"/>
    <cellStyle name="Hed Side Indent 2 3 11 2" xfId="16869" xr:uid="{00000000-0005-0000-0000-00006A490000}"/>
    <cellStyle name="Hed Side Indent 2 3 11 2 2" xfId="16870" xr:uid="{00000000-0005-0000-0000-00006B490000}"/>
    <cellStyle name="Hed Side Indent 2 3 11 3" xfId="16871" xr:uid="{00000000-0005-0000-0000-00006C490000}"/>
    <cellStyle name="Hed Side Indent 2 3 11 3 2" xfId="16872" xr:uid="{00000000-0005-0000-0000-00006D490000}"/>
    <cellStyle name="Hed Side Indent 2 3 11 4" xfId="16873" xr:uid="{00000000-0005-0000-0000-00006E490000}"/>
    <cellStyle name="Hed Side Indent 2 3 11 4 2" xfId="16874" xr:uid="{00000000-0005-0000-0000-00006F490000}"/>
    <cellStyle name="Hed Side Indent 2 3 11 5" xfId="16875" xr:uid="{00000000-0005-0000-0000-000070490000}"/>
    <cellStyle name="Hed Side Indent 2 3 11 5 2" xfId="16876" xr:uid="{00000000-0005-0000-0000-000071490000}"/>
    <cellStyle name="Hed Side Indent 2 3 11 6" xfId="16877" xr:uid="{00000000-0005-0000-0000-000072490000}"/>
    <cellStyle name="Hed Side Indent 2 3 11 6 2" xfId="16878" xr:uid="{00000000-0005-0000-0000-000073490000}"/>
    <cellStyle name="Hed Side Indent 2 3 11 7" xfId="16879" xr:uid="{00000000-0005-0000-0000-000074490000}"/>
    <cellStyle name="Hed Side Indent 2 3 11 7 2" xfId="16880" xr:uid="{00000000-0005-0000-0000-000075490000}"/>
    <cellStyle name="Hed Side Indent 2 3 11 8" xfId="16881" xr:uid="{00000000-0005-0000-0000-000076490000}"/>
    <cellStyle name="Hed Side Indent 2 3 11 8 2" xfId="16882" xr:uid="{00000000-0005-0000-0000-000077490000}"/>
    <cellStyle name="Hed Side Indent 2 3 11 9" xfId="16883" xr:uid="{00000000-0005-0000-0000-000078490000}"/>
    <cellStyle name="Hed Side Indent 2 3 2" xfId="16884" xr:uid="{00000000-0005-0000-0000-000079490000}"/>
    <cellStyle name="Hed Side Indent 2 3 2 10" xfId="16885" xr:uid="{00000000-0005-0000-0000-00007A490000}"/>
    <cellStyle name="Hed Side Indent 2 3 2 2" xfId="16886" xr:uid="{00000000-0005-0000-0000-00007B490000}"/>
    <cellStyle name="Hed Side Indent 2 3 2 2 2" xfId="16887" xr:uid="{00000000-0005-0000-0000-00007C490000}"/>
    <cellStyle name="Hed Side Indent 2 3 2 3" xfId="16888" xr:uid="{00000000-0005-0000-0000-00007D490000}"/>
    <cellStyle name="Hed Side Indent 2 3 2 3 2" xfId="16889" xr:uid="{00000000-0005-0000-0000-00007E490000}"/>
    <cellStyle name="Hed Side Indent 2 3 2 4" xfId="16890" xr:uid="{00000000-0005-0000-0000-00007F490000}"/>
    <cellStyle name="Hed Side Indent 2 3 2 4 2" xfId="16891" xr:uid="{00000000-0005-0000-0000-000080490000}"/>
    <cellStyle name="Hed Side Indent 2 3 2 5" xfId="16892" xr:uid="{00000000-0005-0000-0000-000081490000}"/>
    <cellStyle name="Hed Side Indent 2 3 2 5 2" xfId="16893" xr:uid="{00000000-0005-0000-0000-000082490000}"/>
    <cellStyle name="Hed Side Indent 2 3 2 6" xfId="16894" xr:uid="{00000000-0005-0000-0000-000083490000}"/>
    <cellStyle name="Hed Side Indent 2 3 2 6 2" xfId="16895" xr:uid="{00000000-0005-0000-0000-000084490000}"/>
    <cellStyle name="Hed Side Indent 2 3 2 7" xfId="16896" xr:uid="{00000000-0005-0000-0000-000085490000}"/>
    <cellStyle name="Hed Side Indent 2 3 2 7 2" xfId="16897" xr:uid="{00000000-0005-0000-0000-000086490000}"/>
    <cellStyle name="Hed Side Indent 2 3 2 8" xfId="16898" xr:uid="{00000000-0005-0000-0000-000087490000}"/>
    <cellStyle name="Hed Side Indent 2 3 2 8 2" xfId="16899" xr:uid="{00000000-0005-0000-0000-000088490000}"/>
    <cellStyle name="Hed Side Indent 2 3 2 9" xfId="16900" xr:uid="{00000000-0005-0000-0000-000089490000}"/>
    <cellStyle name="Hed Side Indent 2 3 2 9 2" xfId="16901" xr:uid="{00000000-0005-0000-0000-00008A490000}"/>
    <cellStyle name="Hed Side Indent 2 3 3" xfId="16902" xr:uid="{00000000-0005-0000-0000-00008B490000}"/>
    <cellStyle name="Hed Side Indent 2 3 3 10" xfId="16903" xr:uid="{00000000-0005-0000-0000-00008C490000}"/>
    <cellStyle name="Hed Side Indent 2 3 3 2" xfId="16904" xr:uid="{00000000-0005-0000-0000-00008D490000}"/>
    <cellStyle name="Hed Side Indent 2 3 3 2 2" xfId="16905" xr:uid="{00000000-0005-0000-0000-00008E490000}"/>
    <cellStyle name="Hed Side Indent 2 3 3 3" xfId="16906" xr:uid="{00000000-0005-0000-0000-00008F490000}"/>
    <cellStyle name="Hed Side Indent 2 3 3 3 2" xfId="16907" xr:uid="{00000000-0005-0000-0000-000090490000}"/>
    <cellStyle name="Hed Side Indent 2 3 3 4" xfId="16908" xr:uid="{00000000-0005-0000-0000-000091490000}"/>
    <cellStyle name="Hed Side Indent 2 3 3 4 2" xfId="16909" xr:uid="{00000000-0005-0000-0000-000092490000}"/>
    <cellStyle name="Hed Side Indent 2 3 3 5" xfId="16910" xr:uid="{00000000-0005-0000-0000-000093490000}"/>
    <cellStyle name="Hed Side Indent 2 3 3 5 2" xfId="16911" xr:uid="{00000000-0005-0000-0000-000094490000}"/>
    <cellStyle name="Hed Side Indent 2 3 3 6" xfId="16912" xr:uid="{00000000-0005-0000-0000-000095490000}"/>
    <cellStyle name="Hed Side Indent 2 3 3 6 2" xfId="16913" xr:uid="{00000000-0005-0000-0000-000096490000}"/>
    <cellStyle name="Hed Side Indent 2 3 3 7" xfId="16914" xr:uid="{00000000-0005-0000-0000-000097490000}"/>
    <cellStyle name="Hed Side Indent 2 3 3 7 2" xfId="16915" xr:uid="{00000000-0005-0000-0000-000098490000}"/>
    <cellStyle name="Hed Side Indent 2 3 3 8" xfId="16916" xr:uid="{00000000-0005-0000-0000-000099490000}"/>
    <cellStyle name="Hed Side Indent 2 3 3 8 2" xfId="16917" xr:uid="{00000000-0005-0000-0000-00009A490000}"/>
    <cellStyle name="Hed Side Indent 2 3 3 9" xfId="16918" xr:uid="{00000000-0005-0000-0000-00009B490000}"/>
    <cellStyle name="Hed Side Indent 2 3 3 9 2" xfId="16919" xr:uid="{00000000-0005-0000-0000-00009C490000}"/>
    <cellStyle name="Hed Side Indent 2 3 4" xfId="16920" xr:uid="{00000000-0005-0000-0000-00009D490000}"/>
    <cellStyle name="Hed Side Indent 2 3 4 10" xfId="16921" xr:uid="{00000000-0005-0000-0000-00009E490000}"/>
    <cellStyle name="Hed Side Indent 2 3 4 2" xfId="16922" xr:uid="{00000000-0005-0000-0000-00009F490000}"/>
    <cellStyle name="Hed Side Indent 2 3 4 2 2" xfId="16923" xr:uid="{00000000-0005-0000-0000-0000A0490000}"/>
    <cellStyle name="Hed Side Indent 2 3 4 3" xfId="16924" xr:uid="{00000000-0005-0000-0000-0000A1490000}"/>
    <cellStyle name="Hed Side Indent 2 3 4 3 2" xfId="16925" xr:uid="{00000000-0005-0000-0000-0000A2490000}"/>
    <cellStyle name="Hed Side Indent 2 3 4 4" xfId="16926" xr:uid="{00000000-0005-0000-0000-0000A3490000}"/>
    <cellStyle name="Hed Side Indent 2 3 4 4 2" xfId="16927" xr:uid="{00000000-0005-0000-0000-0000A4490000}"/>
    <cellStyle name="Hed Side Indent 2 3 4 5" xfId="16928" xr:uid="{00000000-0005-0000-0000-0000A5490000}"/>
    <cellStyle name="Hed Side Indent 2 3 4 5 2" xfId="16929" xr:uid="{00000000-0005-0000-0000-0000A6490000}"/>
    <cellStyle name="Hed Side Indent 2 3 4 6" xfId="16930" xr:uid="{00000000-0005-0000-0000-0000A7490000}"/>
    <cellStyle name="Hed Side Indent 2 3 4 6 2" xfId="16931" xr:uid="{00000000-0005-0000-0000-0000A8490000}"/>
    <cellStyle name="Hed Side Indent 2 3 4 7" xfId="16932" xr:uid="{00000000-0005-0000-0000-0000A9490000}"/>
    <cellStyle name="Hed Side Indent 2 3 4 7 2" xfId="16933" xr:uid="{00000000-0005-0000-0000-0000AA490000}"/>
    <cellStyle name="Hed Side Indent 2 3 4 8" xfId="16934" xr:uid="{00000000-0005-0000-0000-0000AB490000}"/>
    <cellStyle name="Hed Side Indent 2 3 4 8 2" xfId="16935" xr:uid="{00000000-0005-0000-0000-0000AC490000}"/>
    <cellStyle name="Hed Side Indent 2 3 4 9" xfId="16936" xr:uid="{00000000-0005-0000-0000-0000AD490000}"/>
    <cellStyle name="Hed Side Indent 2 3 4 9 2" xfId="16937" xr:uid="{00000000-0005-0000-0000-0000AE490000}"/>
    <cellStyle name="Hed Side Indent 2 3 5" xfId="16938" xr:uid="{00000000-0005-0000-0000-0000AF490000}"/>
    <cellStyle name="Hed Side Indent 2 3 5 10" xfId="16939" xr:uid="{00000000-0005-0000-0000-0000B0490000}"/>
    <cellStyle name="Hed Side Indent 2 3 5 2" xfId="16940" xr:uid="{00000000-0005-0000-0000-0000B1490000}"/>
    <cellStyle name="Hed Side Indent 2 3 5 2 2" xfId="16941" xr:uid="{00000000-0005-0000-0000-0000B2490000}"/>
    <cellStyle name="Hed Side Indent 2 3 5 3" xfId="16942" xr:uid="{00000000-0005-0000-0000-0000B3490000}"/>
    <cellStyle name="Hed Side Indent 2 3 5 3 2" xfId="16943" xr:uid="{00000000-0005-0000-0000-0000B4490000}"/>
    <cellStyle name="Hed Side Indent 2 3 5 4" xfId="16944" xr:uid="{00000000-0005-0000-0000-0000B5490000}"/>
    <cellStyle name="Hed Side Indent 2 3 5 4 2" xfId="16945" xr:uid="{00000000-0005-0000-0000-0000B6490000}"/>
    <cellStyle name="Hed Side Indent 2 3 5 5" xfId="16946" xr:uid="{00000000-0005-0000-0000-0000B7490000}"/>
    <cellStyle name="Hed Side Indent 2 3 5 5 2" xfId="16947" xr:uid="{00000000-0005-0000-0000-0000B8490000}"/>
    <cellStyle name="Hed Side Indent 2 3 5 6" xfId="16948" xr:uid="{00000000-0005-0000-0000-0000B9490000}"/>
    <cellStyle name="Hed Side Indent 2 3 5 6 2" xfId="16949" xr:uid="{00000000-0005-0000-0000-0000BA490000}"/>
    <cellStyle name="Hed Side Indent 2 3 5 7" xfId="16950" xr:uid="{00000000-0005-0000-0000-0000BB490000}"/>
    <cellStyle name="Hed Side Indent 2 3 5 7 2" xfId="16951" xr:uid="{00000000-0005-0000-0000-0000BC490000}"/>
    <cellStyle name="Hed Side Indent 2 3 5 8" xfId="16952" xr:uid="{00000000-0005-0000-0000-0000BD490000}"/>
    <cellStyle name="Hed Side Indent 2 3 5 8 2" xfId="16953" xr:uid="{00000000-0005-0000-0000-0000BE490000}"/>
    <cellStyle name="Hed Side Indent 2 3 5 9" xfId="16954" xr:uid="{00000000-0005-0000-0000-0000BF490000}"/>
    <cellStyle name="Hed Side Indent 2 3 5 9 2" xfId="16955" xr:uid="{00000000-0005-0000-0000-0000C0490000}"/>
    <cellStyle name="Hed Side Indent 2 3 6" xfId="16956" xr:uid="{00000000-0005-0000-0000-0000C1490000}"/>
    <cellStyle name="Hed Side Indent 2 3 6 10" xfId="16957" xr:uid="{00000000-0005-0000-0000-0000C2490000}"/>
    <cellStyle name="Hed Side Indent 2 3 6 2" xfId="16958" xr:uid="{00000000-0005-0000-0000-0000C3490000}"/>
    <cellStyle name="Hed Side Indent 2 3 6 2 2" xfId="16959" xr:uid="{00000000-0005-0000-0000-0000C4490000}"/>
    <cellStyle name="Hed Side Indent 2 3 6 3" xfId="16960" xr:uid="{00000000-0005-0000-0000-0000C5490000}"/>
    <cellStyle name="Hed Side Indent 2 3 6 3 2" xfId="16961" xr:uid="{00000000-0005-0000-0000-0000C6490000}"/>
    <cellStyle name="Hed Side Indent 2 3 6 4" xfId="16962" xr:uid="{00000000-0005-0000-0000-0000C7490000}"/>
    <cellStyle name="Hed Side Indent 2 3 6 4 2" xfId="16963" xr:uid="{00000000-0005-0000-0000-0000C8490000}"/>
    <cellStyle name="Hed Side Indent 2 3 6 5" xfId="16964" xr:uid="{00000000-0005-0000-0000-0000C9490000}"/>
    <cellStyle name="Hed Side Indent 2 3 6 5 2" xfId="16965" xr:uid="{00000000-0005-0000-0000-0000CA490000}"/>
    <cellStyle name="Hed Side Indent 2 3 6 6" xfId="16966" xr:uid="{00000000-0005-0000-0000-0000CB490000}"/>
    <cellStyle name="Hed Side Indent 2 3 6 6 2" xfId="16967" xr:uid="{00000000-0005-0000-0000-0000CC490000}"/>
    <cellStyle name="Hed Side Indent 2 3 6 7" xfId="16968" xr:uid="{00000000-0005-0000-0000-0000CD490000}"/>
    <cellStyle name="Hed Side Indent 2 3 6 7 2" xfId="16969" xr:uid="{00000000-0005-0000-0000-0000CE490000}"/>
    <cellStyle name="Hed Side Indent 2 3 6 8" xfId="16970" xr:uid="{00000000-0005-0000-0000-0000CF490000}"/>
    <cellStyle name="Hed Side Indent 2 3 6 8 2" xfId="16971" xr:uid="{00000000-0005-0000-0000-0000D0490000}"/>
    <cellStyle name="Hed Side Indent 2 3 6 9" xfId="16972" xr:uid="{00000000-0005-0000-0000-0000D1490000}"/>
    <cellStyle name="Hed Side Indent 2 3 6 9 2" xfId="16973" xr:uid="{00000000-0005-0000-0000-0000D2490000}"/>
    <cellStyle name="Hed Side Indent 2 3 7" xfId="16974" xr:uid="{00000000-0005-0000-0000-0000D3490000}"/>
    <cellStyle name="Hed Side Indent 2 3 7 10" xfId="16975" xr:uid="{00000000-0005-0000-0000-0000D4490000}"/>
    <cellStyle name="Hed Side Indent 2 3 7 2" xfId="16976" xr:uid="{00000000-0005-0000-0000-0000D5490000}"/>
    <cellStyle name="Hed Side Indent 2 3 7 2 2" xfId="16977" xr:uid="{00000000-0005-0000-0000-0000D6490000}"/>
    <cellStyle name="Hed Side Indent 2 3 7 3" xfId="16978" xr:uid="{00000000-0005-0000-0000-0000D7490000}"/>
    <cellStyle name="Hed Side Indent 2 3 7 3 2" xfId="16979" xr:uid="{00000000-0005-0000-0000-0000D8490000}"/>
    <cellStyle name="Hed Side Indent 2 3 7 4" xfId="16980" xr:uid="{00000000-0005-0000-0000-0000D9490000}"/>
    <cellStyle name="Hed Side Indent 2 3 7 4 2" xfId="16981" xr:uid="{00000000-0005-0000-0000-0000DA490000}"/>
    <cellStyle name="Hed Side Indent 2 3 7 5" xfId="16982" xr:uid="{00000000-0005-0000-0000-0000DB490000}"/>
    <cellStyle name="Hed Side Indent 2 3 7 5 2" xfId="16983" xr:uid="{00000000-0005-0000-0000-0000DC490000}"/>
    <cellStyle name="Hed Side Indent 2 3 7 6" xfId="16984" xr:uid="{00000000-0005-0000-0000-0000DD490000}"/>
    <cellStyle name="Hed Side Indent 2 3 7 6 2" xfId="16985" xr:uid="{00000000-0005-0000-0000-0000DE490000}"/>
    <cellStyle name="Hed Side Indent 2 3 7 7" xfId="16986" xr:uid="{00000000-0005-0000-0000-0000DF490000}"/>
    <cellStyle name="Hed Side Indent 2 3 7 7 2" xfId="16987" xr:uid="{00000000-0005-0000-0000-0000E0490000}"/>
    <cellStyle name="Hed Side Indent 2 3 7 8" xfId="16988" xr:uid="{00000000-0005-0000-0000-0000E1490000}"/>
    <cellStyle name="Hed Side Indent 2 3 7 8 2" xfId="16989" xr:uid="{00000000-0005-0000-0000-0000E2490000}"/>
    <cellStyle name="Hed Side Indent 2 3 7 9" xfId="16990" xr:uid="{00000000-0005-0000-0000-0000E3490000}"/>
    <cellStyle name="Hed Side Indent 2 3 7 9 2" xfId="16991" xr:uid="{00000000-0005-0000-0000-0000E4490000}"/>
    <cellStyle name="Hed Side Indent 2 3 8" xfId="16992" xr:uid="{00000000-0005-0000-0000-0000E5490000}"/>
    <cellStyle name="Hed Side Indent 2 3 8 10" xfId="16993" xr:uid="{00000000-0005-0000-0000-0000E6490000}"/>
    <cellStyle name="Hed Side Indent 2 3 8 2" xfId="16994" xr:uid="{00000000-0005-0000-0000-0000E7490000}"/>
    <cellStyle name="Hed Side Indent 2 3 8 2 2" xfId="16995" xr:uid="{00000000-0005-0000-0000-0000E8490000}"/>
    <cellStyle name="Hed Side Indent 2 3 8 3" xfId="16996" xr:uid="{00000000-0005-0000-0000-0000E9490000}"/>
    <cellStyle name="Hed Side Indent 2 3 8 3 2" xfId="16997" xr:uid="{00000000-0005-0000-0000-0000EA490000}"/>
    <cellStyle name="Hed Side Indent 2 3 8 4" xfId="16998" xr:uid="{00000000-0005-0000-0000-0000EB490000}"/>
    <cellStyle name="Hed Side Indent 2 3 8 4 2" xfId="16999" xr:uid="{00000000-0005-0000-0000-0000EC490000}"/>
    <cellStyle name="Hed Side Indent 2 3 8 5" xfId="17000" xr:uid="{00000000-0005-0000-0000-0000ED490000}"/>
    <cellStyle name="Hed Side Indent 2 3 8 5 2" xfId="17001" xr:uid="{00000000-0005-0000-0000-0000EE490000}"/>
    <cellStyle name="Hed Side Indent 2 3 8 6" xfId="17002" xr:uid="{00000000-0005-0000-0000-0000EF490000}"/>
    <cellStyle name="Hed Side Indent 2 3 8 6 2" xfId="17003" xr:uid="{00000000-0005-0000-0000-0000F0490000}"/>
    <cellStyle name="Hed Side Indent 2 3 8 7" xfId="17004" xr:uid="{00000000-0005-0000-0000-0000F1490000}"/>
    <cellStyle name="Hed Side Indent 2 3 8 7 2" xfId="17005" xr:uid="{00000000-0005-0000-0000-0000F2490000}"/>
    <cellStyle name="Hed Side Indent 2 3 8 8" xfId="17006" xr:uid="{00000000-0005-0000-0000-0000F3490000}"/>
    <cellStyle name="Hed Side Indent 2 3 8 8 2" xfId="17007" xr:uid="{00000000-0005-0000-0000-0000F4490000}"/>
    <cellStyle name="Hed Side Indent 2 3 8 9" xfId="17008" xr:uid="{00000000-0005-0000-0000-0000F5490000}"/>
    <cellStyle name="Hed Side Indent 2 3 8 9 2" xfId="17009" xr:uid="{00000000-0005-0000-0000-0000F6490000}"/>
    <cellStyle name="Hed Side Indent 2 3 9" xfId="17010" xr:uid="{00000000-0005-0000-0000-0000F7490000}"/>
    <cellStyle name="Hed Side Indent 2 3 9 10" xfId="17011" xr:uid="{00000000-0005-0000-0000-0000F8490000}"/>
    <cellStyle name="Hed Side Indent 2 3 9 2" xfId="17012" xr:uid="{00000000-0005-0000-0000-0000F9490000}"/>
    <cellStyle name="Hed Side Indent 2 3 9 2 2" xfId="17013" xr:uid="{00000000-0005-0000-0000-0000FA490000}"/>
    <cellStyle name="Hed Side Indent 2 3 9 3" xfId="17014" xr:uid="{00000000-0005-0000-0000-0000FB490000}"/>
    <cellStyle name="Hed Side Indent 2 3 9 3 2" xfId="17015" xr:uid="{00000000-0005-0000-0000-0000FC490000}"/>
    <cellStyle name="Hed Side Indent 2 3 9 4" xfId="17016" xr:uid="{00000000-0005-0000-0000-0000FD490000}"/>
    <cellStyle name="Hed Side Indent 2 3 9 4 2" xfId="17017" xr:uid="{00000000-0005-0000-0000-0000FE490000}"/>
    <cellStyle name="Hed Side Indent 2 3 9 5" xfId="17018" xr:uid="{00000000-0005-0000-0000-0000FF490000}"/>
    <cellStyle name="Hed Side Indent 2 3 9 5 2" xfId="17019" xr:uid="{00000000-0005-0000-0000-0000004A0000}"/>
    <cellStyle name="Hed Side Indent 2 3 9 6" xfId="17020" xr:uid="{00000000-0005-0000-0000-0000014A0000}"/>
    <cellStyle name="Hed Side Indent 2 3 9 6 2" xfId="17021" xr:uid="{00000000-0005-0000-0000-0000024A0000}"/>
    <cellStyle name="Hed Side Indent 2 3 9 7" xfId="17022" xr:uid="{00000000-0005-0000-0000-0000034A0000}"/>
    <cellStyle name="Hed Side Indent 2 3 9 7 2" xfId="17023" xr:uid="{00000000-0005-0000-0000-0000044A0000}"/>
    <cellStyle name="Hed Side Indent 2 3 9 8" xfId="17024" xr:uid="{00000000-0005-0000-0000-0000054A0000}"/>
    <cellStyle name="Hed Side Indent 2 3 9 8 2" xfId="17025" xr:uid="{00000000-0005-0000-0000-0000064A0000}"/>
    <cellStyle name="Hed Side Indent 2 3 9 9" xfId="17026" xr:uid="{00000000-0005-0000-0000-0000074A0000}"/>
    <cellStyle name="Hed Side Indent 2 3 9 9 2" xfId="17027" xr:uid="{00000000-0005-0000-0000-0000084A0000}"/>
    <cellStyle name="Hed Side Indent 2 4" xfId="17028" xr:uid="{00000000-0005-0000-0000-0000094A0000}"/>
    <cellStyle name="Hed Side Indent 2 4 10" xfId="17029" xr:uid="{00000000-0005-0000-0000-00000A4A0000}"/>
    <cellStyle name="Hed Side Indent 2 4 10 2" xfId="17030" xr:uid="{00000000-0005-0000-0000-00000B4A0000}"/>
    <cellStyle name="Hed Side Indent 2 4 10 2 2" xfId="17031" xr:uid="{00000000-0005-0000-0000-00000C4A0000}"/>
    <cellStyle name="Hed Side Indent 2 4 10 3" xfId="17032" xr:uid="{00000000-0005-0000-0000-00000D4A0000}"/>
    <cellStyle name="Hed Side Indent 2 4 10 3 2" xfId="17033" xr:uid="{00000000-0005-0000-0000-00000E4A0000}"/>
    <cellStyle name="Hed Side Indent 2 4 10 4" xfId="17034" xr:uid="{00000000-0005-0000-0000-00000F4A0000}"/>
    <cellStyle name="Hed Side Indent 2 4 10 4 2" xfId="17035" xr:uid="{00000000-0005-0000-0000-0000104A0000}"/>
    <cellStyle name="Hed Side Indent 2 4 10 5" xfId="17036" xr:uid="{00000000-0005-0000-0000-0000114A0000}"/>
    <cellStyle name="Hed Side Indent 2 4 10 5 2" xfId="17037" xr:uid="{00000000-0005-0000-0000-0000124A0000}"/>
    <cellStyle name="Hed Side Indent 2 4 10 6" xfId="17038" xr:uid="{00000000-0005-0000-0000-0000134A0000}"/>
    <cellStyle name="Hed Side Indent 2 4 10 6 2" xfId="17039" xr:uid="{00000000-0005-0000-0000-0000144A0000}"/>
    <cellStyle name="Hed Side Indent 2 4 10 7" xfId="17040" xr:uid="{00000000-0005-0000-0000-0000154A0000}"/>
    <cellStyle name="Hed Side Indent 2 4 10 7 2" xfId="17041" xr:uid="{00000000-0005-0000-0000-0000164A0000}"/>
    <cellStyle name="Hed Side Indent 2 4 10 8" xfId="17042" xr:uid="{00000000-0005-0000-0000-0000174A0000}"/>
    <cellStyle name="Hed Side Indent 2 4 10 8 2" xfId="17043" xr:uid="{00000000-0005-0000-0000-0000184A0000}"/>
    <cellStyle name="Hed Side Indent 2 4 10 9" xfId="17044" xr:uid="{00000000-0005-0000-0000-0000194A0000}"/>
    <cellStyle name="Hed Side Indent 2 4 11" xfId="17045" xr:uid="{00000000-0005-0000-0000-00001A4A0000}"/>
    <cellStyle name="Hed Side Indent 2 4 11 2" xfId="17046" xr:uid="{00000000-0005-0000-0000-00001B4A0000}"/>
    <cellStyle name="Hed Side Indent 2 4 12" xfId="17047" xr:uid="{00000000-0005-0000-0000-00001C4A0000}"/>
    <cellStyle name="Hed Side Indent 2 4 12 2" xfId="17048" xr:uid="{00000000-0005-0000-0000-00001D4A0000}"/>
    <cellStyle name="Hed Side Indent 2 4 13" xfId="17049" xr:uid="{00000000-0005-0000-0000-00001E4A0000}"/>
    <cellStyle name="Hed Side Indent 2 4 13 2" xfId="17050" xr:uid="{00000000-0005-0000-0000-00001F4A0000}"/>
    <cellStyle name="Hed Side Indent 2 4 14" xfId="17051" xr:uid="{00000000-0005-0000-0000-0000204A0000}"/>
    <cellStyle name="Hed Side Indent 2 4 14 2" xfId="17052" xr:uid="{00000000-0005-0000-0000-0000214A0000}"/>
    <cellStyle name="Hed Side Indent 2 4 15" xfId="17053" xr:uid="{00000000-0005-0000-0000-0000224A0000}"/>
    <cellStyle name="Hed Side Indent 2 4 15 2" xfId="17054" xr:uid="{00000000-0005-0000-0000-0000234A0000}"/>
    <cellStyle name="Hed Side Indent 2 4 16" xfId="17055" xr:uid="{00000000-0005-0000-0000-0000244A0000}"/>
    <cellStyle name="Hed Side Indent 2 4 16 2" xfId="17056" xr:uid="{00000000-0005-0000-0000-0000254A0000}"/>
    <cellStyle name="Hed Side Indent 2 4 17" xfId="17057" xr:uid="{00000000-0005-0000-0000-0000264A0000}"/>
    <cellStyle name="Hed Side Indent 2 4 17 2" xfId="17058" xr:uid="{00000000-0005-0000-0000-0000274A0000}"/>
    <cellStyle name="Hed Side Indent 2 4 18" xfId="17059" xr:uid="{00000000-0005-0000-0000-0000284A0000}"/>
    <cellStyle name="Hed Side Indent 2 4 2" xfId="17060" xr:uid="{00000000-0005-0000-0000-0000294A0000}"/>
    <cellStyle name="Hed Side Indent 2 4 2 10" xfId="17061" xr:uid="{00000000-0005-0000-0000-00002A4A0000}"/>
    <cellStyle name="Hed Side Indent 2 4 2 2" xfId="17062" xr:uid="{00000000-0005-0000-0000-00002B4A0000}"/>
    <cellStyle name="Hed Side Indent 2 4 2 2 2" xfId="17063" xr:uid="{00000000-0005-0000-0000-00002C4A0000}"/>
    <cellStyle name="Hed Side Indent 2 4 2 3" xfId="17064" xr:uid="{00000000-0005-0000-0000-00002D4A0000}"/>
    <cellStyle name="Hed Side Indent 2 4 2 3 2" xfId="17065" xr:uid="{00000000-0005-0000-0000-00002E4A0000}"/>
    <cellStyle name="Hed Side Indent 2 4 2 4" xfId="17066" xr:uid="{00000000-0005-0000-0000-00002F4A0000}"/>
    <cellStyle name="Hed Side Indent 2 4 2 4 2" xfId="17067" xr:uid="{00000000-0005-0000-0000-0000304A0000}"/>
    <cellStyle name="Hed Side Indent 2 4 2 5" xfId="17068" xr:uid="{00000000-0005-0000-0000-0000314A0000}"/>
    <cellStyle name="Hed Side Indent 2 4 2 5 2" xfId="17069" xr:uid="{00000000-0005-0000-0000-0000324A0000}"/>
    <cellStyle name="Hed Side Indent 2 4 2 6" xfId="17070" xr:uid="{00000000-0005-0000-0000-0000334A0000}"/>
    <cellStyle name="Hed Side Indent 2 4 2 6 2" xfId="17071" xr:uid="{00000000-0005-0000-0000-0000344A0000}"/>
    <cellStyle name="Hed Side Indent 2 4 2 7" xfId="17072" xr:uid="{00000000-0005-0000-0000-0000354A0000}"/>
    <cellStyle name="Hed Side Indent 2 4 2 7 2" xfId="17073" xr:uid="{00000000-0005-0000-0000-0000364A0000}"/>
    <cellStyle name="Hed Side Indent 2 4 2 8" xfId="17074" xr:uid="{00000000-0005-0000-0000-0000374A0000}"/>
    <cellStyle name="Hed Side Indent 2 4 2 8 2" xfId="17075" xr:uid="{00000000-0005-0000-0000-0000384A0000}"/>
    <cellStyle name="Hed Side Indent 2 4 2 9" xfId="17076" xr:uid="{00000000-0005-0000-0000-0000394A0000}"/>
    <cellStyle name="Hed Side Indent 2 4 2 9 2" xfId="17077" xr:uid="{00000000-0005-0000-0000-00003A4A0000}"/>
    <cellStyle name="Hed Side Indent 2 4 3" xfId="17078" xr:uid="{00000000-0005-0000-0000-00003B4A0000}"/>
    <cellStyle name="Hed Side Indent 2 4 3 10" xfId="17079" xr:uid="{00000000-0005-0000-0000-00003C4A0000}"/>
    <cellStyle name="Hed Side Indent 2 4 3 2" xfId="17080" xr:uid="{00000000-0005-0000-0000-00003D4A0000}"/>
    <cellStyle name="Hed Side Indent 2 4 3 2 2" xfId="17081" xr:uid="{00000000-0005-0000-0000-00003E4A0000}"/>
    <cellStyle name="Hed Side Indent 2 4 3 3" xfId="17082" xr:uid="{00000000-0005-0000-0000-00003F4A0000}"/>
    <cellStyle name="Hed Side Indent 2 4 3 3 2" xfId="17083" xr:uid="{00000000-0005-0000-0000-0000404A0000}"/>
    <cellStyle name="Hed Side Indent 2 4 3 4" xfId="17084" xr:uid="{00000000-0005-0000-0000-0000414A0000}"/>
    <cellStyle name="Hed Side Indent 2 4 3 4 2" xfId="17085" xr:uid="{00000000-0005-0000-0000-0000424A0000}"/>
    <cellStyle name="Hed Side Indent 2 4 3 5" xfId="17086" xr:uid="{00000000-0005-0000-0000-0000434A0000}"/>
    <cellStyle name="Hed Side Indent 2 4 3 5 2" xfId="17087" xr:uid="{00000000-0005-0000-0000-0000444A0000}"/>
    <cellStyle name="Hed Side Indent 2 4 3 6" xfId="17088" xr:uid="{00000000-0005-0000-0000-0000454A0000}"/>
    <cellStyle name="Hed Side Indent 2 4 3 6 2" xfId="17089" xr:uid="{00000000-0005-0000-0000-0000464A0000}"/>
    <cellStyle name="Hed Side Indent 2 4 3 7" xfId="17090" xr:uid="{00000000-0005-0000-0000-0000474A0000}"/>
    <cellStyle name="Hed Side Indent 2 4 3 7 2" xfId="17091" xr:uid="{00000000-0005-0000-0000-0000484A0000}"/>
    <cellStyle name="Hed Side Indent 2 4 3 8" xfId="17092" xr:uid="{00000000-0005-0000-0000-0000494A0000}"/>
    <cellStyle name="Hed Side Indent 2 4 3 8 2" xfId="17093" xr:uid="{00000000-0005-0000-0000-00004A4A0000}"/>
    <cellStyle name="Hed Side Indent 2 4 3 9" xfId="17094" xr:uid="{00000000-0005-0000-0000-00004B4A0000}"/>
    <cellStyle name="Hed Side Indent 2 4 3 9 2" xfId="17095" xr:uid="{00000000-0005-0000-0000-00004C4A0000}"/>
    <cellStyle name="Hed Side Indent 2 4 4" xfId="17096" xr:uid="{00000000-0005-0000-0000-00004D4A0000}"/>
    <cellStyle name="Hed Side Indent 2 4 4 10" xfId="17097" xr:uid="{00000000-0005-0000-0000-00004E4A0000}"/>
    <cellStyle name="Hed Side Indent 2 4 4 2" xfId="17098" xr:uid="{00000000-0005-0000-0000-00004F4A0000}"/>
    <cellStyle name="Hed Side Indent 2 4 4 2 2" xfId="17099" xr:uid="{00000000-0005-0000-0000-0000504A0000}"/>
    <cellStyle name="Hed Side Indent 2 4 4 3" xfId="17100" xr:uid="{00000000-0005-0000-0000-0000514A0000}"/>
    <cellStyle name="Hed Side Indent 2 4 4 3 2" xfId="17101" xr:uid="{00000000-0005-0000-0000-0000524A0000}"/>
    <cellStyle name="Hed Side Indent 2 4 4 4" xfId="17102" xr:uid="{00000000-0005-0000-0000-0000534A0000}"/>
    <cellStyle name="Hed Side Indent 2 4 4 4 2" xfId="17103" xr:uid="{00000000-0005-0000-0000-0000544A0000}"/>
    <cellStyle name="Hed Side Indent 2 4 4 5" xfId="17104" xr:uid="{00000000-0005-0000-0000-0000554A0000}"/>
    <cellStyle name="Hed Side Indent 2 4 4 5 2" xfId="17105" xr:uid="{00000000-0005-0000-0000-0000564A0000}"/>
    <cellStyle name="Hed Side Indent 2 4 4 6" xfId="17106" xr:uid="{00000000-0005-0000-0000-0000574A0000}"/>
    <cellStyle name="Hed Side Indent 2 4 4 6 2" xfId="17107" xr:uid="{00000000-0005-0000-0000-0000584A0000}"/>
    <cellStyle name="Hed Side Indent 2 4 4 7" xfId="17108" xr:uid="{00000000-0005-0000-0000-0000594A0000}"/>
    <cellStyle name="Hed Side Indent 2 4 4 7 2" xfId="17109" xr:uid="{00000000-0005-0000-0000-00005A4A0000}"/>
    <cellStyle name="Hed Side Indent 2 4 4 8" xfId="17110" xr:uid="{00000000-0005-0000-0000-00005B4A0000}"/>
    <cellStyle name="Hed Side Indent 2 4 4 8 2" xfId="17111" xr:uid="{00000000-0005-0000-0000-00005C4A0000}"/>
    <cellStyle name="Hed Side Indent 2 4 4 9" xfId="17112" xr:uid="{00000000-0005-0000-0000-00005D4A0000}"/>
    <cellStyle name="Hed Side Indent 2 4 4 9 2" xfId="17113" xr:uid="{00000000-0005-0000-0000-00005E4A0000}"/>
    <cellStyle name="Hed Side Indent 2 4 5" xfId="17114" xr:uid="{00000000-0005-0000-0000-00005F4A0000}"/>
    <cellStyle name="Hed Side Indent 2 4 5 10" xfId="17115" xr:uid="{00000000-0005-0000-0000-0000604A0000}"/>
    <cellStyle name="Hed Side Indent 2 4 5 2" xfId="17116" xr:uid="{00000000-0005-0000-0000-0000614A0000}"/>
    <cellStyle name="Hed Side Indent 2 4 5 2 2" xfId="17117" xr:uid="{00000000-0005-0000-0000-0000624A0000}"/>
    <cellStyle name="Hed Side Indent 2 4 5 3" xfId="17118" xr:uid="{00000000-0005-0000-0000-0000634A0000}"/>
    <cellStyle name="Hed Side Indent 2 4 5 3 2" xfId="17119" xr:uid="{00000000-0005-0000-0000-0000644A0000}"/>
    <cellStyle name="Hed Side Indent 2 4 5 4" xfId="17120" xr:uid="{00000000-0005-0000-0000-0000654A0000}"/>
    <cellStyle name="Hed Side Indent 2 4 5 4 2" xfId="17121" xr:uid="{00000000-0005-0000-0000-0000664A0000}"/>
    <cellStyle name="Hed Side Indent 2 4 5 5" xfId="17122" xr:uid="{00000000-0005-0000-0000-0000674A0000}"/>
    <cellStyle name="Hed Side Indent 2 4 5 5 2" xfId="17123" xr:uid="{00000000-0005-0000-0000-0000684A0000}"/>
    <cellStyle name="Hed Side Indent 2 4 5 6" xfId="17124" xr:uid="{00000000-0005-0000-0000-0000694A0000}"/>
    <cellStyle name="Hed Side Indent 2 4 5 6 2" xfId="17125" xr:uid="{00000000-0005-0000-0000-00006A4A0000}"/>
    <cellStyle name="Hed Side Indent 2 4 5 7" xfId="17126" xr:uid="{00000000-0005-0000-0000-00006B4A0000}"/>
    <cellStyle name="Hed Side Indent 2 4 5 7 2" xfId="17127" xr:uid="{00000000-0005-0000-0000-00006C4A0000}"/>
    <cellStyle name="Hed Side Indent 2 4 5 8" xfId="17128" xr:uid="{00000000-0005-0000-0000-00006D4A0000}"/>
    <cellStyle name="Hed Side Indent 2 4 5 8 2" xfId="17129" xr:uid="{00000000-0005-0000-0000-00006E4A0000}"/>
    <cellStyle name="Hed Side Indent 2 4 5 9" xfId="17130" xr:uid="{00000000-0005-0000-0000-00006F4A0000}"/>
    <cellStyle name="Hed Side Indent 2 4 5 9 2" xfId="17131" xr:uid="{00000000-0005-0000-0000-0000704A0000}"/>
    <cellStyle name="Hed Side Indent 2 4 6" xfId="17132" xr:uid="{00000000-0005-0000-0000-0000714A0000}"/>
    <cellStyle name="Hed Side Indent 2 4 6 10" xfId="17133" xr:uid="{00000000-0005-0000-0000-0000724A0000}"/>
    <cellStyle name="Hed Side Indent 2 4 6 2" xfId="17134" xr:uid="{00000000-0005-0000-0000-0000734A0000}"/>
    <cellStyle name="Hed Side Indent 2 4 6 2 2" xfId="17135" xr:uid="{00000000-0005-0000-0000-0000744A0000}"/>
    <cellStyle name="Hed Side Indent 2 4 6 3" xfId="17136" xr:uid="{00000000-0005-0000-0000-0000754A0000}"/>
    <cellStyle name="Hed Side Indent 2 4 6 3 2" xfId="17137" xr:uid="{00000000-0005-0000-0000-0000764A0000}"/>
    <cellStyle name="Hed Side Indent 2 4 6 4" xfId="17138" xr:uid="{00000000-0005-0000-0000-0000774A0000}"/>
    <cellStyle name="Hed Side Indent 2 4 6 4 2" xfId="17139" xr:uid="{00000000-0005-0000-0000-0000784A0000}"/>
    <cellStyle name="Hed Side Indent 2 4 6 5" xfId="17140" xr:uid="{00000000-0005-0000-0000-0000794A0000}"/>
    <cellStyle name="Hed Side Indent 2 4 6 5 2" xfId="17141" xr:uid="{00000000-0005-0000-0000-00007A4A0000}"/>
    <cellStyle name="Hed Side Indent 2 4 6 6" xfId="17142" xr:uid="{00000000-0005-0000-0000-00007B4A0000}"/>
    <cellStyle name="Hed Side Indent 2 4 6 6 2" xfId="17143" xr:uid="{00000000-0005-0000-0000-00007C4A0000}"/>
    <cellStyle name="Hed Side Indent 2 4 6 7" xfId="17144" xr:uid="{00000000-0005-0000-0000-00007D4A0000}"/>
    <cellStyle name="Hed Side Indent 2 4 6 7 2" xfId="17145" xr:uid="{00000000-0005-0000-0000-00007E4A0000}"/>
    <cellStyle name="Hed Side Indent 2 4 6 8" xfId="17146" xr:uid="{00000000-0005-0000-0000-00007F4A0000}"/>
    <cellStyle name="Hed Side Indent 2 4 6 8 2" xfId="17147" xr:uid="{00000000-0005-0000-0000-0000804A0000}"/>
    <cellStyle name="Hed Side Indent 2 4 6 9" xfId="17148" xr:uid="{00000000-0005-0000-0000-0000814A0000}"/>
    <cellStyle name="Hed Side Indent 2 4 6 9 2" xfId="17149" xr:uid="{00000000-0005-0000-0000-0000824A0000}"/>
    <cellStyle name="Hed Side Indent 2 4 7" xfId="17150" xr:uid="{00000000-0005-0000-0000-0000834A0000}"/>
    <cellStyle name="Hed Side Indent 2 4 7 10" xfId="17151" xr:uid="{00000000-0005-0000-0000-0000844A0000}"/>
    <cellStyle name="Hed Side Indent 2 4 7 2" xfId="17152" xr:uid="{00000000-0005-0000-0000-0000854A0000}"/>
    <cellStyle name="Hed Side Indent 2 4 7 2 2" xfId="17153" xr:uid="{00000000-0005-0000-0000-0000864A0000}"/>
    <cellStyle name="Hed Side Indent 2 4 7 3" xfId="17154" xr:uid="{00000000-0005-0000-0000-0000874A0000}"/>
    <cellStyle name="Hed Side Indent 2 4 7 3 2" xfId="17155" xr:uid="{00000000-0005-0000-0000-0000884A0000}"/>
    <cellStyle name="Hed Side Indent 2 4 7 4" xfId="17156" xr:uid="{00000000-0005-0000-0000-0000894A0000}"/>
    <cellStyle name="Hed Side Indent 2 4 7 4 2" xfId="17157" xr:uid="{00000000-0005-0000-0000-00008A4A0000}"/>
    <cellStyle name="Hed Side Indent 2 4 7 5" xfId="17158" xr:uid="{00000000-0005-0000-0000-00008B4A0000}"/>
    <cellStyle name="Hed Side Indent 2 4 7 5 2" xfId="17159" xr:uid="{00000000-0005-0000-0000-00008C4A0000}"/>
    <cellStyle name="Hed Side Indent 2 4 7 6" xfId="17160" xr:uid="{00000000-0005-0000-0000-00008D4A0000}"/>
    <cellStyle name="Hed Side Indent 2 4 7 6 2" xfId="17161" xr:uid="{00000000-0005-0000-0000-00008E4A0000}"/>
    <cellStyle name="Hed Side Indent 2 4 7 7" xfId="17162" xr:uid="{00000000-0005-0000-0000-00008F4A0000}"/>
    <cellStyle name="Hed Side Indent 2 4 7 7 2" xfId="17163" xr:uid="{00000000-0005-0000-0000-0000904A0000}"/>
    <cellStyle name="Hed Side Indent 2 4 7 8" xfId="17164" xr:uid="{00000000-0005-0000-0000-0000914A0000}"/>
    <cellStyle name="Hed Side Indent 2 4 7 8 2" xfId="17165" xr:uid="{00000000-0005-0000-0000-0000924A0000}"/>
    <cellStyle name="Hed Side Indent 2 4 7 9" xfId="17166" xr:uid="{00000000-0005-0000-0000-0000934A0000}"/>
    <cellStyle name="Hed Side Indent 2 4 7 9 2" xfId="17167" xr:uid="{00000000-0005-0000-0000-0000944A0000}"/>
    <cellStyle name="Hed Side Indent 2 4 8" xfId="17168" xr:uid="{00000000-0005-0000-0000-0000954A0000}"/>
    <cellStyle name="Hed Side Indent 2 4 8 10" xfId="17169" xr:uid="{00000000-0005-0000-0000-0000964A0000}"/>
    <cellStyle name="Hed Side Indent 2 4 8 2" xfId="17170" xr:uid="{00000000-0005-0000-0000-0000974A0000}"/>
    <cellStyle name="Hed Side Indent 2 4 8 2 2" xfId="17171" xr:uid="{00000000-0005-0000-0000-0000984A0000}"/>
    <cellStyle name="Hed Side Indent 2 4 8 3" xfId="17172" xr:uid="{00000000-0005-0000-0000-0000994A0000}"/>
    <cellStyle name="Hed Side Indent 2 4 8 3 2" xfId="17173" xr:uid="{00000000-0005-0000-0000-00009A4A0000}"/>
    <cellStyle name="Hed Side Indent 2 4 8 4" xfId="17174" xr:uid="{00000000-0005-0000-0000-00009B4A0000}"/>
    <cellStyle name="Hed Side Indent 2 4 8 4 2" xfId="17175" xr:uid="{00000000-0005-0000-0000-00009C4A0000}"/>
    <cellStyle name="Hed Side Indent 2 4 8 5" xfId="17176" xr:uid="{00000000-0005-0000-0000-00009D4A0000}"/>
    <cellStyle name="Hed Side Indent 2 4 8 5 2" xfId="17177" xr:uid="{00000000-0005-0000-0000-00009E4A0000}"/>
    <cellStyle name="Hed Side Indent 2 4 8 6" xfId="17178" xr:uid="{00000000-0005-0000-0000-00009F4A0000}"/>
    <cellStyle name="Hed Side Indent 2 4 8 6 2" xfId="17179" xr:uid="{00000000-0005-0000-0000-0000A04A0000}"/>
    <cellStyle name="Hed Side Indent 2 4 8 7" xfId="17180" xr:uid="{00000000-0005-0000-0000-0000A14A0000}"/>
    <cellStyle name="Hed Side Indent 2 4 8 7 2" xfId="17181" xr:uid="{00000000-0005-0000-0000-0000A24A0000}"/>
    <cellStyle name="Hed Side Indent 2 4 8 8" xfId="17182" xr:uid="{00000000-0005-0000-0000-0000A34A0000}"/>
    <cellStyle name="Hed Side Indent 2 4 8 8 2" xfId="17183" xr:uid="{00000000-0005-0000-0000-0000A44A0000}"/>
    <cellStyle name="Hed Side Indent 2 4 8 9" xfId="17184" xr:uid="{00000000-0005-0000-0000-0000A54A0000}"/>
    <cellStyle name="Hed Side Indent 2 4 8 9 2" xfId="17185" xr:uid="{00000000-0005-0000-0000-0000A64A0000}"/>
    <cellStyle name="Hed Side Indent 2 4 9" xfId="17186" xr:uid="{00000000-0005-0000-0000-0000A74A0000}"/>
    <cellStyle name="Hed Side Indent 2 4 9 10" xfId="17187" xr:uid="{00000000-0005-0000-0000-0000A84A0000}"/>
    <cellStyle name="Hed Side Indent 2 4 9 2" xfId="17188" xr:uid="{00000000-0005-0000-0000-0000A94A0000}"/>
    <cellStyle name="Hed Side Indent 2 4 9 2 2" xfId="17189" xr:uid="{00000000-0005-0000-0000-0000AA4A0000}"/>
    <cellStyle name="Hed Side Indent 2 4 9 3" xfId="17190" xr:uid="{00000000-0005-0000-0000-0000AB4A0000}"/>
    <cellStyle name="Hed Side Indent 2 4 9 3 2" xfId="17191" xr:uid="{00000000-0005-0000-0000-0000AC4A0000}"/>
    <cellStyle name="Hed Side Indent 2 4 9 4" xfId="17192" xr:uid="{00000000-0005-0000-0000-0000AD4A0000}"/>
    <cellStyle name="Hed Side Indent 2 4 9 4 2" xfId="17193" xr:uid="{00000000-0005-0000-0000-0000AE4A0000}"/>
    <cellStyle name="Hed Side Indent 2 4 9 5" xfId="17194" xr:uid="{00000000-0005-0000-0000-0000AF4A0000}"/>
    <cellStyle name="Hed Side Indent 2 4 9 5 2" xfId="17195" xr:uid="{00000000-0005-0000-0000-0000B04A0000}"/>
    <cellStyle name="Hed Side Indent 2 4 9 6" xfId="17196" xr:uid="{00000000-0005-0000-0000-0000B14A0000}"/>
    <cellStyle name="Hed Side Indent 2 4 9 6 2" xfId="17197" xr:uid="{00000000-0005-0000-0000-0000B24A0000}"/>
    <cellStyle name="Hed Side Indent 2 4 9 7" xfId="17198" xr:uid="{00000000-0005-0000-0000-0000B34A0000}"/>
    <cellStyle name="Hed Side Indent 2 4 9 7 2" xfId="17199" xr:uid="{00000000-0005-0000-0000-0000B44A0000}"/>
    <cellStyle name="Hed Side Indent 2 4 9 8" xfId="17200" xr:uid="{00000000-0005-0000-0000-0000B54A0000}"/>
    <cellStyle name="Hed Side Indent 2 4 9 8 2" xfId="17201" xr:uid="{00000000-0005-0000-0000-0000B64A0000}"/>
    <cellStyle name="Hed Side Indent 2 4 9 9" xfId="17202" xr:uid="{00000000-0005-0000-0000-0000B74A0000}"/>
    <cellStyle name="Hed Side Indent 2 4 9 9 2" xfId="17203" xr:uid="{00000000-0005-0000-0000-0000B84A0000}"/>
    <cellStyle name="Hed Side Indent 2 5" xfId="17204" xr:uid="{00000000-0005-0000-0000-0000B94A0000}"/>
    <cellStyle name="Hed Side Indent 2 5 10" xfId="17205" xr:uid="{00000000-0005-0000-0000-0000BA4A0000}"/>
    <cellStyle name="Hed Side Indent 2 5 10 2" xfId="17206" xr:uid="{00000000-0005-0000-0000-0000BB4A0000}"/>
    <cellStyle name="Hed Side Indent 2 5 10 2 2" xfId="17207" xr:uid="{00000000-0005-0000-0000-0000BC4A0000}"/>
    <cellStyle name="Hed Side Indent 2 5 10 3" xfId="17208" xr:uid="{00000000-0005-0000-0000-0000BD4A0000}"/>
    <cellStyle name="Hed Side Indent 2 5 10 3 2" xfId="17209" xr:uid="{00000000-0005-0000-0000-0000BE4A0000}"/>
    <cellStyle name="Hed Side Indent 2 5 10 4" xfId="17210" xr:uid="{00000000-0005-0000-0000-0000BF4A0000}"/>
    <cellStyle name="Hed Side Indent 2 5 10 4 2" xfId="17211" xr:uid="{00000000-0005-0000-0000-0000C04A0000}"/>
    <cellStyle name="Hed Side Indent 2 5 10 5" xfId="17212" xr:uid="{00000000-0005-0000-0000-0000C14A0000}"/>
    <cellStyle name="Hed Side Indent 2 5 10 5 2" xfId="17213" xr:uid="{00000000-0005-0000-0000-0000C24A0000}"/>
    <cellStyle name="Hed Side Indent 2 5 10 6" xfId="17214" xr:uid="{00000000-0005-0000-0000-0000C34A0000}"/>
    <cellStyle name="Hed Side Indent 2 5 10 6 2" xfId="17215" xr:uid="{00000000-0005-0000-0000-0000C44A0000}"/>
    <cellStyle name="Hed Side Indent 2 5 10 7" xfId="17216" xr:uid="{00000000-0005-0000-0000-0000C54A0000}"/>
    <cellStyle name="Hed Side Indent 2 5 10 7 2" xfId="17217" xr:uid="{00000000-0005-0000-0000-0000C64A0000}"/>
    <cellStyle name="Hed Side Indent 2 5 10 8" xfId="17218" xr:uid="{00000000-0005-0000-0000-0000C74A0000}"/>
    <cellStyle name="Hed Side Indent 2 5 10 8 2" xfId="17219" xr:uid="{00000000-0005-0000-0000-0000C84A0000}"/>
    <cellStyle name="Hed Side Indent 2 5 10 9" xfId="17220" xr:uid="{00000000-0005-0000-0000-0000C94A0000}"/>
    <cellStyle name="Hed Side Indent 2 5 11" xfId="17221" xr:uid="{00000000-0005-0000-0000-0000CA4A0000}"/>
    <cellStyle name="Hed Side Indent 2 5 11 2" xfId="17222" xr:uid="{00000000-0005-0000-0000-0000CB4A0000}"/>
    <cellStyle name="Hed Side Indent 2 5 12" xfId="17223" xr:uid="{00000000-0005-0000-0000-0000CC4A0000}"/>
    <cellStyle name="Hed Side Indent 2 5 12 2" xfId="17224" xr:uid="{00000000-0005-0000-0000-0000CD4A0000}"/>
    <cellStyle name="Hed Side Indent 2 5 13" xfId="17225" xr:uid="{00000000-0005-0000-0000-0000CE4A0000}"/>
    <cellStyle name="Hed Side Indent 2 5 13 2" xfId="17226" xr:uid="{00000000-0005-0000-0000-0000CF4A0000}"/>
    <cellStyle name="Hed Side Indent 2 5 14" xfId="17227" xr:uid="{00000000-0005-0000-0000-0000D04A0000}"/>
    <cellStyle name="Hed Side Indent 2 5 14 2" xfId="17228" xr:uid="{00000000-0005-0000-0000-0000D14A0000}"/>
    <cellStyle name="Hed Side Indent 2 5 15" xfId="17229" xr:uid="{00000000-0005-0000-0000-0000D24A0000}"/>
    <cellStyle name="Hed Side Indent 2 5 15 2" xfId="17230" xr:uid="{00000000-0005-0000-0000-0000D34A0000}"/>
    <cellStyle name="Hed Side Indent 2 5 16" xfId="17231" xr:uid="{00000000-0005-0000-0000-0000D44A0000}"/>
    <cellStyle name="Hed Side Indent 2 5 16 2" xfId="17232" xr:uid="{00000000-0005-0000-0000-0000D54A0000}"/>
    <cellStyle name="Hed Side Indent 2 5 17" xfId="17233" xr:uid="{00000000-0005-0000-0000-0000D64A0000}"/>
    <cellStyle name="Hed Side Indent 2 5 17 2" xfId="17234" xr:uid="{00000000-0005-0000-0000-0000D74A0000}"/>
    <cellStyle name="Hed Side Indent 2 5 18" xfId="17235" xr:uid="{00000000-0005-0000-0000-0000D84A0000}"/>
    <cellStyle name="Hed Side Indent 2 5 2" xfId="17236" xr:uid="{00000000-0005-0000-0000-0000D94A0000}"/>
    <cellStyle name="Hed Side Indent 2 5 2 10" xfId="17237" xr:uid="{00000000-0005-0000-0000-0000DA4A0000}"/>
    <cellStyle name="Hed Side Indent 2 5 2 2" xfId="17238" xr:uid="{00000000-0005-0000-0000-0000DB4A0000}"/>
    <cellStyle name="Hed Side Indent 2 5 2 2 2" xfId="17239" xr:uid="{00000000-0005-0000-0000-0000DC4A0000}"/>
    <cellStyle name="Hed Side Indent 2 5 2 3" xfId="17240" xr:uid="{00000000-0005-0000-0000-0000DD4A0000}"/>
    <cellStyle name="Hed Side Indent 2 5 2 3 2" xfId="17241" xr:uid="{00000000-0005-0000-0000-0000DE4A0000}"/>
    <cellStyle name="Hed Side Indent 2 5 2 4" xfId="17242" xr:uid="{00000000-0005-0000-0000-0000DF4A0000}"/>
    <cellStyle name="Hed Side Indent 2 5 2 4 2" xfId="17243" xr:uid="{00000000-0005-0000-0000-0000E04A0000}"/>
    <cellStyle name="Hed Side Indent 2 5 2 5" xfId="17244" xr:uid="{00000000-0005-0000-0000-0000E14A0000}"/>
    <cellStyle name="Hed Side Indent 2 5 2 5 2" xfId="17245" xr:uid="{00000000-0005-0000-0000-0000E24A0000}"/>
    <cellStyle name="Hed Side Indent 2 5 2 6" xfId="17246" xr:uid="{00000000-0005-0000-0000-0000E34A0000}"/>
    <cellStyle name="Hed Side Indent 2 5 2 6 2" xfId="17247" xr:uid="{00000000-0005-0000-0000-0000E44A0000}"/>
    <cellStyle name="Hed Side Indent 2 5 2 7" xfId="17248" xr:uid="{00000000-0005-0000-0000-0000E54A0000}"/>
    <cellStyle name="Hed Side Indent 2 5 2 7 2" xfId="17249" xr:uid="{00000000-0005-0000-0000-0000E64A0000}"/>
    <cellStyle name="Hed Side Indent 2 5 2 8" xfId="17250" xr:uid="{00000000-0005-0000-0000-0000E74A0000}"/>
    <cellStyle name="Hed Side Indent 2 5 2 8 2" xfId="17251" xr:uid="{00000000-0005-0000-0000-0000E84A0000}"/>
    <cellStyle name="Hed Side Indent 2 5 2 9" xfId="17252" xr:uid="{00000000-0005-0000-0000-0000E94A0000}"/>
    <cellStyle name="Hed Side Indent 2 5 2 9 2" xfId="17253" xr:uid="{00000000-0005-0000-0000-0000EA4A0000}"/>
    <cellStyle name="Hed Side Indent 2 5 3" xfId="17254" xr:uid="{00000000-0005-0000-0000-0000EB4A0000}"/>
    <cellStyle name="Hed Side Indent 2 5 3 10" xfId="17255" xr:uid="{00000000-0005-0000-0000-0000EC4A0000}"/>
    <cellStyle name="Hed Side Indent 2 5 3 2" xfId="17256" xr:uid="{00000000-0005-0000-0000-0000ED4A0000}"/>
    <cellStyle name="Hed Side Indent 2 5 3 2 2" xfId="17257" xr:uid="{00000000-0005-0000-0000-0000EE4A0000}"/>
    <cellStyle name="Hed Side Indent 2 5 3 3" xfId="17258" xr:uid="{00000000-0005-0000-0000-0000EF4A0000}"/>
    <cellStyle name="Hed Side Indent 2 5 3 3 2" xfId="17259" xr:uid="{00000000-0005-0000-0000-0000F04A0000}"/>
    <cellStyle name="Hed Side Indent 2 5 3 4" xfId="17260" xr:uid="{00000000-0005-0000-0000-0000F14A0000}"/>
    <cellStyle name="Hed Side Indent 2 5 3 4 2" xfId="17261" xr:uid="{00000000-0005-0000-0000-0000F24A0000}"/>
    <cellStyle name="Hed Side Indent 2 5 3 5" xfId="17262" xr:uid="{00000000-0005-0000-0000-0000F34A0000}"/>
    <cellStyle name="Hed Side Indent 2 5 3 5 2" xfId="17263" xr:uid="{00000000-0005-0000-0000-0000F44A0000}"/>
    <cellStyle name="Hed Side Indent 2 5 3 6" xfId="17264" xr:uid="{00000000-0005-0000-0000-0000F54A0000}"/>
    <cellStyle name="Hed Side Indent 2 5 3 6 2" xfId="17265" xr:uid="{00000000-0005-0000-0000-0000F64A0000}"/>
    <cellStyle name="Hed Side Indent 2 5 3 7" xfId="17266" xr:uid="{00000000-0005-0000-0000-0000F74A0000}"/>
    <cellStyle name="Hed Side Indent 2 5 3 7 2" xfId="17267" xr:uid="{00000000-0005-0000-0000-0000F84A0000}"/>
    <cellStyle name="Hed Side Indent 2 5 3 8" xfId="17268" xr:uid="{00000000-0005-0000-0000-0000F94A0000}"/>
    <cellStyle name="Hed Side Indent 2 5 3 8 2" xfId="17269" xr:uid="{00000000-0005-0000-0000-0000FA4A0000}"/>
    <cellStyle name="Hed Side Indent 2 5 3 9" xfId="17270" xr:uid="{00000000-0005-0000-0000-0000FB4A0000}"/>
    <cellStyle name="Hed Side Indent 2 5 3 9 2" xfId="17271" xr:uid="{00000000-0005-0000-0000-0000FC4A0000}"/>
    <cellStyle name="Hed Side Indent 2 5 4" xfId="17272" xr:uid="{00000000-0005-0000-0000-0000FD4A0000}"/>
    <cellStyle name="Hed Side Indent 2 5 4 10" xfId="17273" xr:uid="{00000000-0005-0000-0000-0000FE4A0000}"/>
    <cellStyle name="Hed Side Indent 2 5 4 2" xfId="17274" xr:uid="{00000000-0005-0000-0000-0000FF4A0000}"/>
    <cellStyle name="Hed Side Indent 2 5 4 2 2" xfId="17275" xr:uid="{00000000-0005-0000-0000-0000004B0000}"/>
    <cellStyle name="Hed Side Indent 2 5 4 3" xfId="17276" xr:uid="{00000000-0005-0000-0000-0000014B0000}"/>
    <cellStyle name="Hed Side Indent 2 5 4 3 2" xfId="17277" xr:uid="{00000000-0005-0000-0000-0000024B0000}"/>
    <cellStyle name="Hed Side Indent 2 5 4 4" xfId="17278" xr:uid="{00000000-0005-0000-0000-0000034B0000}"/>
    <cellStyle name="Hed Side Indent 2 5 4 4 2" xfId="17279" xr:uid="{00000000-0005-0000-0000-0000044B0000}"/>
    <cellStyle name="Hed Side Indent 2 5 4 5" xfId="17280" xr:uid="{00000000-0005-0000-0000-0000054B0000}"/>
    <cellStyle name="Hed Side Indent 2 5 4 5 2" xfId="17281" xr:uid="{00000000-0005-0000-0000-0000064B0000}"/>
    <cellStyle name="Hed Side Indent 2 5 4 6" xfId="17282" xr:uid="{00000000-0005-0000-0000-0000074B0000}"/>
    <cellStyle name="Hed Side Indent 2 5 4 6 2" xfId="17283" xr:uid="{00000000-0005-0000-0000-0000084B0000}"/>
    <cellStyle name="Hed Side Indent 2 5 4 7" xfId="17284" xr:uid="{00000000-0005-0000-0000-0000094B0000}"/>
    <cellStyle name="Hed Side Indent 2 5 4 7 2" xfId="17285" xr:uid="{00000000-0005-0000-0000-00000A4B0000}"/>
    <cellStyle name="Hed Side Indent 2 5 4 8" xfId="17286" xr:uid="{00000000-0005-0000-0000-00000B4B0000}"/>
    <cellStyle name="Hed Side Indent 2 5 4 8 2" xfId="17287" xr:uid="{00000000-0005-0000-0000-00000C4B0000}"/>
    <cellStyle name="Hed Side Indent 2 5 4 9" xfId="17288" xr:uid="{00000000-0005-0000-0000-00000D4B0000}"/>
    <cellStyle name="Hed Side Indent 2 5 4 9 2" xfId="17289" xr:uid="{00000000-0005-0000-0000-00000E4B0000}"/>
    <cellStyle name="Hed Side Indent 2 5 5" xfId="17290" xr:uid="{00000000-0005-0000-0000-00000F4B0000}"/>
    <cellStyle name="Hed Side Indent 2 5 5 10" xfId="17291" xr:uid="{00000000-0005-0000-0000-0000104B0000}"/>
    <cellStyle name="Hed Side Indent 2 5 5 2" xfId="17292" xr:uid="{00000000-0005-0000-0000-0000114B0000}"/>
    <cellStyle name="Hed Side Indent 2 5 5 2 2" xfId="17293" xr:uid="{00000000-0005-0000-0000-0000124B0000}"/>
    <cellStyle name="Hed Side Indent 2 5 5 3" xfId="17294" xr:uid="{00000000-0005-0000-0000-0000134B0000}"/>
    <cellStyle name="Hed Side Indent 2 5 5 3 2" xfId="17295" xr:uid="{00000000-0005-0000-0000-0000144B0000}"/>
    <cellStyle name="Hed Side Indent 2 5 5 4" xfId="17296" xr:uid="{00000000-0005-0000-0000-0000154B0000}"/>
    <cellStyle name="Hed Side Indent 2 5 5 4 2" xfId="17297" xr:uid="{00000000-0005-0000-0000-0000164B0000}"/>
    <cellStyle name="Hed Side Indent 2 5 5 5" xfId="17298" xr:uid="{00000000-0005-0000-0000-0000174B0000}"/>
    <cellStyle name="Hed Side Indent 2 5 5 5 2" xfId="17299" xr:uid="{00000000-0005-0000-0000-0000184B0000}"/>
    <cellStyle name="Hed Side Indent 2 5 5 6" xfId="17300" xr:uid="{00000000-0005-0000-0000-0000194B0000}"/>
    <cellStyle name="Hed Side Indent 2 5 5 6 2" xfId="17301" xr:uid="{00000000-0005-0000-0000-00001A4B0000}"/>
    <cellStyle name="Hed Side Indent 2 5 5 7" xfId="17302" xr:uid="{00000000-0005-0000-0000-00001B4B0000}"/>
    <cellStyle name="Hed Side Indent 2 5 5 7 2" xfId="17303" xr:uid="{00000000-0005-0000-0000-00001C4B0000}"/>
    <cellStyle name="Hed Side Indent 2 5 5 8" xfId="17304" xr:uid="{00000000-0005-0000-0000-00001D4B0000}"/>
    <cellStyle name="Hed Side Indent 2 5 5 8 2" xfId="17305" xr:uid="{00000000-0005-0000-0000-00001E4B0000}"/>
    <cellStyle name="Hed Side Indent 2 5 5 9" xfId="17306" xr:uid="{00000000-0005-0000-0000-00001F4B0000}"/>
    <cellStyle name="Hed Side Indent 2 5 5 9 2" xfId="17307" xr:uid="{00000000-0005-0000-0000-0000204B0000}"/>
    <cellStyle name="Hed Side Indent 2 5 6" xfId="17308" xr:uid="{00000000-0005-0000-0000-0000214B0000}"/>
    <cellStyle name="Hed Side Indent 2 5 6 10" xfId="17309" xr:uid="{00000000-0005-0000-0000-0000224B0000}"/>
    <cellStyle name="Hed Side Indent 2 5 6 2" xfId="17310" xr:uid="{00000000-0005-0000-0000-0000234B0000}"/>
    <cellStyle name="Hed Side Indent 2 5 6 2 2" xfId="17311" xr:uid="{00000000-0005-0000-0000-0000244B0000}"/>
    <cellStyle name="Hed Side Indent 2 5 6 3" xfId="17312" xr:uid="{00000000-0005-0000-0000-0000254B0000}"/>
    <cellStyle name="Hed Side Indent 2 5 6 3 2" xfId="17313" xr:uid="{00000000-0005-0000-0000-0000264B0000}"/>
    <cellStyle name="Hed Side Indent 2 5 6 4" xfId="17314" xr:uid="{00000000-0005-0000-0000-0000274B0000}"/>
    <cellStyle name="Hed Side Indent 2 5 6 4 2" xfId="17315" xr:uid="{00000000-0005-0000-0000-0000284B0000}"/>
    <cellStyle name="Hed Side Indent 2 5 6 5" xfId="17316" xr:uid="{00000000-0005-0000-0000-0000294B0000}"/>
    <cellStyle name="Hed Side Indent 2 5 6 5 2" xfId="17317" xr:uid="{00000000-0005-0000-0000-00002A4B0000}"/>
    <cellStyle name="Hed Side Indent 2 5 6 6" xfId="17318" xr:uid="{00000000-0005-0000-0000-00002B4B0000}"/>
    <cellStyle name="Hed Side Indent 2 5 6 6 2" xfId="17319" xr:uid="{00000000-0005-0000-0000-00002C4B0000}"/>
    <cellStyle name="Hed Side Indent 2 5 6 7" xfId="17320" xr:uid="{00000000-0005-0000-0000-00002D4B0000}"/>
    <cellStyle name="Hed Side Indent 2 5 6 7 2" xfId="17321" xr:uid="{00000000-0005-0000-0000-00002E4B0000}"/>
    <cellStyle name="Hed Side Indent 2 5 6 8" xfId="17322" xr:uid="{00000000-0005-0000-0000-00002F4B0000}"/>
    <cellStyle name="Hed Side Indent 2 5 6 8 2" xfId="17323" xr:uid="{00000000-0005-0000-0000-0000304B0000}"/>
    <cellStyle name="Hed Side Indent 2 5 6 9" xfId="17324" xr:uid="{00000000-0005-0000-0000-0000314B0000}"/>
    <cellStyle name="Hed Side Indent 2 5 6 9 2" xfId="17325" xr:uid="{00000000-0005-0000-0000-0000324B0000}"/>
    <cellStyle name="Hed Side Indent 2 5 7" xfId="17326" xr:uid="{00000000-0005-0000-0000-0000334B0000}"/>
    <cellStyle name="Hed Side Indent 2 5 7 10" xfId="17327" xr:uid="{00000000-0005-0000-0000-0000344B0000}"/>
    <cellStyle name="Hed Side Indent 2 5 7 2" xfId="17328" xr:uid="{00000000-0005-0000-0000-0000354B0000}"/>
    <cellStyle name="Hed Side Indent 2 5 7 2 2" xfId="17329" xr:uid="{00000000-0005-0000-0000-0000364B0000}"/>
    <cellStyle name="Hed Side Indent 2 5 7 3" xfId="17330" xr:uid="{00000000-0005-0000-0000-0000374B0000}"/>
    <cellStyle name="Hed Side Indent 2 5 7 3 2" xfId="17331" xr:uid="{00000000-0005-0000-0000-0000384B0000}"/>
    <cellStyle name="Hed Side Indent 2 5 7 4" xfId="17332" xr:uid="{00000000-0005-0000-0000-0000394B0000}"/>
    <cellStyle name="Hed Side Indent 2 5 7 4 2" xfId="17333" xr:uid="{00000000-0005-0000-0000-00003A4B0000}"/>
    <cellStyle name="Hed Side Indent 2 5 7 5" xfId="17334" xr:uid="{00000000-0005-0000-0000-00003B4B0000}"/>
    <cellStyle name="Hed Side Indent 2 5 7 5 2" xfId="17335" xr:uid="{00000000-0005-0000-0000-00003C4B0000}"/>
    <cellStyle name="Hed Side Indent 2 5 7 6" xfId="17336" xr:uid="{00000000-0005-0000-0000-00003D4B0000}"/>
    <cellStyle name="Hed Side Indent 2 5 7 6 2" xfId="17337" xr:uid="{00000000-0005-0000-0000-00003E4B0000}"/>
    <cellStyle name="Hed Side Indent 2 5 7 7" xfId="17338" xr:uid="{00000000-0005-0000-0000-00003F4B0000}"/>
    <cellStyle name="Hed Side Indent 2 5 7 7 2" xfId="17339" xr:uid="{00000000-0005-0000-0000-0000404B0000}"/>
    <cellStyle name="Hed Side Indent 2 5 7 8" xfId="17340" xr:uid="{00000000-0005-0000-0000-0000414B0000}"/>
    <cellStyle name="Hed Side Indent 2 5 7 8 2" xfId="17341" xr:uid="{00000000-0005-0000-0000-0000424B0000}"/>
    <cellStyle name="Hed Side Indent 2 5 7 9" xfId="17342" xr:uid="{00000000-0005-0000-0000-0000434B0000}"/>
    <cellStyle name="Hed Side Indent 2 5 7 9 2" xfId="17343" xr:uid="{00000000-0005-0000-0000-0000444B0000}"/>
    <cellStyle name="Hed Side Indent 2 5 8" xfId="17344" xr:uid="{00000000-0005-0000-0000-0000454B0000}"/>
    <cellStyle name="Hed Side Indent 2 5 8 10" xfId="17345" xr:uid="{00000000-0005-0000-0000-0000464B0000}"/>
    <cellStyle name="Hed Side Indent 2 5 8 2" xfId="17346" xr:uid="{00000000-0005-0000-0000-0000474B0000}"/>
    <cellStyle name="Hed Side Indent 2 5 8 2 2" xfId="17347" xr:uid="{00000000-0005-0000-0000-0000484B0000}"/>
    <cellStyle name="Hed Side Indent 2 5 8 3" xfId="17348" xr:uid="{00000000-0005-0000-0000-0000494B0000}"/>
    <cellStyle name="Hed Side Indent 2 5 8 3 2" xfId="17349" xr:uid="{00000000-0005-0000-0000-00004A4B0000}"/>
    <cellStyle name="Hed Side Indent 2 5 8 4" xfId="17350" xr:uid="{00000000-0005-0000-0000-00004B4B0000}"/>
    <cellStyle name="Hed Side Indent 2 5 8 4 2" xfId="17351" xr:uid="{00000000-0005-0000-0000-00004C4B0000}"/>
    <cellStyle name="Hed Side Indent 2 5 8 5" xfId="17352" xr:uid="{00000000-0005-0000-0000-00004D4B0000}"/>
    <cellStyle name="Hed Side Indent 2 5 8 5 2" xfId="17353" xr:uid="{00000000-0005-0000-0000-00004E4B0000}"/>
    <cellStyle name="Hed Side Indent 2 5 8 6" xfId="17354" xr:uid="{00000000-0005-0000-0000-00004F4B0000}"/>
    <cellStyle name="Hed Side Indent 2 5 8 6 2" xfId="17355" xr:uid="{00000000-0005-0000-0000-0000504B0000}"/>
    <cellStyle name="Hed Side Indent 2 5 8 7" xfId="17356" xr:uid="{00000000-0005-0000-0000-0000514B0000}"/>
    <cellStyle name="Hed Side Indent 2 5 8 7 2" xfId="17357" xr:uid="{00000000-0005-0000-0000-0000524B0000}"/>
    <cellStyle name="Hed Side Indent 2 5 8 8" xfId="17358" xr:uid="{00000000-0005-0000-0000-0000534B0000}"/>
    <cellStyle name="Hed Side Indent 2 5 8 8 2" xfId="17359" xr:uid="{00000000-0005-0000-0000-0000544B0000}"/>
    <cellStyle name="Hed Side Indent 2 5 8 9" xfId="17360" xr:uid="{00000000-0005-0000-0000-0000554B0000}"/>
    <cellStyle name="Hed Side Indent 2 5 8 9 2" xfId="17361" xr:uid="{00000000-0005-0000-0000-0000564B0000}"/>
    <cellStyle name="Hed Side Indent 2 5 9" xfId="17362" xr:uid="{00000000-0005-0000-0000-0000574B0000}"/>
    <cellStyle name="Hed Side Indent 2 5 9 10" xfId="17363" xr:uid="{00000000-0005-0000-0000-0000584B0000}"/>
    <cellStyle name="Hed Side Indent 2 5 9 2" xfId="17364" xr:uid="{00000000-0005-0000-0000-0000594B0000}"/>
    <cellStyle name="Hed Side Indent 2 5 9 2 2" xfId="17365" xr:uid="{00000000-0005-0000-0000-00005A4B0000}"/>
    <cellStyle name="Hed Side Indent 2 5 9 3" xfId="17366" xr:uid="{00000000-0005-0000-0000-00005B4B0000}"/>
    <cellStyle name="Hed Side Indent 2 5 9 3 2" xfId="17367" xr:uid="{00000000-0005-0000-0000-00005C4B0000}"/>
    <cellStyle name="Hed Side Indent 2 5 9 4" xfId="17368" xr:uid="{00000000-0005-0000-0000-00005D4B0000}"/>
    <cellStyle name="Hed Side Indent 2 5 9 4 2" xfId="17369" xr:uid="{00000000-0005-0000-0000-00005E4B0000}"/>
    <cellStyle name="Hed Side Indent 2 5 9 5" xfId="17370" xr:uid="{00000000-0005-0000-0000-00005F4B0000}"/>
    <cellStyle name="Hed Side Indent 2 5 9 5 2" xfId="17371" xr:uid="{00000000-0005-0000-0000-0000604B0000}"/>
    <cellStyle name="Hed Side Indent 2 5 9 6" xfId="17372" xr:uid="{00000000-0005-0000-0000-0000614B0000}"/>
    <cellStyle name="Hed Side Indent 2 5 9 6 2" xfId="17373" xr:uid="{00000000-0005-0000-0000-0000624B0000}"/>
    <cellStyle name="Hed Side Indent 2 5 9 7" xfId="17374" xr:uid="{00000000-0005-0000-0000-0000634B0000}"/>
    <cellStyle name="Hed Side Indent 2 5 9 7 2" xfId="17375" xr:uid="{00000000-0005-0000-0000-0000644B0000}"/>
    <cellStyle name="Hed Side Indent 2 5 9 8" xfId="17376" xr:uid="{00000000-0005-0000-0000-0000654B0000}"/>
    <cellStyle name="Hed Side Indent 2 5 9 8 2" xfId="17377" xr:uid="{00000000-0005-0000-0000-0000664B0000}"/>
    <cellStyle name="Hed Side Indent 2 5 9 9" xfId="17378" xr:uid="{00000000-0005-0000-0000-0000674B0000}"/>
    <cellStyle name="Hed Side Indent 2 5 9 9 2" xfId="17379" xr:uid="{00000000-0005-0000-0000-0000684B0000}"/>
    <cellStyle name="Hed Side Indent 2 6" xfId="17380" xr:uid="{00000000-0005-0000-0000-0000694B0000}"/>
    <cellStyle name="Hed Side Indent 2 6 10" xfId="17381" xr:uid="{00000000-0005-0000-0000-00006A4B0000}"/>
    <cellStyle name="Hed Side Indent 2 6 10 2" xfId="17382" xr:uid="{00000000-0005-0000-0000-00006B4B0000}"/>
    <cellStyle name="Hed Side Indent 2 6 10 2 2" xfId="17383" xr:uid="{00000000-0005-0000-0000-00006C4B0000}"/>
    <cellStyle name="Hed Side Indent 2 6 10 3" xfId="17384" xr:uid="{00000000-0005-0000-0000-00006D4B0000}"/>
    <cellStyle name="Hed Side Indent 2 6 10 3 2" xfId="17385" xr:uid="{00000000-0005-0000-0000-00006E4B0000}"/>
    <cellStyle name="Hed Side Indent 2 6 10 4" xfId="17386" xr:uid="{00000000-0005-0000-0000-00006F4B0000}"/>
    <cellStyle name="Hed Side Indent 2 6 10 4 2" xfId="17387" xr:uid="{00000000-0005-0000-0000-0000704B0000}"/>
    <cellStyle name="Hed Side Indent 2 6 10 5" xfId="17388" xr:uid="{00000000-0005-0000-0000-0000714B0000}"/>
    <cellStyle name="Hed Side Indent 2 6 10 5 2" xfId="17389" xr:uid="{00000000-0005-0000-0000-0000724B0000}"/>
    <cellStyle name="Hed Side Indent 2 6 10 6" xfId="17390" xr:uid="{00000000-0005-0000-0000-0000734B0000}"/>
    <cellStyle name="Hed Side Indent 2 6 10 6 2" xfId="17391" xr:uid="{00000000-0005-0000-0000-0000744B0000}"/>
    <cellStyle name="Hed Side Indent 2 6 10 7" xfId="17392" xr:uid="{00000000-0005-0000-0000-0000754B0000}"/>
    <cellStyle name="Hed Side Indent 2 6 10 7 2" xfId="17393" xr:uid="{00000000-0005-0000-0000-0000764B0000}"/>
    <cellStyle name="Hed Side Indent 2 6 10 8" xfId="17394" xr:uid="{00000000-0005-0000-0000-0000774B0000}"/>
    <cellStyle name="Hed Side Indent 2 6 10 8 2" xfId="17395" xr:uid="{00000000-0005-0000-0000-0000784B0000}"/>
    <cellStyle name="Hed Side Indent 2 6 10 9" xfId="17396" xr:uid="{00000000-0005-0000-0000-0000794B0000}"/>
    <cellStyle name="Hed Side Indent 2 6 11" xfId="17397" xr:uid="{00000000-0005-0000-0000-00007A4B0000}"/>
    <cellStyle name="Hed Side Indent 2 6 11 2" xfId="17398" xr:uid="{00000000-0005-0000-0000-00007B4B0000}"/>
    <cellStyle name="Hed Side Indent 2 6 12" xfId="17399" xr:uid="{00000000-0005-0000-0000-00007C4B0000}"/>
    <cellStyle name="Hed Side Indent 2 6 12 2" xfId="17400" xr:uid="{00000000-0005-0000-0000-00007D4B0000}"/>
    <cellStyle name="Hed Side Indent 2 6 13" xfId="17401" xr:uid="{00000000-0005-0000-0000-00007E4B0000}"/>
    <cellStyle name="Hed Side Indent 2 6 13 2" xfId="17402" xr:uid="{00000000-0005-0000-0000-00007F4B0000}"/>
    <cellStyle name="Hed Side Indent 2 6 14" xfId="17403" xr:uid="{00000000-0005-0000-0000-0000804B0000}"/>
    <cellStyle name="Hed Side Indent 2 6 14 2" xfId="17404" xr:uid="{00000000-0005-0000-0000-0000814B0000}"/>
    <cellStyle name="Hed Side Indent 2 6 15" xfId="17405" xr:uid="{00000000-0005-0000-0000-0000824B0000}"/>
    <cellStyle name="Hed Side Indent 2 6 15 2" xfId="17406" xr:uid="{00000000-0005-0000-0000-0000834B0000}"/>
    <cellStyle name="Hed Side Indent 2 6 16" xfId="17407" xr:uid="{00000000-0005-0000-0000-0000844B0000}"/>
    <cellStyle name="Hed Side Indent 2 6 16 2" xfId="17408" xr:uid="{00000000-0005-0000-0000-0000854B0000}"/>
    <cellStyle name="Hed Side Indent 2 6 17" xfId="17409" xr:uid="{00000000-0005-0000-0000-0000864B0000}"/>
    <cellStyle name="Hed Side Indent 2 6 17 2" xfId="17410" xr:uid="{00000000-0005-0000-0000-0000874B0000}"/>
    <cellStyle name="Hed Side Indent 2 6 18" xfId="17411" xr:uid="{00000000-0005-0000-0000-0000884B0000}"/>
    <cellStyle name="Hed Side Indent 2 6 2" xfId="17412" xr:uid="{00000000-0005-0000-0000-0000894B0000}"/>
    <cellStyle name="Hed Side Indent 2 6 2 10" xfId="17413" xr:uid="{00000000-0005-0000-0000-00008A4B0000}"/>
    <cellStyle name="Hed Side Indent 2 6 2 2" xfId="17414" xr:uid="{00000000-0005-0000-0000-00008B4B0000}"/>
    <cellStyle name="Hed Side Indent 2 6 2 2 2" xfId="17415" xr:uid="{00000000-0005-0000-0000-00008C4B0000}"/>
    <cellStyle name="Hed Side Indent 2 6 2 3" xfId="17416" xr:uid="{00000000-0005-0000-0000-00008D4B0000}"/>
    <cellStyle name="Hed Side Indent 2 6 2 3 2" xfId="17417" xr:uid="{00000000-0005-0000-0000-00008E4B0000}"/>
    <cellStyle name="Hed Side Indent 2 6 2 4" xfId="17418" xr:uid="{00000000-0005-0000-0000-00008F4B0000}"/>
    <cellStyle name="Hed Side Indent 2 6 2 4 2" xfId="17419" xr:uid="{00000000-0005-0000-0000-0000904B0000}"/>
    <cellStyle name="Hed Side Indent 2 6 2 5" xfId="17420" xr:uid="{00000000-0005-0000-0000-0000914B0000}"/>
    <cellStyle name="Hed Side Indent 2 6 2 5 2" xfId="17421" xr:uid="{00000000-0005-0000-0000-0000924B0000}"/>
    <cellStyle name="Hed Side Indent 2 6 2 6" xfId="17422" xr:uid="{00000000-0005-0000-0000-0000934B0000}"/>
    <cellStyle name="Hed Side Indent 2 6 2 6 2" xfId="17423" xr:uid="{00000000-0005-0000-0000-0000944B0000}"/>
    <cellStyle name="Hed Side Indent 2 6 2 7" xfId="17424" xr:uid="{00000000-0005-0000-0000-0000954B0000}"/>
    <cellStyle name="Hed Side Indent 2 6 2 7 2" xfId="17425" xr:uid="{00000000-0005-0000-0000-0000964B0000}"/>
    <cellStyle name="Hed Side Indent 2 6 2 8" xfId="17426" xr:uid="{00000000-0005-0000-0000-0000974B0000}"/>
    <cellStyle name="Hed Side Indent 2 6 2 8 2" xfId="17427" xr:uid="{00000000-0005-0000-0000-0000984B0000}"/>
    <cellStyle name="Hed Side Indent 2 6 2 9" xfId="17428" xr:uid="{00000000-0005-0000-0000-0000994B0000}"/>
    <cellStyle name="Hed Side Indent 2 6 2 9 2" xfId="17429" xr:uid="{00000000-0005-0000-0000-00009A4B0000}"/>
    <cellStyle name="Hed Side Indent 2 6 3" xfId="17430" xr:uid="{00000000-0005-0000-0000-00009B4B0000}"/>
    <cellStyle name="Hed Side Indent 2 6 3 10" xfId="17431" xr:uid="{00000000-0005-0000-0000-00009C4B0000}"/>
    <cellStyle name="Hed Side Indent 2 6 3 2" xfId="17432" xr:uid="{00000000-0005-0000-0000-00009D4B0000}"/>
    <cellStyle name="Hed Side Indent 2 6 3 2 2" xfId="17433" xr:uid="{00000000-0005-0000-0000-00009E4B0000}"/>
    <cellStyle name="Hed Side Indent 2 6 3 3" xfId="17434" xr:uid="{00000000-0005-0000-0000-00009F4B0000}"/>
    <cellStyle name="Hed Side Indent 2 6 3 3 2" xfId="17435" xr:uid="{00000000-0005-0000-0000-0000A04B0000}"/>
    <cellStyle name="Hed Side Indent 2 6 3 4" xfId="17436" xr:uid="{00000000-0005-0000-0000-0000A14B0000}"/>
    <cellStyle name="Hed Side Indent 2 6 3 4 2" xfId="17437" xr:uid="{00000000-0005-0000-0000-0000A24B0000}"/>
    <cellStyle name="Hed Side Indent 2 6 3 5" xfId="17438" xr:uid="{00000000-0005-0000-0000-0000A34B0000}"/>
    <cellStyle name="Hed Side Indent 2 6 3 5 2" xfId="17439" xr:uid="{00000000-0005-0000-0000-0000A44B0000}"/>
    <cellStyle name="Hed Side Indent 2 6 3 6" xfId="17440" xr:uid="{00000000-0005-0000-0000-0000A54B0000}"/>
    <cellStyle name="Hed Side Indent 2 6 3 6 2" xfId="17441" xr:uid="{00000000-0005-0000-0000-0000A64B0000}"/>
    <cellStyle name="Hed Side Indent 2 6 3 7" xfId="17442" xr:uid="{00000000-0005-0000-0000-0000A74B0000}"/>
    <cellStyle name="Hed Side Indent 2 6 3 7 2" xfId="17443" xr:uid="{00000000-0005-0000-0000-0000A84B0000}"/>
    <cellStyle name="Hed Side Indent 2 6 3 8" xfId="17444" xr:uid="{00000000-0005-0000-0000-0000A94B0000}"/>
    <cellStyle name="Hed Side Indent 2 6 3 8 2" xfId="17445" xr:uid="{00000000-0005-0000-0000-0000AA4B0000}"/>
    <cellStyle name="Hed Side Indent 2 6 3 9" xfId="17446" xr:uid="{00000000-0005-0000-0000-0000AB4B0000}"/>
    <cellStyle name="Hed Side Indent 2 6 3 9 2" xfId="17447" xr:uid="{00000000-0005-0000-0000-0000AC4B0000}"/>
    <cellStyle name="Hed Side Indent 2 6 4" xfId="17448" xr:uid="{00000000-0005-0000-0000-0000AD4B0000}"/>
    <cellStyle name="Hed Side Indent 2 6 4 10" xfId="17449" xr:uid="{00000000-0005-0000-0000-0000AE4B0000}"/>
    <cellStyle name="Hed Side Indent 2 6 4 2" xfId="17450" xr:uid="{00000000-0005-0000-0000-0000AF4B0000}"/>
    <cellStyle name="Hed Side Indent 2 6 4 2 2" xfId="17451" xr:uid="{00000000-0005-0000-0000-0000B04B0000}"/>
    <cellStyle name="Hed Side Indent 2 6 4 3" xfId="17452" xr:uid="{00000000-0005-0000-0000-0000B14B0000}"/>
    <cellStyle name="Hed Side Indent 2 6 4 3 2" xfId="17453" xr:uid="{00000000-0005-0000-0000-0000B24B0000}"/>
    <cellStyle name="Hed Side Indent 2 6 4 4" xfId="17454" xr:uid="{00000000-0005-0000-0000-0000B34B0000}"/>
    <cellStyle name="Hed Side Indent 2 6 4 4 2" xfId="17455" xr:uid="{00000000-0005-0000-0000-0000B44B0000}"/>
    <cellStyle name="Hed Side Indent 2 6 4 5" xfId="17456" xr:uid="{00000000-0005-0000-0000-0000B54B0000}"/>
    <cellStyle name="Hed Side Indent 2 6 4 5 2" xfId="17457" xr:uid="{00000000-0005-0000-0000-0000B64B0000}"/>
    <cellStyle name="Hed Side Indent 2 6 4 6" xfId="17458" xr:uid="{00000000-0005-0000-0000-0000B74B0000}"/>
    <cellStyle name="Hed Side Indent 2 6 4 6 2" xfId="17459" xr:uid="{00000000-0005-0000-0000-0000B84B0000}"/>
    <cellStyle name="Hed Side Indent 2 6 4 7" xfId="17460" xr:uid="{00000000-0005-0000-0000-0000B94B0000}"/>
    <cellStyle name="Hed Side Indent 2 6 4 7 2" xfId="17461" xr:uid="{00000000-0005-0000-0000-0000BA4B0000}"/>
    <cellStyle name="Hed Side Indent 2 6 4 8" xfId="17462" xr:uid="{00000000-0005-0000-0000-0000BB4B0000}"/>
    <cellStyle name="Hed Side Indent 2 6 4 8 2" xfId="17463" xr:uid="{00000000-0005-0000-0000-0000BC4B0000}"/>
    <cellStyle name="Hed Side Indent 2 6 4 9" xfId="17464" xr:uid="{00000000-0005-0000-0000-0000BD4B0000}"/>
    <cellStyle name="Hed Side Indent 2 6 4 9 2" xfId="17465" xr:uid="{00000000-0005-0000-0000-0000BE4B0000}"/>
    <cellStyle name="Hed Side Indent 2 6 5" xfId="17466" xr:uid="{00000000-0005-0000-0000-0000BF4B0000}"/>
    <cellStyle name="Hed Side Indent 2 6 5 10" xfId="17467" xr:uid="{00000000-0005-0000-0000-0000C04B0000}"/>
    <cellStyle name="Hed Side Indent 2 6 5 2" xfId="17468" xr:uid="{00000000-0005-0000-0000-0000C14B0000}"/>
    <cellStyle name="Hed Side Indent 2 6 5 2 2" xfId="17469" xr:uid="{00000000-0005-0000-0000-0000C24B0000}"/>
    <cellStyle name="Hed Side Indent 2 6 5 3" xfId="17470" xr:uid="{00000000-0005-0000-0000-0000C34B0000}"/>
    <cellStyle name="Hed Side Indent 2 6 5 3 2" xfId="17471" xr:uid="{00000000-0005-0000-0000-0000C44B0000}"/>
    <cellStyle name="Hed Side Indent 2 6 5 4" xfId="17472" xr:uid="{00000000-0005-0000-0000-0000C54B0000}"/>
    <cellStyle name="Hed Side Indent 2 6 5 4 2" xfId="17473" xr:uid="{00000000-0005-0000-0000-0000C64B0000}"/>
    <cellStyle name="Hed Side Indent 2 6 5 5" xfId="17474" xr:uid="{00000000-0005-0000-0000-0000C74B0000}"/>
    <cellStyle name="Hed Side Indent 2 6 5 5 2" xfId="17475" xr:uid="{00000000-0005-0000-0000-0000C84B0000}"/>
    <cellStyle name="Hed Side Indent 2 6 5 6" xfId="17476" xr:uid="{00000000-0005-0000-0000-0000C94B0000}"/>
    <cellStyle name="Hed Side Indent 2 6 5 6 2" xfId="17477" xr:uid="{00000000-0005-0000-0000-0000CA4B0000}"/>
    <cellStyle name="Hed Side Indent 2 6 5 7" xfId="17478" xr:uid="{00000000-0005-0000-0000-0000CB4B0000}"/>
    <cellStyle name="Hed Side Indent 2 6 5 7 2" xfId="17479" xr:uid="{00000000-0005-0000-0000-0000CC4B0000}"/>
    <cellStyle name="Hed Side Indent 2 6 5 8" xfId="17480" xr:uid="{00000000-0005-0000-0000-0000CD4B0000}"/>
    <cellStyle name="Hed Side Indent 2 6 5 8 2" xfId="17481" xr:uid="{00000000-0005-0000-0000-0000CE4B0000}"/>
    <cellStyle name="Hed Side Indent 2 6 5 9" xfId="17482" xr:uid="{00000000-0005-0000-0000-0000CF4B0000}"/>
    <cellStyle name="Hed Side Indent 2 6 5 9 2" xfId="17483" xr:uid="{00000000-0005-0000-0000-0000D04B0000}"/>
    <cellStyle name="Hed Side Indent 2 6 6" xfId="17484" xr:uid="{00000000-0005-0000-0000-0000D14B0000}"/>
    <cellStyle name="Hed Side Indent 2 6 6 10" xfId="17485" xr:uid="{00000000-0005-0000-0000-0000D24B0000}"/>
    <cellStyle name="Hed Side Indent 2 6 6 2" xfId="17486" xr:uid="{00000000-0005-0000-0000-0000D34B0000}"/>
    <cellStyle name="Hed Side Indent 2 6 6 2 2" xfId="17487" xr:uid="{00000000-0005-0000-0000-0000D44B0000}"/>
    <cellStyle name="Hed Side Indent 2 6 6 3" xfId="17488" xr:uid="{00000000-0005-0000-0000-0000D54B0000}"/>
    <cellStyle name="Hed Side Indent 2 6 6 3 2" xfId="17489" xr:uid="{00000000-0005-0000-0000-0000D64B0000}"/>
    <cellStyle name="Hed Side Indent 2 6 6 4" xfId="17490" xr:uid="{00000000-0005-0000-0000-0000D74B0000}"/>
    <cellStyle name="Hed Side Indent 2 6 6 4 2" xfId="17491" xr:uid="{00000000-0005-0000-0000-0000D84B0000}"/>
    <cellStyle name="Hed Side Indent 2 6 6 5" xfId="17492" xr:uid="{00000000-0005-0000-0000-0000D94B0000}"/>
    <cellStyle name="Hed Side Indent 2 6 6 5 2" xfId="17493" xr:uid="{00000000-0005-0000-0000-0000DA4B0000}"/>
    <cellStyle name="Hed Side Indent 2 6 6 6" xfId="17494" xr:uid="{00000000-0005-0000-0000-0000DB4B0000}"/>
    <cellStyle name="Hed Side Indent 2 6 6 6 2" xfId="17495" xr:uid="{00000000-0005-0000-0000-0000DC4B0000}"/>
    <cellStyle name="Hed Side Indent 2 6 6 7" xfId="17496" xr:uid="{00000000-0005-0000-0000-0000DD4B0000}"/>
    <cellStyle name="Hed Side Indent 2 6 6 7 2" xfId="17497" xr:uid="{00000000-0005-0000-0000-0000DE4B0000}"/>
    <cellStyle name="Hed Side Indent 2 6 6 8" xfId="17498" xr:uid="{00000000-0005-0000-0000-0000DF4B0000}"/>
    <cellStyle name="Hed Side Indent 2 6 6 8 2" xfId="17499" xr:uid="{00000000-0005-0000-0000-0000E04B0000}"/>
    <cellStyle name="Hed Side Indent 2 6 6 9" xfId="17500" xr:uid="{00000000-0005-0000-0000-0000E14B0000}"/>
    <cellStyle name="Hed Side Indent 2 6 6 9 2" xfId="17501" xr:uid="{00000000-0005-0000-0000-0000E24B0000}"/>
    <cellStyle name="Hed Side Indent 2 6 7" xfId="17502" xr:uid="{00000000-0005-0000-0000-0000E34B0000}"/>
    <cellStyle name="Hed Side Indent 2 6 7 10" xfId="17503" xr:uid="{00000000-0005-0000-0000-0000E44B0000}"/>
    <cellStyle name="Hed Side Indent 2 6 7 2" xfId="17504" xr:uid="{00000000-0005-0000-0000-0000E54B0000}"/>
    <cellStyle name="Hed Side Indent 2 6 7 2 2" xfId="17505" xr:uid="{00000000-0005-0000-0000-0000E64B0000}"/>
    <cellStyle name="Hed Side Indent 2 6 7 3" xfId="17506" xr:uid="{00000000-0005-0000-0000-0000E74B0000}"/>
    <cellStyle name="Hed Side Indent 2 6 7 3 2" xfId="17507" xr:uid="{00000000-0005-0000-0000-0000E84B0000}"/>
    <cellStyle name="Hed Side Indent 2 6 7 4" xfId="17508" xr:uid="{00000000-0005-0000-0000-0000E94B0000}"/>
    <cellStyle name="Hed Side Indent 2 6 7 4 2" xfId="17509" xr:uid="{00000000-0005-0000-0000-0000EA4B0000}"/>
    <cellStyle name="Hed Side Indent 2 6 7 5" xfId="17510" xr:uid="{00000000-0005-0000-0000-0000EB4B0000}"/>
    <cellStyle name="Hed Side Indent 2 6 7 5 2" xfId="17511" xr:uid="{00000000-0005-0000-0000-0000EC4B0000}"/>
    <cellStyle name="Hed Side Indent 2 6 7 6" xfId="17512" xr:uid="{00000000-0005-0000-0000-0000ED4B0000}"/>
    <cellStyle name="Hed Side Indent 2 6 7 6 2" xfId="17513" xr:uid="{00000000-0005-0000-0000-0000EE4B0000}"/>
    <cellStyle name="Hed Side Indent 2 6 7 7" xfId="17514" xr:uid="{00000000-0005-0000-0000-0000EF4B0000}"/>
    <cellStyle name="Hed Side Indent 2 6 7 7 2" xfId="17515" xr:uid="{00000000-0005-0000-0000-0000F04B0000}"/>
    <cellStyle name="Hed Side Indent 2 6 7 8" xfId="17516" xr:uid="{00000000-0005-0000-0000-0000F14B0000}"/>
    <cellStyle name="Hed Side Indent 2 6 7 8 2" xfId="17517" xr:uid="{00000000-0005-0000-0000-0000F24B0000}"/>
    <cellStyle name="Hed Side Indent 2 6 7 9" xfId="17518" xr:uid="{00000000-0005-0000-0000-0000F34B0000}"/>
    <cellStyle name="Hed Side Indent 2 6 7 9 2" xfId="17519" xr:uid="{00000000-0005-0000-0000-0000F44B0000}"/>
    <cellStyle name="Hed Side Indent 2 6 8" xfId="17520" xr:uid="{00000000-0005-0000-0000-0000F54B0000}"/>
    <cellStyle name="Hed Side Indent 2 6 8 10" xfId="17521" xr:uid="{00000000-0005-0000-0000-0000F64B0000}"/>
    <cellStyle name="Hed Side Indent 2 6 8 2" xfId="17522" xr:uid="{00000000-0005-0000-0000-0000F74B0000}"/>
    <cellStyle name="Hed Side Indent 2 6 8 2 2" xfId="17523" xr:uid="{00000000-0005-0000-0000-0000F84B0000}"/>
    <cellStyle name="Hed Side Indent 2 6 8 3" xfId="17524" xr:uid="{00000000-0005-0000-0000-0000F94B0000}"/>
    <cellStyle name="Hed Side Indent 2 6 8 3 2" xfId="17525" xr:uid="{00000000-0005-0000-0000-0000FA4B0000}"/>
    <cellStyle name="Hed Side Indent 2 6 8 4" xfId="17526" xr:uid="{00000000-0005-0000-0000-0000FB4B0000}"/>
    <cellStyle name="Hed Side Indent 2 6 8 4 2" xfId="17527" xr:uid="{00000000-0005-0000-0000-0000FC4B0000}"/>
    <cellStyle name="Hed Side Indent 2 6 8 5" xfId="17528" xr:uid="{00000000-0005-0000-0000-0000FD4B0000}"/>
    <cellStyle name="Hed Side Indent 2 6 8 5 2" xfId="17529" xr:uid="{00000000-0005-0000-0000-0000FE4B0000}"/>
    <cellStyle name="Hed Side Indent 2 6 8 6" xfId="17530" xr:uid="{00000000-0005-0000-0000-0000FF4B0000}"/>
    <cellStyle name="Hed Side Indent 2 6 8 6 2" xfId="17531" xr:uid="{00000000-0005-0000-0000-0000004C0000}"/>
    <cellStyle name="Hed Side Indent 2 6 8 7" xfId="17532" xr:uid="{00000000-0005-0000-0000-0000014C0000}"/>
    <cellStyle name="Hed Side Indent 2 6 8 7 2" xfId="17533" xr:uid="{00000000-0005-0000-0000-0000024C0000}"/>
    <cellStyle name="Hed Side Indent 2 6 8 8" xfId="17534" xr:uid="{00000000-0005-0000-0000-0000034C0000}"/>
    <cellStyle name="Hed Side Indent 2 6 8 8 2" xfId="17535" xr:uid="{00000000-0005-0000-0000-0000044C0000}"/>
    <cellStyle name="Hed Side Indent 2 6 8 9" xfId="17536" xr:uid="{00000000-0005-0000-0000-0000054C0000}"/>
    <cellStyle name="Hed Side Indent 2 6 8 9 2" xfId="17537" xr:uid="{00000000-0005-0000-0000-0000064C0000}"/>
    <cellStyle name="Hed Side Indent 2 6 9" xfId="17538" xr:uid="{00000000-0005-0000-0000-0000074C0000}"/>
    <cellStyle name="Hed Side Indent 2 6 9 10" xfId="17539" xr:uid="{00000000-0005-0000-0000-0000084C0000}"/>
    <cellStyle name="Hed Side Indent 2 6 9 2" xfId="17540" xr:uid="{00000000-0005-0000-0000-0000094C0000}"/>
    <cellStyle name="Hed Side Indent 2 6 9 2 2" xfId="17541" xr:uid="{00000000-0005-0000-0000-00000A4C0000}"/>
    <cellStyle name="Hed Side Indent 2 6 9 3" xfId="17542" xr:uid="{00000000-0005-0000-0000-00000B4C0000}"/>
    <cellStyle name="Hed Side Indent 2 6 9 3 2" xfId="17543" xr:uid="{00000000-0005-0000-0000-00000C4C0000}"/>
    <cellStyle name="Hed Side Indent 2 6 9 4" xfId="17544" xr:uid="{00000000-0005-0000-0000-00000D4C0000}"/>
    <cellStyle name="Hed Side Indent 2 6 9 4 2" xfId="17545" xr:uid="{00000000-0005-0000-0000-00000E4C0000}"/>
    <cellStyle name="Hed Side Indent 2 6 9 5" xfId="17546" xr:uid="{00000000-0005-0000-0000-00000F4C0000}"/>
    <cellStyle name="Hed Side Indent 2 6 9 5 2" xfId="17547" xr:uid="{00000000-0005-0000-0000-0000104C0000}"/>
    <cellStyle name="Hed Side Indent 2 6 9 6" xfId="17548" xr:uid="{00000000-0005-0000-0000-0000114C0000}"/>
    <cellStyle name="Hed Side Indent 2 6 9 6 2" xfId="17549" xr:uid="{00000000-0005-0000-0000-0000124C0000}"/>
    <cellStyle name="Hed Side Indent 2 6 9 7" xfId="17550" xr:uid="{00000000-0005-0000-0000-0000134C0000}"/>
    <cellStyle name="Hed Side Indent 2 6 9 7 2" xfId="17551" xr:uid="{00000000-0005-0000-0000-0000144C0000}"/>
    <cellStyle name="Hed Side Indent 2 6 9 8" xfId="17552" xr:uid="{00000000-0005-0000-0000-0000154C0000}"/>
    <cellStyle name="Hed Side Indent 2 6 9 8 2" xfId="17553" xr:uid="{00000000-0005-0000-0000-0000164C0000}"/>
    <cellStyle name="Hed Side Indent 2 6 9 9" xfId="17554" xr:uid="{00000000-0005-0000-0000-0000174C0000}"/>
    <cellStyle name="Hed Side Indent 2 6 9 9 2" xfId="17555" xr:uid="{00000000-0005-0000-0000-0000184C0000}"/>
    <cellStyle name="Hed Side Indent 2 7" xfId="17556" xr:uid="{00000000-0005-0000-0000-0000194C0000}"/>
    <cellStyle name="Hed Side Indent 2 7 10" xfId="17557" xr:uid="{00000000-0005-0000-0000-00001A4C0000}"/>
    <cellStyle name="Hed Side Indent 2 7 10 2" xfId="17558" xr:uid="{00000000-0005-0000-0000-00001B4C0000}"/>
    <cellStyle name="Hed Side Indent 2 7 10 2 2" xfId="17559" xr:uid="{00000000-0005-0000-0000-00001C4C0000}"/>
    <cellStyle name="Hed Side Indent 2 7 10 3" xfId="17560" xr:uid="{00000000-0005-0000-0000-00001D4C0000}"/>
    <cellStyle name="Hed Side Indent 2 7 10 3 2" xfId="17561" xr:uid="{00000000-0005-0000-0000-00001E4C0000}"/>
    <cellStyle name="Hed Side Indent 2 7 10 4" xfId="17562" xr:uid="{00000000-0005-0000-0000-00001F4C0000}"/>
    <cellStyle name="Hed Side Indent 2 7 10 4 2" xfId="17563" xr:uid="{00000000-0005-0000-0000-0000204C0000}"/>
    <cellStyle name="Hed Side Indent 2 7 10 5" xfId="17564" xr:uid="{00000000-0005-0000-0000-0000214C0000}"/>
    <cellStyle name="Hed Side Indent 2 7 10 5 2" xfId="17565" xr:uid="{00000000-0005-0000-0000-0000224C0000}"/>
    <cellStyle name="Hed Side Indent 2 7 10 6" xfId="17566" xr:uid="{00000000-0005-0000-0000-0000234C0000}"/>
    <cellStyle name="Hed Side Indent 2 7 10 6 2" xfId="17567" xr:uid="{00000000-0005-0000-0000-0000244C0000}"/>
    <cellStyle name="Hed Side Indent 2 7 10 7" xfId="17568" xr:uid="{00000000-0005-0000-0000-0000254C0000}"/>
    <cellStyle name="Hed Side Indent 2 7 10 7 2" xfId="17569" xr:uid="{00000000-0005-0000-0000-0000264C0000}"/>
    <cellStyle name="Hed Side Indent 2 7 10 8" xfId="17570" xr:uid="{00000000-0005-0000-0000-0000274C0000}"/>
    <cellStyle name="Hed Side Indent 2 7 10 8 2" xfId="17571" xr:uid="{00000000-0005-0000-0000-0000284C0000}"/>
    <cellStyle name="Hed Side Indent 2 7 10 9" xfId="17572" xr:uid="{00000000-0005-0000-0000-0000294C0000}"/>
    <cellStyle name="Hed Side Indent 2 7 11" xfId="17573" xr:uid="{00000000-0005-0000-0000-00002A4C0000}"/>
    <cellStyle name="Hed Side Indent 2 7 11 2" xfId="17574" xr:uid="{00000000-0005-0000-0000-00002B4C0000}"/>
    <cellStyle name="Hed Side Indent 2 7 12" xfId="17575" xr:uid="{00000000-0005-0000-0000-00002C4C0000}"/>
    <cellStyle name="Hed Side Indent 2 7 12 2" xfId="17576" xr:uid="{00000000-0005-0000-0000-00002D4C0000}"/>
    <cellStyle name="Hed Side Indent 2 7 13" xfId="17577" xr:uid="{00000000-0005-0000-0000-00002E4C0000}"/>
    <cellStyle name="Hed Side Indent 2 7 13 2" xfId="17578" xr:uid="{00000000-0005-0000-0000-00002F4C0000}"/>
    <cellStyle name="Hed Side Indent 2 7 14" xfId="17579" xr:uid="{00000000-0005-0000-0000-0000304C0000}"/>
    <cellStyle name="Hed Side Indent 2 7 14 2" xfId="17580" xr:uid="{00000000-0005-0000-0000-0000314C0000}"/>
    <cellStyle name="Hed Side Indent 2 7 15" xfId="17581" xr:uid="{00000000-0005-0000-0000-0000324C0000}"/>
    <cellStyle name="Hed Side Indent 2 7 15 2" xfId="17582" xr:uid="{00000000-0005-0000-0000-0000334C0000}"/>
    <cellStyle name="Hed Side Indent 2 7 16" xfId="17583" xr:uid="{00000000-0005-0000-0000-0000344C0000}"/>
    <cellStyle name="Hed Side Indent 2 7 16 2" xfId="17584" xr:uid="{00000000-0005-0000-0000-0000354C0000}"/>
    <cellStyle name="Hed Side Indent 2 7 17" xfId="17585" xr:uid="{00000000-0005-0000-0000-0000364C0000}"/>
    <cellStyle name="Hed Side Indent 2 7 17 2" xfId="17586" xr:uid="{00000000-0005-0000-0000-0000374C0000}"/>
    <cellStyle name="Hed Side Indent 2 7 18" xfId="17587" xr:uid="{00000000-0005-0000-0000-0000384C0000}"/>
    <cellStyle name="Hed Side Indent 2 7 2" xfId="17588" xr:uid="{00000000-0005-0000-0000-0000394C0000}"/>
    <cellStyle name="Hed Side Indent 2 7 2 10" xfId="17589" xr:uid="{00000000-0005-0000-0000-00003A4C0000}"/>
    <cellStyle name="Hed Side Indent 2 7 2 2" xfId="17590" xr:uid="{00000000-0005-0000-0000-00003B4C0000}"/>
    <cellStyle name="Hed Side Indent 2 7 2 2 2" xfId="17591" xr:uid="{00000000-0005-0000-0000-00003C4C0000}"/>
    <cellStyle name="Hed Side Indent 2 7 2 3" xfId="17592" xr:uid="{00000000-0005-0000-0000-00003D4C0000}"/>
    <cellStyle name="Hed Side Indent 2 7 2 3 2" xfId="17593" xr:uid="{00000000-0005-0000-0000-00003E4C0000}"/>
    <cellStyle name="Hed Side Indent 2 7 2 4" xfId="17594" xr:uid="{00000000-0005-0000-0000-00003F4C0000}"/>
    <cellStyle name="Hed Side Indent 2 7 2 4 2" xfId="17595" xr:uid="{00000000-0005-0000-0000-0000404C0000}"/>
    <cellStyle name="Hed Side Indent 2 7 2 5" xfId="17596" xr:uid="{00000000-0005-0000-0000-0000414C0000}"/>
    <cellStyle name="Hed Side Indent 2 7 2 5 2" xfId="17597" xr:uid="{00000000-0005-0000-0000-0000424C0000}"/>
    <cellStyle name="Hed Side Indent 2 7 2 6" xfId="17598" xr:uid="{00000000-0005-0000-0000-0000434C0000}"/>
    <cellStyle name="Hed Side Indent 2 7 2 6 2" xfId="17599" xr:uid="{00000000-0005-0000-0000-0000444C0000}"/>
    <cellStyle name="Hed Side Indent 2 7 2 7" xfId="17600" xr:uid="{00000000-0005-0000-0000-0000454C0000}"/>
    <cellStyle name="Hed Side Indent 2 7 2 7 2" xfId="17601" xr:uid="{00000000-0005-0000-0000-0000464C0000}"/>
    <cellStyle name="Hed Side Indent 2 7 2 8" xfId="17602" xr:uid="{00000000-0005-0000-0000-0000474C0000}"/>
    <cellStyle name="Hed Side Indent 2 7 2 8 2" xfId="17603" xr:uid="{00000000-0005-0000-0000-0000484C0000}"/>
    <cellStyle name="Hed Side Indent 2 7 2 9" xfId="17604" xr:uid="{00000000-0005-0000-0000-0000494C0000}"/>
    <cellStyle name="Hed Side Indent 2 7 2 9 2" xfId="17605" xr:uid="{00000000-0005-0000-0000-00004A4C0000}"/>
    <cellStyle name="Hed Side Indent 2 7 3" xfId="17606" xr:uid="{00000000-0005-0000-0000-00004B4C0000}"/>
    <cellStyle name="Hed Side Indent 2 7 3 10" xfId="17607" xr:uid="{00000000-0005-0000-0000-00004C4C0000}"/>
    <cellStyle name="Hed Side Indent 2 7 3 2" xfId="17608" xr:uid="{00000000-0005-0000-0000-00004D4C0000}"/>
    <cellStyle name="Hed Side Indent 2 7 3 2 2" xfId="17609" xr:uid="{00000000-0005-0000-0000-00004E4C0000}"/>
    <cellStyle name="Hed Side Indent 2 7 3 3" xfId="17610" xr:uid="{00000000-0005-0000-0000-00004F4C0000}"/>
    <cellStyle name="Hed Side Indent 2 7 3 3 2" xfId="17611" xr:uid="{00000000-0005-0000-0000-0000504C0000}"/>
    <cellStyle name="Hed Side Indent 2 7 3 4" xfId="17612" xr:uid="{00000000-0005-0000-0000-0000514C0000}"/>
    <cellStyle name="Hed Side Indent 2 7 3 4 2" xfId="17613" xr:uid="{00000000-0005-0000-0000-0000524C0000}"/>
    <cellStyle name="Hed Side Indent 2 7 3 5" xfId="17614" xr:uid="{00000000-0005-0000-0000-0000534C0000}"/>
    <cellStyle name="Hed Side Indent 2 7 3 5 2" xfId="17615" xr:uid="{00000000-0005-0000-0000-0000544C0000}"/>
    <cellStyle name="Hed Side Indent 2 7 3 6" xfId="17616" xr:uid="{00000000-0005-0000-0000-0000554C0000}"/>
    <cellStyle name="Hed Side Indent 2 7 3 6 2" xfId="17617" xr:uid="{00000000-0005-0000-0000-0000564C0000}"/>
    <cellStyle name="Hed Side Indent 2 7 3 7" xfId="17618" xr:uid="{00000000-0005-0000-0000-0000574C0000}"/>
    <cellStyle name="Hed Side Indent 2 7 3 7 2" xfId="17619" xr:uid="{00000000-0005-0000-0000-0000584C0000}"/>
    <cellStyle name="Hed Side Indent 2 7 3 8" xfId="17620" xr:uid="{00000000-0005-0000-0000-0000594C0000}"/>
    <cellStyle name="Hed Side Indent 2 7 3 8 2" xfId="17621" xr:uid="{00000000-0005-0000-0000-00005A4C0000}"/>
    <cellStyle name="Hed Side Indent 2 7 3 9" xfId="17622" xr:uid="{00000000-0005-0000-0000-00005B4C0000}"/>
    <cellStyle name="Hed Side Indent 2 7 3 9 2" xfId="17623" xr:uid="{00000000-0005-0000-0000-00005C4C0000}"/>
    <cellStyle name="Hed Side Indent 2 7 4" xfId="17624" xr:uid="{00000000-0005-0000-0000-00005D4C0000}"/>
    <cellStyle name="Hed Side Indent 2 7 4 10" xfId="17625" xr:uid="{00000000-0005-0000-0000-00005E4C0000}"/>
    <cellStyle name="Hed Side Indent 2 7 4 2" xfId="17626" xr:uid="{00000000-0005-0000-0000-00005F4C0000}"/>
    <cellStyle name="Hed Side Indent 2 7 4 2 2" xfId="17627" xr:uid="{00000000-0005-0000-0000-0000604C0000}"/>
    <cellStyle name="Hed Side Indent 2 7 4 3" xfId="17628" xr:uid="{00000000-0005-0000-0000-0000614C0000}"/>
    <cellStyle name="Hed Side Indent 2 7 4 3 2" xfId="17629" xr:uid="{00000000-0005-0000-0000-0000624C0000}"/>
    <cellStyle name="Hed Side Indent 2 7 4 4" xfId="17630" xr:uid="{00000000-0005-0000-0000-0000634C0000}"/>
    <cellStyle name="Hed Side Indent 2 7 4 4 2" xfId="17631" xr:uid="{00000000-0005-0000-0000-0000644C0000}"/>
    <cellStyle name="Hed Side Indent 2 7 4 5" xfId="17632" xr:uid="{00000000-0005-0000-0000-0000654C0000}"/>
    <cellStyle name="Hed Side Indent 2 7 4 5 2" xfId="17633" xr:uid="{00000000-0005-0000-0000-0000664C0000}"/>
    <cellStyle name="Hed Side Indent 2 7 4 6" xfId="17634" xr:uid="{00000000-0005-0000-0000-0000674C0000}"/>
    <cellStyle name="Hed Side Indent 2 7 4 6 2" xfId="17635" xr:uid="{00000000-0005-0000-0000-0000684C0000}"/>
    <cellStyle name="Hed Side Indent 2 7 4 7" xfId="17636" xr:uid="{00000000-0005-0000-0000-0000694C0000}"/>
    <cellStyle name="Hed Side Indent 2 7 4 7 2" xfId="17637" xr:uid="{00000000-0005-0000-0000-00006A4C0000}"/>
    <cellStyle name="Hed Side Indent 2 7 4 8" xfId="17638" xr:uid="{00000000-0005-0000-0000-00006B4C0000}"/>
    <cellStyle name="Hed Side Indent 2 7 4 8 2" xfId="17639" xr:uid="{00000000-0005-0000-0000-00006C4C0000}"/>
    <cellStyle name="Hed Side Indent 2 7 4 9" xfId="17640" xr:uid="{00000000-0005-0000-0000-00006D4C0000}"/>
    <cellStyle name="Hed Side Indent 2 7 4 9 2" xfId="17641" xr:uid="{00000000-0005-0000-0000-00006E4C0000}"/>
    <cellStyle name="Hed Side Indent 2 7 5" xfId="17642" xr:uid="{00000000-0005-0000-0000-00006F4C0000}"/>
    <cellStyle name="Hed Side Indent 2 7 5 10" xfId="17643" xr:uid="{00000000-0005-0000-0000-0000704C0000}"/>
    <cellStyle name="Hed Side Indent 2 7 5 2" xfId="17644" xr:uid="{00000000-0005-0000-0000-0000714C0000}"/>
    <cellStyle name="Hed Side Indent 2 7 5 2 2" xfId="17645" xr:uid="{00000000-0005-0000-0000-0000724C0000}"/>
    <cellStyle name="Hed Side Indent 2 7 5 3" xfId="17646" xr:uid="{00000000-0005-0000-0000-0000734C0000}"/>
    <cellStyle name="Hed Side Indent 2 7 5 3 2" xfId="17647" xr:uid="{00000000-0005-0000-0000-0000744C0000}"/>
    <cellStyle name="Hed Side Indent 2 7 5 4" xfId="17648" xr:uid="{00000000-0005-0000-0000-0000754C0000}"/>
    <cellStyle name="Hed Side Indent 2 7 5 4 2" xfId="17649" xr:uid="{00000000-0005-0000-0000-0000764C0000}"/>
    <cellStyle name="Hed Side Indent 2 7 5 5" xfId="17650" xr:uid="{00000000-0005-0000-0000-0000774C0000}"/>
    <cellStyle name="Hed Side Indent 2 7 5 5 2" xfId="17651" xr:uid="{00000000-0005-0000-0000-0000784C0000}"/>
    <cellStyle name="Hed Side Indent 2 7 5 6" xfId="17652" xr:uid="{00000000-0005-0000-0000-0000794C0000}"/>
    <cellStyle name="Hed Side Indent 2 7 5 6 2" xfId="17653" xr:uid="{00000000-0005-0000-0000-00007A4C0000}"/>
    <cellStyle name="Hed Side Indent 2 7 5 7" xfId="17654" xr:uid="{00000000-0005-0000-0000-00007B4C0000}"/>
    <cellStyle name="Hed Side Indent 2 7 5 7 2" xfId="17655" xr:uid="{00000000-0005-0000-0000-00007C4C0000}"/>
    <cellStyle name="Hed Side Indent 2 7 5 8" xfId="17656" xr:uid="{00000000-0005-0000-0000-00007D4C0000}"/>
    <cellStyle name="Hed Side Indent 2 7 5 8 2" xfId="17657" xr:uid="{00000000-0005-0000-0000-00007E4C0000}"/>
    <cellStyle name="Hed Side Indent 2 7 5 9" xfId="17658" xr:uid="{00000000-0005-0000-0000-00007F4C0000}"/>
    <cellStyle name="Hed Side Indent 2 7 5 9 2" xfId="17659" xr:uid="{00000000-0005-0000-0000-0000804C0000}"/>
    <cellStyle name="Hed Side Indent 2 7 6" xfId="17660" xr:uid="{00000000-0005-0000-0000-0000814C0000}"/>
    <cellStyle name="Hed Side Indent 2 7 6 10" xfId="17661" xr:uid="{00000000-0005-0000-0000-0000824C0000}"/>
    <cellStyle name="Hed Side Indent 2 7 6 2" xfId="17662" xr:uid="{00000000-0005-0000-0000-0000834C0000}"/>
    <cellStyle name="Hed Side Indent 2 7 6 2 2" xfId="17663" xr:uid="{00000000-0005-0000-0000-0000844C0000}"/>
    <cellStyle name="Hed Side Indent 2 7 6 3" xfId="17664" xr:uid="{00000000-0005-0000-0000-0000854C0000}"/>
    <cellStyle name="Hed Side Indent 2 7 6 3 2" xfId="17665" xr:uid="{00000000-0005-0000-0000-0000864C0000}"/>
    <cellStyle name="Hed Side Indent 2 7 6 4" xfId="17666" xr:uid="{00000000-0005-0000-0000-0000874C0000}"/>
    <cellStyle name="Hed Side Indent 2 7 6 4 2" xfId="17667" xr:uid="{00000000-0005-0000-0000-0000884C0000}"/>
    <cellStyle name="Hed Side Indent 2 7 6 5" xfId="17668" xr:uid="{00000000-0005-0000-0000-0000894C0000}"/>
    <cellStyle name="Hed Side Indent 2 7 6 5 2" xfId="17669" xr:uid="{00000000-0005-0000-0000-00008A4C0000}"/>
    <cellStyle name="Hed Side Indent 2 7 6 6" xfId="17670" xr:uid="{00000000-0005-0000-0000-00008B4C0000}"/>
    <cellStyle name="Hed Side Indent 2 7 6 6 2" xfId="17671" xr:uid="{00000000-0005-0000-0000-00008C4C0000}"/>
    <cellStyle name="Hed Side Indent 2 7 6 7" xfId="17672" xr:uid="{00000000-0005-0000-0000-00008D4C0000}"/>
    <cellStyle name="Hed Side Indent 2 7 6 7 2" xfId="17673" xr:uid="{00000000-0005-0000-0000-00008E4C0000}"/>
    <cellStyle name="Hed Side Indent 2 7 6 8" xfId="17674" xr:uid="{00000000-0005-0000-0000-00008F4C0000}"/>
    <cellStyle name="Hed Side Indent 2 7 6 8 2" xfId="17675" xr:uid="{00000000-0005-0000-0000-0000904C0000}"/>
    <cellStyle name="Hed Side Indent 2 7 6 9" xfId="17676" xr:uid="{00000000-0005-0000-0000-0000914C0000}"/>
    <cellStyle name="Hed Side Indent 2 7 6 9 2" xfId="17677" xr:uid="{00000000-0005-0000-0000-0000924C0000}"/>
    <cellStyle name="Hed Side Indent 2 7 7" xfId="17678" xr:uid="{00000000-0005-0000-0000-0000934C0000}"/>
    <cellStyle name="Hed Side Indent 2 7 7 10" xfId="17679" xr:uid="{00000000-0005-0000-0000-0000944C0000}"/>
    <cellStyle name="Hed Side Indent 2 7 7 2" xfId="17680" xr:uid="{00000000-0005-0000-0000-0000954C0000}"/>
    <cellStyle name="Hed Side Indent 2 7 7 2 2" xfId="17681" xr:uid="{00000000-0005-0000-0000-0000964C0000}"/>
    <cellStyle name="Hed Side Indent 2 7 7 3" xfId="17682" xr:uid="{00000000-0005-0000-0000-0000974C0000}"/>
    <cellStyle name="Hed Side Indent 2 7 7 3 2" xfId="17683" xr:uid="{00000000-0005-0000-0000-0000984C0000}"/>
    <cellStyle name="Hed Side Indent 2 7 7 4" xfId="17684" xr:uid="{00000000-0005-0000-0000-0000994C0000}"/>
    <cellStyle name="Hed Side Indent 2 7 7 4 2" xfId="17685" xr:uid="{00000000-0005-0000-0000-00009A4C0000}"/>
    <cellStyle name="Hed Side Indent 2 7 7 5" xfId="17686" xr:uid="{00000000-0005-0000-0000-00009B4C0000}"/>
    <cellStyle name="Hed Side Indent 2 7 7 5 2" xfId="17687" xr:uid="{00000000-0005-0000-0000-00009C4C0000}"/>
    <cellStyle name="Hed Side Indent 2 7 7 6" xfId="17688" xr:uid="{00000000-0005-0000-0000-00009D4C0000}"/>
    <cellStyle name="Hed Side Indent 2 7 7 6 2" xfId="17689" xr:uid="{00000000-0005-0000-0000-00009E4C0000}"/>
    <cellStyle name="Hed Side Indent 2 7 7 7" xfId="17690" xr:uid="{00000000-0005-0000-0000-00009F4C0000}"/>
    <cellStyle name="Hed Side Indent 2 7 7 7 2" xfId="17691" xr:uid="{00000000-0005-0000-0000-0000A04C0000}"/>
    <cellStyle name="Hed Side Indent 2 7 7 8" xfId="17692" xr:uid="{00000000-0005-0000-0000-0000A14C0000}"/>
    <cellStyle name="Hed Side Indent 2 7 7 8 2" xfId="17693" xr:uid="{00000000-0005-0000-0000-0000A24C0000}"/>
    <cellStyle name="Hed Side Indent 2 7 7 9" xfId="17694" xr:uid="{00000000-0005-0000-0000-0000A34C0000}"/>
    <cellStyle name="Hed Side Indent 2 7 7 9 2" xfId="17695" xr:uid="{00000000-0005-0000-0000-0000A44C0000}"/>
    <cellStyle name="Hed Side Indent 2 7 8" xfId="17696" xr:uid="{00000000-0005-0000-0000-0000A54C0000}"/>
    <cellStyle name="Hed Side Indent 2 7 8 10" xfId="17697" xr:uid="{00000000-0005-0000-0000-0000A64C0000}"/>
    <cellStyle name="Hed Side Indent 2 7 8 2" xfId="17698" xr:uid="{00000000-0005-0000-0000-0000A74C0000}"/>
    <cellStyle name="Hed Side Indent 2 7 8 2 2" xfId="17699" xr:uid="{00000000-0005-0000-0000-0000A84C0000}"/>
    <cellStyle name="Hed Side Indent 2 7 8 3" xfId="17700" xr:uid="{00000000-0005-0000-0000-0000A94C0000}"/>
    <cellStyle name="Hed Side Indent 2 7 8 3 2" xfId="17701" xr:uid="{00000000-0005-0000-0000-0000AA4C0000}"/>
    <cellStyle name="Hed Side Indent 2 7 8 4" xfId="17702" xr:uid="{00000000-0005-0000-0000-0000AB4C0000}"/>
    <cellStyle name="Hed Side Indent 2 7 8 4 2" xfId="17703" xr:uid="{00000000-0005-0000-0000-0000AC4C0000}"/>
    <cellStyle name="Hed Side Indent 2 7 8 5" xfId="17704" xr:uid="{00000000-0005-0000-0000-0000AD4C0000}"/>
    <cellStyle name="Hed Side Indent 2 7 8 5 2" xfId="17705" xr:uid="{00000000-0005-0000-0000-0000AE4C0000}"/>
    <cellStyle name="Hed Side Indent 2 7 8 6" xfId="17706" xr:uid="{00000000-0005-0000-0000-0000AF4C0000}"/>
    <cellStyle name="Hed Side Indent 2 7 8 6 2" xfId="17707" xr:uid="{00000000-0005-0000-0000-0000B04C0000}"/>
    <cellStyle name="Hed Side Indent 2 7 8 7" xfId="17708" xr:uid="{00000000-0005-0000-0000-0000B14C0000}"/>
    <cellStyle name="Hed Side Indent 2 7 8 7 2" xfId="17709" xr:uid="{00000000-0005-0000-0000-0000B24C0000}"/>
    <cellStyle name="Hed Side Indent 2 7 8 8" xfId="17710" xr:uid="{00000000-0005-0000-0000-0000B34C0000}"/>
    <cellStyle name="Hed Side Indent 2 7 8 8 2" xfId="17711" xr:uid="{00000000-0005-0000-0000-0000B44C0000}"/>
    <cellStyle name="Hed Side Indent 2 7 8 9" xfId="17712" xr:uid="{00000000-0005-0000-0000-0000B54C0000}"/>
    <cellStyle name="Hed Side Indent 2 7 8 9 2" xfId="17713" xr:uid="{00000000-0005-0000-0000-0000B64C0000}"/>
    <cellStyle name="Hed Side Indent 2 7 9" xfId="17714" xr:uid="{00000000-0005-0000-0000-0000B74C0000}"/>
    <cellStyle name="Hed Side Indent 2 7 9 10" xfId="17715" xr:uid="{00000000-0005-0000-0000-0000B84C0000}"/>
    <cellStyle name="Hed Side Indent 2 7 9 2" xfId="17716" xr:uid="{00000000-0005-0000-0000-0000B94C0000}"/>
    <cellStyle name="Hed Side Indent 2 7 9 2 2" xfId="17717" xr:uid="{00000000-0005-0000-0000-0000BA4C0000}"/>
    <cellStyle name="Hed Side Indent 2 7 9 3" xfId="17718" xr:uid="{00000000-0005-0000-0000-0000BB4C0000}"/>
    <cellStyle name="Hed Side Indent 2 7 9 3 2" xfId="17719" xr:uid="{00000000-0005-0000-0000-0000BC4C0000}"/>
    <cellStyle name="Hed Side Indent 2 7 9 4" xfId="17720" xr:uid="{00000000-0005-0000-0000-0000BD4C0000}"/>
    <cellStyle name="Hed Side Indent 2 7 9 4 2" xfId="17721" xr:uid="{00000000-0005-0000-0000-0000BE4C0000}"/>
    <cellStyle name="Hed Side Indent 2 7 9 5" xfId="17722" xr:uid="{00000000-0005-0000-0000-0000BF4C0000}"/>
    <cellStyle name="Hed Side Indent 2 7 9 5 2" xfId="17723" xr:uid="{00000000-0005-0000-0000-0000C04C0000}"/>
    <cellStyle name="Hed Side Indent 2 7 9 6" xfId="17724" xr:uid="{00000000-0005-0000-0000-0000C14C0000}"/>
    <cellStyle name="Hed Side Indent 2 7 9 6 2" xfId="17725" xr:uid="{00000000-0005-0000-0000-0000C24C0000}"/>
    <cellStyle name="Hed Side Indent 2 7 9 7" xfId="17726" xr:uid="{00000000-0005-0000-0000-0000C34C0000}"/>
    <cellStyle name="Hed Side Indent 2 7 9 7 2" xfId="17727" xr:uid="{00000000-0005-0000-0000-0000C44C0000}"/>
    <cellStyle name="Hed Side Indent 2 7 9 8" xfId="17728" xr:uid="{00000000-0005-0000-0000-0000C54C0000}"/>
    <cellStyle name="Hed Side Indent 2 7 9 8 2" xfId="17729" xr:uid="{00000000-0005-0000-0000-0000C64C0000}"/>
    <cellStyle name="Hed Side Indent 2 7 9 9" xfId="17730" xr:uid="{00000000-0005-0000-0000-0000C74C0000}"/>
    <cellStyle name="Hed Side Indent 2 7 9 9 2" xfId="17731" xr:uid="{00000000-0005-0000-0000-0000C84C0000}"/>
    <cellStyle name="Hed Side Indent 2 8" xfId="17732" xr:uid="{00000000-0005-0000-0000-0000C94C0000}"/>
    <cellStyle name="Hed Side Indent 2 8 10" xfId="17733" xr:uid="{00000000-0005-0000-0000-0000CA4C0000}"/>
    <cellStyle name="Hed Side Indent 2 8 10 2" xfId="17734" xr:uid="{00000000-0005-0000-0000-0000CB4C0000}"/>
    <cellStyle name="Hed Side Indent 2 8 10 2 2" xfId="17735" xr:uid="{00000000-0005-0000-0000-0000CC4C0000}"/>
    <cellStyle name="Hed Side Indent 2 8 10 3" xfId="17736" xr:uid="{00000000-0005-0000-0000-0000CD4C0000}"/>
    <cellStyle name="Hed Side Indent 2 8 10 3 2" xfId="17737" xr:uid="{00000000-0005-0000-0000-0000CE4C0000}"/>
    <cellStyle name="Hed Side Indent 2 8 10 4" xfId="17738" xr:uid="{00000000-0005-0000-0000-0000CF4C0000}"/>
    <cellStyle name="Hed Side Indent 2 8 10 4 2" xfId="17739" xr:uid="{00000000-0005-0000-0000-0000D04C0000}"/>
    <cellStyle name="Hed Side Indent 2 8 10 5" xfId="17740" xr:uid="{00000000-0005-0000-0000-0000D14C0000}"/>
    <cellStyle name="Hed Side Indent 2 8 10 5 2" xfId="17741" xr:uid="{00000000-0005-0000-0000-0000D24C0000}"/>
    <cellStyle name="Hed Side Indent 2 8 10 6" xfId="17742" xr:uid="{00000000-0005-0000-0000-0000D34C0000}"/>
    <cellStyle name="Hed Side Indent 2 8 10 6 2" xfId="17743" xr:uid="{00000000-0005-0000-0000-0000D44C0000}"/>
    <cellStyle name="Hed Side Indent 2 8 10 7" xfId="17744" xr:uid="{00000000-0005-0000-0000-0000D54C0000}"/>
    <cellStyle name="Hed Side Indent 2 8 10 7 2" xfId="17745" xr:uid="{00000000-0005-0000-0000-0000D64C0000}"/>
    <cellStyle name="Hed Side Indent 2 8 10 8" xfId="17746" xr:uid="{00000000-0005-0000-0000-0000D74C0000}"/>
    <cellStyle name="Hed Side Indent 2 8 10 8 2" xfId="17747" xr:uid="{00000000-0005-0000-0000-0000D84C0000}"/>
    <cellStyle name="Hed Side Indent 2 8 10 9" xfId="17748" xr:uid="{00000000-0005-0000-0000-0000D94C0000}"/>
    <cellStyle name="Hed Side Indent 2 8 11" xfId="17749" xr:uid="{00000000-0005-0000-0000-0000DA4C0000}"/>
    <cellStyle name="Hed Side Indent 2 8 11 2" xfId="17750" xr:uid="{00000000-0005-0000-0000-0000DB4C0000}"/>
    <cellStyle name="Hed Side Indent 2 8 12" xfId="17751" xr:uid="{00000000-0005-0000-0000-0000DC4C0000}"/>
    <cellStyle name="Hed Side Indent 2 8 12 2" xfId="17752" xr:uid="{00000000-0005-0000-0000-0000DD4C0000}"/>
    <cellStyle name="Hed Side Indent 2 8 13" xfId="17753" xr:uid="{00000000-0005-0000-0000-0000DE4C0000}"/>
    <cellStyle name="Hed Side Indent 2 8 13 2" xfId="17754" xr:uid="{00000000-0005-0000-0000-0000DF4C0000}"/>
    <cellStyle name="Hed Side Indent 2 8 14" xfId="17755" xr:uid="{00000000-0005-0000-0000-0000E04C0000}"/>
    <cellStyle name="Hed Side Indent 2 8 14 2" xfId="17756" xr:uid="{00000000-0005-0000-0000-0000E14C0000}"/>
    <cellStyle name="Hed Side Indent 2 8 15" xfId="17757" xr:uid="{00000000-0005-0000-0000-0000E24C0000}"/>
    <cellStyle name="Hed Side Indent 2 8 15 2" xfId="17758" xr:uid="{00000000-0005-0000-0000-0000E34C0000}"/>
    <cellStyle name="Hed Side Indent 2 8 16" xfId="17759" xr:uid="{00000000-0005-0000-0000-0000E44C0000}"/>
    <cellStyle name="Hed Side Indent 2 8 16 2" xfId="17760" xr:uid="{00000000-0005-0000-0000-0000E54C0000}"/>
    <cellStyle name="Hed Side Indent 2 8 17" xfId="17761" xr:uid="{00000000-0005-0000-0000-0000E64C0000}"/>
    <cellStyle name="Hed Side Indent 2 8 17 2" xfId="17762" xr:uid="{00000000-0005-0000-0000-0000E74C0000}"/>
    <cellStyle name="Hed Side Indent 2 8 18" xfId="17763" xr:uid="{00000000-0005-0000-0000-0000E84C0000}"/>
    <cellStyle name="Hed Side Indent 2 8 2" xfId="17764" xr:uid="{00000000-0005-0000-0000-0000E94C0000}"/>
    <cellStyle name="Hed Side Indent 2 8 2 10" xfId="17765" xr:uid="{00000000-0005-0000-0000-0000EA4C0000}"/>
    <cellStyle name="Hed Side Indent 2 8 2 2" xfId="17766" xr:uid="{00000000-0005-0000-0000-0000EB4C0000}"/>
    <cellStyle name="Hed Side Indent 2 8 2 2 2" xfId="17767" xr:uid="{00000000-0005-0000-0000-0000EC4C0000}"/>
    <cellStyle name="Hed Side Indent 2 8 2 3" xfId="17768" xr:uid="{00000000-0005-0000-0000-0000ED4C0000}"/>
    <cellStyle name="Hed Side Indent 2 8 2 3 2" xfId="17769" xr:uid="{00000000-0005-0000-0000-0000EE4C0000}"/>
    <cellStyle name="Hed Side Indent 2 8 2 4" xfId="17770" xr:uid="{00000000-0005-0000-0000-0000EF4C0000}"/>
    <cellStyle name="Hed Side Indent 2 8 2 4 2" xfId="17771" xr:uid="{00000000-0005-0000-0000-0000F04C0000}"/>
    <cellStyle name="Hed Side Indent 2 8 2 5" xfId="17772" xr:uid="{00000000-0005-0000-0000-0000F14C0000}"/>
    <cellStyle name="Hed Side Indent 2 8 2 5 2" xfId="17773" xr:uid="{00000000-0005-0000-0000-0000F24C0000}"/>
    <cellStyle name="Hed Side Indent 2 8 2 6" xfId="17774" xr:uid="{00000000-0005-0000-0000-0000F34C0000}"/>
    <cellStyle name="Hed Side Indent 2 8 2 6 2" xfId="17775" xr:uid="{00000000-0005-0000-0000-0000F44C0000}"/>
    <cellStyle name="Hed Side Indent 2 8 2 7" xfId="17776" xr:uid="{00000000-0005-0000-0000-0000F54C0000}"/>
    <cellStyle name="Hed Side Indent 2 8 2 7 2" xfId="17777" xr:uid="{00000000-0005-0000-0000-0000F64C0000}"/>
    <cellStyle name="Hed Side Indent 2 8 2 8" xfId="17778" xr:uid="{00000000-0005-0000-0000-0000F74C0000}"/>
    <cellStyle name="Hed Side Indent 2 8 2 8 2" xfId="17779" xr:uid="{00000000-0005-0000-0000-0000F84C0000}"/>
    <cellStyle name="Hed Side Indent 2 8 2 9" xfId="17780" xr:uid="{00000000-0005-0000-0000-0000F94C0000}"/>
    <cellStyle name="Hed Side Indent 2 8 2 9 2" xfId="17781" xr:uid="{00000000-0005-0000-0000-0000FA4C0000}"/>
    <cellStyle name="Hed Side Indent 2 8 3" xfId="17782" xr:uid="{00000000-0005-0000-0000-0000FB4C0000}"/>
    <cellStyle name="Hed Side Indent 2 8 3 10" xfId="17783" xr:uid="{00000000-0005-0000-0000-0000FC4C0000}"/>
    <cellStyle name="Hed Side Indent 2 8 3 2" xfId="17784" xr:uid="{00000000-0005-0000-0000-0000FD4C0000}"/>
    <cellStyle name="Hed Side Indent 2 8 3 2 2" xfId="17785" xr:uid="{00000000-0005-0000-0000-0000FE4C0000}"/>
    <cellStyle name="Hed Side Indent 2 8 3 3" xfId="17786" xr:uid="{00000000-0005-0000-0000-0000FF4C0000}"/>
    <cellStyle name="Hed Side Indent 2 8 3 3 2" xfId="17787" xr:uid="{00000000-0005-0000-0000-0000004D0000}"/>
    <cellStyle name="Hed Side Indent 2 8 3 4" xfId="17788" xr:uid="{00000000-0005-0000-0000-0000014D0000}"/>
    <cellStyle name="Hed Side Indent 2 8 3 4 2" xfId="17789" xr:uid="{00000000-0005-0000-0000-0000024D0000}"/>
    <cellStyle name="Hed Side Indent 2 8 3 5" xfId="17790" xr:uid="{00000000-0005-0000-0000-0000034D0000}"/>
    <cellStyle name="Hed Side Indent 2 8 3 5 2" xfId="17791" xr:uid="{00000000-0005-0000-0000-0000044D0000}"/>
    <cellStyle name="Hed Side Indent 2 8 3 6" xfId="17792" xr:uid="{00000000-0005-0000-0000-0000054D0000}"/>
    <cellStyle name="Hed Side Indent 2 8 3 6 2" xfId="17793" xr:uid="{00000000-0005-0000-0000-0000064D0000}"/>
    <cellStyle name="Hed Side Indent 2 8 3 7" xfId="17794" xr:uid="{00000000-0005-0000-0000-0000074D0000}"/>
    <cellStyle name="Hed Side Indent 2 8 3 7 2" xfId="17795" xr:uid="{00000000-0005-0000-0000-0000084D0000}"/>
    <cellStyle name="Hed Side Indent 2 8 3 8" xfId="17796" xr:uid="{00000000-0005-0000-0000-0000094D0000}"/>
    <cellStyle name="Hed Side Indent 2 8 3 8 2" xfId="17797" xr:uid="{00000000-0005-0000-0000-00000A4D0000}"/>
    <cellStyle name="Hed Side Indent 2 8 3 9" xfId="17798" xr:uid="{00000000-0005-0000-0000-00000B4D0000}"/>
    <cellStyle name="Hed Side Indent 2 8 3 9 2" xfId="17799" xr:uid="{00000000-0005-0000-0000-00000C4D0000}"/>
    <cellStyle name="Hed Side Indent 2 8 4" xfId="17800" xr:uid="{00000000-0005-0000-0000-00000D4D0000}"/>
    <cellStyle name="Hed Side Indent 2 8 4 10" xfId="17801" xr:uid="{00000000-0005-0000-0000-00000E4D0000}"/>
    <cellStyle name="Hed Side Indent 2 8 4 2" xfId="17802" xr:uid="{00000000-0005-0000-0000-00000F4D0000}"/>
    <cellStyle name="Hed Side Indent 2 8 4 2 2" xfId="17803" xr:uid="{00000000-0005-0000-0000-0000104D0000}"/>
    <cellStyle name="Hed Side Indent 2 8 4 3" xfId="17804" xr:uid="{00000000-0005-0000-0000-0000114D0000}"/>
    <cellStyle name="Hed Side Indent 2 8 4 3 2" xfId="17805" xr:uid="{00000000-0005-0000-0000-0000124D0000}"/>
    <cellStyle name="Hed Side Indent 2 8 4 4" xfId="17806" xr:uid="{00000000-0005-0000-0000-0000134D0000}"/>
    <cellStyle name="Hed Side Indent 2 8 4 4 2" xfId="17807" xr:uid="{00000000-0005-0000-0000-0000144D0000}"/>
    <cellStyle name="Hed Side Indent 2 8 4 5" xfId="17808" xr:uid="{00000000-0005-0000-0000-0000154D0000}"/>
    <cellStyle name="Hed Side Indent 2 8 4 5 2" xfId="17809" xr:uid="{00000000-0005-0000-0000-0000164D0000}"/>
    <cellStyle name="Hed Side Indent 2 8 4 6" xfId="17810" xr:uid="{00000000-0005-0000-0000-0000174D0000}"/>
    <cellStyle name="Hed Side Indent 2 8 4 6 2" xfId="17811" xr:uid="{00000000-0005-0000-0000-0000184D0000}"/>
    <cellStyle name="Hed Side Indent 2 8 4 7" xfId="17812" xr:uid="{00000000-0005-0000-0000-0000194D0000}"/>
    <cellStyle name="Hed Side Indent 2 8 4 7 2" xfId="17813" xr:uid="{00000000-0005-0000-0000-00001A4D0000}"/>
    <cellStyle name="Hed Side Indent 2 8 4 8" xfId="17814" xr:uid="{00000000-0005-0000-0000-00001B4D0000}"/>
    <cellStyle name="Hed Side Indent 2 8 4 8 2" xfId="17815" xr:uid="{00000000-0005-0000-0000-00001C4D0000}"/>
    <cellStyle name="Hed Side Indent 2 8 4 9" xfId="17816" xr:uid="{00000000-0005-0000-0000-00001D4D0000}"/>
    <cellStyle name="Hed Side Indent 2 8 4 9 2" xfId="17817" xr:uid="{00000000-0005-0000-0000-00001E4D0000}"/>
    <cellStyle name="Hed Side Indent 2 8 5" xfId="17818" xr:uid="{00000000-0005-0000-0000-00001F4D0000}"/>
    <cellStyle name="Hed Side Indent 2 8 5 10" xfId="17819" xr:uid="{00000000-0005-0000-0000-0000204D0000}"/>
    <cellStyle name="Hed Side Indent 2 8 5 2" xfId="17820" xr:uid="{00000000-0005-0000-0000-0000214D0000}"/>
    <cellStyle name="Hed Side Indent 2 8 5 2 2" xfId="17821" xr:uid="{00000000-0005-0000-0000-0000224D0000}"/>
    <cellStyle name="Hed Side Indent 2 8 5 3" xfId="17822" xr:uid="{00000000-0005-0000-0000-0000234D0000}"/>
    <cellStyle name="Hed Side Indent 2 8 5 3 2" xfId="17823" xr:uid="{00000000-0005-0000-0000-0000244D0000}"/>
    <cellStyle name="Hed Side Indent 2 8 5 4" xfId="17824" xr:uid="{00000000-0005-0000-0000-0000254D0000}"/>
    <cellStyle name="Hed Side Indent 2 8 5 4 2" xfId="17825" xr:uid="{00000000-0005-0000-0000-0000264D0000}"/>
    <cellStyle name="Hed Side Indent 2 8 5 5" xfId="17826" xr:uid="{00000000-0005-0000-0000-0000274D0000}"/>
    <cellStyle name="Hed Side Indent 2 8 5 5 2" xfId="17827" xr:uid="{00000000-0005-0000-0000-0000284D0000}"/>
    <cellStyle name="Hed Side Indent 2 8 5 6" xfId="17828" xr:uid="{00000000-0005-0000-0000-0000294D0000}"/>
    <cellStyle name="Hed Side Indent 2 8 5 6 2" xfId="17829" xr:uid="{00000000-0005-0000-0000-00002A4D0000}"/>
    <cellStyle name="Hed Side Indent 2 8 5 7" xfId="17830" xr:uid="{00000000-0005-0000-0000-00002B4D0000}"/>
    <cellStyle name="Hed Side Indent 2 8 5 7 2" xfId="17831" xr:uid="{00000000-0005-0000-0000-00002C4D0000}"/>
    <cellStyle name="Hed Side Indent 2 8 5 8" xfId="17832" xr:uid="{00000000-0005-0000-0000-00002D4D0000}"/>
    <cellStyle name="Hed Side Indent 2 8 5 8 2" xfId="17833" xr:uid="{00000000-0005-0000-0000-00002E4D0000}"/>
    <cellStyle name="Hed Side Indent 2 8 5 9" xfId="17834" xr:uid="{00000000-0005-0000-0000-00002F4D0000}"/>
    <cellStyle name="Hed Side Indent 2 8 5 9 2" xfId="17835" xr:uid="{00000000-0005-0000-0000-0000304D0000}"/>
    <cellStyle name="Hed Side Indent 2 8 6" xfId="17836" xr:uid="{00000000-0005-0000-0000-0000314D0000}"/>
    <cellStyle name="Hed Side Indent 2 8 6 10" xfId="17837" xr:uid="{00000000-0005-0000-0000-0000324D0000}"/>
    <cellStyle name="Hed Side Indent 2 8 6 2" xfId="17838" xr:uid="{00000000-0005-0000-0000-0000334D0000}"/>
    <cellStyle name="Hed Side Indent 2 8 6 2 2" xfId="17839" xr:uid="{00000000-0005-0000-0000-0000344D0000}"/>
    <cellStyle name="Hed Side Indent 2 8 6 3" xfId="17840" xr:uid="{00000000-0005-0000-0000-0000354D0000}"/>
    <cellStyle name="Hed Side Indent 2 8 6 3 2" xfId="17841" xr:uid="{00000000-0005-0000-0000-0000364D0000}"/>
    <cellStyle name="Hed Side Indent 2 8 6 4" xfId="17842" xr:uid="{00000000-0005-0000-0000-0000374D0000}"/>
    <cellStyle name="Hed Side Indent 2 8 6 4 2" xfId="17843" xr:uid="{00000000-0005-0000-0000-0000384D0000}"/>
    <cellStyle name="Hed Side Indent 2 8 6 5" xfId="17844" xr:uid="{00000000-0005-0000-0000-0000394D0000}"/>
    <cellStyle name="Hed Side Indent 2 8 6 5 2" xfId="17845" xr:uid="{00000000-0005-0000-0000-00003A4D0000}"/>
    <cellStyle name="Hed Side Indent 2 8 6 6" xfId="17846" xr:uid="{00000000-0005-0000-0000-00003B4D0000}"/>
    <cellStyle name="Hed Side Indent 2 8 6 6 2" xfId="17847" xr:uid="{00000000-0005-0000-0000-00003C4D0000}"/>
    <cellStyle name="Hed Side Indent 2 8 6 7" xfId="17848" xr:uid="{00000000-0005-0000-0000-00003D4D0000}"/>
    <cellStyle name="Hed Side Indent 2 8 6 7 2" xfId="17849" xr:uid="{00000000-0005-0000-0000-00003E4D0000}"/>
    <cellStyle name="Hed Side Indent 2 8 6 8" xfId="17850" xr:uid="{00000000-0005-0000-0000-00003F4D0000}"/>
    <cellStyle name="Hed Side Indent 2 8 6 8 2" xfId="17851" xr:uid="{00000000-0005-0000-0000-0000404D0000}"/>
    <cellStyle name="Hed Side Indent 2 8 6 9" xfId="17852" xr:uid="{00000000-0005-0000-0000-0000414D0000}"/>
    <cellStyle name="Hed Side Indent 2 8 6 9 2" xfId="17853" xr:uid="{00000000-0005-0000-0000-0000424D0000}"/>
    <cellStyle name="Hed Side Indent 2 8 7" xfId="17854" xr:uid="{00000000-0005-0000-0000-0000434D0000}"/>
    <cellStyle name="Hed Side Indent 2 8 7 10" xfId="17855" xr:uid="{00000000-0005-0000-0000-0000444D0000}"/>
    <cellStyle name="Hed Side Indent 2 8 7 2" xfId="17856" xr:uid="{00000000-0005-0000-0000-0000454D0000}"/>
    <cellStyle name="Hed Side Indent 2 8 7 2 2" xfId="17857" xr:uid="{00000000-0005-0000-0000-0000464D0000}"/>
    <cellStyle name="Hed Side Indent 2 8 7 3" xfId="17858" xr:uid="{00000000-0005-0000-0000-0000474D0000}"/>
    <cellStyle name="Hed Side Indent 2 8 7 3 2" xfId="17859" xr:uid="{00000000-0005-0000-0000-0000484D0000}"/>
    <cellStyle name="Hed Side Indent 2 8 7 4" xfId="17860" xr:uid="{00000000-0005-0000-0000-0000494D0000}"/>
    <cellStyle name="Hed Side Indent 2 8 7 4 2" xfId="17861" xr:uid="{00000000-0005-0000-0000-00004A4D0000}"/>
    <cellStyle name="Hed Side Indent 2 8 7 5" xfId="17862" xr:uid="{00000000-0005-0000-0000-00004B4D0000}"/>
    <cellStyle name="Hed Side Indent 2 8 7 5 2" xfId="17863" xr:uid="{00000000-0005-0000-0000-00004C4D0000}"/>
    <cellStyle name="Hed Side Indent 2 8 7 6" xfId="17864" xr:uid="{00000000-0005-0000-0000-00004D4D0000}"/>
    <cellStyle name="Hed Side Indent 2 8 7 6 2" xfId="17865" xr:uid="{00000000-0005-0000-0000-00004E4D0000}"/>
    <cellStyle name="Hed Side Indent 2 8 7 7" xfId="17866" xr:uid="{00000000-0005-0000-0000-00004F4D0000}"/>
    <cellStyle name="Hed Side Indent 2 8 7 7 2" xfId="17867" xr:uid="{00000000-0005-0000-0000-0000504D0000}"/>
    <cellStyle name="Hed Side Indent 2 8 7 8" xfId="17868" xr:uid="{00000000-0005-0000-0000-0000514D0000}"/>
    <cellStyle name="Hed Side Indent 2 8 7 8 2" xfId="17869" xr:uid="{00000000-0005-0000-0000-0000524D0000}"/>
    <cellStyle name="Hed Side Indent 2 8 7 9" xfId="17870" xr:uid="{00000000-0005-0000-0000-0000534D0000}"/>
    <cellStyle name="Hed Side Indent 2 8 7 9 2" xfId="17871" xr:uid="{00000000-0005-0000-0000-0000544D0000}"/>
    <cellStyle name="Hed Side Indent 2 8 8" xfId="17872" xr:uid="{00000000-0005-0000-0000-0000554D0000}"/>
    <cellStyle name="Hed Side Indent 2 8 8 10" xfId="17873" xr:uid="{00000000-0005-0000-0000-0000564D0000}"/>
    <cellStyle name="Hed Side Indent 2 8 8 2" xfId="17874" xr:uid="{00000000-0005-0000-0000-0000574D0000}"/>
    <cellStyle name="Hed Side Indent 2 8 8 2 2" xfId="17875" xr:uid="{00000000-0005-0000-0000-0000584D0000}"/>
    <cellStyle name="Hed Side Indent 2 8 8 3" xfId="17876" xr:uid="{00000000-0005-0000-0000-0000594D0000}"/>
    <cellStyle name="Hed Side Indent 2 8 8 3 2" xfId="17877" xr:uid="{00000000-0005-0000-0000-00005A4D0000}"/>
    <cellStyle name="Hed Side Indent 2 8 8 4" xfId="17878" xr:uid="{00000000-0005-0000-0000-00005B4D0000}"/>
    <cellStyle name="Hed Side Indent 2 8 8 4 2" xfId="17879" xr:uid="{00000000-0005-0000-0000-00005C4D0000}"/>
    <cellStyle name="Hed Side Indent 2 8 8 5" xfId="17880" xr:uid="{00000000-0005-0000-0000-00005D4D0000}"/>
    <cellStyle name="Hed Side Indent 2 8 8 5 2" xfId="17881" xr:uid="{00000000-0005-0000-0000-00005E4D0000}"/>
    <cellStyle name="Hed Side Indent 2 8 8 6" xfId="17882" xr:uid="{00000000-0005-0000-0000-00005F4D0000}"/>
    <cellStyle name="Hed Side Indent 2 8 8 6 2" xfId="17883" xr:uid="{00000000-0005-0000-0000-0000604D0000}"/>
    <cellStyle name="Hed Side Indent 2 8 8 7" xfId="17884" xr:uid="{00000000-0005-0000-0000-0000614D0000}"/>
    <cellStyle name="Hed Side Indent 2 8 8 7 2" xfId="17885" xr:uid="{00000000-0005-0000-0000-0000624D0000}"/>
    <cellStyle name="Hed Side Indent 2 8 8 8" xfId="17886" xr:uid="{00000000-0005-0000-0000-0000634D0000}"/>
    <cellStyle name="Hed Side Indent 2 8 8 8 2" xfId="17887" xr:uid="{00000000-0005-0000-0000-0000644D0000}"/>
    <cellStyle name="Hed Side Indent 2 8 8 9" xfId="17888" xr:uid="{00000000-0005-0000-0000-0000654D0000}"/>
    <cellStyle name="Hed Side Indent 2 8 8 9 2" xfId="17889" xr:uid="{00000000-0005-0000-0000-0000664D0000}"/>
    <cellStyle name="Hed Side Indent 2 8 9" xfId="17890" xr:uid="{00000000-0005-0000-0000-0000674D0000}"/>
    <cellStyle name="Hed Side Indent 2 8 9 10" xfId="17891" xr:uid="{00000000-0005-0000-0000-0000684D0000}"/>
    <cellStyle name="Hed Side Indent 2 8 9 2" xfId="17892" xr:uid="{00000000-0005-0000-0000-0000694D0000}"/>
    <cellStyle name="Hed Side Indent 2 8 9 2 2" xfId="17893" xr:uid="{00000000-0005-0000-0000-00006A4D0000}"/>
    <cellStyle name="Hed Side Indent 2 8 9 3" xfId="17894" xr:uid="{00000000-0005-0000-0000-00006B4D0000}"/>
    <cellStyle name="Hed Side Indent 2 8 9 3 2" xfId="17895" xr:uid="{00000000-0005-0000-0000-00006C4D0000}"/>
    <cellStyle name="Hed Side Indent 2 8 9 4" xfId="17896" xr:uid="{00000000-0005-0000-0000-00006D4D0000}"/>
    <cellStyle name="Hed Side Indent 2 8 9 4 2" xfId="17897" xr:uid="{00000000-0005-0000-0000-00006E4D0000}"/>
    <cellStyle name="Hed Side Indent 2 8 9 5" xfId="17898" xr:uid="{00000000-0005-0000-0000-00006F4D0000}"/>
    <cellStyle name="Hed Side Indent 2 8 9 5 2" xfId="17899" xr:uid="{00000000-0005-0000-0000-0000704D0000}"/>
    <cellStyle name="Hed Side Indent 2 8 9 6" xfId="17900" xr:uid="{00000000-0005-0000-0000-0000714D0000}"/>
    <cellStyle name="Hed Side Indent 2 8 9 6 2" xfId="17901" xr:uid="{00000000-0005-0000-0000-0000724D0000}"/>
    <cellStyle name="Hed Side Indent 2 8 9 7" xfId="17902" xr:uid="{00000000-0005-0000-0000-0000734D0000}"/>
    <cellStyle name="Hed Side Indent 2 8 9 7 2" xfId="17903" xr:uid="{00000000-0005-0000-0000-0000744D0000}"/>
    <cellStyle name="Hed Side Indent 2 8 9 8" xfId="17904" xr:uid="{00000000-0005-0000-0000-0000754D0000}"/>
    <cellStyle name="Hed Side Indent 2 8 9 8 2" xfId="17905" xr:uid="{00000000-0005-0000-0000-0000764D0000}"/>
    <cellStyle name="Hed Side Indent 2 8 9 9" xfId="17906" xr:uid="{00000000-0005-0000-0000-0000774D0000}"/>
    <cellStyle name="Hed Side Indent 2 8 9 9 2" xfId="17907" xr:uid="{00000000-0005-0000-0000-0000784D0000}"/>
    <cellStyle name="Hed Side Indent 3" xfId="171" xr:uid="{00000000-0005-0000-0000-0000794D0000}"/>
    <cellStyle name="Hed Side Indent 3 2" xfId="17908" xr:uid="{00000000-0005-0000-0000-00007A4D0000}"/>
    <cellStyle name="Hed Side Indent 3 2 10" xfId="17909" xr:uid="{00000000-0005-0000-0000-00007B4D0000}"/>
    <cellStyle name="Hed Side Indent 3 2 10 10" xfId="17910" xr:uid="{00000000-0005-0000-0000-00007C4D0000}"/>
    <cellStyle name="Hed Side Indent 3 2 10 2" xfId="17911" xr:uid="{00000000-0005-0000-0000-00007D4D0000}"/>
    <cellStyle name="Hed Side Indent 3 2 10 2 2" xfId="17912" xr:uid="{00000000-0005-0000-0000-00007E4D0000}"/>
    <cellStyle name="Hed Side Indent 3 2 10 3" xfId="17913" xr:uid="{00000000-0005-0000-0000-00007F4D0000}"/>
    <cellStyle name="Hed Side Indent 3 2 10 3 2" xfId="17914" xr:uid="{00000000-0005-0000-0000-0000804D0000}"/>
    <cellStyle name="Hed Side Indent 3 2 10 4" xfId="17915" xr:uid="{00000000-0005-0000-0000-0000814D0000}"/>
    <cellStyle name="Hed Side Indent 3 2 10 4 2" xfId="17916" xr:uid="{00000000-0005-0000-0000-0000824D0000}"/>
    <cellStyle name="Hed Side Indent 3 2 10 5" xfId="17917" xr:uid="{00000000-0005-0000-0000-0000834D0000}"/>
    <cellStyle name="Hed Side Indent 3 2 10 5 2" xfId="17918" xr:uid="{00000000-0005-0000-0000-0000844D0000}"/>
    <cellStyle name="Hed Side Indent 3 2 10 6" xfId="17919" xr:uid="{00000000-0005-0000-0000-0000854D0000}"/>
    <cellStyle name="Hed Side Indent 3 2 10 6 2" xfId="17920" xr:uid="{00000000-0005-0000-0000-0000864D0000}"/>
    <cellStyle name="Hed Side Indent 3 2 10 7" xfId="17921" xr:uid="{00000000-0005-0000-0000-0000874D0000}"/>
    <cellStyle name="Hed Side Indent 3 2 10 7 2" xfId="17922" xr:uid="{00000000-0005-0000-0000-0000884D0000}"/>
    <cellStyle name="Hed Side Indent 3 2 10 8" xfId="17923" xr:uid="{00000000-0005-0000-0000-0000894D0000}"/>
    <cellStyle name="Hed Side Indent 3 2 10 8 2" xfId="17924" xr:uid="{00000000-0005-0000-0000-00008A4D0000}"/>
    <cellStyle name="Hed Side Indent 3 2 10 9" xfId="17925" xr:uid="{00000000-0005-0000-0000-00008B4D0000}"/>
    <cellStyle name="Hed Side Indent 3 2 10 9 2" xfId="17926" xr:uid="{00000000-0005-0000-0000-00008C4D0000}"/>
    <cellStyle name="Hed Side Indent 3 2 11" xfId="17927" xr:uid="{00000000-0005-0000-0000-00008D4D0000}"/>
    <cellStyle name="Hed Side Indent 3 2 11 2" xfId="17928" xr:uid="{00000000-0005-0000-0000-00008E4D0000}"/>
    <cellStyle name="Hed Side Indent 3 2 11 2 2" xfId="17929" xr:uid="{00000000-0005-0000-0000-00008F4D0000}"/>
    <cellStyle name="Hed Side Indent 3 2 11 3" xfId="17930" xr:uid="{00000000-0005-0000-0000-0000904D0000}"/>
    <cellStyle name="Hed Side Indent 3 2 11 3 2" xfId="17931" xr:uid="{00000000-0005-0000-0000-0000914D0000}"/>
    <cellStyle name="Hed Side Indent 3 2 11 4" xfId="17932" xr:uid="{00000000-0005-0000-0000-0000924D0000}"/>
    <cellStyle name="Hed Side Indent 3 2 11 4 2" xfId="17933" xr:uid="{00000000-0005-0000-0000-0000934D0000}"/>
    <cellStyle name="Hed Side Indent 3 2 11 5" xfId="17934" xr:uid="{00000000-0005-0000-0000-0000944D0000}"/>
    <cellStyle name="Hed Side Indent 3 2 11 5 2" xfId="17935" xr:uid="{00000000-0005-0000-0000-0000954D0000}"/>
    <cellStyle name="Hed Side Indent 3 2 11 6" xfId="17936" xr:uid="{00000000-0005-0000-0000-0000964D0000}"/>
    <cellStyle name="Hed Side Indent 3 2 11 6 2" xfId="17937" xr:uid="{00000000-0005-0000-0000-0000974D0000}"/>
    <cellStyle name="Hed Side Indent 3 2 11 7" xfId="17938" xr:uid="{00000000-0005-0000-0000-0000984D0000}"/>
    <cellStyle name="Hed Side Indent 3 2 11 7 2" xfId="17939" xr:uid="{00000000-0005-0000-0000-0000994D0000}"/>
    <cellStyle name="Hed Side Indent 3 2 11 8" xfId="17940" xr:uid="{00000000-0005-0000-0000-00009A4D0000}"/>
    <cellStyle name="Hed Side Indent 3 2 11 8 2" xfId="17941" xr:uid="{00000000-0005-0000-0000-00009B4D0000}"/>
    <cellStyle name="Hed Side Indent 3 2 11 9" xfId="17942" xr:uid="{00000000-0005-0000-0000-00009C4D0000}"/>
    <cellStyle name="Hed Side Indent 3 2 2" xfId="17943" xr:uid="{00000000-0005-0000-0000-00009D4D0000}"/>
    <cellStyle name="Hed Side Indent 3 2 2 10" xfId="17944" xr:uid="{00000000-0005-0000-0000-00009E4D0000}"/>
    <cellStyle name="Hed Side Indent 3 2 2 2" xfId="17945" xr:uid="{00000000-0005-0000-0000-00009F4D0000}"/>
    <cellStyle name="Hed Side Indent 3 2 2 2 2" xfId="17946" xr:uid="{00000000-0005-0000-0000-0000A04D0000}"/>
    <cellStyle name="Hed Side Indent 3 2 2 3" xfId="17947" xr:uid="{00000000-0005-0000-0000-0000A14D0000}"/>
    <cellStyle name="Hed Side Indent 3 2 2 3 2" xfId="17948" xr:uid="{00000000-0005-0000-0000-0000A24D0000}"/>
    <cellStyle name="Hed Side Indent 3 2 2 4" xfId="17949" xr:uid="{00000000-0005-0000-0000-0000A34D0000}"/>
    <cellStyle name="Hed Side Indent 3 2 2 4 2" xfId="17950" xr:uid="{00000000-0005-0000-0000-0000A44D0000}"/>
    <cellStyle name="Hed Side Indent 3 2 2 5" xfId="17951" xr:uid="{00000000-0005-0000-0000-0000A54D0000}"/>
    <cellStyle name="Hed Side Indent 3 2 2 5 2" xfId="17952" xr:uid="{00000000-0005-0000-0000-0000A64D0000}"/>
    <cellStyle name="Hed Side Indent 3 2 2 6" xfId="17953" xr:uid="{00000000-0005-0000-0000-0000A74D0000}"/>
    <cellStyle name="Hed Side Indent 3 2 2 6 2" xfId="17954" xr:uid="{00000000-0005-0000-0000-0000A84D0000}"/>
    <cellStyle name="Hed Side Indent 3 2 2 7" xfId="17955" xr:uid="{00000000-0005-0000-0000-0000A94D0000}"/>
    <cellStyle name="Hed Side Indent 3 2 2 7 2" xfId="17956" xr:uid="{00000000-0005-0000-0000-0000AA4D0000}"/>
    <cellStyle name="Hed Side Indent 3 2 2 8" xfId="17957" xr:uid="{00000000-0005-0000-0000-0000AB4D0000}"/>
    <cellStyle name="Hed Side Indent 3 2 2 8 2" xfId="17958" xr:uid="{00000000-0005-0000-0000-0000AC4D0000}"/>
    <cellStyle name="Hed Side Indent 3 2 2 9" xfId="17959" xr:uid="{00000000-0005-0000-0000-0000AD4D0000}"/>
    <cellStyle name="Hed Side Indent 3 2 2 9 2" xfId="17960" xr:uid="{00000000-0005-0000-0000-0000AE4D0000}"/>
    <cellStyle name="Hed Side Indent 3 2 3" xfId="17961" xr:uid="{00000000-0005-0000-0000-0000AF4D0000}"/>
    <cellStyle name="Hed Side Indent 3 2 3 10" xfId="17962" xr:uid="{00000000-0005-0000-0000-0000B04D0000}"/>
    <cellStyle name="Hed Side Indent 3 2 3 2" xfId="17963" xr:uid="{00000000-0005-0000-0000-0000B14D0000}"/>
    <cellStyle name="Hed Side Indent 3 2 3 2 2" xfId="17964" xr:uid="{00000000-0005-0000-0000-0000B24D0000}"/>
    <cellStyle name="Hed Side Indent 3 2 3 3" xfId="17965" xr:uid="{00000000-0005-0000-0000-0000B34D0000}"/>
    <cellStyle name="Hed Side Indent 3 2 3 3 2" xfId="17966" xr:uid="{00000000-0005-0000-0000-0000B44D0000}"/>
    <cellStyle name="Hed Side Indent 3 2 3 4" xfId="17967" xr:uid="{00000000-0005-0000-0000-0000B54D0000}"/>
    <cellStyle name="Hed Side Indent 3 2 3 4 2" xfId="17968" xr:uid="{00000000-0005-0000-0000-0000B64D0000}"/>
    <cellStyle name="Hed Side Indent 3 2 3 5" xfId="17969" xr:uid="{00000000-0005-0000-0000-0000B74D0000}"/>
    <cellStyle name="Hed Side Indent 3 2 3 5 2" xfId="17970" xr:uid="{00000000-0005-0000-0000-0000B84D0000}"/>
    <cellStyle name="Hed Side Indent 3 2 3 6" xfId="17971" xr:uid="{00000000-0005-0000-0000-0000B94D0000}"/>
    <cellStyle name="Hed Side Indent 3 2 3 6 2" xfId="17972" xr:uid="{00000000-0005-0000-0000-0000BA4D0000}"/>
    <cellStyle name="Hed Side Indent 3 2 3 7" xfId="17973" xr:uid="{00000000-0005-0000-0000-0000BB4D0000}"/>
    <cellStyle name="Hed Side Indent 3 2 3 7 2" xfId="17974" xr:uid="{00000000-0005-0000-0000-0000BC4D0000}"/>
    <cellStyle name="Hed Side Indent 3 2 3 8" xfId="17975" xr:uid="{00000000-0005-0000-0000-0000BD4D0000}"/>
    <cellStyle name="Hed Side Indent 3 2 3 8 2" xfId="17976" xr:uid="{00000000-0005-0000-0000-0000BE4D0000}"/>
    <cellStyle name="Hed Side Indent 3 2 3 9" xfId="17977" xr:uid="{00000000-0005-0000-0000-0000BF4D0000}"/>
    <cellStyle name="Hed Side Indent 3 2 3 9 2" xfId="17978" xr:uid="{00000000-0005-0000-0000-0000C04D0000}"/>
    <cellStyle name="Hed Side Indent 3 2 4" xfId="17979" xr:uid="{00000000-0005-0000-0000-0000C14D0000}"/>
    <cellStyle name="Hed Side Indent 3 2 4 10" xfId="17980" xr:uid="{00000000-0005-0000-0000-0000C24D0000}"/>
    <cellStyle name="Hed Side Indent 3 2 4 2" xfId="17981" xr:uid="{00000000-0005-0000-0000-0000C34D0000}"/>
    <cellStyle name="Hed Side Indent 3 2 4 2 2" xfId="17982" xr:uid="{00000000-0005-0000-0000-0000C44D0000}"/>
    <cellStyle name="Hed Side Indent 3 2 4 3" xfId="17983" xr:uid="{00000000-0005-0000-0000-0000C54D0000}"/>
    <cellStyle name="Hed Side Indent 3 2 4 3 2" xfId="17984" xr:uid="{00000000-0005-0000-0000-0000C64D0000}"/>
    <cellStyle name="Hed Side Indent 3 2 4 4" xfId="17985" xr:uid="{00000000-0005-0000-0000-0000C74D0000}"/>
    <cellStyle name="Hed Side Indent 3 2 4 4 2" xfId="17986" xr:uid="{00000000-0005-0000-0000-0000C84D0000}"/>
    <cellStyle name="Hed Side Indent 3 2 4 5" xfId="17987" xr:uid="{00000000-0005-0000-0000-0000C94D0000}"/>
    <cellStyle name="Hed Side Indent 3 2 4 5 2" xfId="17988" xr:uid="{00000000-0005-0000-0000-0000CA4D0000}"/>
    <cellStyle name="Hed Side Indent 3 2 4 6" xfId="17989" xr:uid="{00000000-0005-0000-0000-0000CB4D0000}"/>
    <cellStyle name="Hed Side Indent 3 2 4 6 2" xfId="17990" xr:uid="{00000000-0005-0000-0000-0000CC4D0000}"/>
    <cellStyle name="Hed Side Indent 3 2 4 7" xfId="17991" xr:uid="{00000000-0005-0000-0000-0000CD4D0000}"/>
    <cellStyle name="Hed Side Indent 3 2 4 7 2" xfId="17992" xr:uid="{00000000-0005-0000-0000-0000CE4D0000}"/>
    <cellStyle name="Hed Side Indent 3 2 4 8" xfId="17993" xr:uid="{00000000-0005-0000-0000-0000CF4D0000}"/>
    <cellStyle name="Hed Side Indent 3 2 4 8 2" xfId="17994" xr:uid="{00000000-0005-0000-0000-0000D04D0000}"/>
    <cellStyle name="Hed Side Indent 3 2 4 9" xfId="17995" xr:uid="{00000000-0005-0000-0000-0000D14D0000}"/>
    <cellStyle name="Hed Side Indent 3 2 4 9 2" xfId="17996" xr:uid="{00000000-0005-0000-0000-0000D24D0000}"/>
    <cellStyle name="Hed Side Indent 3 2 5" xfId="17997" xr:uid="{00000000-0005-0000-0000-0000D34D0000}"/>
    <cellStyle name="Hed Side Indent 3 2 5 10" xfId="17998" xr:uid="{00000000-0005-0000-0000-0000D44D0000}"/>
    <cellStyle name="Hed Side Indent 3 2 5 2" xfId="17999" xr:uid="{00000000-0005-0000-0000-0000D54D0000}"/>
    <cellStyle name="Hed Side Indent 3 2 5 2 2" xfId="18000" xr:uid="{00000000-0005-0000-0000-0000D64D0000}"/>
    <cellStyle name="Hed Side Indent 3 2 5 3" xfId="18001" xr:uid="{00000000-0005-0000-0000-0000D74D0000}"/>
    <cellStyle name="Hed Side Indent 3 2 5 3 2" xfId="18002" xr:uid="{00000000-0005-0000-0000-0000D84D0000}"/>
    <cellStyle name="Hed Side Indent 3 2 5 4" xfId="18003" xr:uid="{00000000-0005-0000-0000-0000D94D0000}"/>
    <cellStyle name="Hed Side Indent 3 2 5 4 2" xfId="18004" xr:uid="{00000000-0005-0000-0000-0000DA4D0000}"/>
    <cellStyle name="Hed Side Indent 3 2 5 5" xfId="18005" xr:uid="{00000000-0005-0000-0000-0000DB4D0000}"/>
    <cellStyle name="Hed Side Indent 3 2 5 5 2" xfId="18006" xr:uid="{00000000-0005-0000-0000-0000DC4D0000}"/>
    <cellStyle name="Hed Side Indent 3 2 5 6" xfId="18007" xr:uid="{00000000-0005-0000-0000-0000DD4D0000}"/>
    <cellStyle name="Hed Side Indent 3 2 5 6 2" xfId="18008" xr:uid="{00000000-0005-0000-0000-0000DE4D0000}"/>
    <cellStyle name="Hed Side Indent 3 2 5 7" xfId="18009" xr:uid="{00000000-0005-0000-0000-0000DF4D0000}"/>
    <cellStyle name="Hed Side Indent 3 2 5 7 2" xfId="18010" xr:uid="{00000000-0005-0000-0000-0000E04D0000}"/>
    <cellStyle name="Hed Side Indent 3 2 5 8" xfId="18011" xr:uid="{00000000-0005-0000-0000-0000E14D0000}"/>
    <cellStyle name="Hed Side Indent 3 2 5 8 2" xfId="18012" xr:uid="{00000000-0005-0000-0000-0000E24D0000}"/>
    <cellStyle name="Hed Side Indent 3 2 5 9" xfId="18013" xr:uid="{00000000-0005-0000-0000-0000E34D0000}"/>
    <cellStyle name="Hed Side Indent 3 2 5 9 2" xfId="18014" xr:uid="{00000000-0005-0000-0000-0000E44D0000}"/>
    <cellStyle name="Hed Side Indent 3 2 6" xfId="18015" xr:uid="{00000000-0005-0000-0000-0000E54D0000}"/>
    <cellStyle name="Hed Side Indent 3 2 6 10" xfId="18016" xr:uid="{00000000-0005-0000-0000-0000E64D0000}"/>
    <cellStyle name="Hed Side Indent 3 2 6 2" xfId="18017" xr:uid="{00000000-0005-0000-0000-0000E74D0000}"/>
    <cellStyle name="Hed Side Indent 3 2 6 2 2" xfId="18018" xr:uid="{00000000-0005-0000-0000-0000E84D0000}"/>
    <cellStyle name="Hed Side Indent 3 2 6 3" xfId="18019" xr:uid="{00000000-0005-0000-0000-0000E94D0000}"/>
    <cellStyle name="Hed Side Indent 3 2 6 3 2" xfId="18020" xr:uid="{00000000-0005-0000-0000-0000EA4D0000}"/>
    <cellStyle name="Hed Side Indent 3 2 6 4" xfId="18021" xr:uid="{00000000-0005-0000-0000-0000EB4D0000}"/>
    <cellStyle name="Hed Side Indent 3 2 6 4 2" xfId="18022" xr:uid="{00000000-0005-0000-0000-0000EC4D0000}"/>
    <cellStyle name="Hed Side Indent 3 2 6 5" xfId="18023" xr:uid="{00000000-0005-0000-0000-0000ED4D0000}"/>
    <cellStyle name="Hed Side Indent 3 2 6 5 2" xfId="18024" xr:uid="{00000000-0005-0000-0000-0000EE4D0000}"/>
    <cellStyle name="Hed Side Indent 3 2 6 6" xfId="18025" xr:uid="{00000000-0005-0000-0000-0000EF4D0000}"/>
    <cellStyle name="Hed Side Indent 3 2 6 6 2" xfId="18026" xr:uid="{00000000-0005-0000-0000-0000F04D0000}"/>
    <cellStyle name="Hed Side Indent 3 2 6 7" xfId="18027" xr:uid="{00000000-0005-0000-0000-0000F14D0000}"/>
    <cellStyle name="Hed Side Indent 3 2 6 7 2" xfId="18028" xr:uid="{00000000-0005-0000-0000-0000F24D0000}"/>
    <cellStyle name="Hed Side Indent 3 2 6 8" xfId="18029" xr:uid="{00000000-0005-0000-0000-0000F34D0000}"/>
    <cellStyle name="Hed Side Indent 3 2 6 8 2" xfId="18030" xr:uid="{00000000-0005-0000-0000-0000F44D0000}"/>
    <cellStyle name="Hed Side Indent 3 2 6 9" xfId="18031" xr:uid="{00000000-0005-0000-0000-0000F54D0000}"/>
    <cellStyle name="Hed Side Indent 3 2 6 9 2" xfId="18032" xr:uid="{00000000-0005-0000-0000-0000F64D0000}"/>
    <cellStyle name="Hed Side Indent 3 2 7" xfId="18033" xr:uid="{00000000-0005-0000-0000-0000F74D0000}"/>
    <cellStyle name="Hed Side Indent 3 2 7 10" xfId="18034" xr:uid="{00000000-0005-0000-0000-0000F84D0000}"/>
    <cellStyle name="Hed Side Indent 3 2 7 2" xfId="18035" xr:uid="{00000000-0005-0000-0000-0000F94D0000}"/>
    <cellStyle name="Hed Side Indent 3 2 7 2 2" xfId="18036" xr:uid="{00000000-0005-0000-0000-0000FA4D0000}"/>
    <cellStyle name="Hed Side Indent 3 2 7 3" xfId="18037" xr:uid="{00000000-0005-0000-0000-0000FB4D0000}"/>
    <cellStyle name="Hed Side Indent 3 2 7 3 2" xfId="18038" xr:uid="{00000000-0005-0000-0000-0000FC4D0000}"/>
    <cellStyle name="Hed Side Indent 3 2 7 4" xfId="18039" xr:uid="{00000000-0005-0000-0000-0000FD4D0000}"/>
    <cellStyle name="Hed Side Indent 3 2 7 4 2" xfId="18040" xr:uid="{00000000-0005-0000-0000-0000FE4D0000}"/>
    <cellStyle name="Hed Side Indent 3 2 7 5" xfId="18041" xr:uid="{00000000-0005-0000-0000-0000FF4D0000}"/>
    <cellStyle name="Hed Side Indent 3 2 7 5 2" xfId="18042" xr:uid="{00000000-0005-0000-0000-0000004E0000}"/>
    <cellStyle name="Hed Side Indent 3 2 7 6" xfId="18043" xr:uid="{00000000-0005-0000-0000-0000014E0000}"/>
    <cellStyle name="Hed Side Indent 3 2 7 6 2" xfId="18044" xr:uid="{00000000-0005-0000-0000-0000024E0000}"/>
    <cellStyle name="Hed Side Indent 3 2 7 7" xfId="18045" xr:uid="{00000000-0005-0000-0000-0000034E0000}"/>
    <cellStyle name="Hed Side Indent 3 2 7 7 2" xfId="18046" xr:uid="{00000000-0005-0000-0000-0000044E0000}"/>
    <cellStyle name="Hed Side Indent 3 2 7 8" xfId="18047" xr:uid="{00000000-0005-0000-0000-0000054E0000}"/>
    <cellStyle name="Hed Side Indent 3 2 7 8 2" xfId="18048" xr:uid="{00000000-0005-0000-0000-0000064E0000}"/>
    <cellStyle name="Hed Side Indent 3 2 7 9" xfId="18049" xr:uid="{00000000-0005-0000-0000-0000074E0000}"/>
    <cellStyle name="Hed Side Indent 3 2 7 9 2" xfId="18050" xr:uid="{00000000-0005-0000-0000-0000084E0000}"/>
    <cellStyle name="Hed Side Indent 3 2 8" xfId="18051" xr:uid="{00000000-0005-0000-0000-0000094E0000}"/>
    <cellStyle name="Hed Side Indent 3 2 8 10" xfId="18052" xr:uid="{00000000-0005-0000-0000-00000A4E0000}"/>
    <cellStyle name="Hed Side Indent 3 2 8 2" xfId="18053" xr:uid="{00000000-0005-0000-0000-00000B4E0000}"/>
    <cellStyle name="Hed Side Indent 3 2 8 2 2" xfId="18054" xr:uid="{00000000-0005-0000-0000-00000C4E0000}"/>
    <cellStyle name="Hed Side Indent 3 2 8 3" xfId="18055" xr:uid="{00000000-0005-0000-0000-00000D4E0000}"/>
    <cellStyle name="Hed Side Indent 3 2 8 3 2" xfId="18056" xr:uid="{00000000-0005-0000-0000-00000E4E0000}"/>
    <cellStyle name="Hed Side Indent 3 2 8 4" xfId="18057" xr:uid="{00000000-0005-0000-0000-00000F4E0000}"/>
    <cellStyle name="Hed Side Indent 3 2 8 4 2" xfId="18058" xr:uid="{00000000-0005-0000-0000-0000104E0000}"/>
    <cellStyle name="Hed Side Indent 3 2 8 5" xfId="18059" xr:uid="{00000000-0005-0000-0000-0000114E0000}"/>
    <cellStyle name="Hed Side Indent 3 2 8 5 2" xfId="18060" xr:uid="{00000000-0005-0000-0000-0000124E0000}"/>
    <cellStyle name="Hed Side Indent 3 2 8 6" xfId="18061" xr:uid="{00000000-0005-0000-0000-0000134E0000}"/>
    <cellStyle name="Hed Side Indent 3 2 8 6 2" xfId="18062" xr:uid="{00000000-0005-0000-0000-0000144E0000}"/>
    <cellStyle name="Hed Side Indent 3 2 8 7" xfId="18063" xr:uid="{00000000-0005-0000-0000-0000154E0000}"/>
    <cellStyle name="Hed Side Indent 3 2 8 7 2" xfId="18064" xr:uid="{00000000-0005-0000-0000-0000164E0000}"/>
    <cellStyle name="Hed Side Indent 3 2 8 8" xfId="18065" xr:uid="{00000000-0005-0000-0000-0000174E0000}"/>
    <cellStyle name="Hed Side Indent 3 2 8 8 2" xfId="18066" xr:uid="{00000000-0005-0000-0000-0000184E0000}"/>
    <cellStyle name="Hed Side Indent 3 2 8 9" xfId="18067" xr:uid="{00000000-0005-0000-0000-0000194E0000}"/>
    <cellStyle name="Hed Side Indent 3 2 8 9 2" xfId="18068" xr:uid="{00000000-0005-0000-0000-00001A4E0000}"/>
    <cellStyle name="Hed Side Indent 3 2 9" xfId="18069" xr:uid="{00000000-0005-0000-0000-00001B4E0000}"/>
    <cellStyle name="Hed Side Indent 3 2 9 10" xfId="18070" xr:uid="{00000000-0005-0000-0000-00001C4E0000}"/>
    <cellStyle name="Hed Side Indent 3 2 9 2" xfId="18071" xr:uid="{00000000-0005-0000-0000-00001D4E0000}"/>
    <cellStyle name="Hed Side Indent 3 2 9 2 2" xfId="18072" xr:uid="{00000000-0005-0000-0000-00001E4E0000}"/>
    <cellStyle name="Hed Side Indent 3 2 9 3" xfId="18073" xr:uid="{00000000-0005-0000-0000-00001F4E0000}"/>
    <cellStyle name="Hed Side Indent 3 2 9 3 2" xfId="18074" xr:uid="{00000000-0005-0000-0000-0000204E0000}"/>
    <cellStyle name="Hed Side Indent 3 2 9 4" xfId="18075" xr:uid="{00000000-0005-0000-0000-0000214E0000}"/>
    <cellStyle name="Hed Side Indent 3 2 9 4 2" xfId="18076" xr:uid="{00000000-0005-0000-0000-0000224E0000}"/>
    <cellStyle name="Hed Side Indent 3 2 9 5" xfId="18077" xr:uid="{00000000-0005-0000-0000-0000234E0000}"/>
    <cellStyle name="Hed Side Indent 3 2 9 5 2" xfId="18078" xr:uid="{00000000-0005-0000-0000-0000244E0000}"/>
    <cellStyle name="Hed Side Indent 3 2 9 6" xfId="18079" xr:uid="{00000000-0005-0000-0000-0000254E0000}"/>
    <cellStyle name="Hed Side Indent 3 2 9 6 2" xfId="18080" xr:uid="{00000000-0005-0000-0000-0000264E0000}"/>
    <cellStyle name="Hed Side Indent 3 2 9 7" xfId="18081" xr:uid="{00000000-0005-0000-0000-0000274E0000}"/>
    <cellStyle name="Hed Side Indent 3 2 9 7 2" xfId="18082" xr:uid="{00000000-0005-0000-0000-0000284E0000}"/>
    <cellStyle name="Hed Side Indent 3 2 9 8" xfId="18083" xr:uid="{00000000-0005-0000-0000-0000294E0000}"/>
    <cellStyle name="Hed Side Indent 3 2 9 8 2" xfId="18084" xr:uid="{00000000-0005-0000-0000-00002A4E0000}"/>
    <cellStyle name="Hed Side Indent 3 2 9 9" xfId="18085" xr:uid="{00000000-0005-0000-0000-00002B4E0000}"/>
    <cellStyle name="Hed Side Indent 3 2 9 9 2" xfId="18086" xr:uid="{00000000-0005-0000-0000-00002C4E0000}"/>
    <cellStyle name="Hed Side Indent 3 3" xfId="18087" xr:uid="{00000000-0005-0000-0000-00002D4E0000}"/>
    <cellStyle name="Hed Side Indent 3 3 10" xfId="18088" xr:uid="{00000000-0005-0000-0000-00002E4E0000}"/>
    <cellStyle name="Hed Side Indent 3 3 10 10" xfId="18089" xr:uid="{00000000-0005-0000-0000-00002F4E0000}"/>
    <cellStyle name="Hed Side Indent 3 3 10 2" xfId="18090" xr:uid="{00000000-0005-0000-0000-0000304E0000}"/>
    <cellStyle name="Hed Side Indent 3 3 10 2 2" xfId="18091" xr:uid="{00000000-0005-0000-0000-0000314E0000}"/>
    <cellStyle name="Hed Side Indent 3 3 10 3" xfId="18092" xr:uid="{00000000-0005-0000-0000-0000324E0000}"/>
    <cellStyle name="Hed Side Indent 3 3 10 3 2" xfId="18093" xr:uid="{00000000-0005-0000-0000-0000334E0000}"/>
    <cellStyle name="Hed Side Indent 3 3 10 4" xfId="18094" xr:uid="{00000000-0005-0000-0000-0000344E0000}"/>
    <cellStyle name="Hed Side Indent 3 3 10 4 2" xfId="18095" xr:uid="{00000000-0005-0000-0000-0000354E0000}"/>
    <cellStyle name="Hed Side Indent 3 3 10 5" xfId="18096" xr:uid="{00000000-0005-0000-0000-0000364E0000}"/>
    <cellStyle name="Hed Side Indent 3 3 10 5 2" xfId="18097" xr:uid="{00000000-0005-0000-0000-0000374E0000}"/>
    <cellStyle name="Hed Side Indent 3 3 10 6" xfId="18098" xr:uid="{00000000-0005-0000-0000-0000384E0000}"/>
    <cellStyle name="Hed Side Indent 3 3 10 6 2" xfId="18099" xr:uid="{00000000-0005-0000-0000-0000394E0000}"/>
    <cellStyle name="Hed Side Indent 3 3 10 7" xfId="18100" xr:uid="{00000000-0005-0000-0000-00003A4E0000}"/>
    <cellStyle name="Hed Side Indent 3 3 10 7 2" xfId="18101" xr:uid="{00000000-0005-0000-0000-00003B4E0000}"/>
    <cellStyle name="Hed Side Indent 3 3 10 8" xfId="18102" xr:uid="{00000000-0005-0000-0000-00003C4E0000}"/>
    <cellStyle name="Hed Side Indent 3 3 10 8 2" xfId="18103" xr:uid="{00000000-0005-0000-0000-00003D4E0000}"/>
    <cellStyle name="Hed Side Indent 3 3 10 9" xfId="18104" xr:uid="{00000000-0005-0000-0000-00003E4E0000}"/>
    <cellStyle name="Hed Side Indent 3 3 10 9 2" xfId="18105" xr:uid="{00000000-0005-0000-0000-00003F4E0000}"/>
    <cellStyle name="Hed Side Indent 3 3 11" xfId="18106" xr:uid="{00000000-0005-0000-0000-0000404E0000}"/>
    <cellStyle name="Hed Side Indent 3 3 11 2" xfId="18107" xr:uid="{00000000-0005-0000-0000-0000414E0000}"/>
    <cellStyle name="Hed Side Indent 3 3 11 2 2" xfId="18108" xr:uid="{00000000-0005-0000-0000-0000424E0000}"/>
    <cellStyle name="Hed Side Indent 3 3 11 3" xfId="18109" xr:uid="{00000000-0005-0000-0000-0000434E0000}"/>
    <cellStyle name="Hed Side Indent 3 3 11 3 2" xfId="18110" xr:uid="{00000000-0005-0000-0000-0000444E0000}"/>
    <cellStyle name="Hed Side Indent 3 3 11 4" xfId="18111" xr:uid="{00000000-0005-0000-0000-0000454E0000}"/>
    <cellStyle name="Hed Side Indent 3 3 11 4 2" xfId="18112" xr:uid="{00000000-0005-0000-0000-0000464E0000}"/>
    <cellStyle name="Hed Side Indent 3 3 11 5" xfId="18113" xr:uid="{00000000-0005-0000-0000-0000474E0000}"/>
    <cellStyle name="Hed Side Indent 3 3 11 5 2" xfId="18114" xr:uid="{00000000-0005-0000-0000-0000484E0000}"/>
    <cellStyle name="Hed Side Indent 3 3 11 6" xfId="18115" xr:uid="{00000000-0005-0000-0000-0000494E0000}"/>
    <cellStyle name="Hed Side Indent 3 3 11 6 2" xfId="18116" xr:uid="{00000000-0005-0000-0000-00004A4E0000}"/>
    <cellStyle name="Hed Side Indent 3 3 11 7" xfId="18117" xr:uid="{00000000-0005-0000-0000-00004B4E0000}"/>
    <cellStyle name="Hed Side Indent 3 3 11 7 2" xfId="18118" xr:uid="{00000000-0005-0000-0000-00004C4E0000}"/>
    <cellStyle name="Hed Side Indent 3 3 11 8" xfId="18119" xr:uid="{00000000-0005-0000-0000-00004D4E0000}"/>
    <cellStyle name="Hed Side Indent 3 3 11 8 2" xfId="18120" xr:uid="{00000000-0005-0000-0000-00004E4E0000}"/>
    <cellStyle name="Hed Side Indent 3 3 11 9" xfId="18121" xr:uid="{00000000-0005-0000-0000-00004F4E0000}"/>
    <cellStyle name="Hed Side Indent 3 3 2" xfId="18122" xr:uid="{00000000-0005-0000-0000-0000504E0000}"/>
    <cellStyle name="Hed Side Indent 3 3 2 10" xfId="18123" xr:uid="{00000000-0005-0000-0000-0000514E0000}"/>
    <cellStyle name="Hed Side Indent 3 3 2 2" xfId="18124" xr:uid="{00000000-0005-0000-0000-0000524E0000}"/>
    <cellStyle name="Hed Side Indent 3 3 2 2 2" xfId="18125" xr:uid="{00000000-0005-0000-0000-0000534E0000}"/>
    <cellStyle name="Hed Side Indent 3 3 2 3" xfId="18126" xr:uid="{00000000-0005-0000-0000-0000544E0000}"/>
    <cellStyle name="Hed Side Indent 3 3 2 3 2" xfId="18127" xr:uid="{00000000-0005-0000-0000-0000554E0000}"/>
    <cellStyle name="Hed Side Indent 3 3 2 4" xfId="18128" xr:uid="{00000000-0005-0000-0000-0000564E0000}"/>
    <cellStyle name="Hed Side Indent 3 3 2 4 2" xfId="18129" xr:uid="{00000000-0005-0000-0000-0000574E0000}"/>
    <cellStyle name="Hed Side Indent 3 3 2 5" xfId="18130" xr:uid="{00000000-0005-0000-0000-0000584E0000}"/>
    <cellStyle name="Hed Side Indent 3 3 2 5 2" xfId="18131" xr:uid="{00000000-0005-0000-0000-0000594E0000}"/>
    <cellStyle name="Hed Side Indent 3 3 2 6" xfId="18132" xr:uid="{00000000-0005-0000-0000-00005A4E0000}"/>
    <cellStyle name="Hed Side Indent 3 3 2 6 2" xfId="18133" xr:uid="{00000000-0005-0000-0000-00005B4E0000}"/>
    <cellStyle name="Hed Side Indent 3 3 2 7" xfId="18134" xr:uid="{00000000-0005-0000-0000-00005C4E0000}"/>
    <cellStyle name="Hed Side Indent 3 3 2 7 2" xfId="18135" xr:uid="{00000000-0005-0000-0000-00005D4E0000}"/>
    <cellStyle name="Hed Side Indent 3 3 2 8" xfId="18136" xr:uid="{00000000-0005-0000-0000-00005E4E0000}"/>
    <cellStyle name="Hed Side Indent 3 3 2 8 2" xfId="18137" xr:uid="{00000000-0005-0000-0000-00005F4E0000}"/>
    <cellStyle name="Hed Side Indent 3 3 2 9" xfId="18138" xr:uid="{00000000-0005-0000-0000-0000604E0000}"/>
    <cellStyle name="Hed Side Indent 3 3 2 9 2" xfId="18139" xr:uid="{00000000-0005-0000-0000-0000614E0000}"/>
    <cellStyle name="Hed Side Indent 3 3 3" xfId="18140" xr:uid="{00000000-0005-0000-0000-0000624E0000}"/>
    <cellStyle name="Hed Side Indent 3 3 3 10" xfId="18141" xr:uid="{00000000-0005-0000-0000-0000634E0000}"/>
    <cellStyle name="Hed Side Indent 3 3 3 2" xfId="18142" xr:uid="{00000000-0005-0000-0000-0000644E0000}"/>
    <cellStyle name="Hed Side Indent 3 3 3 2 2" xfId="18143" xr:uid="{00000000-0005-0000-0000-0000654E0000}"/>
    <cellStyle name="Hed Side Indent 3 3 3 3" xfId="18144" xr:uid="{00000000-0005-0000-0000-0000664E0000}"/>
    <cellStyle name="Hed Side Indent 3 3 3 3 2" xfId="18145" xr:uid="{00000000-0005-0000-0000-0000674E0000}"/>
    <cellStyle name="Hed Side Indent 3 3 3 4" xfId="18146" xr:uid="{00000000-0005-0000-0000-0000684E0000}"/>
    <cellStyle name="Hed Side Indent 3 3 3 4 2" xfId="18147" xr:uid="{00000000-0005-0000-0000-0000694E0000}"/>
    <cellStyle name="Hed Side Indent 3 3 3 5" xfId="18148" xr:uid="{00000000-0005-0000-0000-00006A4E0000}"/>
    <cellStyle name="Hed Side Indent 3 3 3 5 2" xfId="18149" xr:uid="{00000000-0005-0000-0000-00006B4E0000}"/>
    <cellStyle name="Hed Side Indent 3 3 3 6" xfId="18150" xr:uid="{00000000-0005-0000-0000-00006C4E0000}"/>
    <cellStyle name="Hed Side Indent 3 3 3 6 2" xfId="18151" xr:uid="{00000000-0005-0000-0000-00006D4E0000}"/>
    <cellStyle name="Hed Side Indent 3 3 3 7" xfId="18152" xr:uid="{00000000-0005-0000-0000-00006E4E0000}"/>
    <cellStyle name="Hed Side Indent 3 3 3 7 2" xfId="18153" xr:uid="{00000000-0005-0000-0000-00006F4E0000}"/>
    <cellStyle name="Hed Side Indent 3 3 3 8" xfId="18154" xr:uid="{00000000-0005-0000-0000-0000704E0000}"/>
    <cellStyle name="Hed Side Indent 3 3 3 8 2" xfId="18155" xr:uid="{00000000-0005-0000-0000-0000714E0000}"/>
    <cellStyle name="Hed Side Indent 3 3 3 9" xfId="18156" xr:uid="{00000000-0005-0000-0000-0000724E0000}"/>
    <cellStyle name="Hed Side Indent 3 3 3 9 2" xfId="18157" xr:uid="{00000000-0005-0000-0000-0000734E0000}"/>
    <cellStyle name="Hed Side Indent 3 3 4" xfId="18158" xr:uid="{00000000-0005-0000-0000-0000744E0000}"/>
    <cellStyle name="Hed Side Indent 3 3 4 10" xfId="18159" xr:uid="{00000000-0005-0000-0000-0000754E0000}"/>
    <cellStyle name="Hed Side Indent 3 3 4 2" xfId="18160" xr:uid="{00000000-0005-0000-0000-0000764E0000}"/>
    <cellStyle name="Hed Side Indent 3 3 4 2 2" xfId="18161" xr:uid="{00000000-0005-0000-0000-0000774E0000}"/>
    <cellStyle name="Hed Side Indent 3 3 4 3" xfId="18162" xr:uid="{00000000-0005-0000-0000-0000784E0000}"/>
    <cellStyle name="Hed Side Indent 3 3 4 3 2" xfId="18163" xr:uid="{00000000-0005-0000-0000-0000794E0000}"/>
    <cellStyle name="Hed Side Indent 3 3 4 4" xfId="18164" xr:uid="{00000000-0005-0000-0000-00007A4E0000}"/>
    <cellStyle name="Hed Side Indent 3 3 4 4 2" xfId="18165" xr:uid="{00000000-0005-0000-0000-00007B4E0000}"/>
    <cellStyle name="Hed Side Indent 3 3 4 5" xfId="18166" xr:uid="{00000000-0005-0000-0000-00007C4E0000}"/>
    <cellStyle name="Hed Side Indent 3 3 4 5 2" xfId="18167" xr:uid="{00000000-0005-0000-0000-00007D4E0000}"/>
    <cellStyle name="Hed Side Indent 3 3 4 6" xfId="18168" xr:uid="{00000000-0005-0000-0000-00007E4E0000}"/>
    <cellStyle name="Hed Side Indent 3 3 4 6 2" xfId="18169" xr:uid="{00000000-0005-0000-0000-00007F4E0000}"/>
    <cellStyle name="Hed Side Indent 3 3 4 7" xfId="18170" xr:uid="{00000000-0005-0000-0000-0000804E0000}"/>
    <cellStyle name="Hed Side Indent 3 3 4 7 2" xfId="18171" xr:uid="{00000000-0005-0000-0000-0000814E0000}"/>
    <cellStyle name="Hed Side Indent 3 3 4 8" xfId="18172" xr:uid="{00000000-0005-0000-0000-0000824E0000}"/>
    <cellStyle name="Hed Side Indent 3 3 4 8 2" xfId="18173" xr:uid="{00000000-0005-0000-0000-0000834E0000}"/>
    <cellStyle name="Hed Side Indent 3 3 4 9" xfId="18174" xr:uid="{00000000-0005-0000-0000-0000844E0000}"/>
    <cellStyle name="Hed Side Indent 3 3 4 9 2" xfId="18175" xr:uid="{00000000-0005-0000-0000-0000854E0000}"/>
    <cellStyle name="Hed Side Indent 3 3 5" xfId="18176" xr:uid="{00000000-0005-0000-0000-0000864E0000}"/>
    <cellStyle name="Hed Side Indent 3 3 5 10" xfId="18177" xr:uid="{00000000-0005-0000-0000-0000874E0000}"/>
    <cellStyle name="Hed Side Indent 3 3 5 2" xfId="18178" xr:uid="{00000000-0005-0000-0000-0000884E0000}"/>
    <cellStyle name="Hed Side Indent 3 3 5 2 2" xfId="18179" xr:uid="{00000000-0005-0000-0000-0000894E0000}"/>
    <cellStyle name="Hed Side Indent 3 3 5 3" xfId="18180" xr:uid="{00000000-0005-0000-0000-00008A4E0000}"/>
    <cellStyle name="Hed Side Indent 3 3 5 3 2" xfId="18181" xr:uid="{00000000-0005-0000-0000-00008B4E0000}"/>
    <cellStyle name="Hed Side Indent 3 3 5 4" xfId="18182" xr:uid="{00000000-0005-0000-0000-00008C4E0000}"/>
    <cellStyle name="Hed Side Indent 3 3 5 4 2" xfId="18183" xr:uid="{00000000-0005-0000-0000-00008D4E0000}"/>
    <cellStyle name="Hed Side Indent 3 3 5 5" xfId="18184" xr:uid="{00000000-0005-0000-0000-00008E4E0000}"/>
    <cellStyle name="Hed Side Indent 3 3 5 5 2" xfId="18185" xr:uid="{00000000-0005-0000-0000-00008F4E0000}"/>
    <cellStyle name="Hed Side Indent 3 3 5 6" xfId="18186" xr:uid="{00000000-0005-0000-0000-0000904E0000}"/>
    <cellStyle name="Hed Side Indent 3 3 5 6 2" xfId="18187" xr:uid="{00000000-0005-0000-0000-0000914E0000}"/>
    <cellStyle name="Hed Side Indent 3 3 5 7" xfId="18188" xr:uid="{00000000-0005-0000-0000-0000924E0000}"/>
    <cellStyle name="Hed Side Indent 3 3 5 7 2" xfId="18189" xr:uid="{00000000-0005-0000-0000-0000934E0000}"/>
    <cellStyle name="Hed Side Indent 3 3 5 8" xfId="18190" xr:uid="{00000000-0005-0000-0000-0000944E0000}"/>
    <cellStyle name="Hed Side Indent 3 3 5 8 2" xfId="18191" xr:uid="{00000000-0005-0000-0000-0000954E0000}"/>
    <cellStyle name="Hed Side Indent 3 3 5 9" xfId="18192" xr:uid="{00000000-0005-0000-0000-0000964E0000}"/>
    <cellStyle name="Hed Side Indent 3 3 5 9 2" xfId="18193" xr:uid="{00000000-0005-0000-0000-0000974E0000}"/>
    <cellStyle name="Hed Side Indent 3 3 6" xfId="18194" xr:uid="{00000000-0005-0000-0000-0000984E0000}"/>
    <cellStyle name="Hed Side Indent 3 3 6 10" xfId="18195" xr:uid="{00000000-0005-0000-0000-0000994E0000}"/>
    <cellStyle name="Hed Side Indent 3 3 6 2" xfId="18196" xr:uid="{00000000-0005-0000-0000-00009A4E0000}"/>
    <cellStyle name="Hed Side Indent 3 3 6 2 2" xfId="18197" xr:uid="{00000000-0005-0000-0000-00009B4E0000}"/>
    <cellStyle name="Hed Side Indent 3 3 6 3" xfId="18198" xr:uid="{00000000-0005-0000-0000-00009C4E0000}"/>
    <cellStyle name="Hed Side Indent 3 3 6 3 2" xfId="18199" xr:uid="{00000000-0005-0000-0000-00009D4E0000}"/>
    <cellStyle name="Hed Side Indent 3 3 6 4" xfId="18200" xr:uid="{00000000-0005-0000-0000-00009E4E0000}"/>
    <cellStyle name="Hed Side Indent 3 3 6 4 2" xfId="18201" xr:uid="{00000000-0005-0000-0000-00009F4E0000}"/>
    <cellStyle name="Hed Side Indent 3 3 6 5" xfId="18202" xr:uid="{00000000-0005-0000-0000-0000A04E0000}"/>
    <cellStyle name="Hed Side Indent 3 3 6 5 2" xfId="18203" xr:uid="{00000000-0005-0000-0000-0000A14E0000}"/>
    <cellStyle name="Hed Side Indent 3 3 6 6" xfId="18204" xr:uid="{00000000-0005-0000-0000-0000A24E0000}"/>
    <cellStyle name="Hed Side Indent 3 3 6 6 2" xfId="18205" xr:uid="{00000000-0005-0000-0000-0000A34E0000}"/>
    <cellStyle name="Hed Side Indent 3 3 6 7" xfId="18206" xr:uid="{00000000-0005-0000-0000-0000A44E0000}"/>
    <cellStyle name="Hed Side Indent 3 3 6 7 2" xfId="18207" xr:uid="{00000000-0005-0000-0000-0000A54E0000}"/>
    <cellStyle name="Hed Side Indent 3 3 6 8" xfId="18208" xr:uid="{00000000-0005-0000-0000-0000A64E0000}"/>
    <cellStyle name="Hed Side Indent 3 3 6 8 2" xfId="18209" xr:uid="{00000000-0005-0000-0000-0000A74E0000}"/>
    <cellStyle name="Hed Side Indent 3 3 6 9" xfId="18210" xr:uid="{00000000-0005-0000-0000-0000A84E0000}"/>
    <cellStyle name="Hed Side Indent 3 3 6 9 2" xfId="18211" xr:uid="{00000000-0005-0000-0000-0000A94E0000}"/>
    <cellStyle name="Hed Side Indent 3 3 7" xfId="18212" xr:uid="{00000000-0005-0000-0000-0000AA4E0000}"/>
    <cellStyle name="Hed Side Indent 3 3 7 10" xfId="18213" xr:uid="{00000000-0005-0000-0000-0000AB4E0000}"/>
    <cellStyle name="Hed Side Indent 3 3 7 2" xfId="18214" xr:uid="{00000000-0005-0000-0000-0000AC4E0000}"/>
    <cellStyle name="Hed Side Indent 3 3 7 2 2" xfId="18215" xr:uid="{00000000-0005-0000-0000-0000AD4E0000}"/>
    <cellStyle name="Hed Side Indent 3 3 7 3" xfId="18216" xr:uid="{00000000-0005-0000-0000-0000AE4E0000}"/>
    <cellStyle name="Hed Side Indent 3 3 7 3 2" xfId="18217" xr:uid="{00000000-0005-0000-0000-0000AF4E0000}"/>
    <cellStyle name="Hed Side Indent 3 3 7 4" xfId="18218" xr:uid="{00000000-0005-0000-0000-0000B04E0000}"/>
    <cellStyle name="Hed Side Indent 3 3 7 4 2" xfId="18219" xr:uid="{00000000-0005-0000-0000-0000B14E0000}"/>
    <cellStyle name="Hed Side Indent 3 3 7 5" xfId="18220" xr:uid="{00000000-0005-0000-0000-0000B24E0000}"/>
    <cellStyle name="Hed Side Indent 3 3 7 5 2" xfId="18221" xr:uid="{00000000-0005-0000-0000-0000B34E0000}"/>
    <cellStyle name="Hed Side Indent 3 3 7 6" xfId="18222" xr:uid="{00000000-0005-0000-0000-0000B44E0000}"/>
    <cellStyle name="Hed Side Indent 3 3 7 6 2" xfId="18223" xr:uid="{00000000-0005-0000-0000-0000B54E0000}"/>
    <cellStyle name="Hed Side Indent 3 3 7 7" xfId="18224" xr:uid="{00000000-0005-0000-0000-0000B64E0000}"/>
    <cellStyle name="Hed Side Indent 3 3 7 7 2" xfId="18225" xr:uid="{00000000-0005-0000-0000-0000B74E0000}"/>
    <cellStyle name="Hed Side Indent 3 3 7 8" xfId="18226" xr:uid="{00000000-0005-0000-0000-0000B84E0000}"/>
    <cellStyle name="Hed Side Indent 3 3 7 8 2" xfId="18227" xr:uid="{00000000-0005-0000-0000-0000B94E0000}"/>
    <cellStyle name="Hed Side Indent 3 3 7 9" xfId="18228" xr:uid="{00000000-0005-0000-0000-0000BA4E0000}"/>
    <cellStyle name="Hed Side Indent 3 3 7 9 2" xfId="18229" xr:uid="{00000000-0005-0000-0000-0000BB4E0000}"/>
    <cellStyle name="Hed Side Indent 3 3 8" xfId="18230" xr:uid="{00000000-0005-0000-0000-0000BC4E0000}"/>
    <cellStyle name="Hed Side Indent 3 3 8 10" xfId="18231" xr:uid="{00000000-0005-0000-0000-0000BD4E0000}"/>
    <cellStyle name="Hed Side Indent 3 3 8 2" xfId="18232" xr:uid="{00000000-0005-0000-0000-0000BE4E0000}"/>
    <cellStyle name="Hed Side Indent 3 3 8 2 2" xfId="18233" xr:uid="{00000000-0005-0000-0000-0000BF4E0000}"/>
    <cellStyle name="Hed Side Indent 3 3 8 3" xfId="18234" xr:uid="{00000000-0005-0000-0000-0000C04E0000}"/>
    <cellStyle name="Hed Side Indent 3 3 8 3 2" xfId="18235" xr:uid="{00000000-0005-0000-0000-0000C14E0000}"/>
    <cellStyle name="Hed Side Indent 3 3 8 4" xfId="18236" xr:uid="{00000000-0005-0000-0000-0000C24E0000}"/>
    <cellStyle name="Hed Side Indent 3 3 8 4 2" xfId="18237" xr:uid="{00000000-0005-0000-0000-0000C34E0000}"/>
    <cellStyle name="Hed Side Indent 3 3 8 5" xfId="18238" xr:uid="{00000000-0005-0000-0000-0000C44E0000}"/>
    <cellStyle name="Hed Side Indent 3 3 8 5 2" xfId="18239" xr:uid="{00000000-0005-0000-0000-0000C54E0000}"/>
    <cellStyle name="Hed Side Indent 3 3 8 6" xfId="18240" xr:uid="{00000000-0005-0000-0000-0000C64E0000}"/>
    <cellStyle name="Hed Side Indent 3 3 8 6 2" xfId="18241" xr:uid="{00000000-0005-0000-0000-0000C74E0000}"/>
    <cellStyle name="Hed Side Indent 3 3 8 7" xfId="18242" xr:uid="{00000000-0005-0000-0000-0000C84E0000}"/>
    <cellStyle name="Hed Side Indent 3 3 8 7 2" xfId="18243" xr:uid="{00000000-0005-0000-0000-0000C94E0000}"/>
    <cellStyle name="Hed Side Indent 3 3 8 8" xfId="18244" xr:uid="{00000000-0005-0000-0000-0000CA4E0000}"/>
    <cellStyle name="Hed Side Indent 3 3 8 8 2" xfId="18245" xr:uid="{00000000-0005-0000-0000-0000CB4E0000}"/>
    <cellStyle name="Hed Side Indent 3 3 8 9" xfId="18246" xr:uid="{00000000-0005-0000-0000-0000CC4E0000}"/>
    <cellStyle name="Hed Side Indent 3 3 8 9 2" xfId="18247" xr:uid="{00000000-0005-0000-0000-0000CD4E0000}"/>
    <cellStyle name="Hed Side Indent 3 3 9" xfId="18248" xr:uid="{00000000-0005-0000-0000-0000CE4E0000}"/>
    <cellStyle name="Hed Side Indent 3 3 9 10" xfId="18249" xr:uid="{00000000-0005-0000-0000-0000CF4E0000}"/>
    <cellStyle name="Hed Side Indent 3 3 9 2" xfId="18250" xr:uid="{00000000-0005-0000-0000-0000D04E0000}"/>
    <cellStyle name="Hed Side Indent 3 3 9 2 2" xfId="18251" xr:uid="{00000000-0005-0000-0000-0000D14E0000}"/>
    <cellStyle name="Hed Side Indent 3 3 9 3" xfId="18252" xr:uid="{00000000-0005-0000-0000-0000D24E0000}"/>
    <cellStyle name="Hed Side Indent 3 3 9 3 2" xfId="18253" xr:uid="{00000000-0005-0000-0000-0000D34E0000}"/>
    <cellStyle name="Hed Side Indent 3 3 9 4" xfId="18254" xr:uid="{00000000-0005-0000-0000-0000D44E0000}"/>
    <cellStyle name="Hed Side Indent 3 3 9 4 2" xfId="18255" xr:uid="{00000000-0005-0000-0000-0000D54E0000}"/>
    <cellStyle name="Hed Side Indent 3 3 9 5" xfId="18256" xr:uid="{00000000-0005-0000-0000-0000D64E0000}"/>
    <cellStyle name="Hed Side Indent 3 3 9 5 2" xfId="18257" xr:uid="{00000000-0005-0000-0000-0000D74E0000}"/>
    <cellStyle name="Hed Side Indent 3 3 9 6" xfId="18258" xr:uid="{00000000-0005-0000-0000-0000D84E0000}"/>
    <cellStyle name="Hed Side Indent 3 3 9 6 2" xfId="18259" xr:uid="{00000000-0005-0000-0000-0000D94E0000}"/>
    <cellStyle name="Hed Side Indent 3 3 9 7" xfId="18260" xr:uid="{00000000-0005-0000-0000-0000DA4E0000}"/>
    <cellStyle name="Hed Side Indent 3 3 9 7 2" xfId="18261" xr:uid="{00000000-0005-0000-0000-0000DB4E0000}"/>
    <cellStyle name="Hed Side Indent 3 3 9 8" xfId="18262" xr:uid="{00000000-0005-0000-0000-0000DC4E0000}"/>
    <cellStyle name="Hed Side Indent 3 3 9 8 2" xfId="18263" xr:uid="{00000000-0005-0000-0000-0000DD4E0000}"/>
    <cellStyle name="Hed Side Indent 3 3 9 9" xfId="18264" xr:uid="{00000000-0005-0000-0000-0000DE4E0000}"/>
    <cellStyle name="Hed Side Indent 3 3 9 9 2" xfId="18265" xr:uid="{00000000-0005-0000-0000-0000DF4E0000}"/>
    <cellStyle name="Hed Side Indent 3 4" xfId="18266" xr:uid="{00000000-0005-0000-0000-0000E04E0000}"/>
    <cellStyle name="Hed Side Indent 3 4 10" xfId="18267" xr:uid="{00000000-0005-0000-0000-0000E14E0000}"/>
    <cellStyle name="Hed Side Indent 3 4 10 2" xfId="18268" xr:uid="{00000000-0005-0000-0000-0000E24E0000}"/>
    <cellStyle name="Hed Side Indent 3 4 10 2 2" xfId="18269" xr:uid="{00000000-0005-0000-0000-0000E34E0000}"/>
    <cellStyle name="Hed Side Indent 3 4 10 3" xfId="18270" xr:uid="{00000000-0005-0000-0000-0000E44E0000}"/>
    <cellStyle name="Hed Side Indent 3 4 10 3 2" xfId="18271" xr:uid="{00000000-0005-0000-0000-0000E54E0000}"/>
    <cellStyle name="Hed Side Indent 3 4 10 4" xfId="18272" xr:uid="{00000000-0005-0000-0000-0000E64E0000}"/>
    <cellStyle name="Hed Side Indent 3 4 10 4 2" xfId="18273" xr:uid="{00000000-0005-0000-0000-0000E74E0000}"/>
    <cellStyle name="Hed Side Indent 3 4 10 5" xfId="18274" xr:uid="{00000000-0005-0000-0000-0000E84E0000}"/>
    <cellStyle name="Hed Side Indent 3 4 10 5 2" xfId="18275" xr:uid="{00000000-0005-0000-0000-0000E94E0000}"/>
    <cellStyle name="Hed Side Indent 3 4 10 6" xfId="18276" xr:uid="{00000000-0005-0000-0000-0000EA4E0000}"/>
    <cellStyle name="Hed Side Indent 3 4 10 6 2" xfId="18277" xr:uid="{00000000-0005-0000-0000-0000EB4E0000}"/>
    <cellStyle name="Hed Side Indent 3 4 10 7" xfId="18278" xr:uid="{00000000-0005-0000-0000-0000EC4E0000}"/>
    <cellStyle name="Hed Side Indent 3 4 10 7 2" xfId="18279" xr:uid="{00000000-0005-0000-0000-0000ED4E0000}"/>
    <cellStyle name="Hed Side Indent 3 4 10 8" xfId="18280" xr:uid="{00000000-0005-0000-0000-0000EE4E0000}"/>
    <cellStyle name="Hed Side Indent 3 4 10 8 2" xfId="18281" xr:uid="{00000000-0005-0000-0000-0000EF4E0000}"/>
    <cellStyle name="Hed Side Indent 3 4 10 9" xfId="18282" xr:uid="{00000000-0005-0000-0000-0000F04E0000}"/>
    <cellStyle name="Hed Side Indent 3 4 11" xfId="18283" xr:uid="{00000000-0005-0000-0000-0000F14E0000}"/>
    <cellStyle name="Hed Side Indent 3 4 11 2" xfId="18284" xr:uid="{00000000-0005-0000-0000-0000F24E0000}"/>
    <cellStyle name="Hed Side Indent 3 4 12" xfId="18285" xr:uid="{00000000-0005-0000-0000-0000F34E0000}"/>
    <cellStyle name="Hed Side Indent 3 4 12 2" xfId="18286" xr:uid="{00000000-0005-0000-0000-0000F44E0000}"/>
    <cellStyle name="Hed Side Indent 3 4 13" xfId="18287" xr:uid="{00000000-0005-0000-0000-0000F54E0000}"/>
    <cellStyle name="Hed Side Indent 3 4 13 2" xfId="18288" xr:uid="{00000000-0005-0000-0000-0000F64E0000}"/>
    <cellStyle name="Hed Side Indent 3 4 14" xfId="18289" xr:uid="{00000000-0005-0000-0000-0000F74E0000}"/>
    <cellStyle name="Hed Side Indent 3 4 14 2" xfId="18290" xr:uid="{00000000-0005-0000-0000-0000F84E0000}"/>
    <cellStyle name="Hed Side Indent 3 4 15" xfId="18291" xr:uid="{00000000-0005-0000-0000-0000F94E0000}"/>
    <cellStyle name="Hed Side Indent 3 4 15 2" xfId="18292" xr:uid="{00000000-0005-0000-0000-0000FA4E0000}"/>
    <cellStyle name="Hed Side Indent 3 4 16" xfId="18293" xr:uid="{00000000-0005-0000-0000-0000FB4E0000}"/>
    <cellStyle name="Hed Side Indent 3 4 16 2" xfId="18294" xr:uid="{00000000-0005-0000-0000-0000FC4E0000}"/>
    <cellStyle name="Hed Side Indent 3 4 17" xfId="18295" xr:uid="{00000000-0005-0000-0000-0000FD4E0000}"/>
    <cellStyle name="Hed Side Indent 3 4 17 2" xfId="18296" xr:uid="{00000000-0005-0000-0000-0000FE4E0000}"/>
    <cellStyle name="Hed Side Indent 3 4 18" xfId="18297" xr:uid="{00000000-0005-0000-0000-0000FF4E0000}"/>
    <cellStyle name="Hed Side Indent 3 4 2" xfId="18298" xr:uid="{00000000-0005-0000-0000-0000004F0000}"/>
    <cellStyle name="Hed Side Indent 3 4 2 10" xfId="18299" xr:uid="{00000000-0005-0000-0000-0000014F0000}"/>
    <cellStyle name="Hed Side Indent 3 4 2 2" xfId="18300" xr:uid="{00000000-0005-0000-0000-0000024F0000}"/>
    <cellStyle name="Hed Side Indent 3 4 2 2 2" xfId="18301" xr:uid="{00000000-0005-0000-0000-0000034F0000}"/>
    <cellStyle name="Hed Side Indent 3 4 2 3" xfId="18302" xr:uid="{00000000-0005-0000-0000-0000044F0000}"/>
    <cellStyle name="Hed Side Indent 3 4 2 3 2" xfId="18303" xr:uid="{00000000-0005-0000-0000-0000054F0000}"/>
    <cellStyle name="Hed Side Indent 3 4 2 4" xfId="18304" xr:uid="{00000000-0005-0000-0000-0000064F0000}"/>
    <cellStyle name="Hed Side Indent 3 4 2 4 2" xfId="18305" xr:uid="{00000000-0005-0000-0000-0000074F0000}"/>
    <cellStyle name="Hed Side Indent 3 4 2 5" xfId="18306" xr:uid="{00000000-0005-0000-0000-0000084F0000}"/>
    <cellStyle name="Hed Side Indent 3 4 2 5 2" xfId="18307" xr:uid="{00000000-0005-0000-0000-0000094F0000}"/>
    <cellStyle name="Hed Side Indent 3 4 2 6" xfId="18308" xr:uid="{00000000-0005-0000-0000-00000A4F0000}"/>
    <cellStyle name="Hed Side Indent 3 4 2 6 2" xfId="18309" xr:uid="{00000000-0005-0000-0000-00000B4F0000}"/>
    <cellStyle name="Hed Side Indent 3 4 2 7" xfId="18310" xr:uid="{00000000-0005-0000-0000-00000C4F0000}"/>
    <cellStyle name="Hed Side Indent 3 4 2 7 2" xfId="18311" xr:uid="{00000000-0005-0000-0000-00000D4F0000}"/>
    <cellStyle name="Hed Side Indent 3 4 2 8" xfId="18312" xr:uid="{00000000-0005-0000-0000-00000E4F0000}"/>
    <cellStyle name="Hed Side Indent 3 4 2 8 2" xfId="18313" xr:uid="{00000000-0005-0000-0000-00000F4F0000}"/>
    <cellStyle name="Hed Side Indent 3 4 2 9" xfId="18314" xr:uid="{00000000-0005-0000-0000-0000104F0000}"/>
    <cellStyle name="Hed Side Indent 3 4 2 9 2" xfId="18315" xr:uid="{00000000-0005-0000-0000-0000114F0000}"/>
    <cellStyle name="Hed Side Indent 3 4 3" xfId="18316" xr:uid="{00000000-0005-0000-0000-0000124F0000}"/>
    <cellStyle name="Hed Side Indent 3 4 3 10" xfId="18317" xr:uid="{00000000-0005-0000-0000-0000134F0000}"/>
    <cellStyle name="Hed Side Indent 3 4 3 2" xfId="18318" xr:uid="{00000000-0005-0000-0000-0000144F0000}"/>
    <cellStyle name="Hed Side Indent 3 4 3 2 2" xfId="18319" xr:uid="{00000000-0005-0000-0000-0000154F0000}"/>
    <cellStyle name="Hed Side Indent 3 4 3 3" xfId="18320" xr:uid="{00000000-0005-0000-0000-0000164F0000}"/>
    <cellStyle name="Hed Side Indent 3 4 3 3 2" xfId="18321" xr:uid="{00000000-0005-0000-0000-0000174F0000}"/>
    <cellStyle name="Hed Side Indent 3 4 3 4" xfId="18322" xr:uid="{00000000-0005-0000-0000-0000184F0000}"/>
    <cellStyle name="Hed Side Indent 3 4 3 4 2" xfId="18323" xr:uid="{00000000-0005-0000-0000-0000194F0000}"/>
    <cellStyle name="Hed Side Indent 3 4 3 5" xfId="18324" xr:uid="{00000000-0005-0000-0000-00001A4F0000}"/>
    <cellStyle name="Hed Side Indent 3 4 3 5 2" xfId="18325" xr:uid="{00000000-0005-0000-0000-00001B4F0000}"/>
    <cellStyle name="Hed Side Indent 3 4 3 6" xfId="18326" xr:uid="{00000000-0005-0000-0000-00001C4F0000}"/>
    <cellStyle name="Hed Side Indent 3 4 3 6 2" xfId="18327" xr:uid="{00000000-0005-0000-0000-00001D4F0000}"/>
    <cellStyle name="Hed Side Indent 3 4 3 7" xfId="18328" xr:uid="{00000000-0005-0000-0000-00001E4F0000}"/>
    <cellStyle name="Hed Side Indent 3 4 3 7 2" xfId="18329" xr:uid="{00000000-0005-0000-0000-00001F4F0000}"/>
    <cellStyle name="Hed Side Indent 3 4 3 8" xfId="18330" xr:uid="{00000000-0005-0000-0000-0000204F0000}"/>
    <cellStyle name="Hed Side Indent 3 4 3 8 2" xfId="18331" xr:uid="{00000000-0005-0000-0000-0000214F0000}"/>
    <cellStyle name="Hed Side Indent 3 4 3 9" xfId="18332" xr:uid="{00000000-0005-0000-0000-0000224F0000}"/>
    <cellStyle name="Hed Side Indent 3 4 3 9 2" xfId="18333" xr:uid="{00000000-0005-0000-0000-0000234F0000}"/>
    <cellStyle name="Hed Side Indent 3 4 4" xfId="18334" xr:uid="{00000000-0005-0000-0000-0000244F0000}"/>
    <cellStyle name="Hed Side Indent 3 4 4 10" xfId="18335" xr:uid="{00000000-0005-0000-0000-0000254F0000}"/>
    <cellStyle name="Hed Side Indent 3 4 4 2" xfId="18336" xr:uid="{00000000-0005-0000-0000-0000264F0000}"/>
    <cellStyle name="Hed Side Indent 3 4 4 2 2" xfId="18337" xr:uid="{00000000-0005-0000-0000-0000274F0000}"/>
    <cellStyle name="Hed Side Indent 3 4 4 3" xfId="18338" xr:uid="{00000000-0005-0000-0000-0000284F0000}"/>
    <cellStyle name="Hed Side Indent 3 4 4 3 2" xfId="18339" xr:uid="{00000000-0005-0000-0000-0000294F0000}"/>
    <cellStyle name="Hed Side Indent 3 4 4 4" xfId="18340" xr:uid="{00000000-0005-0000-0000-00002A4F0000}"/>
    <cellStyle name="Hed Side Indent 3 4 4 4 2" xfId="18341" xr:uid="{00000000-0005-0000-0000-00002B4F0000}"/>
    <cellStyle name="Hed Side Indent 3 4 4 5" xfId="18342" xr:uid="{00000000-0005-0000-0000-00002C4F0000}"/>
    <cellStyle name="Hed Side Indent 3 4 4 5 2" xfId="18343" xr:uid="{00000000-0005-0000-0000-00002D4F0000}"/>
    <cellStyle name="Hed Side Indent 3 4 4 6" xfId="18344" xr:uid="{00000000-0005-0000-0000-00002E4F0000}"/>
    <cellStyle name="Hed Side Indent 3 4 4 6 2" xfId="18345" xr:uid="{00000000-0005-0000-0000-00002F4F0000}"/>
    <cellStyle name="Hed Side Indent 3 4 4 7" xfId="18346" xr:uid="{00000000-0005-0000-0000-0000304F0000}"/>
    <cellStyle name="Hed Side Indent 3 4 4 7 2" xfId="18347" xr:uid="{00000000-0005-0000-0000-0000314F0000}"/>
    <cellStyle name="Hed Side Indent 3 4 4 8" xfId="18348" xr:uid="{00000000-0005-0000-0000-0000324F0000}"/>
    <cellStyle name="Hed Side Indent 3 4 4 8 2" xfId="18349" xr:uid="{00000000-0005-0000-0000-0000334F0000}"/>
    <cellStyle name="Hed Side Indent 3 4 4 9" xfId="18350" xr:uid="{00000000-0005-0000-0000-0000344F0000}"/>
    <cellStyle name="Hed Side Indent 3 4 4 9 2" xfId="18351" xr:uid="{00000000-0005-0000-0000-0000354F0000}"/>
    <cellStyle name="Hed Side Indent 3 4 5" xfId="18352" xr:uid="{00000000-0005-0000-0000-0000364F0000}"/>
    <cellStyle name="Hed Side Indent 3 4 5 10" xfId="18353" xr:uid="{00000000-0005-0000-0000-0000374F0000}"/>
    <cellStyle name="Hed Side Indent 3 4 5 2" xfId="18354" xr:uid="{00000000-0005-0000-0000-0000384F0000}"/>
    <cellStyle name="Hed Side Indent 3 4 5 2 2" xfId="18355" xr:uid="{00000000-0005-0000-0000-0000394F0000}"/>
    <cellStyle name="Hed Side Indent 3 4 5 3" xfId="18356" xr:uid="{00000000-0005-0000-0000-00003A4F0000}"/>
    <cellStyle name="Hed Side Indent 3 4 5 3 2" xfId="18357" xr:uid="{00000000-0005-0000-0000-00003B4F0000}"/>
    <cellStyle name="Hed Side Indent 3 4 5 4" xfId="18358" xr:uid="{00000000-0005-0000-0000-00003C4F0000}"/>
    <cellStyle name="Hed Side Indent 3 4 5 4 2" xfId="18359" xr:uid="{00000000-0005-0000-0000-00003D4F0000}"/>
    <cellStyle name="Hed Side Indent 3 4 5 5" xfId="18360" xr:uid="{00000000-0005-0000-0000-00003E4F0000}"/>
    <cellStyle name="Hed Side Indent 3 4 5 5 2" xfId="18361" xr:uid="{00000000-0005-0000-0000-00003F4F0000}"/>
    <cellStyle name="Hed Side Indent 3 4 5 6" xfId="18362" xr:uid="{00000000-0005-0000-0000-0000404F0000}"/>
    <cellStyle name="Hed Side Indent 3 4 5 6 2" xfId="18363" xr:uid="{00000000-0005-0000-0000-0000414F0000}"/>
    <cellStyle name="Hed Side Indent 3 4 5 7" xfId="18364" xr:uid="{00000000-0005-0000-0000-0000424F0000}"/>
    <cellStyle name="Hed Side Indent 3 4 5 7 2" xfId="18365" xr:uid="{00000000-0005-0000-0000-0000434F0000}"/>
    <cellStyle name="Hed Side Indent 3 4 5 8" xfId="18366" xr:uid="{00000000-0005-0000-0000-0000444F0000}"/>
    <cellStyle name="Hed Side Indent 3 4 5 8 2" xfId="18367" xr:uid="{00000000-0005-0000-0000-0000454F0000}"/>
    <cellStyle name="Hed Side Indent 3 4 5 9" xfId="18368" xr:uid="{00000000-0005-0000-0000-0000464F0000}"/>
    <cellStyle name="Hed Side Indent 3 4 5 9 2" xfId="18369" xr:uid="{00000000-0005-0000-0000-0000474F0000}"/>
    <cellStyle name="Hed Side Indent 3 4 6" xfId="18370" xr:uid="{00000000-0005-0000-0000-0000484F0000}"/>
    <cellStyle name="Hed Side Indent 3 4 6 10" xfId="18371" xr:uid="{00000000-0005-0000-0000-0000494F0000}"/>
    <cellStyle name="Hed Side Indent 3 4 6 2" xfId="18372" xr:uid="{00000000-0005-0000-0000-00004A4F0000}"/>
    <cellStyle name="Hed Side Indent 3 4 6 2 2" xfId="18373" xr:uid="{00000000-0005-0000-0000-00004B4F0000}"/>
    <cellStyle name="Hed Side Indent 3 4 6 3" xfId="18374" xr:uid="{00000000-0005-0000-0000-00004C4F0000}"/>
    <cellStyle name="Hed Side Indent 3 4 6 3 2" xfId="18375" xr:uid="{00000000-0005-0000-0000-00004D4F0000}"/>
    <cellStyle name="Hed Side Indent 3 4 6 4" xfId="18376" xr:uid="{00000000-0005-0000-0000-00004E4F0000}"/>
    <cellStyle name="Hed Side Indent 3 4 6 4 2" xfId="18377" xr:uid="{00000000-0005-0000-0000-00004F4F0000}"/>
    <cellStyle name="Hed Side Indent 3 4 6 5" xfId="18378" xr:uid="{00000000-0005-0000-0000-0000504F0000}"/>
    <cellStyle name="Hed Side Indent 3 4 6 5 2" xfId="18379" xr:uid="{00000000-0005-0000-0000-0000514F0000}"/>
    <cellStyle name="Hed Side Indent 3 4 6 6" xfId="18380" xr:uid="{00000000-0005-0000-0000-0000524F0000}"/>
    <cellStyle name="Hed Side Indent 3 4 6 6 2" xfId="18381" xr:uid="{00000000-0005-0000-0000-0000534F0000}"/>
    <cellStyle name="Hed Side Indent 3 4 6 7" xfId="18382" xr:uid="{00000000-0005-0000-0000-0000544F0000}"/>
    <cellStyle name="Hed Side Indent 3 4 6 7 2" xfId="18383" xr:uid="{00000000-0005-0000-0000-0000554F0000}"/>
    <cellStyle name="Hed Side Indent 3 4 6 8" xfId="18384" xr:uid="{00000000-0005-0000-0000-0000564F0000}"/>
    <cellStyle name="Hed Side Indent 3 4 6 8 2" xfId="18385" xr:uid="{00000000-0005-0000-0000-0000574F0000}"/>
    <cellStyle name="Hed Side Indent 3 4 6 9" xfId="18386" xr:uid="{00000000-0005-0000-0000-0000584F0000}"/>
    <cellStyle name="Hed Side Indent 3 4 6 9 2" xfId="18387" xr:uid="{00000000-0005-0000-0000-0000594F0000}"/>
    <cellStyle name="Hed Side Indent 3 4 7" xfId="18388" xr:uid="{00000000-0005-0000-0000-00005A4F0000}"/>
    <cellStyle name="Hed Side Indent 3 4 7 10" xfId="18389" xr:uid="{00000000-0005-0000-0000-00005B4F0000}"/>
    <cellStyle name="Hed Side Indent 3 4 7 2" xfId="18390" xr:uid="{00000000-0005-0000-0000-00005C4F0000}"/>
    <cellStyle name="Hed Side Indent 3 4 7 2 2" xfId="18391" xr:uid="{00000000-0005-0000-0000-00005D4F0000}"/>
    <cellStyle name="Hed Side Indent 3 4 7 3" xfId="18392" xr:uid="{00000000-0005-0000-0000-00005E4F0000}"/>
    <cellStyle name="Hed Side Indent 3 4 7 3 2" xfId="18393" xr:uid="{00000000-0005-0000-0000-00005F4F0000}"/>
    <cellStyle name="Hed Side Indent 3 4 7 4" xfId="18394" xr:uid="{00000000-0005-0000-0000-0000604F0000}"/>
    <cellStyle name="Hed Side Indent 3 4 7 4 2" xfId="18395" xr:uid="{00000000-0005-0000-0000-0000614F0000}"/>
    <cellStyle name="Hed Side Indent 3 4 7 5" xfId="18396" xr:uid="{00000000-0005-0000-0000-0000624F0000}"/>
    <cellStyle name="Hed Side Indent 3 4 7 5 2" xfId="18397" xr:uid="{00000000-0005-0000-0000-0000634F0000}"/>
    <cellStyle name="Hed Side Indent 3 4 7 6" xfId="18398" xr:uid="{00000000-0005-0000-0000-0000644F0000}"/>
    <cellStyle name="Hed Side Indent 3 4 7 6 2" xfId="18399" xr:uid="{00000000-0005-0000-0000-0000654F0000}"/>
    <cellStyle name="Hed Side Indent 3 4 7 7" xfId="18400" xr:uid="{00000000-0005-0000-0000-0000664F0000}"/>
    <cellStyle name="Hed Side Indent 3 4 7 7 2" xfId="18401" xr:uid="{00000000-0005-0000-0000-0000674F0000}"/>
    <cellStyle name="Hed Side Indent 3 4 7 8" xfId="18402" xr:uid="{00000000-0005-0000-0000-0000684F0000}"/>
    <cellStyle name="Hed Side Indent 3 4 7 8 2" xfId="18403" xr:uid="{00000000-0005-0000-0000-0000694F0000}"/>
    <cellStyle name="Hed Side Indent 3 4 7 9" xfId="18404" xr:uid="{00000000-0005-0000-0000-00006A4F0000}"/>
    <cellStyle name="Hed Side Indent 3 4 7 9 2" xfId="18405" xr:uid="{00000000-0005-0000-0000-00006B4F0000}"/>
    <cellStyle name="Hed Side Indent 3 4 8" xfId="18406" xr:uid="{00000000-0005-0000-0000-00006C4F0000}"/>
    <cellStyle name="Hed Side Indent 3 4 8 10" xfId="18407" xr:uid="{00000000-0005-0000-0000-00006D4F0000}"/>
    <cellStyle name="Hed Side Indent 3 4 8 2" xfId="18408" xr:uid="{00000000-0005-0000-0000-00006E4F0000}"/>
    <cellStyle name="Hed Side Indent 3 4 8 2 2" xfId="18409" xr:uid="{00000000-0005-0000-0000-00006F4F0000}"/>
    <cellStyle name="Hed Side Indent 3 4 8 3" xfId="18410" xr:uid="{00000000-0005-0000-0000-0000704F0000}"/>
    <cellStyle name="Hed Side Indent 3 4 8 3 2" xfId="18411" xr:uid="{00000000-0005-0000-0000-0000714F0000}"/>
    <cellStyle name="Hed Side Indent 3 4 8 4" xfId="18412" xr:uid="{00000000-0005-0000-0000-0000724F0000}"/>
    <cellStyle name="Hed Side Indent 3 4 8 4 2" xfId="18413" xr:uid="{00000000-0005-0000-0000-0000734F0000}"/>
    <cellStyle name="Hed Side Indent 3 4 8 5" xfId="18414" xr:uid="{00000000-0005-0000-0000-0000744F0000}"/>
    <cellStyle name="Hed Side Indent 3 4 8 5 2" xfId="18415" xr:uid="{00000000-0005-0000-0000-0000754F0000}"/>
    <cellStyle name="Hed Side Indent 3 4 8 6" xfId="18416" xr:uid="{00000000-0005-0000-0000-0000764F0000}"/>
    <cellStyle name="Hed Side Indent 3 4 8 6 2" xfId="18417" xr:uid="{00000000-0005-0000-0000-0000774F0000}"/>
    <cellStyle name="Hed Side Indent 3 4 8 7" xfId="18418" xr:uid="{00000000-0005-0000-0000-0000784F0000}"/>
    <cellStyle name="Hed Side Indent 3 4 8 7 2" xfId="18419" xr:uid="{00000000-0005-0000-0000-0000794F0000}"/>
    <cellStyle name="Hed Side Indent 3 4 8 8" xfId="18420" xr:uid="{00000000-0005-0000-0000-00007A4F0000}"/>
    <cellStyle name="Hed Side Indent 3 4 8 8 2" xfId="18421" xr:uid="{00000000-0005-0000-0000-00007B4F0000}"/>
    <cellStyle name="Hed Side Indent 3 4 8 9" xfId="18422" xr:uid="{00000000-0005-0000-0000-00007C4F0000}"/>
    <cellStyle name="Hed Side Indent 3 4 8 9 2" xfId="18423" xr:uid="{00000000-0005-0000-0000-00007D4F0000}"/>
    <cellStyle name="Hed Side Indent 3 4 9" xfId="18424" xr:uid="{00000000-0005-0000-0000-00007E4F0000}"/>
    <cellStyle name="Hed Side Indent 3 4 9 10" xfId="18425" xr:uid="{00000000-0005-0000-0000-00007F4F0000}"/>
    <cellStyle name="Hed Side Indent 3 4 9 2" xfId="18426" xr:uid="{00000000-0005-0000-0000-0000804F0000}"/>
    <cellStyle name="Hed Side Indent 3 4 9 2 2" xfId="18427" xr:uid="{00000000-0005-0000-0000-0000814F0000}"/>
    <cellStyle name="Hed Side Indent 3 4 9 3" xfId="18428" xr:uid="{00000000-0005-0000-0000-0000824F0000}"/>
    <cellStyle name="Hed Side Indent 3 4 9 3 2" xfId="18429" xr:uid="{00000000-0005-0000-0000-0000834F0000}"/>
    <cellStyle name="Hed Side Indent 3 4 9 4" xfId="18430" xr:uid="{00000000-0005-0000-0000-0000844F0000}"/>
    <cellStyle name="Hed Side Indent 3 4 9 4 2" xfId="18431" xr:uid="{00000000-0005-0000-0000-0000854F0000}"/>
    <cellStyle name="Hed Side Indent 3 4 9 5" xfId="18432" xr:uid="{00000000-0005-0000-0000-0000864F0000}"/>
    <cellStyle name="Hed Side Indent 3 4 9 5 2" xfId="18433" xr:uid="{00000000-0005-0000-0000-0000874F0000}"/>
    <cellStyle name="Hed Side Indent 3 4 9 6" xfId="18434" xr:uid="{00000000-0005-0000-0000-0000884F0000}"/>
    <cellStyle name="Hed Side Indent 3 4 9 6 2" xfId="18435" xr:uid="{00000000-0005-0000-0000-0000894F0000}"/>
    <cellStyle name="Hed Side Indent 3 4 9 7" xfId="18436" xr:uid="{00000000-0005-0000-0000-00008A4F0000}"/>
    <cellStyle name="Hed Side Indent 3 4 9 7 2" xfId="18437" xr:uid="{00000000-0005-0000-0000-00008B4F0000}"/>
    <cellStyle name="Hed Side Indent 3 4 9 8" xfId="18438" xr:uid="{00000000-0005-0000-0000-00008C4F0000}"/>
    <cellStyle name="Hed Side Indent 3 4 9 8 2" xfId="18439" xr:uid="{00000000-0005-0000-0000-00008D4F0000}"/>
    <cellStyle name="Hed Side Indent 3 4 9 9" xfId="18440" xr:uid="{00000000-0005-0000-0000-00008E4F0000}"/>
    <cellStyle name="Hed Side Indent 3 4 9 9 2" xfId="18441" xr:uid="{00000000-0005-0000-0000-00008F4F0000}"/>
    <cellStyle name="Hed Side Indent 3 5" xfId="18442" xr:uid="{00000000-0005-0000-0000-0000904F0000}"/>
    <cellStyle name="Hed Side Indent 3 5 10" xfId="18443" xr:uid="{00000000-0005-0000-0000-0000914F0000}"/>
    <cellStyle name="Hed Side Indent 3 5 10 2" xfId="18444" xr:uid="{00000000-0005-0000-0000-0000924F0000}"/>
    <cellStyle name="Hed Side Indent 3 5 10 2 2" xfId="18445" xr:uid="{00000000-0005-0000-0000-0000934F0000}"/>
    <cellStyle name="Hed Side Indent 3 5 10 3" xfId="18446" xr:uid="{00000000-0005-0000-0000-0000944F0000}"/>
    <cellStyle name="Hed Side Indent 3 5 10 3 2" xfId="18447" xr:uid="{00000000-0005-0000-0000-0000954F0000}"/>
    <cellStyle name="Hed Side Indent 3 5 10 4" xfId="18448" xr:uid="{00000000-0005-0000-0000-0000964F0000}"/>
    <cellStyle name="Hed Side Indent 3 5 10 4 2" xfId="18449" xr:uid="{00000000-0005-0000-0000-0000974F0000}"/>
    <cellStyle name="Hed Side Indent 3 5 10 5" xfId="18450" xr:uid="{00000000-0005-0000-0000-0000984F0000}"/>
    <cellStyle name="Hed Side Indent 3 5 10 5 2" xfId="18451" xr:uid="{00000000-0005-0000-0000-0000994F0000}"/>
    <cellStyle name="Hed Side Indent 3 5 10 6" xfId="18452" xr:uid="{00000000-0005-0000-0000-00009A4F0000}"/>
    <cellStyle name="Hed Side Indent 3 5 10 6 2" xfId="18453" xr:uid="{00000000-0005-0000-0000-00009B4F0000}"/>
    <cellStyle name="Hed Side Indent 3 5 10 7" xfId="18454" xr:uid="{00000000-0005-0000-0000-00009C4F0000}"/>
    <cellStyle name="Hed Side Indent 3 5 10 7 2" xfId="18455" xr:uid="{00000000-0005-0000-0000-00009D4F0000}"/>
    <cellStyle name="Hed Side Indent 3 5 10 8" xfId="18456" xr:uid="{00000000-0005-0000-0000-00009E4F0000}"/>
    <cellStyle name="Hed Side Indent 3 5 10 8 2" xfId="18457" xr:uid="{00000000-0005-0000-0000-00009F4F0000}"/>
    <cellStyle name="Hed Side Indent 3 5 10 9" xfId="18458" xr:uid="{00000000-0005-0000-0000-0000A04F0000}"/>
    <cellStyle name="Hed Side Indent 3 5 11" xfId="18459" xr:uid="{00000000-0005-0000-0000-0000A14F0000}"/>
    <cellStyle name="Hed Side Indent 3 5 11 2" xfId="18460" xr:uid="{00000000-0005-0000-0000-0000A24F0000}"/>
    <cellStyle name="Hed Side Indent 3 5 12" xfId="18461" xr:uid="{00000000-0005-0000-0000-0000A34F0000}"/>
    <cellStyle name="Hed Side Indent 3 5 12 2" xfId="18462" xr:uid="{00000000-0005-0000-0000-0000A44F0000}"/>
    <cellStyle name="Hed Side Indent 3 5 13" xfId="18463" xr:uid="{00000000-0005-0000-0000-0000A54F0000}"/>
    <cellStyle name="Hed Side Indent 3 5 13 2" xfId="18464" xr:uid="{00000000-0005-0000-0000-0000A64F0000}"/>
    <cellStyle name="Hed Side Indent 3 5 14" xfId="18465" xr:uid="{00000000-0005-0000-0000-0000A74F0000}"/>
    <cellStyle name="Hed Side Indent 3 5 14 2" xfId="18466" xr:uid="{00000000-0005-0000-0000-0000A84F0000}"/>
    <cellStyle name="Hed Side Indent 3 5 15" xfId="18467" xr:uid="{00000000-0005-0000-0000-0000A94F0000}"/>
    <cellStyle name="Hed Side Indent 3 5 15 2" xfId="18468" xr:uid="{00000000-0005-0000-0000-0000AA4F0000}"/>
    <cellStyle name="Hed Side Indent 3 5 16" xfId="18469" xr:uid="{00000000-0005-0000-0000-0000AB4F0000}"/>
    <cellStyle name="Hed Side Indent 3 5 16 2" xfId="18470" xr:uid="{00000000-0005-0000-0000-0000AC4F0000}"/>
    <cellStyle name="Hed Side Indent 3 5 17" xfId="18471" xr:uid="{00000000-0005-0000-0000-0000AD4F0000}"/>
    <cellStyle name="Hed Side Indent 3 5 17 2" xfId="18472" xr:uid="{00000000-0005-0000-0000-0000AE4F0000}"/>
    <cellStyle name="Hed Side Indent 3 5 18" xfId="18473" xr:uid="{00000000-0005-0000-0000-0000AF4F0000}"/>
    <cellStyle name="Hed Side Indent 3 5 2" xfId="18474" xr:uid="{00000000-0005-0000-0000-0000B04F0000}"/>
    <cellStyle name="Hed Side Indent 3 5 2 10" xfId="18475" xr:uid="{00000000-0005-0000-0000-0000B14F0000}"/>
    <cellStyle name="Hed Side Indent 3 5 2 2" xfId="18476" xr:uid="{00000000-0005-0000-0000-0000B24F0000}"/>
    <cellStyle name="Hed Side Indent 3 5 2 2 2" xfId="18477" xr:uid="{00000000-0005-0000-0000-0000B34F0000}"/>
    <cellStyle name="Hed Side Indent 3 5 2 3" xfId="18478" xr:uid="{00000000-0005-0000-0000-0000B44F0000}"/>
    <cellStyle name="Hed Side Indent 3 5 2 3 2" xfId="18479" xr:uid="{00000000-0005-0000-0000-0000B54F0000}"/>
    <cellStyle name="Hed Side Indent 3 5 2 4" xfId="18480" xr:uid="{00000000-0005-0000-0000-0000B64F0000}"/>
    <cellStyle name="Hed Side Indent 3 5 2 4 2" xfId="18481" xr:uid="{00000000-0005-0000-0000-0000B74F0000}"/>
    <cellStyle name="Hed Side Indent 3 5 2 5" xfId="18482" xr:uid="{00000000-0005-0000-0000-0000B84F0000}"/>
    <cellStyle name="Hed Side Indent 3 5 2 5 2" xfId="18483" xr:uid="{00000000-0005-0000-0000-0000B94F0000}"/>
    <cellStyle name="Hed Side Indent 3 5 2 6" xfId="18484" xr:uid="{00000000-0005-0000-0000-0000BA4F0000}"/>
    <cellStyle name="Hed Side Indent 3 5 2 6 2" xfId="18485" xr:uid="{00000000-0005-0000-0000-0000BB4F0000}"/>
    <cellStyle name="Hed Side Indent 3 5 2 7" xfId="18486" xr:uid="{00000000-0005-0000-0000-0000BC4F0000}"/>
    <cellStyle name="Hed Side Indent 3 5 2 7 2" xfId="18487" xr:uid="{00000000-0005-0000-0000-0000BD4F0000}"/>
    <cellStyle name="Hed Side Indent 3 5 2 8" xfId="18488" xr:uid="{00000000-0005-0000-0000-0000BE4F0000}"/>
    <cellStyle name="Hed Side Indent 3 5 2 8 2" xfId="18489" xr:uid="{00000000-0005-0000-0000-0000BF4F0000}"/>
    <cellStyle name="Hed Side Indent 3 5 2 9" xfId="18490" xr:uid="{00000000-0005-0000-0000-0000C04F0000}"/>
    <cellStyle name="Hed Side Indent 3 5 2 9 2" xfId="18491" xr:uid="{00000000-0005-0000-0000-0000C14F0000}"/>
    <cellStyle name="Hed Side Indent 3 5 3" xfId="18492" xr:uid="{00000000-0005-0000-0000-0000C24F0000}"/>
    <cellStyle name="Hed Side Indent 3 5 3 10" xfId="18493" xr:uid="{00000000-0005-0000-0000-0000C34F0000}"/>
    <cellStyle name="Hed Side Indent 3 5 3 2" xfId="18494" xr:uid="{00000000-0005-0000-0000-0000C44F0000}"/>
    <cellStyle name="Hed Side Indent 3 5 3 2 2" xfId="18495" xr:uid="{00000000-0005-0000-0000-0000C54F0000}"/>
    <cellStyle name="Hed Side Indent 3 5 3 3" xfId="18496" xr:uid="{00000000-0005-0000-0000-0000C64F0000}"/>
    <cellStyle name="Hed Side Indent 3 5 3 3 2" xfId="18497" xr:uid="{00000000-0005-0000-0000-0000C74F0000}"/>
    <cellStyle name="Hed Side Indent 3 5 3 4" xfId="18498" xr:uid="{00000000-0005-0000-0000-0000C84F0000}"/>
    <cellStyle name="Hed Side Indent 3 5 3 4 2" xfId="18499" xr:uid="{00000000-0005-0000-0000-0000C94F0000}"/>
    <cellStyle name="Hed Side Indent 3 5 3 5" xfId="18500" xr:uid="{00000000-0005-0000-0000-0000CA4F0000}"/>
    <cellStyle name="Hed Side Indent 3 5 3 5 2" xfId="18501" xr:uid="{00000000-0005-0000-0000-0000CB4F0000}"/>
    <cellStyle name="Hed Side Indent 3 5 3 6" xfId="18502" xr:uid="{00000000-0005-0000-0000-0000CC4F0000}"/>
    <cellStyle name="Hed Side Indent 3 5 3 6 2" xfId="18503" xr:uid="{00000000-0005-0000-0000-0000CD4F0000}"/>
    <cellStyle name="Hed Side Indent 3 5 3 7" xfId="18504" xr:uid="{00000000-0005-0000-0000-0000CE4F0000}"/>
    <cellStyle name="Hed Side Indent 3 5 3 7 2" xfId="18505" xr:uid="{00000000-0005-0000-0000-0000CF4F0000}"/>
    <cellStyle name="Hed Side Indent 3 5 3 8" xfId="18506" xr:uid="{00000000-0005-0000-0000-0000D04F0000}"/>
    <cellStyle name="Hed Side Indent 3 5 3 8 2" xfId="18507" xr:uid="{00000000-0005-0000-0000-0000D14F0000}"/>
    <cellStyle name="Hed Side Indent 3 5 3 9" xfId="18508" xr:uid="{00000000-0005-0000-0000-0000D24F0000}"/>
    <cellStyle name="Hed Side Indent 3 5 3 9 2" xfId="18509" xr:uid="{00000000-0005-0000-0000-0000D34F0000}"/>
    <cellStyle name="Hed Side Indent 3 5 4" xfId="18510" xr:uid="{00000000-0005-0000-0000-0000D44F0000}"/>
    <cellStyle name="Hed Side Indent 3 5 4 10" xfId="18511" xr:uid="{00000000-0005-0000-0000-0000D54F0000}"/>
    <cellStyle name="Hed Side Indent 3 5 4 2" xfId="18512" xr:uid="{00000000-0005-0000-0000-0000D64F0000}"/>
    <cellStyle name="Hed Side Indent 3 5 4 2 2" xfId="18513" xr:uid="{00000000-0005-0000-0000-0000D74F0000}"/>
    <cellStyle name="Hed Side Indent 3 5 4 3" xfId="18514" xr:uid="{00000000-0005-0000-0000-0000D84F0000}"/>
    <cellStyle name="Hed Side Indent 3 5 4 3 2" xfId="18515" xr:uid="{00000000-0005-0000-0000-0000D94F0000}"/>
    <cellStyle name="Hed Side Indent 3 5 4 4" xfId="18516" xr:uid="{00000000-0005-0000-0000-0000DA4F0000}"/>
    <cellStyle name="Hed Side Indent 3 5 4 4 2" xfId="18517" xr:uid="{00000000-0005-0000-0000-0000DB4F0000}"/>
    <cellStyle name="Hed Side Indent 3 5 4 5" xfId="18518" xr:uid="{00000000-0005-0000-0000-0000DC4F0000}"/>
    <cellStyle name="Hed Side Indent 3 5 4 5 2" xfId="18519" xr:uid="{00000000-0005-0000-0000-0000DD4F0000}"/>
    <cellStyle name="Hed Side Indent 3 5 4 6" xfId="18520" xr:uid="{00000000-0005-0000-0000-0000DE4F0000}"/>
    <cellStyle name="Hed Side Indent 3 5 4 6 2" xfId="18521" xr:uid="{00000000-0005-0000-0000-0000DF4F0000}"/>
    <cellStyle name="Hed Side Indent 3 5 4 7" xfId="18522" xr:uid="{00000000-0005-0000-0000-0000E04F0000}"/>
    <cellStyle name="Hed Side Indent 3 5 4 7 2" xfId="18523" xr:uid="{00000000-0005-0000-0000-0000E14F0000}"/>
    <cellStyle name="Hed Side Indent 3 5 4 8" xfId="18524" xr:uid="{00000000-0005-0000-0000-0000E24F0000}"/>
    <cellStyle name="Hed Side Indent 3 5 4 8 2" xfId="18525" xr:uid="{00000000-0005-0000-0000-0000E34F0000}"/>
    <cellStyle name="Hed Side Indent 3 5 4 9" xfId="18526" xr:uid="{00000000-0005-0000-0000-0000E44F0000}"/>
    <cellStyle name="Hed Side Indent 3 5 4 9 2" xfId="18527" xr:uid="{00000000-0005-0000-0000-0000E54F0000}"/>
    <cellStyle name="Hed Side Indent 3 5 5" xfId="18528" xr:uid="{00000000-0005-0000-0000-0000E64F0000}"/>
    <cellStyle name="Hed Side Indent 3 5 5 10" xfId="18529" xr:uid="{00000000-0005-0000-0000-0000E74F0000}"/>
    <cellStyle name="Hed Side Indent 3 5 5 2" xfId="18530" xr:uid="{00000000-0005-0000-0000-0000E84F0000}"/>
    <cellStyle name="Hed Side Indent 3 5 5 2 2" xfId="18531" xr:uid="{00000000-0005-0000-0000-0000E94F0000}"/>
    <cellStyle name="Hed Side Indent 3 5 5 3" xfId="18532" xr:uid="{00000000-0005-0000-0000-0000EA4F0000}"/>
    <cellStyle name="Hed Side Indent 3 5 5 3 2" xfId="18533" xr:uid="{00000000-0005-0000-0000-0000EB4F0000}"/>
    <cellStyle name="Hed Side Indent 3 5 5 4" xfId="18534" xr:uid="{00000000-0005-0000-0000-0000EC4F0000}"/>
    <cellStyle name="Hed Side Indent 3 5 5 4 2" xfId="18535" xr:uid="{00000000-0005-0000-0000-0000ED4F0000}"/>
    <cellStyle name="Hed Side Indent 3 5 5 5" xfId="18536" xr:uid="{00000000-0005-0000-0000-0000EE4F0000}"/>
    <cellStyle name="Hed Side Indent 3 5 5 5 2" xfId="18537" xr:uid="{00000000-0005-0000-0000-0000EF4F0000}"/>
    <cellStyle name="Hed Side Indent 3 5 5 6" xfId="18538" xr:uid="{00000000-0005-0000-0000-0000F04F0000}"/>
    <cellStyle name="Hed Side Indent 3 5 5 6 2" xfId="18539" xr:uid="{00000000-0005-0000-0000-0000F14F0000}"/>
    <cellStyle name="Hed Side Indent 3 5 5 7" xfId="18540" xr:uid="{00000000-0005-0000-0000-0000F24F0000}"/>
    <cellStyle name="Hed Side Indent 3 5 5 7 2" xfId="18541" xr:uid="{00000000-0005-0000-0000-0000F34F0000}"/>
    <cellStyle name="Hed Side Indent 3 5 5 8" xfId="18542" xr:uid="{00000000-0005-0000-0000-0000F44F0000}"/>
    <cellStyle name="Hed Side Indent 3 5 5 8 2" xfId="18543" xr:uid="{00000000-0005-0000-0000-0000F54F0000}"/>
    <cellStyle name="Hed Side Indent 3 5 5 9" xfId="18544" xr:uid="{00000000-0005-0000-0000-0000F64F0000}"/>
    <cellStyle name="Hed Side Indent 3 5 5 9 2" xfId="18545" xr:uid="{00000000-0005-0000-0000-0000F74F0000}"/>
    <cellStyle name="Hed Side Indent 3 5 6" xfId="18546" xr:uid="{00000000-0005-0000-0000-0000F84F0000}"/>
    <cellStyle name="Hed Side Indent 3 5 6 10" xfId="18547" xr:uid="{00000000-0005-0000-0000-0000F94F0000}"/>
    <cellStyle name="Hed Side Indent 3 5 6 2" xfId="18548" xr:uid="{00000000-0005-0000-0000-0000FA4F0000}"/>
    <cellStyle name="Hed Side Indent 3 5 6 2 2" xfId="18549" xr:uid="{00000000-0005-0000-0000-0000FB4F0000}"/>
    <cellStyle name="Hed Side Indent 3 5 6 3" xfId="18550" xr:uid="{00000000-0005-0000-0000-0000FC4F0000}"/>
    <cellStyle name="Hed Side Indent 3 5 6 3 2" xfId="18551" xr:uid="{00000000-0005-0000-0000-0000FD4F0000}"/>
    <cellStyle name="Hed Side Indent 3 5 6 4" xfId="18552" xr:uid="{00000000-0005-0000-0000-0000FE4F0000}"/>
    <cellStyle name="Hed Side Indent 3 5 6 4 2" xfId="18553" xr:uid="{00000000-0005-0000-0000-0000FF4F0000}"/>
    <cellStyle name="Hed Side Indent 3 5 6 5" xfId="18554" xr:uid="{00000000-0005-0000-0000-000000500000}"/>
    <cellStyle name="Hed Side Indent 3 5 6 5 2" xfId="18555" xr:uid="{00000000-0005-0000-0000-000001500000}"/>
    <cellStyle name="Hed Side Indent 3 5 6 6" xfId="18556" xr:uid="{00000000-0005-0000-0000-000002500000}"/>
    <cellStyle name="Hed Side Indent 3 5 6 6 2" xfId="18557" xr:uid="{00000000-0005-0000-0000-000003500000}"/>
    <cellStyle name="Hed Side Indent 3 5 6 7" xfId="18558" xr:uid="{00000000-0005-0000-0000-000004500000}"/>
    <cellStyle name="Hed Side Indent 3 5 6 7 2" xfId="18559" xr:uid="{00000000-0005-0000-0000-000005500000}"/>
    <cellStyle name="Hed Side Indent 3 5 6 8" xfId="18560" xr:uid="{00000000-0005-0000-0000-000006500000}"/>
    <cellStyle name="Hed Side Indent 3 5 6 8 2" xfId="18561" xr:uid="{00000000-0005-0000-0000-000007500000}"/>
    <cellStyle name="Hed Side Indent 3 5 6 9" xfId="18562" xr:uid="{00000000-0005-0000-0000-000008500000}"/>
    <cellStyle name="Hed Side Indent 3 5 6 9 2" xfId="18563" xr:uid="{00000000-0005-0000-0000-000009500000}"/>
    <cellStyle name="Hed Side Indent 3 5 7" xfId="18564" xr:uid="{00000000-0005-0000-0000-00000A500000}"/>
    <cellStyle name="Hed Side Indent 3 5 7 10" xfId="18565" xr:uid="{00000000-0005-0000-0000-00000B500000}"/>
    <cellStyle name="Hed Side Indent 3 5 7 2" xfId="18566" xr:uid="{00000000-0005-0000-0000-00000C500000}"/>
    <cellStyle name="Hed Side Indent 3 5 7 2 2" xfId="18567" xr:uid="{00000000-0005-0000-0000-00000D500000}"/>
    <cellStyle name="Hed Side Indent 3 5 7 3" xfId="18568" xr:uid="{00000000-0005-0000-0000-00000E500000}"/>
    <cellStyle name="Hed Side Indent 3 5 7 3 2" xfId="18569" xr:uid="{00000000-0005-0000-0000-00000F500000}"/>
    <cellStyle name="Hed Side Indent 3 5 7 4" xfId="18570" xr:uid="{00000000-0005-0000-0000-000010500000}"/>
    <cellStyle name="Hed Side Indent 3 5 7 4 2" xfId="18571" xr:uid="{00000000-0005-0000-0000-000011500000}"/>
    <cellStyle name="Hed Side Indent 3 5 7 5" xfId="18572" xr:uid="{00000000-0005-0000-0000-000012500000}"/>
    <cellStyle name="Hed Side Indent 3 5 7 5 2" xfId="18573" xr:uid="{00000000-0005-0000-0000-000013500000}"/>
    <cellStyle name="Hed Side Indent 3 5 7 6" xfId="18574" xr:uid="{00000000-0005-0000-0000-000014500000}"/>
    <cellStyle name="Hed Side Indent 3 5 7 6 2" xfId="18575" xr:uid="{00000000-0005-0000-0000-000015500000}"/>
    <cellStyle name="Hed Side Indent 3 5 7 7" xfId="18576" xr:uid="{00000000-0005-0000-0000-000016500000}"/>
    <cellStyle name="Hed Side Indent 3 5 7 7 2" xfId="18577" xr:uid="{00000000-0005-0000-0000-000017500000}"/>
    <cellStyle name="Hed Side Indent 3 5 7 8" xfId="18578" xr:uid="{00000000-0005-0000-0000-000018500000}"/>
    <cellStyle name="Hed Side Indent 3 5 7 8 2" xfId="18579" xr:uid="{00000000-0005-0000-0000-000019500000}"/>
    <cellStyle name="Hed Side Indent 3 5 7 9" xfId="18580" xr:uid="{00000000-0005-0000-0000-00001A500000}"/>
    <cellStyle name="Hed Side Indent 3 5 7 9 2" xfId="18581" xr:uid="{00000000-0005-0000-0000-00001B500000}"/>
    <cellStyle name="Hed Side Indent 3 5 8" xfId="18582" xr:uid="{00000000-0005-0000-0000-00001C500000}"/>
    <cellStyle name="Hed Side Indent 3 5 8 10" xfId="18583" xr:uid="{00000000-0005-0000-0000-00001D500000}"/>
    <cellStyle name="Hed Side Indent 3 5 8 2" xfId="18584" xr:uid="{00000000-0005-0000-0000-00001E500000}"/>
    <cellStyle name="Hed Side Indent 3 5 8 2 2" xfId="18585" xr:uid="{00000000-0005-0000-0000-00001F500000}"/>
    <cellStyle name="Hed Side Indent 3 5 8 3" xfId="18586" xr:uid="{00000000-0005-0000-0000-000020500000}"/>
    <cellStyle name="Hed Side Indent 3 5 8 3 2" xfId="18587" xr:uid="{00000000-0005-0000-0000-000021500000}"/>
    <cellStyle name="Hed Side Indent 3 5 8 4" xfId="18588" xr:uid="{00000000-0005-0000-0000-000022500000}"/>
    <cellStyle name="Hed Side Indent 3 5 8 4 2" xfId="18589" xr:uid="{00000000-0005-0000-0000-000023500000}"/>
    <cellStyle name="Hed Side Indent 3 5 8 5" xfId="18590" xr:uid="{00000000-0005-0000-0000-000024500000}"/>
    <cellStyle name="Hed Side Indent 3 5 8 5 2" xfId="18591" xr:uid="{00000000-0005-0000-0000-000025500000}"/>
    <cellStyle name="Hed Side Indent 3 5 8 6" xfId="18592" xr:uid="{00000000-0005-0000-0000-000026500000}"/>
    <cellStyle name="Hed Side Indent 3 5 8 6 2" xfId="18593" xr:uid="{00000000-0005-0000-0000-000027500000}"/>
    <cellStyle name="Hed Side Indent 3 5 8 7" xfId="18594" xr:uid="{00000000-0005-0000-0000-000028500000}"/>
    <cellStyle name="Hed Side Indent 3 5 8 7 2" xfId="18595" xr:uid="{00000000-0005-0000-0000-000029500000}"/>
    <cellStyle name="Hed Side Indent 3 5 8 8" xfId="18596" xr:uid="{00000000-0005-0000-0000-00002A500000}"/>
    <cellStyle name="Hed Side Indent 3 5 8 8 2" xfId="18597" xr:uid="{00000000-0005-0000-0000-00002B500000}"/>
    <cellStyle name="Hed Side Indent 3 5 8 9" xfId="18598" xr:uid="{00000000-0005-0000-0000-00002C500000}"/>
    <cellStyle name="Hed Side Indent 3 5 8 9 2" xfId="18599" xr:uid="{00000000-0005-0000-0000-00002D500000}"/>
    <cellStyle name="Hed Side Indent 3 5 9" xfId="18600" xr:uid="{00000000-0005-0000-0000-00002E500000}"/>
    <cellStyle name="Hed Side Indent 3 5 9 10" xfId="18601" xr:uid="{00000000-0005-0000-0000-00002F500000}"/>
    <cellStyle name="Hed Side Indent 3 5 9 2" xfId="18602" xr:uid="{00000000-0005-0000-0000-000030500000}"/>
    <cellStyle name="Hed Side Indent 3 5 9 2 2" xfId="18603" xr:uid="{00000000-0005-0000-0000-000031500000}"/>
    <cellStyle name="Hed Side Indent 3 5 9 3" xfId="18604" xr:uid="{00000000-0005-0000-0000-000032500000}"/>
    <cellStyle name="Hed Side Indent 3 5 9 3 2" xfId="18605" xr:uid="{00000000-0005-0000-0000-000033500000}"/>
    <cellStyle name="Hed Side Indent 3 5 9 4" xfId="18606" xr:uid="{00000000-0005-0000-0000-000034500000}"/>
    <cellStyle name="Hed Side Indent 3 5 9 4 2" xfId="18607" xr:uid="{00000000-0005-0000-0000-000035500000}"/>
    <cellStyle name="Hed Side Indent 3 5 9 5" xfId="18608" xr:uid="{00000000-0005-0000-0000-000036500000}"/>
    <cellStyle name="Hed Side Indent 3 5 9 5 2" xfId="18609" xr:uid="{00000000-0005-0000-0000-000037500000}"/>
    <cellStyle name="Hed Side Indent 3 5 9 6" xfId="18610" xr:uid="{00000000-0005-0000-0000-000038500000}"/>
    <cellStyle name="Hed Side Indent 3 5 9 6 2" xfId="18611" xr:uid="{00000000-0005-0000-0000-000039500000}"/>
    <cellStyle name="Hed Side Indent 3 5 9 7" xfId="18612" xr:uid="{00000000-0005-0000-0000-00003A500000}"/>
    <cellStyle name="Hed Side Indent 3 5 9 7 2" xfId="18613" xr:uid="{00000000-0005-0000-0000-00003B500000}"/>
    <cellStyle name="Hed Side Indent 3 5 9 8" xfId="18614" xr:uid="{00000000-0005-0000-0000-00003C500000}"/>
    <cellStyle name="Hed Side Indent 3 5 9 8 2" xfId="18615" xr:uid="{00000000-0005-0000-0000-00003D500000}"/>
    <cellStyle name="Hed Side Indent 3 5 9 9" xfId="18616" xr:uid="{00000000-0005-0000-0000-00003E500000}"/>
    <cellStyle name="Hed Side Indent 3 5 9 9 2" xfId="18617" xr:uid="{00000000-0005-0000-0000-00003F500000}"/>
    <cellStyle name="Hed Side Indent 3 6" xfId="18618" xr:uid="{00000000-0005-0000-0000-000040500000}"/>
    <cellStyle name="Hed Side Indent 3 6 10" xfId="18619" xr:uid="{00000000-0005-0000-0000-000041500000}"/>
    <cellStyle name="Hed Side Indent 3 6 10 2" xfId="18620" xr:uid="{00000000-0005-0000-0000-000042500000}"/>
    <cellStyle name="Hed Side Indent 3 6 10 2 2" xfId="18621" xr:uid="{00000000-0005-0000-0000-000043500000}"/>
    <cellStyle name="Hed Side Indent 3 6 10 3" xfId="18622" xr:uid="{00000000-0005-0000-0000-000044500000}"/>
    <cellStyle name="Hed Side Indent 3 6 10 3 2" xfId="18623" xr:uid="{00000000-0005-0000-0000-000045500000}"/>
    <cellStyle name="Hed Side Indent 3 6 10 4" xfId="18624" xr:uid="{00000000-0005-0000-0000-000046500000}"/>
    <cellStyle name="Hed Side Indent 3 6 10 4 2" xfId="18625" xr:uid="{00000000-0005-0000-0000-000047500000}"/>
    <cellStyle name="Hed Side Indent 3 6 10 5" xfId="18626" xr:uid="{00000000-0005-0000-0000-000048500000}"/>
    <cellStyle name="Hed Side Indent 3 6 10 5 2" xfId="18627" xr:uid="{00000000-0005-0000-0000-000049500000}"/>
    <cellStyle name="Hed Side Indent 3 6 10 6" xfId="18628" xr:uid="{00000000-0005-0000-0000-00004A500000}"/>
    <cellStyle name="Hed Side Indent 3 6 10 6 2" xfId="18629" xr:uid="{00000000-0005-0000-0000-00004B500000}"/>
    <cellStyle name="Hed Side Indent 3 6 10 7" xfId="18630" xr:uid="{00000000-0005-0000-0000-00004C500000}"/>
    <cellStyle name="Hed Side Indent 3 6 10 7 2" xfId="18631" xr:uid="{00000000-0005-0000-0000-00004D500000}"/>
    <cellStyle name="Hed Side Indent 3 6 10 8" xfId="18632" xr:uid="{00000000-0005-0000-0000-00004E500000}"/>
    <cellStyle name="Hed Side Indent 3 6 10 8 2" xfId="18633" xr:uid="{00000000-0005-0000-0000-00004F500000}"/>
    <cellStyle name="Hed Side Indent 3 6 10 9" xfId="18634" xr:uid="{00000000-0005-0000-0000-000050500000}"/>
    <cellStyle name="Hed Side Indent 3 6 11" xfId="18635" xr:uid="{00000000-0005-0000-0000-000051500000}"/>
    <cellStyle name="Hed Side Indent 3 6 11 2" xfId="18636" xr:uid="{00000000-0005-0000-0000-000052500000}"/>
    <cellStyle name="Hed Side Indent 3 6 12" xfId="18637" xr:uid="{00000000-0005-0000-0000-000053500000}"/>
    <cellStyle name="Hed Side Indent 3 6 12 2" xfId="18638" xr:uid="{00000000-0005-0000-0000-000054500000}"/>
    <cellStyle name="Hed Side Indent 3 6 13" xfId="18639" xr:uid="{00000000-0005-0000-0000-000055500000}"/>
    <cellStyle name="Hed Side Indent 3 6 13 2" xfId="18640" xr:uid="{00000000-0005-0000-0000-000056500000}"/>
    <cellStyle name="Hed Side Indent 3 6 14" xfId="18641" xr:uid="{00000000-0005-0000-0000-000057500000}"/>
    <cellStyle name="Hed Side Indent 3 6 14 2" xfId="18642" xr:uid="{00000000-0005-0000-0000-000058500000}"/>
    <cellStyle name="Hed Side Indent 3 6 15" xfId="18643" xr:uid="{00000000-0005-0000-0000-000059500000}"/>
    <cellStyle name="Hed Side Indent 3 6 15 2" xfId="18644" xr:uid="{00000000-0005-0000-0000-00005A500000}"/>
    <cellStyle name="Hed Side Indent 3 6 16" xfId="18645" xr:uid="{00000000-0005-0000-0000-00005B500000}"/>
    <cellStyle name="Hed Side Indent 3 6 16 2" xfId="18646" xr:uid="{00000000-0005-0000-0000-00005C500000}"/>
    <cellStyle name="Hed Side Indent 3 6 17" xfId="18647" xr:uid="{00000000-0005-0000-0000-00005D500000}"/>
    <cellStyle name="Hed Side Indent 3 6 17 2" xfId="18648" xr:uid="{00000000-0005-0000-0000-00005E500000}"/>
    <cellStyle name="Hed Side Indent 3 6 18" xfId="18649" xr:uid="{00000000-0005-0000-0000-00005F500000}"/>
    <cellStyle name="Hed Side Indent 3 6 2" xfId="18650" xr:uid="{00000000-0005-0000-0000-000060500000}"/>
    <cellStyle name="Hed Side Indent 3 6 2 10" xfId="18651" xr:uid="{00000000-0005-0000-0000-000061500000}"/>
    <cellStyle name="Hed Side Indent 3 6 2 2" xfId="18652" xr:uid="{00000000-0005-0000-0000-000062500000}"/>
    <cellStyle name="Hed Side Indent 3 6 2 2 2" xfId="18653" xr:uid="{00000000-0005-0000-0000-000063500000}"/>
    <cellStyle name="Hed Side Indent 3 6 2 3" xfId="18654" xr:uid="{00000000-0005-0000-0000-000064500000}"/>
    <cellStyle name="Hed Side Indent 3 6 2 3 2" xfId="18655" xr:uid="{00000000-0005-0000-0000-000065500000}"/>
    <cellStyle name="Hed Side Indent 3 6 2 4" xfId="18656" xr:uid="{00000000-0005-0000-0000-000066500000}"/>
    <cellStyle name="Hed Side Indent 3 6 2 4 2" xfId="18657" xr:uid="{00000000-0005-0000-0000-000067500000}"/>
    <cellStyle name="Hed Side Indent 3 6 2 5" xfId="18658" xr:uid="{00000000-0005-0000-0000-000068500000}"/>
    <cellStyle name="Hed Side Indent 3 6 2 5 2" xfId="18659" xr:uid="{00000000-0005-0000-0000-000069500000}"/>
    <cellStyle name="Hed Side Indent 3 6 2 6" xfId="18660" xr:uid="{00000000-0005-0000-0000-00006A500000}"/>
    <cellStyle name="Hed Side Indent 3 6 2 6 2" xfId="18661" xr:uid="{00000000-0005-0000-0000-00006B500000}"/>
    <cellStyle name="Hed Side Indent 3 6 2 7" xfId="18662" xr:uid="{00000000-0005-0000-0000-00006C500000}"/>
    <cellStyle name="Hed Side Indent 3 6 2 7 2" xfId="18663" xr:uid="{00000000-0005-0000-0000-00006D500000}"/>
    <cellStyle name="Hed Side Indent 3 6 2 8" xfId="18664" xr:uid="{00000000-0005-0000-0000-00006E500000}"/>
    <cellStyle name="Hed Side Indent 3 6 2 8 2" xfId="18665" xr:uid="{00000000-0005-0000-0000-00006F500000}"/>
    <cellStyle name="Hed Side Indent 3 6 2 9" xfId="18666" xr:uid="{00000000-0005-0000-0000-000070500000}"/>
    <cellStyle name="Hed Side Indent 3 6 2 9 2" xfId="18667" xr:uid="{00000000-0005-0000-0000-000071500000}"/>
    <cellStyle name="Hed Side Indent 3 6 3" xfId="18668" xr:uid="{00000000-0005-0000-0000-000072500000}"/>
    <cellStyle name="Hed Side Indent 3 6 3 10" xfId="18669" xr:uid="{00000000-0005-0000-0000-000073500000}"/>
    <cellStyle name="Hed Side Indent 3 6 3 2" xfId="18670" xr:uid="{00000000-0005-0000-0000-000074500000}"/>
    <cellStyle name="Hed Side Indent 3 6 3 2 2" xfId="18671" xr:uid="{00000000-0005-0000-0000-000075500000}"/>
    <cellStyle name="Hed Side Indent 3 6 3 3" xfId="18672" xr:uid="{00000000-0005-0000-0000-000076500000}"/>
    <cellStyle name="Hed Side Indent 3 6 3 3 2" xfId="18673" xr:uid="{00000000-0005-0000-0000-000077500000}"/>
    <cellStyle name="Hed Side Indent 3 6 3 4" xfId="18674" xr:uid="{00000000-0005-0000-0000-000078500000}"/>
    <cellStyle name="Hed Side Indent 3 6 3 4 2" xfId="18675" xr:uid="{00000000-0005-0000-0000-000079500000}"/>
    <cellStyle name="Hed Side Indent 3 6 3 5" xfId="18676" xr:uid="{00000000-0005-0000-0000-00007A500000}"/>
    <cellStyle name="Hed Side Indent 3 6 3 5 2" xfId="18677" xr:uid="{00000000-0005-0000-0000-00007B500000}"/>
    <cellStyle name="Hed Side Indent 3 6 3 6" xfId="18678" xr:uid="{00000000-0005-0000-0000-00007C500000}"/>
    <cellStyle name="Hed Side Indent 3 6 3 6 2" xfId="18679" xr:uid="{00000000-0005-0000-0000-00007D500000}"/>
    <cellStyle name="Hed Side Indent 3 6 3 7" xfId="18680" xr:uid="{00000000-0005-0000-0000-00007E500000}"/>
    <cellStyle name="Hed Side Indent 3 6 3 7 2" xfId="18681" xr:uid="{00000000-0005-0000-0000-00007F500000}"/>
    <cellStyle name="Hed Side Indent 3 6 3 8" xfId="18682" xr:uid="{00000000-0005-0000-0000-000080500000}"/>
    <cellStyle name="Hed Side Indent 3 6 3 8 2" xfId="18683" xr:uid="{00000000-0005-0000-0000-000081500000}"/>
    <cellStyle name="Hed Side Indent 3 6 3 9" xfId="18684" xr:uid="{00000000-0005-0000-0000-000082500000}"/>
    <cellStyle name="Hed Side Indent 3 6 3 9 2" xfId="18685" xr:uid="{00000000-0005-0000-0000-000083500000}"/>
    <cellStyle name="Hed Side Indent 3 6 4" xfId="18686" xr:uid="{00000000-0005-0000-0000-000084500000}"/>
    <cellStyle name="Hed Side Indent 3 6 4 10" xfId="18687" xr:uid="{00000000-0005-0000-0000-000085500000}"/>
    <cellStyle name="Hed Side Indent 3 6 4 2" xfId="18688" xr:uid="{00000000-0005-0000-0000-000086500000}"/>
    <cellStyle name="Hed Side Indent 3 6 4 2 2" xfId="18689" xr:uid="{00000000-0005-0000-0000-000087500000}"/>
    <cellStyle name="Hed Side Indent 3 6 4 3" xfId="18690" xr:uid="{00000000-0005-0000-0000-000088500000}"/>
    <cellStyle name="Hed Side Indent 3 6 4 3 2" xfId="18691" xr:uid="{00000000-0005-0000-0000-000089500000}"/>
    <cellStyle name="Hed Side Indent 3 6 4 4" xfId="18692" xr:uid="{00000000-0005-0000-0000-00008A500000}"/>
    <cellStyle name="Hed Side Indent 3 6 4 4 2" xfId="18693" xr:uid="{00000000-0005-0000-0000-00008B500000}"/>
    <cellStyle name="Hed Side Indent 3 6 4 5" xfId="18694" xr:uid="{00000000-0005-0000-0000-00008C500000}"/>
    <cellStyle name="Hed Side Indent 3 6 4 5 2" xfId="18695" xr:uid="{00000000-0005-0000-0000-00008D500000}"/>
    <cellStyle name="Hed Side Indent 3 6 4 6" xfId="18696" xr:uid="{00000000-0005-0000-0000-00008E500000}"/>
    <cellStyle name="Hed Side Indent 3 6 4 6 2" xfId="18697" xr:uid="{00000000-0005-0000-0000-00008F500000}"/>
    <cellStyle name="Hed Side Indent 3 6 4 7" xfId="18698" xr:uid="{00000000-0005-0000-0000-000090500000}"/>
    <cellStyle name="Hed Side Indent 3 6 4 7 2" xfId="18699" xr:uid="{00000000-0005-0000-0000-000091500000}"/>
    <cellStyle name="Hed Side Indent 3 6 4 8" xfId="18700" xr:uid="{00000000-0005-0000-0000-000092500000}"/>
    <cellStyle name="Hed Side Indent 3 6 4 8 2" xfId="18701" xr:uid="{00000000-0005-0000-0000-000093500000}"/>
    <cellStyle name="Hed Side Indent 3 6 4 9" xfId="18702" xr:uid="{00000000-0005-0000-0000-000094500000}"/>
    <cellStyle name="Hed Side Indent 3 6 4 9 2" xfId="18703" xr:uid="{00000000-0005-0000-0000-000095500000}"/>
    <cellStyle name="Hed Side Indent 3 6 5" xfId="18704" xr:uid="{00000000-0005-0000-0000-000096500000}"/>
    <cellStyle name="Hed Side Indent 3 6 5 10" xfId="18705" xr:uid="{00000000-0005-0000-0000-000097500000}"/>
    <cellStyle name="Hed Side Indent 3 6 5 2" xfId="18706" xr:uid="{00000000-0005-0000-0000-000098500000}"/>
    <cellStyle name="Hed Side Indent 3 6 5 2 2" xfId="18707" xr:uid="{00000000-0005-0000-0000-000099500000}"/>
    <cellStyle name="Hed Side Indent 3 6 5 3" xfId="18708" xr:uid="{00000000-0005-0000-0000-00009A500000}"/>
    <cellStyle name="Hed Side Indent 3 6 5 3 2" xfId="18709" xr:uid="{00000000-0005-0000-0000-00009B500000}"/>
    <cellStyle name="Hed Side Indent 3 6 5 4" xfId="18710" xr:uid="{00000000-0005-0000-0000-00009C500000}"/>
    <cellStyle name="Hed Side Indent 3 6 5 4 2" xfId="18711" xr:uid="{00000000-0005-0000-0000-00009D500000}"/>
    <cellStyle name="Hed Side Indent 3 6 5 5" xfId="18712" xr:uid="{00000000-0005-0000-0000-00009E500000}"/>
    <cellStyle name="Hed Side Indent 3 6 5 5 2" xfId="18713" xr:uid="{00000000-0005-0000-0000-00009F500000}"/>
    <cellStyle name="Hed Side Indent 3 6 5 6" xfId="18714" xr:uid="{00000000-0005-0000-0000-0000A0500000}"/>
    <cellStyle name="Hed Side Indent 3 6 5 6 2" xfId="18715" xr:uid="{00000000-0005-0000-0000-0000A1500000}"/>
    <cellStyle name="Hed Side Indent 3 6 5 7" xfId="18716" xr:uid="{00000000-0005-0000-0000-0000A2500000}"/>
    <cellStyle name="Hed Side Indent 3 6 5 7 2" xfId="18717" xr:uid="{00000000-0005-0000-0000-0000A3500000}"/>
    <cellStyle name="Hed Side Indent 3 6 5 8" xfId="18718" xr:uid="{00000000-0005-0000-0000-0000A4500000}"/>
    <cellStyle name="Hed Side Indent 3 6 5 8 2" xfId="18719" xr:uid="{00000000-0005-0000-0000-0000A5500000}"/>
    <cellStyle name="Hed Side Indent 3 6 5 9" xfId="18720" xr:uid="{00000000-0005-0000-0000-0000A6500000}"/>
    <cellStyle name="Hed Side Indent 3 6 5 9 2" xfId="18721" xr:uid="{00000000-0005-0000-0000-0000A7500000}"/>
    <cellStyle name="Hed Side Indent 3 6 6" xfId="18722" xr:uid="{00000000-0005-0000-0000-0000A8500000}"/>
    <cellStyle name="Hed Side Indent 3 6 6 10" xfId="18723" xr:uid="{00000000-0005-0000-0000-0000A9500000}"/>
    <cellStyle name="Hed Side Indent 3 6 6 2" xfId="18724" xr:uid="{00000000-0005-0000-0000-0000AA500000}"/>
    <cellStyle name="Hed Side Indent 3 6 6 2 2" xfId="18725" xr:uid="{00000000-0005-0000-0000-0000AB500000}"/>
    <cellStyle name="Hed Side Indent 3 6 6 3" xfId="18726" xr:uid="{00000000-0005-0000-0000-0000AC500000}"/>
    <cellStyle name="Hed Side Indent 3 6 6 3 2" xfId="18727" xr:uid="{00000000-0005-0000-0000-0000AD500000}"/>
    <cellStyle name="Hed Side Indent 3 6 6 4" xfId="18728" xr:uid="{00000000-0005-0000-0000-0000AE500000}"/>
    <cellStyle name="Hed Side Indent 3 6 6 4 2" xfId="18729" xr:uid="{00000000-0005-0000-0000-0000AF500000}"/>
    <cellStyle name="Hed Side Indent 3 6 6 5" xfId="18730" xr:uid="{00000000-0005-0000-0000-0000B0500000}"/>
    <cellStyle name="Hed Side Indent 3 6 6 5 2" xfId="18731" xr:uid="{00000000-0005-0000-0000-0000B1500000}"/>
    <cellStyle name="Hed Side Indent 3 6 6 6" xfId="18732" xr:uid="{00000000-0005-0000-0000-0000B2500000}"/>
    <cellStyle name="Hed Side Indent 3 6 6 6 2" xfId="18733" xr:uid="{00000000-0005-0000-0000-0000B3500000}"/>
    <cellStyle name="Hed Side Indent 3 6 6 7" xfId="18734" xr:uid="{00000000-0005-0000-0000-0000B4500000}"/>
    <cellStyle name="Hed Side Indent 3 6 6 7 2" xfId="18735" xr:uid="{00000000-0005-0000-0000-0000B5500000}"/>
    <cellStyle name="Hed Side Indent 3 6 6 8" xfId="18736" xr:uid="{00000000-0005-0000-0000-0000B6500000}"/>
    <cellStyle name="Hed Side Indent 3 6 6 8 2" xfId="18737" xr:uid="{00000000-0005-0000-0000-0000B7500000}"/>
    <cellStyle name="Hed Side Indent 3 6 6 9" xfId="18738" xr:uid="{00000000-0005-0000-0000-0000B8500000}"/>
    <cellStyle name="Hed Side Indent 3 6 6 9 2" xfId="18739" xr:uid="{00000000-0005-0000-0000-0000B9500000}"/>
    <cellStyle name="Hed Side Indent 3 6 7" xfId="18740" xr:uid="{00000000-0005-0000-0000-0000BA500000}"/>
    <cellStyle name="Hed Side Indent 3 6 7 10" xfId="18741" xr:uid="{00000000-0005-0000-0000-0000BB500000}"/>
    <cellStyle name="Hed Side Indent 3 6 7 2" xfId="18742" xr:uid="{00000000-0005-0000-0000-0000BC500000}"/>
    <cellStyle name="Hed Side Indent 3 6 7 2 2" xfId="18743" xr:uid="{00000000-0005-0000-0000-0000BD500000}"/>
    <cellStyle name="Hed Side Indent 3 6 7 3" xfId="18744" xr:uid="{00000000-0005-0000-0000-0000BE500000}"/>
    <cellStyle name="Hed Side Indent 3 6 7 3 2" xfId="18745" xr:uid="{00000000-0005-0000-0000-0000BF500000}"/>
    <cellStyle name="Hed Side Indent 3 6 7 4" xfId="18746" xr:uid="{00000000-0005-0000-0000-0000C0500000}"/>
    <cellStyle name="Hed Side Indent 3 6 7 4 2" xfId="18747" xr:uid="{00000000-0005-0000-0000-0000C1500000}"/>
    <cellStyle name="Hed Side Indent 3 6 7 5" xfId="18748" xr:uid="{00000000-0005-0000-0000-0000C2500000}"/>
    <cellStyle name="Hed Side Indent 3 6 7 5 2" xfId="18749" xr:uid="{00000000-0005-0000-0000-0000C3500000}"/>
    <cellStyle name="Hed Side Indent 3 6 7 6" xfId="18750" xr:uid="{00000000-0005-0000-0000-0000C4500000}"/>
    <cellStyle name="Hed Side Indent 3 6 7 6 2" xfId="18751" xr:uid="{00000000-0005-0000-0000-0000C5500000}"/>
    <cellStyle name="Hed Side Indent 3 6 7 7" xfId="18752" xr:uid="{00000000-0005-0000-0000-0000C6500000}"/>
    <cellStyle name="Hed Side Indent 3 6 7 7 2" xfId="18753" xr:uid="{00000000-0005-0000-0000-0000C7500000}"/>
    <cellStyle name="Hed Side Indent 3 6 7 8" xfId="18754" xr:uid="{00000000-0005-0000-0000-0000C8500000}"/>
    <cellStyle name="Hed Side Indent 3 6 7 8 2" xfId="18755" xr:uid="{00000000-0005-0000-0000-0000C9500000}"/>
    <cellStyle name="Hed Side Indent 3 6 7 9" xfId="18756" xr:uid="{00000000-0005-0000-0000-0000CA500000}"/>
    <cellStyle name="Hed Side Indent 3 6 7 9 2" xfId="18757" xr:uid="{00000000-0005-0000-0000-0000CB500000}"/>
    <cellStyle name="Hed Side Indent 3 6 8" xfId="18758" xr:uid="{00000000-0005-0000-0000-0000CC500000}"/>
    <cellStyle name="Hed Side Indent 3 6 8 10" xfId="18759" xr:uid="{00000000-0005-0000-0000-0000CD500000}"/>
    <cellStyle name="Hed Side Indent 3 6 8 2" xfId="18760" xr:uid="{00000000-0005-0000-0000-0000CE500000}"/>
    <cellStyle name="Hed Side Indent 3 6 8 2 2" xfId="18761" xr:uid="{00000000-0005-0000-0000-0000CF500000}"/>
    <cellStyle name="Hed Side Indent 3 6 8 3" xfId="18762" xr:uid="{00000000-0005-0000-0000-0000D0500000}"/>
    <cellStyle name="Hed Side Indent 3 6 8 3 2" xfId="18763" xr:uid="{00000000-0005-0000-0000-0000D1500000}"/>
    <cellStyle name="Hed Side Indent 3 6 8 4" xfId="18764" xr:uid="{00000000-0005-0000-0000-0000D2500000}"/>
    <cellStyle name="Hed Side Indent 3 6 8 4 2" xfId="18765" xr:uid="{00000000-0005-0000-0000-0000D3500000}"/>
    <cellStyle name="Hed Side Indent 3 6 8 5" xfId="18766" xr:uid="{00000000-0005-0000-0000-0000D4500000}"/>
    <cellStyle name="Hed Side Indent 3 6 8 5 2" xfId="18767" xr:uid="{00000000-0005-0000-0000-0000D5500000}"/>
    <cellStyle name="Hed Side Indent 3 6 8 6" xfId="18768" xr:uid="{00000000-0005-0000-0000-0000D6500000}"/>
    <cellStyle name="Hed Side Indent 3 6 8 6 2" xfId="18769" xr:uid="{00000000-0005-0000-0000-0000D7500000}"/>
    <cellStyle name="Hed Side Indent 3 6 8 7" xfId="18770" xr:uid="{00000000-0005-0000-0000-0000D8500000}"/>
    <cellStyle name="Hed Side Indent 3 6 8 7 2" xfId="18771" xr:uid="{00000000-0005-0000-0000-0000D9500000}"/>
    <cellStyle name="Hed Side Indent 3 6 8 8" xfId="18772" xr:uid="{00000000-0005-0000-0000-0000DA500000}"/>
    <cellStyle name="Hed Side Indent 3 6 8 8 2" xfId="18773" xr:uid="{00000000-0005-0000-0000-0000DB500000}"/>
    <cellStyle name="Hed Side Indent 3 6 8 9" xfId="18774" xr:uid="{00000000-0005-0000-0000-0000DC500000}"/>
    <cellStyle name="Hed Side Indent 3 6 8 9 2" xfId="18775" xr:uid="{00000000-0005-0000-0000-0000DD500000}"/>
    <cellStyle name="Hed Side Indent 3 6 9" xfId="18776" xr:uid="{00000000-0005-0000-0000-0000DE500000}"/>
    <cellStyle name="Hed Side Indent 3 6 9 10" xfId="18777" xr:uid="{00000000-0005-0000-0000-0000DF500000}"/>
    <cellStyle name="Hed Side Indent 3 6 9 2" xfId="18778" xr:uid="{00000000-0005-0000-0000-0000E0500000}"/>
    <cellStyle name="Hed Side Indent 3 6 9 2 2" xfId="18779" xr:uid="{00000000-0005-0000-0000-0000E1500000}"/>
    <cellStyle name="Hed Side Indent 3 6 9 3" xfId="18780" xr:uid="{00000000-0005-0000-0000-0000E2500000}"/>
    <cellStyle name="Hed Side Indent 3 6 9 3 2" xfId="18781" xr:uid="{00000000-0005-0000-0000-0000E3500000}"/>
    <cellStyle name="Hed Side Indent 3 6 9 4" xfId="18782" xr:uid="{00000000-0005-0000-0000-0000E4500000}"/>
    <cellStyle name="Hed Side Indent 3 6 9 4 2" xfId="18783" xr:uid="{00000000-0005-0000-0000-0000E5500000}"/>
    <cellStyle name="Hed Side Indent 3 6 9 5" xfId="18784" xr:uid="{00000000-0005-0000-0000-0000E6500000}"/>
    <cellStyle name="Hed Side Indent 3 6 9 5 2" xfId="18785" xr:uid="{00000000-0005-0000-0000-0000E7500000}"/>
    <cellStyle name="Hed Side Indent 3 6 9 6" xfId="18786" xr:uid="{00000000-0005-0000-0000-0000E8500000}"/>
    <cellStyle name="Hed Side Indent 3 6 9 6 2" xfId="18787" xr:uid="{00000000-0005-0000-0000-0000E9500000}"/>
    <cellStyle name="Hed Side Indent 3 6 9 7" xfId="18788" xr:uid="{00000000-0005-0000-0000-0000EA500000}"/>
    <cellStyle name="Hed Side Indent 3 6 9 7 2" xfId="18789" xr:uid="{00000000-0005-0000-0000-0000EB500000}"/>
    <cellStyle name="Hed Side Indent 3 6 9 8" xfId="18790" xr:uid="{00000000-0005-0000-0000-0000EC500000}"/>
    <cellStyle name="Hed Side Indent 3 6 9 8 2" xfId="18791" xr:uid="{00000000-0005-0000-0000-0000ED500000}"/>
    <cellStyle name="Hed Side Indent 3 6 9 9" xfId="18792" xr:uid="{00000000-0005-0000-0000-0000EE500000}"/>
    <cellStyle name="Hed Side Indent 3 6 9 9 2" xfId="18793" xr:uid="{00000000-0005-0000-0000-0000EF500000}"/>
    <cellStyle name="Hed Side Indent 3 7" xfId="18794" xr:uid="{00000000-0005-0000-0000-0000F0500000}"/>
    <cellStyle name="Hed Side Indent 3 7 10" xfId="18795" xr:uid="{00000000-0005-0000-0000-0000F1500000}"/>
    <cellStyle name="Hed Side Indent 3 7 10 2" xfId="18796" xr:uid="{00000000-0005-0000-0000-0000F2500000}"/>
    <cellStyle name="Hed Side Indent 3 7 10 2 2" xfId="18797" xr:uid="{00000000-0005-0000-0000-0000F3500000}"/>
    <cellStyle name="Hed Side Indent 3 7 10 3" xfId="18798" xr:uid="{00000000-0005-0000-0000-0000F4500000}"/>
    <cellStyle name="Hed Side Indent 3 7 10 3 2" xfId="18799" xr:uid="{00000000-0005-0000-0000-0000F5500000}"/>
    <cellStyle name="Hed Side Indent 3 7 10 4" xfId="18800" xr:uid="{00000000-0005-0000-0000-0000F6500000}"/>
    <cellStyle name="Hed Side Indent 3 7 10 4 2" xfId="18801" xr:uid="{00000000-0005-0000-0000-0000F7500000}"/>
    <cellStyle name="Hed Side Indent 3 7 10 5" xfId="18802" xr:uid="{00000000-0005-0000-0000-0000F8500000}"/>
    <cellStyle name="Hed Side Indent 3 7 10 5 2" xfId="18803" xr:uid="{00000000-0005-0000-0000-0000F9500000}"/>
    <cellStyle name="Hed Side Indent 3 7 10 6" xfId="18804" xr:uid="{00000000-0005-0000-0000-0000FA500000}"/>
    <cellStyle name="Hed Side Indent 3 7 10 6 2" xfId="18805" xr:uid="{00000000-0005-0000-0000-0000FB500000}"/>
    <cellStyle name="Hed Side Indent 3 7 10 7" xfId="18806" xr:uid="{00000000-0005-0000-0000-0000FC500000}"/>
    <cellStyle name="Hed Side Indent 3 7 10 7 2" xfId="18807" xr:uid="{00000000-0005-0000-0000-0000FD500000}"/>
    <cellStyle name="Hed Side Indent 3 7 10 8" xfId="18808" xr:uid="{00000000-0005-0000-0000-0000FE500000}"/>
    <cellStyle name="Hed Side Indent 3 7 10 8 2" xfId="18809" xr:uid="{00000000-0005-0000-0000-0000FF500000}"/>
    <cellStyle name="Hed Side Indent 3 7 10 9" xfId="18810" xr:uid="{00000000-0005-0000-0000-000000510000}"/>
    <cellStyle name="Hed Side Indent 3 7 11" xfId="18811" xr:uid="{00000000-0005-0000-0000-000001510000}"/>
    <cellStyle name="Hed Side Indent 3 7 11 2" xfId="18812" xr:uid="{00000000-0005-0000-0000-000002510000}"/>
    <cellStyle name="Hed Side Indent 3 7 12" xfId="18813" xr:uid="{00000000-0005-0000-0000-000003510000}"/>
    <cellStyle name="Hed Side Indent 3 7 12 2" xfId="18814" xr:uid="{00000000-0005-0000-0000-000004510000}"/>
    <cellStyle name="Hed Side Indent 3 7 13" xfId="18815" xr:uid="{00000000-0005-0000-0000-000005510000}"/>
    <cellStyle name="Hed Side Indent 3 7 13 2" xfId="18816" xr:uid="{00000000-0005-0000-0000-000006510000}"/>
    <cellStyle name="Hed Side Indent 3 7 14" xfId="18817" xr:uid="{00000000-0005-0000-0000-000007510000}"/>
    <cellStyle name="Hed Side Indent 3 7 14 2" xfId="18818" xr:uid="{00000000-0005-0000-0000-000008510000}"/>
    <cellStyle name="Hed Side Indent 3 7 15" xfId="18819" xr:uid="{00000000-0005-0000-0000-000009510000}"/>
    <cellStyle name="Hed Side Indent 3 7 15 2" xfId="18820" xr:uid="{00000000-0005-0000-0000-00000A510000}"/>
    <cellStyle name="Hed Side Indent 3 7 16" xfId="18821" xr:uid="{00000000-0005-0000-0000-00000B510000}"/>
    <cellStyle name="Hed Side Indent 3 7 16 2" xfId="18822" xr:uid="{00000000-0005-0000-0000-00000C510000}"/>
    <cellStyle name="Hed Side Indent 3 7 17" xfId="18823" xr:uid="{00000000-0005-0000-0000-00000D510000}"/>
    <cellStyle name="Hed Side Indent 3 7 17 2" xfId="18824" xr:uid="{00000000-0005-0000-0000-00000E510000}"/>
    <cellStyle name="Hed Side Indent 3 7 18" xfId="18825" xr:uid="{00000000-0005-0000-0000-00000F510000}"/>
    <cellStyle name="Hed Side Indent 3 7 2" xfId="18826" xr:uid="{00000000-0005-0000-0000-000010510000}"/>
    <cellStyle name="Hed Side Indent 3 7 2 10" xfId="18827" xr:uid="{00000000-0005-0000-0000-000011510000}"/>
    <cellStyle name="Hed Side Indent 3 7 2 2" xfId="18828" xr:uid="{00000000-0005-0000-0000-000012510000}"/>
    <cellStyle name="Hed Side Indent 3 7 2 2 2" xfId="18829" xr:uid="{00000000-0005-0000-0000-000013510000}"/>
    <cellStyle name="Hed Side Indent 3 7 2 3" xfId="18830" xr:uid="{00000000-0005-0000-0000-000014510000}"/>
    <cellStyle name="Hed Side Indent 3 7 2 3 2" xfId="18831" xr:uid="{00000000-0005-0000-0000-000015510000}"/>
    <cellStyle name="Hed Side Indent 3 7 2 4" xfId="18832" xr:uid="{00000000-0005-0000-0000-000016510000}"/>
    <cellStyle name="Hed Side Indent 3 7 2 4 2" xfId="18833" xr:uid="{00000000-0005-0000-0000-000017510000}"/>
    <cellStyle name="Hed Side Indent 3 7 2 5" xfId="18834" xr:uid="{00000000-0005-0000-0000-000018510000}"/>
    <cellStyle name="Hed Side Indent 3 7 2 5 2" xfId="18835" xr:uid="{00000000-0005-0000-0000-000019510000}"/>
    <cellStyle name="Hed Side Indent 3 7 2 6" xfId="18836" xr:uid="{00000000-0005-0000-0000-00001A510000}"/>
    <cellStyle name="Hed Side Indent 3 7 2 6 2" xfId="18837" xr:uid="{00000000-0005-0000-0000-00001B510000}"/>
    <cellStyle name="Hed Side Indent 3 7 2 7" xfId="18838" xr:uid="{00000000-0005-0000-0000-00001C510000}"/>
    <cellStyle name="Hed Side Indent 3 7 2 7 2" xfId="18839" xr:uid="{00000000-0005-0000-0000-00001D510000}"/>
    <cellStyle name="Hed Side Indent 3 7 2 8" xfId="18840" xr:uid="{00000000-0005-0000-0000-00001E510000}"/>
    <cellStyle name="Hed Side Indent 3 7 2 8 2" xfId="18841" xr:uid="{00000000-0005-0000-0000-00001F510000}"/>
    <cellStyle name="Hed Side Indent 3 7 2 9" xfId="18842" xr:uid="{00000000-0005-0000-0000-000020510000}"/>
    <cellStyle name="Hed Side Indent 3 7 2 9 2" xfId="18843" xr:uid="{00000000-0005-0000-0000-000021510000}"/>
    <cellStyle name="Hed Side Indent 3 7 3" xfId="18844" xr:uid="{00000000-0005-0000-0000-000022510000}"/>
    <cellStyle name="Hed Side Indent 3 7 3 10" xfId="18845" xr:uid="{00000000-0005-0000-0000-000023510000}"/>
    <cellStyle name="Hed Side Indent 3 7 3 2" xfId="18846" xr:uid="{00000000-0005-0000-0000-000024510000}"/>
    <cellStyle name="Hed Side Indent 3 7 3 2 2" xfId="18847" xr:uid="{00000000-0005-0000-0000-000025510000}"/>
    <cellStyle name="Hed Side Indent 3 7 3 3" xfId="18848" xr:uid="{00000000-0005-0000-0000-000026510000}"/>
    <cellStyle name="Hed Side Indent 3 7 3 3 2" xfId="18849" xr:uid="{00000000-0005-0000-0000-000027510000}"/>
    <cellStyle name="Hed Side Indent 3 7 3 4" xfId="18850" xr:uid="{00000000-0005-0000-0000-000028510000}"/>
    <cellStyle name="Hed Side Indent 3 7 3 4 2" xfId="18851" xr:uid="{00000000-0005-0000-0000-000029510000}"/>
    <cellStyle name="Hed Side Indent 3 7 3 5" xfId="18852" xr:uid="{00000000-0005-0000-0000-00002A510000}"/>
    <cellStyle name="Hed Side Indent 3 7 3 5 2" xfId="18853" xr:uid="{00000000-0005-0000-0000-00002B510000}"/>
    <cellStyle name="Hed Side Indent 3 7 3 6" xfId="18854" xr:uid="{00000000-0005-0000-0000-00002C510000}"/>
    <cellStyle name="Hed Side Indent 3 7 3 6 2" xfId="18855" xr:uid="{00000000-0005-0000-0000-00002D510000}"/>
    <cellStyle name="Hed Side Indent 3 7 3 7" xfId="18856" xr:uid="{00000000-0005-0000-0000-00002E510000}"/>
    <cellStyle name="Hed Side Indent 3 7 3 7 2" xfId="18857" xr:uid="{00000000-0005-0000-0000-00002F510000}"/>
    <cellStyle name="Hed Side Indent 3 7 3 8" xfId="18858" xr:uid="{00000000-0005-0000-0000-000030510000}"/>
    <cellStyle name="Hed Side Indent 3 7 3 8 2" xfId="18859" xr:uid="{00000000-0005-0000-0000-000031510000}"/>
    <cellStyle name="Hed Side Indent 3 7 3 9" xfId="18860" xr:uid="{00000000-0005-0000-0000-000032510000}"/>
    <cellStyle name="Hed Side Indent 3 7 3 9 2" xfId="18861" xr:uid="{00000000-0005-0000-0000-000033510000}"/>
    <cellStyle name="Hed Side Indent 3 7 4" xfId="18862" xr:uid="{00000000-0005-0000-0000-000034510000}"/>
    <cellStyle name="Hed Side Indent 3 7 4 10" xfId="18863" xr:uid="{00000000-0005-0000-0000-000035510000}"/>
    <cellStyle name="Hed Side Indent 3 7 4 2" xfId="18864" xr:uid="{00000000-0005-0000-0000-000036510000}"/>
    <cellStyle name="Hed Side Indent 3 7 4 2 2" xfId="18865" xr:uid="{00000000-0005-0000-0000-000037510000}"/>
    <cellStyle name="Hed Side Indent 3 7 4 3" xfId="18866" xr:uid="{00000000-0005-0000-0000-000038510000}"/>
    <cellStyle name="Hed Side Indent 3 7 4 3 2" xfId="18867" xr:uid="{00000000-0005-0000-0000-000039510000}"/>
    <cellStyle name="Hed Side Indent 3 7 4 4" xfId="18868" xr:uid="{00000000-0005-0000-0000-00003A510000}"/>
    <cellStyle name="Hed Side Indent 3 7 4 4 2" xfId="18869" xr:uid="{00000000-0005-0000-0000-00003B510000}"/>
    <cellStyle name="Hed Side Indent 3 7 4 5" xfId="18870" xr:uid="{00000000-0005-0000-0000-00003C510000}"/>
    <cellStyle name="Hed Side Indent 3 7 4 5 2" xfId="18871" xr:uid="{00000000-0005-0000-0000-00003D510000}"/>
    <cellStyle name="Hed Side Indent 3 7 4 6" xfId="18872" xr:uid="{00000000-0005-0000-0000-00003E510000}"/>
    <cellStyle name="Hed Side Indent 3 7 4 6 2" xfId="18873" xr:uid="{00000000-0005-0000-0000-00003F510000}"/>
    <cellStyle name="Hed Side Indent 3 7 4 7" xfId="18874" xr:uid="{00000000-0005-0000-0000-000040510000}"/>
    <cellStyle name="Hed Side Indent 3 7 4 7 2" xfId="18875" xr:uid="{00000000-0005-0000-0000-000041510000}"/>
    <cellStyle name="Hed Side Indent 3 7 4 8" xfId="18876" xr:uid="{00000000-0005-0000-0000-000042510000}"/>
    <cellStyle name="Hed Side Indent 3 7 4 8 2" xfId="18877" xr:uid="{00000000-0005-0000-0000-000043510000}"/>
    <cellStyle name="Hed Side Indent 3 7 4 9" xfId="18878" xr:uid="{00000000-0005-0000-0000-000044510000}"/>
    <cellStyle name="Hed Side Indent 3 7 4 9 2" xfId="18879" xr:uid="{00000000-0005-0000-0000-000045510000}"/>
    <cellStyle name="Hed Side Indent 3 7 5" xfId="18880" xr:uid="{00000000-0005-0000-0000-000046510000}"/>
    <cellStyle name="Hed Side Indent 3 7 5 10" xfId="18881" xr:uid="{00000000-0005-0000-0000-000047510000}"/>
    <cellStyle name="Hed Side Indent 3 7 5 2" xfId="18882" xr:uid="{00000000-0005-0000-0000-000048510000}"/>
    <cellStyle name="Hed Side Indent 3 7 5 2 2" xfId="18883" xr:uid="{00000000-0005-0000-0000-000049510000}"/>
    <cellStyle name="Hed Side Indent 3 7 5 3" xfId="18884" xr:uid="{00000000-0005-0000-0000-00004A510000}"/>
    <cellStyle name="Hed Side Indent 3 7 5 3 2" xfId="18885" xr:uid="{00000000-0005-0000-0000-00004B510000}"/>
    <cellStyle name="Hed Side Indent 3 7 5 4" xfId="18886" xr:uid="{00000000-0005-0000-0000-00004C510000}"/>
    <cellStyle name="Hed Side Indent 3 7 5 4 2" xfId="18887" xr:uid="{00000000-0005-0000-0000-00004D510000}"/>
    <cellStyle name="Hed Side Indent 3 7 5 5" xfId="18888" xr:uid="{00000000-0005-0000-0000-00004E510000}"/>
    <cellStyle name="Hed Side Indent 3 7 5 5 2" xfId="18889" xr:uid="{00000000-0005-0000-0000-00004F510000}"/>
    <cellStyle name="Hed Side Indent 3 7 5 6" xfId="18890" xr:uid="{00000000-0005-0000-0000-000050510000}"/>
    <cellStyle name="Hed Side Indent 3 7 5 6 2" xfId="18891" xr:uid="{00000000-0005-0000-0000-000051510000}"/>
    <cellStyle name="Hed Side Indent 3 7 5 7" xfId="18892" xr:uid="{00000000-0005-0000-0000-000052510000}"/>
    <cellStyle name="Hed Side Indent 3 7 5 7 2" xfId="18893" xr:uid="{00000000-0005-0000-0000-000053510000}"/>
    <cellStyle name="Hed Side Indent 3 7 5 8" xfId="18894" xr:uid="{00000000-0005-0000-0000-000054510000}"/>
    <cellStyle name="Hed Side Indent 3 7 5 8 2" xfId="18895" xr:uid="{00000000-0005-0000-0000-000055510000}"/>
    <cellStyle name="Hed Side Indent 3 7 5 9" xfId="18896" xr:uid="{00000000-0005-0000-0000-000056510000}"/>
    <cellStyle name="Hed Side Indent 3 7 5 9 2" xfId="18897" xr:uid="{00000000-0005-0000-0000-000057510000}"/>
    <cellStyle name="Hed Side Indent 3 7 6" xfId="18898" xr:uid="{00000000-0005-0000-0000-000058510000}"/>
    <cellStyle name="Hed Side Indent 3 7 6 10" xfId="18899" xr:uid="{00000000-0005-0000-0000-000059510000}"/>
    <cellStyle name="Hed Side Indent 3 7 6 2" xfId="18900" xr:uid="{00000000-0005-0000-0000-00005A510000}"/>
    <cellStyle name="Hed Side Indent 3 7 6 2 2" xfId="18901" xr:uid="{00000000-0005-0000-0000-00005B510000}"/>
    <cellStyle name="Hed Side Indent 3 7 6 3" xfId="18902" xr:uid="{00000000-0005-0000-0000-00005C510000}"/>
    <cellStyle name="Hed Side Indent 3 7 6 3 2" xfId="18903" xr:uid="{00000000-0005-0000-0000-00005D510000}"/>
    <cellStyle name="Hed Side Indent 3 7 6 4" xfId="18904" xr:uid="{00000000-0005-0000-0000-00005E510000}"/>
    <cellStyle name="Hed Side Indent 3 7 6 4 2" xfId="18905" xr:uid="{00000000-0005-0000-0000-00005F510000}"/>
    <cellStyle name="Hed Side Indent 3 7 6 5" xfId="18906" xr:uid="{00000000-0005-0000-0000-000060510000}"/>
    <cellStyle name="Hed Side Indent 3 7 6 5 2" xfId="18907" xr:uid="{00000000-0005-0000-0000-000061510000}"/>
    <cellStyle name="Hed Side Indent 3 7 6 6" xfId="18908" xr:uid="{00000000-0005-0000-0000-000062510000}"/>
    <cellStyle name="Hed Side Indent 3 7 6 6 2" xfId="18909" xr:uid="{00000000-0005-0000-0000-000063510000}"/>
    <cellStyle name="Hed Side Indent 3 7 6 7" xfId="18910" xr:uid="{00000000-0005-0000-0000-000064510000}"/>
    <cellStyle name="Hed Side Indent 3 7 6 7 2" xfId="18911" xr:uid="{00000000-0005-0000-0000-000065510000}"/>
    <cellStyle name="Hed Side Indent 3 7 6 8" xfId="18912" xr:uid="{00000000-0005-0000-0000-000066510000}"/>
    <cellStyle name="Hed Side Indent 3 7 6 8 2" xfId="18913" xr:uid="{00000000-0005-0000-0000-000067510000}"/>
    <cellStyle name="Hed Side Indent 3 7 6 9" xfId="18914" xr:uid="{00000000-0005-0000-0000-000068510000}"/>
    <cellStyle name="Hed Side Indent 3 7 6 9 2" xfId="18915" xr:uid="{00000000-0005-0000-0000-000069510000}"/>
    <cellStyle name="Hed Side Indent 3 7 7" xfId="18916" xr:uid="{00000000-0005-0000-0000-00006A510000}"/>
    <cellStyle name="Hed Side Indent 3 7 7 10" xfId="18917" xr:uid="{00000000-0005-0000-0000-00006B510000}"/>
    <cellStyle name="Hed Side Indent 3 7 7 2" xfId="18918" xr:uid="{00000000-0005-0000-0000-00006C510000}"/>
    <cellStyle name="Hed Side Indent 3 7 7 2 2" xfId="18919" xr:uid="{00000000-0005-0000-0000-00006D510000}"/>
    <cellStyle name="Hed Side Indent 3 7 7 3" xfId="18920" xr:uid="{00000000-0005-0000-0000-00006E510000}"/>
    <cellStyle name="Hed Side Indent 3 7 7 3 2" xfId="18921" xr:uid="{00000000-0005-0000-0000-00006F510000}"/>
    <cellStyle name="Hed Side Indent 3 7 7 4" xfId="18922" xr:uid="{00000000-0005-0000-0000-000070510000}"/>
    <cellStyle name="Hed Side Indent 3 7 7 4 2" xfId="18923" xr:uid="{00000000-0005-0000-0000-000071510000}"/>
    <cellStyle name="Hed Side Indent 3 7 7 5" xfId="18924" xr:uid="{00000000-0005-0000-0000-000072510000}"/>
    <cellStyle name="Hed Side Indent 3 7 7 5 2" xfId="18925" xr:uid="{00000000-0005-0000-0000-000073510000}"/>
    <cellStyle name="Hed Side Indent 3 7 7 6" xfId="18926" xr:uid="{00000000-0005-0000-0000-000074510000}"/>
    <cellStyle name="Hed Side Indent 3 7 7 6 2" xfId="18927" xr:uid="{00000000-0005-0000-0000-000075510000}"/>
    <cellStyle name="Hed Side Indent 3 7 7 7" xfId="18928" xr:uid="{00000000-0005-0000-0000-000076510000}"/>
    <cellStyle name="Hed Side Indent 3 7 7 7 2" xfId="18929" xr:uid="{00000000-0005-0000-0000-000077510000}"/>
    <cellStyle name="Hed Side Indent 3 7 7 8" xfId="18930" xr:uid="{00000000-0005-0000-0000-000078510000}"/>
    <cellStyle name="Hed Side Indent 3 7 7 8 2" xfId="18931" xr:uid="{00000000-0005-0000-0000-000079510000}"/>
    <cellStyle name="Hed Side Indent 3 7 7 9" xfId="18932" xr:uid="{00000000-0005-0000-0000-00007A510000}"/>
    <cellStyle name="Hed Side Indent 3 7 7 9 2" xfId="18933" xr:uid="{00000000-0005-0000-0000-00007B510000}"/>
    <cellStyle name="Hed Side Indent 3 7 8" xfId="18934" xr:uid="{00000000-0005-0000-0000-00007C510000}"/>
    <cellStyle name="Hed Side Indent 3 7 8 10" xfId="18935" xr:uid="{00000000-0005-0000-0000-00007D510000}"/>
    <cellStyle name="Hed Side Indent 3 7 8 2" xfId="18936" xr:uid="{00000000-0005-0000-0000-00007E510000}"/>
    <cellStyle name="Hed Side Indent 3 7 8 2 2" xfId="18937" xr:uid="{00000000-0005-0000-0000-00007F510000}"/>
    <cellStyle name="Hed Side Indent 3 7 8 3" xfId="18938" xr:uid="{00000000-0005-0000-0000-000080510000}"/>
    <cellStyle name="Hed Side Indent 3 7 8 3 2" xfId="18939" xr:uid="{00000000-0005-0000-0000-000081510000}"/>
    <cellStyle name="Hed Side Indent 3 7 8 4" xfId="18940" xr:uid="{00000000-0005-0000-0000-000082510000}"/>
    <cellStyle name="Hed Side Indent 3 7 8 4 2" xfId="18941" xr:uid="{00000000-0005-0000-0000-000083510000}"/>
    <cellStyle name="Hed Side Indent 3 7 8 5" xfId="18942" xr:uid="{00000000-0005-0000-0000-000084510000}"/>
    <cellStyle name="Hed Side Indent 3 7 8 5 2" xfId="18943" xr:uid="{00000000-0005-0000-0000-000085510000}"/>
    <cellStyle name="Hed Side Indent 3 7 8 6" xfId="18944" xr:uid="{00000000-0005-0000-0000-000086510000}"/>
    <cellStyle name="Hed Side Indent 3 7 8 6 2" xfId="18945" xr:uid="{00000000-0005-0000-0000-000087510000}"/>
    <cellStyle name="Hed Side Indent 3 7 8 7" xfId="18946" xr:uid="{00000000-0005-0000-0000-000088510000}"/>
    <cellStyle name="Hed Side Indent 3 7 8 7 2" xfId="18947" xr:uid="{00000000-0005-0000-0000-000089510000}"/>
    <cellStyle name="Hed Side Indent 3 7 8 8" xfId="18948" xr:uid="{00000000-0005-0000-0000-00008A510000}"/>
    <cellStyle name="Hed Side Indent 3 7 8 8 2" xfId="18949" xr:uid="{00000000-0005-0000-0000-00008B510000}"/>
    <cellStyle name="Hed Side Indent 3 7 8 9" xfId="18950" xr:uid="{00000000-0005-0000-0000-00008C510000}"/>
    <cellStyle name="Hed Side Indent 3 7 8 9 2" xfId="18951" xr:uid="{00000000-0005-0000-0000-00008D510000}"/>
    <cellStyle name="Hed Side Indent 3 7 9" xfId="18952" xr:uid="{00000000-0005-0000-0000-00008E510000}"/>
    <cellStyle name="Hed Side Indent 3 7 9 10" xfId="18953" xr:uid="{00000000-0005-0000-0000-00008F510000}"/>
    <cellStyle name="Hed Side Indent 3 7 9 2" xfId="18954" xr:uid="{00000000-0005-0000-0000-000090510000}"/>
    <cellStyle name="Hed Side Indent 3 7 9 2 2" xfId="18955" xr:uid="{00000000-0005-0000-0000-000091510000}"/>
    <cellStyle name="Hed Side Indent 3 7 9 3" xfId="18956" xr:uid="{00000000-0005-0000-0000-000092510000}"/>
    <cellStyle name="Hed Side Indent 3 7 9 3 2" xfId="18957" xr:uid="{00000000-0005-0000-0000-000093510000}"/>
    <cellStyle name="Hed Side Indent 3 7 9 4" xfId="18958" xr:uid="{00000000-0005-0000-0000-000094510000}"/>
    <cellStyle name="Hed Side Indent 3 7 9 4 2" xfId="18959" xr:uid="{00000000-0005-0000-0000-000095510000}"/>
    <cellStyle name="Hed Side Indent 3 7 9 5" xfId="18960" xr:uid="{00000000-0005-0000-0000-000096510000}"/>
    <cellStyle name="Hed Side Indent 3 7 9 5 2" xfId="18961" xr:uid="{00000000-0005-0000-0000-000097510000}"/>
    <cellStyle name="Hed Side Indent 3 7 9 6" xfId="18962" xr:uid="{00000000-0005-0000-0000-000098510000}"/>
    <cellStyle name="Hed Side Indent 3 7 9 6 2" xfId="18963" xr:uid="{00000000-0005-0000-0000-000099510000}"/>
    <cellStyle name="Hed Side Indent 3 7 9 7" xfId="18964" xr:uid="{00000000-0005-0000-0000-00009A510000}"/>
    <cellStyle name="Hed Side Indent 3 7 9 7 2" xfId="18965" xr:uid="{00000000-0005-0000-0000-00009B510000}"/>
    <cellStyle name="Hed Side Indent 3 7 9 8" xfId="18966" xr:uid="{00000000-0005-0000-0000-00009C510000}"/>
    <cellStyle name="Hed Side Indent 3 7 9 8 2" xfId="18967" xr:uid="{00000000-0005-0000-0000-00009D510000}"/>
    <cellStyle name="Hed Side Indent 3 7 9 9" xfId="18968" xr:uid="{00000000-0005-0000-0000-00009E510000}"/>
    <cellStyle name="Hed Side Indent 3 7 9 9 2" xfId="18969" xr:uid="{00000000-0005-0000-0000-00009F510000}"/>
    <cellStyle name="Hed Side Indent 3 8" xfId="18970" xr:uid="{00000000-0005-0000-0000-0000A0510000}"/>
    <cellStyle name="Hed Side Indent 3 8 10" xfId="18971" xr:uid="{00000000-0005-0000-0000-0000A1510000}"/>
    <cellStyle name="Hed Side Indent 3 8 10 2" xfId="18972" xr:uid="{00000000-0005-0000-0000-0000A2510000}"/>
    <cellStyle name="Hed Side Indent 3 8 10 2 2" xfId="18973" xr:uid="{00000000-0005-0000-0000-0000A3510000}"/>
    <cellStyle name="Hed Side Indent 3 8 10 3" xfId="18974" xr:uid="{00000000-0005-0000-0000-0000A4510000}"/>
    <cellStyle name="Hed Side Indent 3 8 10 3 2" xfId="18975" xr:uid="{00000000-0005-0000-0000-0000A5510000}"/>
    <cellStyle name="Hed Side Indent 3 8 10 4" xfId="18976" xr:uid="{00000000-0005-0000-0000-0000A6510000}"/>
    <cellStyle name="Hed Side Indent 3 8 10 4 2" xfId="18977" xr:uid="{00000000-0005-0000-0000-0000A7510000}"/>
    <cellStyle name="Hed Side Indent 3 8 10 5" xfId="18978" xr:uid="{00000000-0005-0000-0000-0000A8510000}"/>
    <cellStyle name="Hed Side Indent 3 8 10 5 2" xfId="18979" xr:uid="{00000000-0005-0000-0000-0000A9510000}"/>
    <cellStyle name="Hed Side Indent 3 8 10 6" xfId="18980" xr:uid="{00000000-0005-0000-0000-0000AA510000}"/>
    <cellStyle name="Hed Side Indent 3 8 10 6 2" xfId="18981" xr:uid="{00000000-0005-0000-0000-0000AB510000}"/>
    <cellStyle name="Hed Side Indent 3 8 10 7" xfId="18982" xr:uid="{00000000-0005-0000-0000-0000AC510000}"/>
    <cellStyle name="Hed Side Indent 3 8 10 7 2" xfId="18983" xr:uid="{00000000-0005-0000-0000-0000AD510000}"/>
    <cellStyle name="Hed Side Indent 3 8 10 8" xfId="18984" xr:uid="{00000000-0005-0000-0000-0000AE510000}"/>
    <cellStyle name="Hed Side Indent 3 8 10 8 2" xfId="18985" xr:uid="{00000000-0005-0000-0000-0000AF510000}"/>
    <cellStyle name="Hed Side Indent 3 8 10 9" xfId="18986" xr:uid="{00000000-0005-0000-0000-0000B0510000}"/>
    <cellStyle name="Hed Side Indent 3 8 11" xfId="18987" xr:uid="{00000000-0005-0000-0000-0000B1510000}"/>
    <cellStyle name="Hed Side Indent 3 8 11 2" xfId="18988" xr:uid="{00000000-0005-0000-0000-0000B2510000}"/>
    <cellStyle name="Hed Side Indent 3 8 12" xfId="18989" xr:uid="{00000000-0005-0000-0000-0000B3510000}"/>
    <cellStyle name="Hed Side Indent 3 8 12 2" xfId="18990" xr:uid="{00000000-0005-0000-0000-0000B4510000}"/>
    <cellStyle name="Hed Side Indent 3 8 13" xfId="18991" xr:uid="{00000000-0005-0000-0000-0000B5510000}"/>
    <cellStyle name="Hed Side Indent 3 8 13 2" xfId="18992" xr:uid="{00000000-0005-0000-0000-0000B6510000}"/>
    <cellStyle name="Hed Side Indent 3 8 14" xfId="18993" xr:uid="{00000000-0005-0000-0000-0000B7510000}"/>
    <cellStyle name="Hed Side Indent 3 8 14 2" xfId="18994" xr:uid="{00000000-0005-0000-0000-0000B8510000}"/>
    <cellStyle name="Hed Side Indent 3 8 15" xfId="18995" xr:uid="{00000000-0005-0000-0000-0000B9510000}"/>
    <cellStyle name="Hed Side Indent 3 8 15 2" xfId="18996" xr:uid="{00000000-0005-0000-0000-0000BA510000}"/>
    <cellStyle name="Hed Side Indent 3 8 16" xfId="18997" xr:uid="{00000000-0005-0000-0000-0000BB510000}"/>
    <cellStyle name="Hed Side Indent 3 8 16 2" xfId="18998" xr:uid="{00000000-0005-0000-0000-0000BC510000}"/>
    <cellStyle name="Hed Side Indent 3 8 17" xfId="18999" xr:uid="{00000000-0005-0000-0000-0000BD510000}"/>
    <cellStyle name="Hed Side Indent 3 8 17 2" xfId="19000" xr:uid="{00000000-0005-0000-0000-0000BE510000}"/>
    <cellStyle name="Hed Side Indent 3 8 18" xfId="19001" xr:uid="{00000000-0005-0000-0000-0000BF510000}"/>
    <cellStyle name="Hed Side Indent 3 8 2" xfId="19002" xr:uid="{00000000-0005-0000-0000-0000C0510000}"/>
    <cellStyle name="Hed Side Indent 3 8 2 10" xfId="19003" xr:uid="{00000000-0005-0000-0000-0000C1510000}"/>
    <cellStyle name="Hed Side Indent 3 8 2 2" xfId="19004" xr:uid="{00000000-0005-0000-0000-0000C2510000}"/>
    <cellStyle name="Hed Side Indent 3 8 2 2 2" xfId="19005" xr:uid="{00000000-0005-0000-0000-0000C3510000}"/>
    <cellStyle name="Hed Side Indent 3 8 2 3" xfId="19006" xr:uid="{00000000-0005-0000-0000-0000C4510000}"/>
    <cellStyle name="Hed Side Indent 3 8 2 3 2" xfId="19007" xr:uid="{00000000-0005-0000-0000-0000C5510000}"/>
    <cellStyle name="Hed Side Indent 3 8 2 4" xfId="19008" xr:uid="{00000000-0005-0000-0000-0000C6510000}"/>
    <cellStyle name="Hed Side Indent 3 8 2 4 2" xfId="19009" xr:uid="{00000000-0005-0000-0000-0000C7510000}"/>
    <cellStyle name="Hed Side Indent 3 8 2 5" xfId="19010" xr:uid="{00000000-0005-0000-0000-0000C8510000}"/>
    <cellStyle name="Hed Side Indent 3 8 2 5 2" xfId="19011" xr:uid="{00000000-0005-0000-0000-0000C9510000}"/>
    <cellStyle name="Hed Side Indent 3 8 2 6" xfId="19012" xr:uid="{00000000-0005-0000-0000-0000CA510000}"/>
    <cellStyle name="Hed Side Indent 3 8 2 6 2" xfId="19013" xr:uid="{00000000-0005-0000-0000-0000CB510000}"/>
    <cellStyle name="Hed Side Indent 3 8 2 7" xfId="19014" xr:uid="{00000000-0005-0000-0000-0000CC510000}"/>
    <cellStyle name="Hed Side Indent 3 8 2 7 2" xfId="19015" xr:uid="{00000000-0005-0000-0000-0000CD510000}"/>
    <cellStyle name="Hed Side Indent 3 8 2 8" xfId="19016" xr:uid="{00000000-0005-0000-0000-0000CE510000}"/>
    <cellStyle name="Hed Side Indent 3 8 2 8 2" xfId="19017" xr:uid="{00000000-0005-0000-0000-0000CF510000}"/>
    <cellStyle name="Hed Side Indent 3 8 2 9" xfId="19018" xr:uid="{00000000-0005-0000-0000-0000D0510000}"/>
    <cellStyle name="Hed Side Indent 3 8 2 9 2" xfId="19019" xr:uid="{00000000-0005-0000-0000-0000D1510000}"/>
    <cellStyle name="Hed Side Indent 3 8 3" xfId="19020" xr:uid="{00000000-0005-0000-0000-0000D2510000}"/>
    <cellStyle name="Hed Side Indent 3 8 3 10" xfId="19021" xr:uid="{00000000-0005-0000-0000-0000D3510000}"/>
    <cellStyle name="Hed Side Indent 3 8 3 2" xfId="19022" xr:uid="{00000000-0005-0000-0000-0000D4510000}"/>
    <cellStyle name="Hed Side Indent 3 8 3 2 2" xfId="19023" xr:uid="{00000000-0005-0000-0000-0000D5510000}"/>
    <cellStyle name="Hed Side Indent 3 8 3 3" xfId="19024" xr:uid="{00000000-0005-0000-0000-0000D6510000}"/>
    <cellStyle name="Hed Side Indent 3 8 3 3 2" xfId="19025" xr:uid="{00000000-0005-0000-0000-0000D7510000}"/>
    <cellStyle name="Hed Side Indent 3 8 3 4" xfId="19026" xr:uid="{00000000-0005-0000-0000-0000D8510000}"/>
    <cellStyle name="Hed Side Indent 3 8 3 4 2" xfId="19027" xr:uid="{00000000-0005-0000-0000-0000D9510000}"/>
    <cellStyle name="Hed Side Indent 3 8 3 5" xfId="19028" xr:uid="{00000000-0005-0000-0000-0000DA510000}"/>
    <cellStyle name="Hed Side Indent 3 8 3 5 2" xfId="19029" xr:uid="{00000000-0005-0000-0000-0000DB510000}"/>
    <cellStyle name="Hed Side Indent 3 8 3 6" xfId="19030" xr:uid="{00000000-0005-0000-0000-0000DC510000}"/>
    <cellStyle name="Hed Side Indent 3 8 3 6 2" xfId="19031" xr:uid="{00000000-0005-0000-0000-0000DD510000}"/>
    <cellStyle name="Hed Side Indent 3 8 3 7" xfId="19032" xr:uid="{00000000-0005-0000-0000-0000DE510000}"/>
    <cellStyle name="Hed Side Indent 3 8 3 7 2" xfId="19033" xr:uid="{00000000-0005-0000-0000-0000DF510000}"/>
    <cellStyle name="Hed Side Indent 3 8 3 8" xfId="19034" xr:uid="{00000000-0005-0000-0000-0000E0510000}"/>
    <cellStyle name="Hed Side Indent 3 8 3 8 2" xfId="19035" xr:uid="{00000000-0005-0000-0000-0000E1510000}"/>
    <cellStyle name="Hed Side Indent 3 8 3 9" xfId="19036" xr:uid="{00000000-0005-0000-0000-0000E2510000}"/>
    <cellStyle name="Hed Side Indent 3 8 3 9 2" xfId="19037" xr:uid="{00000000-0005-0000-0000-0000E3510000}"/>
    <cellStyle name="Hed Side Indent 3 8 4" xfId="19038" xr:uid="{00000000-0005-0000-0000-0000E4510000}"/>
    <cellStyle name="Hed Side Indent 3 8 4 10" xfId="19039" xr:uid="{00000000-0005-0000-0000-0000E5510000}"/>
    <cellStyle name="Hed Side Indent 3 8 4 2" xfId="19040" xr:uid="{00000000-0005-0000-0000-0000E6510000}"/>
    <cellStyle name="Hed Side Indent 3 8 4 2 2" xfId="19041" xr:uid="{00000000-0005-0000-0000-0000E7510000}"/>
    <cellStyle name="Hed Side Indent 3 8 4 3" xfId="19042" xr:uid="{00000000-0005-0000-0000-0000E8510000}"/>
    <cellStyle name="Hed Side Indent 3 8 4 3 2" xfId="19043" xr:uid="{00000000-0005-0000-0000-0000E9510000}"/>
    <cellStyle name="Hed Side Indent 3 8 4 4" xfId="19044" xr:uid="{00000000-0005-0000-0000-0000EA510000}"/>
    <cellStyle name="Hed Side Indent 3 8 4 4 2" xfId="19045" xr:uid="{00000000-0005-0000-0000-0000EB510000}"/>
    <cellStyle name="Hed Side Indent 3 8 4 5" xfId="19046" xr:uid="{00000000-0005-0000-0000-0000EC510000}"/>
    <cellStyle name="Hed Side Indent 3 8 4 5 2" xfId="19047" xr:uid="{00000000-0005-0000-0000-0000ED510000}"/>
    <cellStyle name="Hed Side Indent 3 8 4 6" xfId="19048" xr:uid="{00000000-0005-0000-0000-0000EE510000}"/>
    <cellStyle name="Hed Side Indent 3 8 4 6 2" xfId="19049" xr:uid="{00000000-0005-0000-0000-0000EF510000}"/>
    <cellStyle name="Hed Side Indent 3 8 4 7" xfId="19050" xr:uid="{00000000-0005-0000-0000-0000F0510000}"/>
    <cellStyle name="Hed Side Indent 3 8 4 7 2" xfId="19051" xr:uid="{00000000-0005-0000-0000-0000F1510000}"/>
    <cellStyle name="Hed Side Indent 3 8 4 8" xfId="19052" xr:uid="{00000000-0005-0000-0000-0000F2510000}"/>
    <cellStyle name="Hed Side Indent 3 8 4 8 2" xfId="19053" xr:uid="{00000000-0005-0000-0000-0000F3510000}"/>
    <cellStyle name="Hed Side Indent 3 8 4 9" xfId="19054" xr:uid="{00000000-0005-0000-0000-0000F4510000}"/>
    <cellStyle name="Hed Side Indent 3 8 4 9 2" xfId="19055" xr:uid="{00000000-0005-0000-0000-0000F5510000}"/>
    <cellStyle name="Hed Side Indent 3 8 5" xfId="19056" xr:uid="{00000000-0005-0000-0000-0000F6510000}"/>
    <cellStyle name="Hed Side Indent 3 8 5 10" xfId="19057" xr:uid="{00000000-0005-0000-0000-0000F7510000}"/>
    <cellStyle name="Hed Side Indent 3 8 5 2" xfId="19058" xr:uid="{00000000-0005-0000-0000-0000F8510000}"/>
    <cellStyle name="Hed Side Indent 3 8 5 2 2" xfId="19059" xr:uid="{00000000-0005-0000-0000-0000F9510000}"/>
    <cellStyle name="Hed Side Indent 3 8 5 3" xfId="19060" xr:uid="{00000000-0005-0000-0000-0000FA510000}"/>
    <cellStyle name="Hed Side Indent 3 8 5 3 2" xfId="19061" xr:uid="{00000000-0005-0000-0000-0000FB510000}"/>
    <cellStyle name="Hed Side Indent 3 8 5 4" xfId="19062" xr:uid="{00000000-0005-0000-0000-0000FC510000}"/>
    <cellStyle name="Hed Side Indent 3 8 5 4 2" xfId="19063" xr:uid="{00000000-0005-0000-0000-0000FD510000}"/>
    <cellStyle name="Hed Side Indent 3 8 5 5" xfId="19064" xr:uid="{00000000-0005-0000-0000-0000FE510000}"/>
    <cellStyle name="Hed Side Indent 3 8 5 5 2" xfId="19065" xr:uid="{00000000-0005-0000-0000-0000FF510000}"/>
    <cellStyle name="Hed Side Indent 3 8 5 6" xfId="19066" xr:uid="{00000000-0005-0000-0000-000000520000}"/>
    <cellStyle name="Hed Side Indent 3 8 5 6 2" xfId="19067" xr:uid="{00000000-0005-0000-0000-000001520000}"/>
    <cellStyle name="Hed Side Indent 3 8 5 7" xfId="19068" xr:uid="{00000000-0005-0000-0000-000002520000}"/>
    <cellStyle name="Hed Side Indent 3 8 5 7 2" xfId="19069" xr:uid="{00000000-0005-0000-0000-000003520000}"/>
    <cellStyle name="Hed Side Indent 3 8 5 8" xfId="19070" xr:uid="{00000000-0005-0000-0000-000004520000}"/>
    <cellStyle name="Hed Side Indent 3 8 5 8 2" xfId="19071" xr:uid="{00000000-0005-0000-0000-000005520000}"/>
    <cellStyle name="Hed Side Indent 3 8 5 9" xfId="19072" xr:uid="{00000000-0005-0000-0000-000006520000}"/>
    <cellStyle name="Hed Side Indent 3 8 5 9 2" xfId="19073" xr:uid="{00000000-0005-0000-0000-000007520000}"/>
    <cellStyle name="Hed Side Indent 3 8 6" xfId="19074" xr:uid="{00000000-0005-0000-0000-000008520000}"/>
    <cellStyle name="Hed Side Indent 3 8 6 10" xfId="19075" xr:uid="{00000000-0005-0000-0000-000009520000}"/>
    <cellStyle name="Hed Side Indent 3 8 6 2" xfId="19076" xr:uid="{00000000-0005-0000-0000-00000A520000}"/>
    <cellStyle name="Hed Side Indent 3 8 6 2 2" xfId="19077" xr:uid="{00000000-0005-0000-0000-00000B520000}"/>
    <cellStyle name="Hed Side Indent 3 8 6 3" xfId="19078" xr:uid="{00000000-0005-0000-0000-00000C520000}"/>
    <cellStyle name="Hed Side Indent 3 8 6 3 2" xfId="19079" xr:uid="{00000000-0005-0000-0000-00000D520000}"/>
    <cellStyle name="Hed Side Indent 3 8 6 4" xfId="19080" xr:uid="{00000000-0005-0000-0000-00000E520000}"/>
    <cellStyle name="Hed Side Indent 3 8 6 4 2" xfId="19081" xr:uid="{00000000-0005-0000-0000-00000F520000}"/>
    <cellStyle name="Hed Side Indent 3 8 6 5" xfId="19082" xr:uid="{00000000-0005-0000-0000-000010520000}"/>
    <cellStyle name="Hed Side Indent 3 8 6 5 2" xfId="19083" xr:uid="{00000000-0005-0000-0000-000011520000}"/>
    <cellStyle name="Hed Side Indent 3 8 6 6" xfId="19084" xr:uid="{00000000-0005-0000-0000-000012520000}"/>
    <cellStyle name="Hed Side Indent 3 8 6 6 2" xfId="19085" xr:uid="{00000000-0005-0000-0000-000013520000}"/>
    <cellStyle name="Hed Side Indent 3 8 6 7" xfId="19086" xr:uid="{00000000-0005-0000-0000-000014520000}"/>
    <cellStyle name="Hed Side Indent 3 8 6 7 2" xfId="19087" xr:uid="{00000000-0005-0000-0000-000015520000}"/>
    <cellStyle name="Hed Side Indent 3 8 6 8" xfId="19088" xr:uid="{00000000-0005-0000-0000-000016520000}"/>
    <cellStyle name="Hed Side Indent 3 8 6 8 2" xfId="19089" xr:uid="{00000000-0005-0000-0000-000017520000}"/>
    <cellStyle name="Hed Side Indent 3 8 6 9" xfId="19090" xr:uid="{00000000-0005-0000-0000-000018520000}"/>
    <cellStyle name="Hed Side Indent 3 8 6 9 2" xfId="19091" xr:uid="{00000000-0005-0000-0000-000019520000}"/>
    <cellStyle name="Hed Side Indent 3 8 7" xfId="19092" xr:uid="{00000000-0005-0000-0000-00001A520000}"/>
    <cellStyle name="Hed Side Indent 3 8 7 10" xfId="19093" xr:uid="{00000000-0005-0000-0000-00001B520000}"/>
    <cellStyle name="Hed Side Indent 3 8 7 2" xfId="19094" xr:uid="{00000000-0005-0000-0000-00001C520000}"/>
    <cellStyle name="Hed Side Indent 3 8 7 2 2" xfId="19095" xr:uid="{00000000-0005-0000-0000-00001D520000}"/>
    <cellStyle name="Hed Side Indent 3 8 7 3" xfId="19096" xr:uid="{00000000-0005-0000-0000-00001E520000}"/>
    <cellStyle name="Hed Side Indent 3 8 7 3 2" xfId="19097" xr:uid="{00000000-0005-0000-0000-00001F520000}"/>
    <cellStyle name="Hed Side Indent 3 8 7 4" xfId="19098" xr:uid="{00000000-0005-0000-0000-000020520000}"/>
    <cellStyle name="Hed Side Indent 3 8 7 4 2" xfId="19099" xr:uid="{00000000-0005-0000-0000-000021520000}"/>
    <cellStyle name="Hed Side Indent 3 8 7 5" xfId="19100" xr:uid="{00000000-0005-0000-0000-000022520000}"/>
    <cellStyle name="Hed Side Indent 3 8 7 5 2" xfId="19101" xr:uid="{00000000-0005-0000-0000-000023520000}"/>
    <cellStyle name="Hed Side Indent 3 8 7 6" xfId="19102" xr:uid="{00000000-0005-0000-0000-000024520000}"/>
    <cellStyle name="Hed Side Indent 3 8 7 6 2" xfId="19103" xr:uid="{00000000-0005-0000-0000-000025520000}"/>
    <cellStyle name="Hed Side Indent 3 8 7 7" xfId="19104" xr:uid="{00000000-0005-0000-0000-000026520000}"/>
    <cellStyle name="Hed Side Indent 3 8 7 7 2" xfId="19105" xr:uid="{00000000-0005-0000-0000-000027520000}"/>
    <cellStyle name="Hed Side Indent 3 8 7 8" xfId="19106" xr:uid="{00000000-0005-0000-0000-000028520000}"/>
    <cellStyle name="Hed Side Indent 3 8 7 8 2" xfId="19107" xr:uid="{00000000-0005-0000-0000-000029520000}"/>
    <cellStyle name="Hed Side Indent 3 8 7 9" xfId="19108" xr:uid="{00000000-0005-0000-0000-00002A520000}"/>
    <cellStyle name="Hed Side Indent 3 8 7 9 2" xfId="19109" xr:uid="{00000000-0005-0000-0000-00002B520000}"/>
    <cellStyle name="Hed Side Indent 3 8 8" xfId="19110" xr:uid="{00000000-0005-0000-0000-00002C520000}"/>
    <cellStyle name="Hed Side Indent 3 8 8 10" xfId="19111" xr:uid="{00000000-0005-0000-0000-00002D520000}"/>
    <cellStyle name="Hed Side Indent 3 8 8 2" xfId="19112" xr:uid="{00000000-0005-0000-0000-00002E520000}"/>
    <cellStyle name="Hed Side Indent 3 8 8 2 2" xfId="19113" xr:uid="{00000000-0005-0000-0000-00002F520000}"/>
    <cellStyle name="Hed Side Indent 3 8 8 3" xfId="19114" xr:uid="{00000000-0005-0000-0000-000030520000}"/>
    <cellStyle name="Hed Side Indent 3 8 8 3 2" xfId="19115" xr:uid="{00000000-0005-0000-0000-000031520000}"/>
    <cellStyle name="Hed Side Indent 3 8 8 4" xfId="19116" xr:uid="{00000000-0005-0000-0000-000032520000}"/>
    <cellStyle name="Hed Side Indent 3 8 8 4 2" xfId="19117" xr:uid="{00000000-0005-0000-0000-000033520000}"/>
    <cellStyle name="Hed Side Indent 3 8 8 5" xfId="19118" xr:uid="{00000000-0005-0000-0000-000034520000}"/>
    <cellStyle name="Hed Side Indent 3 8 8 5 2" xfId="19119" xr:uid="{00000000-0005-0000-0000-000035520000}"/>
    <cellStyle name="Hed Side Indent 3 8 8 6" xfId="19120" xr:uid="{00000000-0005-0000-0000-000036520000}"/>
    <cellStyle name="Hed Side Indent 3 8 8 6 2" xfId="19121" xr:uid="{00000000-0005-0000-0000-000037520000}"/>
    <cellStyle name="Hed Side Indent 3 8 8 7" xfId="19122" xr:uid="{00000000-0005-0000-0000-000038520000}"/>
    <cellStyle name="Hed Side Indent 3 8 8 7 2" xfId="19123" xr:uid="{00000000-0005-0000-0000-000039520000}"/>
    <cellStyle name="Hed Side Indent 3 8 8 8" xfId="19124" xr:uid="{00000000-0005-0000-0000-00003A520000}"/>
    <cellStyle name="Hed Side Indent 3 8 8 8 2" xfId="19125" xr:uid="{00000000-0005-0000-0000-00003B520000}"/>
    <cellStyle name="Hed Side Indent 3 8 8 9" xfId="19126" xr:uid="{00000000-0005-0000-0000-00003C520000}"/>
    <cellStyle name="Hed Side Indent 3 8 8 9 2" xfId="19127" xr:uid="{00000000-0005-0000-0000-00003D520000}"/>
    <cellStyle name="Hed Side Indent 3 8 9" xfId="19128" xr:uid="{00000000-0005-0000-0000-00003E520000}"/>
    <cellStyle name="Hed Side Indent 3 8 9 10" xfId="19129" xr:uid="{00000000-0005-0000-0000-00003F520000}"/>
    <cellStyle name="Hed Side Indent 3 8 9 2" xfId="19130" xr:uid="{00000000-0005-0000-0000-000040520000}"/>
    <cellStyle name="Hed Side Indent 3 8 9 2 2" xfId="19131" xr:uid="{00000000-0005-0000-0000-000041520000}"/>
    <cellStyle name="Hed Side Indent 3 8 9 3" xfId="19132" xr:uid="{00000000-0005-0000-0000-000042520000}"/>
    <cellStyle name="Hed Side Indent 3 8 9 3 2" xfId="19133" xr:uid="{00000000-0005-0000-0000-000043520000}"/>
    <cellStyle name="Hed Side Indent 3 8 9 4" xfId="19134" xr:uid="{00000000-0005-0000-0000-000044520000}"/>
    <cellStyle name="Hed Side Indent 3 8 9 4 2" xfId="19135" xr:uid="{00000000-0005-0000-0000-000045520000}"/>
    <cellStyle name="Hed Side Indent 3 8 9 5" xfId="19136" xr:uid="{00000000-0005-0000-0000-000046520000}"/>
    <cellStyle name="Hed Side Indent 3 8 9 5 2" xfId="19137" xr:uid="{00000000-0005-0000-0000-000047520000}"/>
    <cellStyle name="Hed Side Indent 3 8 9 6" xfId="19138" xr:uid="{00000000-0005-0000-0000-000048520000}"/>
    <cellStyle name="Hed Side Indent 3 8 9 6 2" xfId="19139" xr:uid="{00000000-0005-0000-0000-000049520000}"/>
    <cellStyle name="Hed Side Indent 3 8 9 7" xfId="19140" xr:uid="{00000000-0005-0000-0000-00004A520000}"/>
    <cellStyle name="Hed Side Indent 3 8 9 7 2" xfId="19141" xr:uid="{00000000-0005-0000-0000-00004B520000}"/>
    <cellStyle name="Hed Side Indent 3 8 9 8" xfId="19142" xr:uid="{00000000-0005-0000-0000-00004C520000}"/>
    <cellStyle name="Hed Side Indent 3 8 9 8 2" xfId="19143" xr:uid="{00000000-0005-0000-0000-00004D520000}"/>
    <cellStyle name="Hed Side Indent 3 8 9 9" xfId="19144" xr:uid="{00000000-0005-0000-0000-00004E520000}"/>
    <cellStyle name="Hed Side Indent 3 8 9 9 2" xfId="19145" xr:uid="{00000000-0005-0000-0000-00004F520000}"/>
    <cellStyle name="Hed Side Regular" xfId="78" xr:uid="{00000000-0005-0000-0000-000050520000}"/>
    <cellStyle name="Hed Side Regular 2" xfId="172" xr:uid="{00000000-0005-0000-0000-000051520000}"/>
    <cellStyle name="Hed Side Regular 2 2" xfId="19146" xr:uid="{00000000-0005-0000-0000-000052520000}"/>
    <cellStyle name="Hed Side Regular 2 2 10" xfId="19147" xr:uid="{00000000-0005-0000-0000-000053520000}"/>
    <cellStyle name="Hed Side Regular 2 2 10 10" xfId="19148" xr:uid="{00000000-0005-0000-0000-000054520000}"/>
    <cellStyle name="Hed Side Regular 2 2 10 2" xfId="19149" xr:uid="{00000000-0005-0000-0000-000055520000}"/>
    <cellStyle name="Hed Side Regular 2 2 10 2 2" xfId="19150" xr:uid="{00000000-0005-0000-0000-000056520000}"/>
    <cellStyle name="Hed Side Regular 2 2 10 3" xfId="19151" xr:uid="{00000000-0005-0000-0000-000057520000}"/>
    <cellStyle name="Hed Side Regular 2 2 10 3 2" xfId="19152" xr:uid="{00000000-0005-0000-0000-000058520000}"/>
    <cellStyle name="Hed Side Regular 2 2 10 4" xfId="19153" xr:uid="{00000000-0005-0000-0000-000059520000}"/>
    <cellStyle name="Hed Side Regular 2 2 10 4 2" xfId="19154" xr:uid="{00000000-0005-0000-0000-00005A520000}"/>
    <cellStyle name="Hed Side Regular 2 2 10 5" xfId="19155" xr:uid="{00000000-0005-0000-0000-00005B520000}"/>
    <cellStyle name="Hed Side Regular 2 2 10 5 2" xfId="19156" xr:uid="{00000000-0005-0000-0000-00005C520000}"/>
    <cellStyle name="Hed Side Regular 2 2 10 6" xfId="19157" xr:uid="{00000000-0005-0000-0000-00005D520000}"/>
    <cellStyle name="Hed Side Regular 2 2 10 6 2" xfId="19158" xr:uid="{00000000-0005-0000-0000-00005E520000}"/>
    <cellStyle name="Hed Side Regular 2 2 10 7" xfId="19159" xr:uid="{00000000-0005-0000-0000-00005F520000}"/>
    <cellStyle name="Hed Side Regular 2 2 10 7 2" xfId="19160" xr:uid="{00000000-0005-0000-0000-000060520000}"/>
    <cellStyle name="Hed Side Regular 2 2 10 8" xfId="19161" xr:uid="{00000000-0005-0000-0000-000061520000}"/>
    <cellStyle name="Hed Side Regular 2 2 10 8 2" xfId="19162" xr:uid="{00000000-0005-0000-0000-000062520000}"/>
    <cellStyle name="Hed Side Regular 2 2 10 9" xfId="19163" xr:uid="{00000000-0005-0000-0000-000063520000}"/>
    <cellStyle name="Hed Side Regular 2 2 10 9 2" xfId="19164" xr:uid="{00000000-0005-0000-0000-000064520000}"/>
    <cellStyle name="Hed Side Regular 2 2 11" xfId="19165" xr:uid="{00000000-0005-0000-0000-000065520000}"/>
    <cellStyle name="Hed Side Regular 2 2 11 2" xfId="19166" xr:uid="{00000000-0005-0000-0000-000066520000}"/>
    <cellStyle name="Hed Side Regular 2 2 11 2 2" xfId="19167" xr:uid="{00000000-0005-0000-0000-000067520000}"/>
    <cellStyle name="Hed Side Regular 2 2 11 3" xfId="19168" xr:uid="{00000000-0005-0000-0000-000068520000}"/>
    <cellStyle name="Hed Side Regular 2 2 11 3 2" xfId="19169" xr:uid="{00000000-0005-0000-0000-000069520000}"/>
    <cellStyle name="Hed Side Regular 2 2 11 4" xfId="19170" xr:uid="{00000000-0005-0000-0000-00006A520000}"/>
    <cellStyle name="Hed Side Regular 2 2 11 4 2" xfId="19171" xr:uid="{00000000-0005-0000-0000-00006B520000}"/>
    <cellStyle name="Hed Side Regular 2 2 11 5" xfId="19172" xr:uid="{00000000-0005-0000-0000-00006C520000}"/>
    <cellStyle name="Hed Side Regular 2 2 11 5 2" xfId="19173" xr:uid="{00000000-0005-0000-0000-00006D520000}"/>
    <cellStyle name="Hed Side Regular 2 2 11 6" xfId="19174" xr:uid="{00000000-0005-0000-0000-00006E520000}"/>
    <cellStyle name="Hed Side Regular 2 2 11 6 2" xfId="19175" xr:uid="{00000000-0005-0000-0000-00006F520000}"/>
    <cellStyle name="Hed Side Regular 2 2 11 7" xfId="19176" xr:uid="{00000000-0005-0000-0000-000070520000}"/>
    <cellStyle name="Hed Side Regular 2 2 11 7 2" xfId="19177" xr:uid="{00000000-0005-0000-0000-000071520000}"/>
    <cellStyle name="Hed Side Regular 2 2 11 8" xfId="19178" xr:uid="{00000000-0005-0000-0000-000072520000}"/>
    <cellStyle name="Hed Side Regular 2 2 11 8 2" xfId="19179" xr:uid="{00000000-0005-0000-0000-000073520000}"/>
    <cellStyle name="Hed Side Regular 2 2 11 9" xfId="19180" xr:uid="{00000000-0005-0000-0000-000074520000}"/>
    <cellStyle name="Hed Side Regular 2 2 2" xfId="19181" xr:uid="{00000000-0005-0000-0000-000075520000}"/>
    <cellStyle name="Hed Side Regular 2 2 2 10" xfId="19182" xr:uid="{00000000-0005-0000-0000-000076520000}"/>
    <cellStyle name="Hed Side Regular 2 2 2 2" xfId="19183" xr:uid="{00000000-0005-0000-0000-000077520000}"/>
    <cellStyle name="Hed Side Regular 2 2 2 2 2" xfId="19184" xr:uid="{00000000-0005-0000-0000-000078520000}"/>
    <cellStyle name="Hed Side Regular 2 2 2 3" xfId="19185" xr:uid="{00000000-0005-0000-0000-000079520000}"/>
    <cellStyle name="Hed Side Regular 2 2 2 3 2" xfId="19186" xr:uid="{00000000-0005-0000-0000-00007A520000}"/>
    <cellStyle name="Hed Side Regular 2 2 2 4" xfId="19187" xr:uid="{00000000-0005-0000-0000-00007B520000}"/>
    <cellStyle name="Hed Side Regular 2 2 2 4 2" xfId="19188" xr:uid="{00000000-0005-0000-0000-00007C520000}"/>
    <cellStyle name="Hed Side Regular 2 2 2 5" xfId="19189" xr:uid="{00000000-0005-0000-0000-00007D520000}"/>
    <cellStyle name="Hed Side Regular 2 2 2 5 2" xfId="19190" xr:uid="{00000000-0005-0000-0000-00007E520000}"/>
    <cellStyle name="Hed Side Regular 2 2 2 6" xfId="19191" xr:uid="{00000000-0005-0000-0000-00007F520000}"/>
    <cellStyle name="Hed Side Regular 2 2 2 6 2" xfId="19192" xr:uid="{00000000-0005-0000-0000-000080520000}"/>
    <cellStyle name="Hed Side Regular 2 2 2 7" xfId="19193" xr:uid="{00000000-0005-0000-0000-000081520000}"/>
    <cellStyle name="Hed Side Regular 2 2 2 7 2" xfId="19194" xr:uid="{00000000-0005-0000-0000-000082520000}"/>
    <cellStyle name="Hed Side Regular 2 2 2 8" xfId="19195" xr:uid="{00000000-0005-0000-0000-000083520000}"/>
    <cellStyle name="Hed Side Regular 2 2 2 8 2" xfId="19196" xr:uid="{00000000-0005-0000-0000-000084520000}"/>
    <cellStyle name="Hed Side Regular 2 2 2 9" xfId="19197" xr:uid="{00000000-0005-0000-0000-000085520000}"/>
    <cellStyle name="Hed Side Regular 2 2 2 9 2" xfId="19198" xr:uid="{00000000-0005-0000-0000-000086520000}"/>
    <cellStyle name="Hed Side Regular 2 2 3" xfId="19199" xr:uid="{00000000-0005-0000-0000-000087520000}"/>
    <cellStyle name="Hed Side Regular 2 2 3 10" xfId="19200" xr:uid="{00000000-0005-0000-0000-000088520000}"/>
    <cellStyle name="Hed Side Regular 2 2 3 2" xfId="19201" xr:uid="{00000000-0005-0000-0000-000089520000}"/>
    <cellStyle name="Hed Side Regular 2 2 3 2 2" xfId="19202" xr:uid="{00000000-0005-0000-0000-00008A520000}"/>
    <cellStyle name="Hed Side Regular 2 2 3 3" xfId="19203" xr:uid="{00000000-0005-0000-0000-00008B520000}"/>
    <cellStyle name="Hed Side Regular 2 2 3 3 2" xfId="19204" xr:uid="{00000000-0005-0000-0000-00008C520000}"/>
    <cellStyle name="Hed Side Regular 2 2 3 4" xfId="19205" xr:uid="{00000000-0005-0000-0000-00008D520000}"/>
    <cellStyle name="Hed Side Regular 2 2 3 4 2" xfId="19206" xr:uid="{00000000-0005-0000-0000-00008E520000}"/>
    <cellStyle name="Hed Side Regular 2 2 3 5" xfId="19207" xr:uid="{00000000-0005-0000-0000-00008F520000}"/>
    <cellStyle name="Hed Side Regular 2 2 3 5 2" xfId="19208" xr:uid="{00000000-0005-0000-0000-000090520000}"/>
    <cellStyle name="Hed Side Regular 2 2 3 6" xfId="19209" xr:uid="{00000000-0005-0000-0000-000091520000}"/>
    <cellStyle name="Hed Side Regular 2 2 3 6 2" xfId="19210" xr:uid="{00000000-0005-0000-0000-000092520000}"/>
    <cellStyle name="Hed Side Regular 2 2 3 7" xfId="19211" xr:uid="{00000000-0005-0000-0000-000093520000}"/>
    <cellStyle name="Hed Side Regular 2 2 3 7 2" xfId="19212" xr:uid="{00000000-0005-0000-0000-000094520000}"/>
    <cellStyle name="Hed Side Regular 2 2 3 8" xfId="19213" xr:uid="{00000000-0005-0000-0000-000095520000}"/>
    <cellStyle name="Hed Side Regular 2 2 3 8 2" xfId="19214" xr:uid="{00000000-0005-0000-0000-000096520000}"/>
    <cellStyle name="Hed Side Regular 2 2 3 9" xfId="19215" xr:uid="{00000000-0005-0000-0000-000097520000}"/>
    <cellStyle name="Hed Side Regular 2 2 3 9 2" xfId="19216" xr:uid="{00000000-0005-0000-0000-000098520000}"/>
    <cellStyle name="Hed Side Regular 2 2 4" xfId="19217" xr:uid="{00000000-0005-0000-0000-000099520000}"/>
    <cellStyle name="Hed Side Regular 2 2 4 10" xfId="19218" xr:uid="{00000000-0005-0000-0000-00009A520000}"/>
    <cellStyle name="Hed Side Regular 2 2 4 2" xfId="19219" xr:uid="{00000000-0005-0000-0000-00009B520000}"/>
    <cellStyle name="Hed Side Regular 2 2 4 2 2" xfId="19220" xr:uid="{00000000-0005-0000-0000-00009C520000}"/>
    <cellStyle name="Hed Side Regular 2 2 4 3" xfId="19221" xr:uid="{00000000-0005-0000-0000-00009D520000}"/>
    <cellStyle name="Hed Side Regular 2 2 4 3 2" xfId="19222" xr:uid="{00000000-0005-0000-0000-00009E520000}"/>
    <cellStyle name="Hed Side Regular 2 2 4 4" xfId="19223" xr:uid="{00000000-0005-0000-0000-00009F520000}"/>
    <cellStyle name="Hed Side Regular 2 2 4 4 2" xfId="19224" xr:uid="{00000000-0005-0000-0000-0000A0520000}"/>
    <cellStyle name="Hed Side Regular 2 2 4 5" xfId="19225" xr:uid="{00000000-0005-0000-0000-0000A1520000}"/>
    <cellStyle name="Hed Side Regular 2 2 4 5 2" xfId="19226" xr:uid="{00000000-0005-0000-0000-0000A2520000}"/>
    <cellStyle name="Hed Side Regular 2 2 4 6" xfId="19227" xr:uid="{00000000-0005-0000-0000-0000A3520000}"/>
    <cellStyle name="Hed Side Regular 2 2 4 6 2" xfId="19228" xr:uid="{00000000-0005-0000-0000-0000A4520000}"/>
    <cellStyle name="Hed Side Regular 2 2 4 7" xfId="19229" xr:uid="{00000000-0005-0000-0000-0000A5520000}"/>
    <cellStyle name="Hed Side Regular 2 2 4 7 2" xfId="19230" xr:uid="{00000000-0005-0000-0000-0000A6520000}"/>
    <cellStyle name="Hed Side Regular 2 2 4 8" xfId="19231" xr:uid="{00000000-0005-0000-0000-0000A7520000}"/>
    <cellStyle name="Hed Side Regular 2 2 4 8 2" xfId="19232" xr:uid="{00000000-0005-0000-0000-0000A8520000}"/>
    <cellStyle name="Hed Side Regular 2 2 4 9" xfId="19233" xr:uid="{00000000-0005-0000-0000-0000A9520000}"/>
    <cellStyle name="Hed Side Regular 2 2 4 9 2" xfId="19234" xr:uid="{00000000-0005-0000-0000-0000AA520000}"/>
    <cellStyle name="Hed Side Regular 2 2 5" xfId="19235" xr:uid="{00000000-0005-0000-0000-0000AB520000}"/>
    <cellStyle name="Hed Side Regular 2 2 5 10" xfId="19236" xr:uid="{00000000-0005-0000-0000-0000AC520000}"/>
    <cellStyle name="Hed Side Regular 2 2 5 2" xfId="19237" xr:uid="{00000000-0005-0000-0000-0000AD520000}"/>
    <cellStyle name="Hed Side Regular 2 2 5 2 2" xfId="19238" xr:uid="{00000000-0005-0000-0000-0000AE520000}"/>
    <cellStyle name="Hed Side Regular 2 2 5 3" xfId="19239" xr:uid="{00000000-0005-0000-0000-0000AF520000}"/>
    <cellStyle name="Hed Side Regular 2 2 5 3 2" xfId="19240" xr:uid="{00000000-0005-0000-0000-0000B0520000}"/>
    <cellStyle name="Hed Side Regular 2 2 5 4" xfId="19241" xr:uid="{00000000-0005-0000-0000-0000B1520000}"/>
    <cellStyle name="Hed Side Regular 2 2 5 4 2" xfId="19242" xr:uid="{00000000-0005-0000-0000-0000B2520000}"/>
    <cellStyle name="Hed Side Regular 2 2 5 5" xfId="19243" xr:uid="{00000000-0005-0000-0000-0000B3520000}"/>
    <cellStyle name="Hed Side Regular 2 2 5 5 2" xfId="19244" xr:uid="{00000000-0005-0000-0000-0000B4520000}"/>
    <cellStyle name="Hed Side Regular 2 2 5 6" xfId="19245" xr:uid="{00000000-0005-0000-0000-0000B5520000}"/>
    <cellStyle name="Hed Side Regular 2 2 5 6 2" xfId="19246" xr:uid="{00000000-0005-0000-0000-0000B6520000}"/>
    <cellStyle name="Hed Side Regular 2 2 5 7" xfId="19247" xr:uid="{00000000-0005-0000-0000-0000B7520000}"/>
    <cellStyle name="Hed Side Regular 2 2 5 7 2" xfId="19248" xr:uid="{00000000-0005-0000-0000-0000B8520000}"/>
    <cellStyle name="Hed Side Regular 2 2 5 8" xfId="19249" xr:uid="{00000000-0005-0000-0000-0000B9520000}"/>
    <cellStyle name="Hed Side Regular 2 2 5 8 2" xfId="19250" xr:uid="{00000000-0005-0000-0000-0000BA520000}"/>
    <cellStyle name="Hed Side Regular 2 2 5 9" xfId="19251" xr:uid="{00000000-0005-0000-0000-0000BB520000}"/>
    <cellStyle name="Hed Side Regular 2 2 5 9 2" xfId="19252" xr:uid="{00000000-0005-0000-0000-0000BC520000}"/>
    <cellStyle name="Hed Side Regular 2 2 6" xfId="19253" xr:uid="{00000000-0005-0000-0000-0000BD520000}"/>
    <cellStyle name="Hed Side Regular 2 2 6 10" xfId="19254" xr:uid="{00000000-0005-0000-0000-0000BE520000}"/>
    <cellStyle name="Hed Side Regular 2 2 6 2" xfId="19255" xr:uid="{00000000-0005-0000-0000-0000BF520000}"/>
    <cellStyle name="Hed Side Regular 2 2 6 2 2" xfId="19256" xr:uid="{00000000-0005-0000-0000-0000C0520000}"/>
    <cellStyle name="Hed Side Regular 2 2 6 3" xfId="19257" xr:uid="{00000000-0005-0000-0000-0000C1520000}"/>
    <cellStyle name="Hed Side Regular 2 2 6 3 2" xfId="19258" xr:uid="{00000000-0005-0000-0000-0000C2520000}"/>
    <cellStyle name="Hed Side Regular 2 2 6 4" xfId="19259" xr:uid="{00000000-0005-0000-0000-0000C3520000}"/>
    <cellStyle name="Hed Side Regular 2 2 6 4 2" xfId="19260" xr:uid="{00000000-0005-0000-0000-0000C4520000}"/>
    <cellStyle name="Hed Side Regular 2 2 6 5" xfId="19261" xr:uid="{00000000-0005-0000-0000-0000C5520000}"/>
    <cellStyle name="Hed Side Regular 2 2 6 5 2" xfId="19262" xr:uid="{00000000-0005-0000-0000-0000C6520000}"/>
    <cellStyle name="Hed Side Regular 2 2 6 6" xfId="19263" xr:uid="{00000000-0005-0000-0000-0000C7520000}"/>
    <cellStyle name="Hed Side Regular 2 2 6 6 2" xfId="19264" xr:uid="{00000000-0005-0000-0000-0000C8520000}"/>
    <cellStyle name="Hed Side Regular 2 2 6 7" xfId="19265" xr:uid="{00000000-0005-0000-0000-0000C9520000}"/>
    <cellStyle name="Hed Side Regular 2 2 6 7 2" xfId="19266" xr:uid="{00000000-0005-0000-0000-0000CA520000}"/>
    <cellStyle name="Hed Side Regular 2 2 6 8" xfId="19267" xr:uid="{00000000-0005-0000-0000-0000CB520000}"/>
    <cellStyle name="Hed Side Regular 2 2 6 8 2" xfId="19268" xr:uid="{00000000-0005-0000-0000-0000CC520000}"/>
    <cellStyle name="Hed Side Regular 2 2 6 9" xfId="19269" xr:uid="{00000000-0005-0000-0000-0000CD520000}"/>
    <cellStyle name="Hed Side Regular 2 2 6 9 2" xfId="19270" xr:uid="{00000000-0005-0000-0000-0000CE520000}"/>
    <cellStyle name="Hed Side Regular 2 2 7" xfId="19271" xr:uid="{00000000-0005-0000-0000-0000CF520000}"/>
    <cellStyle name="Hed Side Regular 2 2 7 10" xfId="19272" xr:uid="{00000000-0005-0000-0000-0000D0520000}"/>
    <cellStyle name="Hed Side Regular 2 2 7 2" xfId="19273" xr:uid="{00000000-0005-0000-0000-0000D1520000}"/>
    <cellStyle name="Hed Side Regular 2 2 7 2 2" xfId="19274" xr:uid="{00000000-0005-0000-0000-0000D2520000}"/>
    <cellStyle name="Hed Side Regular 2 2 7 3" xfId="19275" xr:uid="{00000000-0005-0000-0000-0000D3520000}"/>
    <cellStyle name="Hed Side Regular 2 2 7 3 2" xfId="19276" xr:uid="{00000000-0005-0000-0000-0000D4520000}"/>
    <cellStyle name="Hed Side Regular 2 2 7 4" xfId="19277" xr:uid="{00000000-0005-0000-0000-0000D5520000}"/>
    <cellStyle name="Hed Side Regular 2 2 7 4 2" xfId="19278" xr:uid="{00000000-0005-0000-0000-0000D6520000}"/>
    <cellStyle name="Hed Side Regular 2 2 7 5" xfId="19279" xr:uid="{00000000-0005-0000-0000-0000D7520000}"/>
    <cellStyle name="Hed Side Regular 2 2 7 5 2" xfId="19280" xr:uid="{00000000-0005-0000-0000-0000D8520000}"/>
    <cellStyle name="Hed Side Regular 2 2 7 6" xfId="19281" xr:uid="{00000000-0005-0000-0000-0000D9520000}"/>
    <cellStyle name="Hed Side Regular 2 2 7 6 2" xfId="19282" xr:uid="{00000000-0005-0000-0000-0000DA520000}"/>
    <cellStyle name="Hed Side Regular 2 2 7 7" xfId="19283" xr:uid="{00000000-0005-0000-0000-0000DB520000}"/>
    <cellStyle name="Hed Side Regular 2 2 7 7 2" xfId="19284" xr:uid="{00000000-0005-0000-0000-0000DC520000}"/>
    <cellStyle name="Hed Side Regular 2 2 7 8" xfId="19285" xr:uid="{00000000-0005-0000-0000-0000DD520000}"/>
    <cellStyle name="Hed Side Regular 2 2 7 8 2" xfId="19286" xr:uid="{00000000-0005-0000-0000-0000DE520000}"/>
    <cellStyle name="Hed Side Regular 2 2 7 9" xfId="19287" xr:uid="{00000000-0005-0000-0000-0000DF520000}"/>
    <cellStyle name="Hed Side Regular 2 2 7 9 2" xfId="19288" xr:uid="{00000000-0005-0000-0000-0000E0520000}"/>
    <cellStyle name="Hed Side Regular 2 2 8" xfId="19289" xr:uid="{00000000-0005-0000-0000-0000E1520000}"/>
    <cellStyle name="Hed Side Regular 2 2 8 10" xfId="19290" xr:uid="{00000000-0005-0000-0000-0000E2520000}"/>
    <cellStyle name="Hed Side Regular 2 2 8 2" xfId="19291" xr:uid="{00000000-0005-0000-0000-0000E3520000}"/>
    <cellStyle name="Hed Side Regular 2 2 8 2 2" xfId="19292" xr:uid="{00000000-0005-0000-0000-0000E4520000}"/>
    <cellStyle name="Hed Side Regular 2 2 8 3" xfId="19293" xr:uid="{00000000-0005-0000-0000-0000E5520000}"/>
    <cellStyle name="Hed Side Regular 2 2 8 3 2" xfId="19294" xr:uid="{00000000-0005-0000-0000-0000E6520000}"/>
    <cellStyle name="Hed Side Regular 2 2 8 4" xfId="19295" xr:uid="{00000000-0005-0000-0000-0000E7520000}"/>
    <cellStyle name="Hed Side Regular 2 2 8 4 2" xfId="19296" xr:uid="{00000000-0005-0000-0000-0000E8520000}"/>
    <cellStyle name="Hed Side Regular 2 2 8 5" xfId="19297" xr:uid="{00000000-0005-0000-0000-0000E9520000}"/>
    <cellStyle name="Hed Side Regular 2 2 8 5 2" xfId="19298" xr:uid="{00000000-0005-0000-0000-0000EA520000}"/>
    <cellStyle name="Hed Side Regular 2 2 8 6" xfId="19299" xr:uid="{00000000-0005-0000-0000-0000EB520000}"/>
    <cellStyle name="Hed Side Regular 2 2 8 6 2" xfId="19300" xr:uid="{00000000-0005-0000-0000-0000EC520000}"/>
    <cellStyle name="Hed Side Regular 2 2 8 7" xfId="19301" xr:uid="{00000000-0005-0000-0000-0000ED520000}"/>
    <cellStyle name="Hed Side Regular 2 2 8 7 2" xfId="19302" xr:uid="{00000000-0005-0000-0000-0000EE520000}"/>
    <cellStyle name="Hed Side Regular 2 2 8 8" xfId="19303" xr:uid="{00000000-0005-0000-0000-0000EF520000}"/>
    <cellStyle name="Hed Side Regular 2 2 8 8 2" xfId="19304" xr:uid="{00000000-0005-0000-0000-0000F0520000}"/>
    <cellStyle name="Hed Side Regular 2 2 8 9" xfId="19305" xr:uid="{00000000-0005-0000-0000-0000F1520000}"/>
    <cellStyle name="Hed Side Regular 2 2 8 9 2" xfId="19306" xr:uid="{00000000-0005-0000-0000-0000F2520000}"/>
    <cellStyle name="Hed Side Regular 2 2 9" xfId="19307" xr:uid="{00000000-0005-0000-0000-0000F3520000}"/>
    <cellStyle name="Hed Side Regular 2 2 9 10" xfId="19308" xr:uid="{00000000-0005-0000-0000-0000F4520000}"/>
    <cellStyle name="Hed Side Regular 2 2 9 2" xfId="19309" xr:uid="{00000000-0005-0000-0000-0000F5520000}"/>
    <cellStyle name="Hed Side Regular 2 2 9 2 2" xfId="19310" xr:uid="{00000000-0005-0000-0000-0000F6520000}"/>
    <cellStyle name="Hed Side Regular 2 2 9 3" xfId="19311" xr:uid="{00000000-0005-0000-0000-0000F7520000}"/>
    <cellStyle name="Hed Side Regular 2 2 9 3 2" xfId="19312" xr:uid="{00000000-0005-0000-0000-0000F8520000}"/>
    <cellStyle name="Hed Side Regular 2 2 9 4" xfId="19313" xr:uid="{00000000-0005-0000-0000-0000F9520000}"/>
    <cellStyle name="Hed Side Regular 2 2 9 4 2" xfId="19314" xr:uid="{00000000-0005-0000-0000-0000FA520000}"/>
    <cellStyle name="Hed Side Regular 2 2 9 5" xfId="19315" xr:uid="{00000000-0005-0000-0000-0000FB520000}"/>
    <cellStyle name="Hed Side Regular 2 2 9 5 2" xfId="19316" xr:uid="{00000000-0005-0000-0000-0000FC520000}"/>
    <cellStyle name="Hed Side Regular 2 2 9 6" xfId="19317" xr:uid="{00000000-0005-0000-0000-0000FD520000}"/>
    <cellStyle name="Hed Side Regular 2 2 9 6 2" xfId="19318" xr:uid="{00000000-0005-0000-0000-0000FE520000}"/>
    <cellStyle name="Hed Side Regular 2 2 9 7" xfId="19319" xr:uid="{00000000-0005-0000-0000-0000FF520000}"/>
    <cellStyle name="Hed Side Regular 2 2 9 7 2" xfId="19320" xr:uid="{00000000-0005-0000-0000-000000530000}"/>
    <cellStyle name="Hed Side Regular 2 2 9 8" xfId="19321" xr:uid="{00000000-0005-0000-0000-000001530000}"/>
    <cellStyle name="Hed Side Regular 2 2 9 8 2" xfId="19322" xr:uid="{00000000-0005-0000-0000-000002530000}"/>
    <cellStyle name="Hed Side Regular 2 2 9 9" xfId="19323" xr:uid="{00000000-0005-0000-0000-000003530000}"/>
    <cellStyle name="Hed Side Regular 2 2 9 9 2" xfId="19324" xr:uid="{00000000-0005-0000-0000-000004530000}"/>
    <cellStyle name="Hed Side Regular 2 3" xfId="19325" xr:uid="{00000000-0005-0000-0000-000005530000}"/>
    <cellStyle name="Hed Side Regular 2 3 10" xfId="19326" xr:uid="{00000000-0005-0000-0000-000006530000}"/>
    <cellStyle name="Hed Side Regular 2 3 10 10" xfId="19327" xr:uid="{00000000-0005-0000-0000-000007530000}"/>
    <cellStyle name="Hed Side Regular 2 3 10 2" xfId="19328" xr:uid="{00000000-0005-0000-0000-000008530000}"/>
    <cellStyle name="Hed Side Regular 2 3 10 2 2" xfId="19329" xr:uid="{00000000-0005-0000-0000-000009530000}"/>
    <cellStyle name="Hed Side Regular 2 3 10 3" xfId="19330" xr:uid="{00000000-0005-0000-0000-00000A530000}"/>
    <cellStyle name="Hed Side Regular 2 3 10 3 2" xfId="19331" xr:uid="{00000000-0005-0000-0000-00000B530000}"/>
    <cellStyle name="Hed Side Regular 2 3 10 4" xfId="19332" xr:uid="{00000000-0005-0000-0000-00000C530000}"/>
    <cellStyle name="Hed Side Regular 2 3 10 4 2" xfId="19333" xr:uid="{00000000-0005-0000-0000-00000D530000}"/>
    <cellStyle name="Hed Side Regular 2 3 10 5" xfId="19334" xr:uid="{00000000-0005-0000-0000-00000E530000}"/>
    <cellStyle name="Hed Side Regular 2 3 10 5 2" xfId="19335" xr:uid="{00000000-0005-0000-0000-00000F530000}"/>
    <cellStyle name="Hed Side Regular 2 3 10 6" xfId="19336" xr:uid="{00000000-0005-0000-0000-000010530000}"/>
    <cellStyle name="Hed Side Regular 2 3 10 6 2" xfId="19337" xr:uid="{00000000-0005-0000-0000-000011530000}"/>
    <cellStyle name="Hed Side Regular 2 3 10 7" xfId="19338" xr:uid="{00000000-0005-0000-0000-000012530000}"/>
    <cellStyle name="Hed Side Regular 2 3 10 7 2" xfId="19339" xr:uid="{00000000-0005-0000-0000-000013530000}"/>
    <cellStyle name="Hed Side Regular 2 3 10 8" xfId="19340" xr:uid="{00000000-0005-0000-0000-000014530000}"/>
    <cellStyle name="Hed Side Regular 2 3 10 8 2" xfId="19341" xr:uid="{00000000-0005-0000-0000-000015530000}"/>
    <cellStyle name="Hed Side Regular 2 3 10 9" xfId="19342" xr:uid="{00000000-0005-0000-0000-000016530000}"/>
    <cellStyle name="Hed Side Regular 2 3 10 9 2" xfId="19343" xr:uid="{00000000-0005-0000-0000-000017530000}"/>
    <cellStyle name="Hed Side Regular 2 3 11" xfId="19344" xr:uid="{00000000-0005-0000-0000-000018530000}"/>
    <cellStyle name="Hed Side Regular 2 3 11 2" xfId="19345" xr:uid="{00000000-0005-0000-0000-000019530000}"/>
    <cellStyle name="Hed Side Regular 2 3 11 2 2" xfId="19346" xr:uid="{00000000-0005-0000-0000-00001A530000}"/>
    <cellStyle name="Hed Side Regular 2 3 11 3" xfId="19347" xr:uid="{00000000-0005-0000-0000-00001B530000}"/>
    <cellStyle name="Hed Side Regular 2 3 11 3 2" xfId="19348" xr:uid="{00000000-0005-0000-0000-00001C530000}"/>
    <cellStyle name="Hed Side Regular 2 3 11 4" xfId="19349" xr:uid="{00000000-0005-0000-0000-00001D530000}"/>
    <cellStyle name="Hed Side Regular 2 3 11 4 2" xfId="19350" xr:uid="{00000000-0005-0000-0000-00001E530000}"/>
    <cellStyle name="Hed Side Regular 2 3 11 5" xfId="19351" xr:uid="{00000000-0005-0000-0000-00001F530000}"/>
    <cellStyle name="Hed Side Regular 2 3 11 5 2" xfId="19352" xr:uid="{00000000-0005-0000-0000-000020530000}"/>
    <cellStyle name="Hed Side Regular 2 3 11 6" xfId="19353" xr:uid="{00000000-0005-0000-0000-000021530000}"/>
    <cellStyle name="Hed Side Regular 2 3 11 6 2" xfId="19354" xr:uid="{00000000-0005-0000-0000-000022530000}"/>
    <cellStyle name="Hed Side Regular 2 3 11 7" xfId="19355" xr:uid="{00000000-0005-0000-0000-000023530000}"/>
    <cellStyle name="Hed Side Regular 2 3 11 7 2" xfId="19356" xr:uid="{00000000-0005-0000-0000-000024530000}"/>
    <cellStyle name="Hed Side Regular 2 3 11 8" xfId="19357" xr:uid="{00000000-0005-0000-0000-000025530000}"/>
    <cellStyle name="Hed Side Regular 2 3 11 8 2" xfId="19358" xr:uid="{00000000-0005-0000-0000-000026530000}"/>
    <cellStyle name="Hed Side Regular 2 3 11 9" xfId="19359" xr:uid="{00000000-0005-0000-0000-000027530000}"/>
    <cellStyle name="Hed Side Regular 2 3 2" xfId="19360" xr:uid="{00000000-0005-0000-0000-000028530000}"/>
    <cellStyle name="Hed Side Regular 2 3 2 10" xfId="19361" xr:uid="{00000000-0005-0000-0000-000029530000}"/>
    <cellStyle name="Hed Side Regular 2 3 2 2" xfId="19362" xr:uid="{00000000-0005-0000-0000-00002A530000}"/>
    <cellStyle name="Hed Side Regular 2 3 2 2 2" xfId="19363" xr:uid="{00000000-0005-0000-0000-00002B530000}"/>
    <cellStyle name="Hed Side Regular 2 3 2 3" xfId="19364" xr:uid="{00000000-0005-0000-0000-00002C530000}"/>
    <cellStyle name="Hed Side Regular 2 3 2 3 2" xfId="19365" xr:uid="{00000000-0005-0000-0000-00002D530000}"/>
    <cellStyle name="Hed Side Regular 2 3 2 4" xfId="19366" xr:uid="{00000000-0005-0000-0000-00002E530000}"/>
    <cellStyle name="Hed Side Regular 2 3 2 4 2" xfId="19367" xr:uid="{00000000-0005-0000-0000-00002F530000}"/>
    <cellStyle name="Hed Side Regular 2 3 2 5" xfId="19368" xr:uid="{00000000-0005-0000-0000-000030530000}"/>
    <cellStyle name="Hed Side Regular 2 3 2 5 2" xfId="19369" xr:uid="{00000000-0005-0000-0000-000031530000}"/>
    <cellStyle name="Hed Side Regular 2 3 2 6" xfId="19370" xr:uid="{00000000-0005-0000-0000-000032530000}"/>
    <cellStyle name="Hed Side Regular 2 3 2 6 2" xfId="19371" xr:uid="{00000000-0005-0000-0000-000033530000}"/>
    <cellStyle name="Hed Side Regular 2 3 2 7" xfId="19372" xr:uid="{00000000-0005-0000-0000-000034530000}"/>
    <cellStyle name="Hed Side Regular 2 3 2 7 2" xfId="19373" xr:uid="{00000000-0005-0000-0000-000035530000}"/>
    <cellStyle name="Hed Side Regular 2 3 2 8" xfId="19374" xr:uid="{00000000-0005-0000-0000-000036530000}"/>
    <cellStyle name="Hed Side Regular 2 3 2 8 2" xfId="19375" xr:uid="{00000000-0005-0000-0000-000037530000}"/>
    <cellStyle name="Hed Side Regular 2 3 2 9" xfId="19376" xr:uid="{00000000-0005-0000-0000-000038530000}"/>
    <cellStyle name="Hed Side Regular 2 3 2 9 2" xfId="19377" xr:uid="{00000000-0005-0000-0000-000039530000}"/>
    <cellStyle name="Hed Side Regular 2 3 3" xfId="19378" xr:uid="{00000000-0005-0000-0000-00003A530000}"/>
    <cellStyle name="Hed Side Regular 2 3 3 10" xfId="19379" xr:uid="{00000000-0005-0000-0000-00003B530000}"/>
    <cellStyle name="Hed Side Regular 2 3 3 2" xfId="19380" xr:uid="{00000000-0005-0000-0000-00003C530000}"/>
    <cellStyle name="Hed Side Regular 2 3 3 2 2" xfId="19381" xr:uid="{00000000-0005-0000-0000-00003D530000}"/>
    <cellStyle name="Hed Side Regular 2 3 3 3" xfId="19382" xr:uid="{00000000-0005-0000-0000-00003E530000}"/>
    <cellStyle name="Hed Side Regular 2 3 3 3 2" xfId="19383" xr:uid="{00000000-0005-0000-0000-00003F530000}"/>
    <cellStyle name="Hed Side Regular 2 3 3 4" xfId="19384" xr:uid="{00000000-0005-0000-0000-000040530000}"/>
    <cellStyle name="Hed Side Regular 2 3 3 4 2" xfId="19385" xr:uid="{00000000-0005-0000-0000-000041530000}"/>
    <cellStyle name="Hed Side Regular 2 3 3 5" xfId="19386" xr:uid="{00000000-0005-0000-0000-000042530000}"/>
    <cellStyle name="Hed Side Regular 2 3 3 5 2" xfId="19387" xr:uid="{00000000-0005-0000-0000-000043530000}"/>
    <cellStyle name="Hed Side Regular 2 3 3 6" xfId="19388" xr:uid="{00000000-0005-0000-0000-000044530000}"/>
    <cellStyle name="Hed Side Regular 2 3 3 6 2" xfId="19389" xr:uid="{00000000-0005-0000-0000-000045530000}"/>
    <cellStyle name="Hed Side Regular 2 3 3 7" xfId="19390" xr:uid="{00000000-0005-0000-0000-000046530000}"/>
    <cellStyle name="Hed Side Regular 2 3 3 7 2" xfId="19391" xr:uid="{00000000-0005-0000-0000-000047530000}"/>
    <cellStyle name="Hed Side Regular 2 3 3 8" xfId="19392" xr:uid="{00000000-0005-0000-0000-000048530000}"/>
    <cellStyle name="Hed Side Regular 2 3 3 8 2" xfId="19393" xr:uid="{00000000-0005-0000-0000-000049530000}"/>
    <cellStyle name="Hed Side Regular 2 3 3 9" xfId="19394" xr:uid="{00000000-0005-0000-0000-00004A530000}"/>
    <cellStyle name="Hed Side Regular 2 3 3 9 2" xfId="19395" xr:uid="{00000000-0005-0000-0000-00004B530000}"/>
    <cellStyle name="Hed Side Regular 2 3 4" xfId="19396" xr:uid="{00000000-0005-0000-0000-00004C530000}"/>
    <cellStyle name="Hed Side Regular 2 3 4 10" xfId="19397" xr:uid="{00000000-0005-0000-0000-00004D530000}"/>
    <cellStyle name="Hed Side Regular 2 3 4 2" xfId="19398" xr:uid="{00000000-0005-0000-0000-00004E530000}"/>
    <cellStyle name="Hed Side Regular 2 3 4 2 2" xfId="19399" xr:uid="{00000000-0005-0000-0000-00004F530000}"/>
    <cellStyle name="Hed Side Regular 2 3 4 3" xfId="19400" xr:uid="{00000000-0005-0000-0000-000050530000}"/>
    <cellStyle name="Hed Side Regular 2 3 4 3 2" xfId="19401" xr:uid="{00000000-0005-0000-0000-000051530000}"/>
    <cellStyle name="Hed Side Regular 2 3 4 4" xfId="19402" xr:uid="{00000000-0005-0000-0000-000052530000}"/>
    <cellStyle name="Hed Side Regular 2 3 4 4 2" xfId="19403" xr:uid="{00000000-0005-0000-0000-000053530000}"/>
    <cellStyle name="Hed Side Regular 2 3 4 5" xfId="19404" xr:uid="{00000000-0005-0000-0000-000054530000}"/>
    <cellStyle name="Hed Side Regular 2 3 4 5 2" xfId="19405" xr:uid="{00000000-0005-0000-0000-000055530000}"/>
    <cellStyle name="Hed Side Regular 2 3 4 6" xfId="19406" xr:uid="{00000000-0005-0000-0000-000056530000}"/>
    <cellStyle name="Hed Side Regular 2 3 4 6 2" xfId="19407" xr:uid="{00000000-0005-0000-0000-000057530000}"/>
    <cellStyle name="Hed Side Regular 2 3 4 7" xfId="19408" xr:uid="{00000000-0005-0000-0000-000058530000}"/>
    <cellStyle name="Hed Side Regular 2 3 4 7 2" xfId="19409" xr:uid="{00000000-0005-0000-0000-000059530000}"/>
    <cellStyle name="Hed Side Regular 2 3 4 8" xfId="19410" xr:uid="{00000000-0005-0000-0000-00005A530000}"/>
    <cellStyle name="Hed Side Regular 2 3 4 8 2" xfId="19411" xr:uid="{00000000-0005-0000-0000-00005B530000}"/>
    <cellStyle name="Hed Side Regular 2 3 4 9" xfId="19412" xr:uid="{00000000-0005-0000-0000-00005C530000}"/>
    <cellStyle name="Hed Side Regular 2 3 4 9 2" xfId="19413" xr:uid="{00000000-0005-0000-0000-00005D530000}"/>
    <cellStyle name="Hed Side Regular 2 3 5" xfId="19414" xr:uid="{00000000-0005-0000-0000-00005E530000}"/>
    <cellStyle name="Hed Side Regular 2 3 5 10" xfId="19415" xr:uid="{00000000-0005-0000-0000-00005F530000}"/>
    <cellStyle name="Hed Side Regular 2 3 5 2" xfId="19416" xr:uid="{00000000-0005-0000-0000-000060530000}"/>
    <cellStyle name="Hed Side Regular 2 3 5 2 2" xfId="19417" xr:uid="{00000000-0005-0000-0000-000061530000}"/>
    <cellStyle name="Hed Side Regular 2 3 5 3" xfId="19418" xr:uid="{00000000-0005-0000-0000-000062530000}"/>
    <cellStyle name="Hed Side Regular 2 3 5 3 2" xfId="19419" xr:uid="{00000000-0005-0000-0000-000063530000}"/>
    <cellStyle name="Hed Side Regular 2 3 5 4" xfId="19420" xr:uid="{00000000-0005-0000-0000-000064530000}"/>
    <cellStyle name="Hed Side Regular 2 3 5 4 2" xfId="19421" xr:uid="{00000000-0005-0000-0000-000065530000}"/>
    <cellStyle name="Hed Side Regular 2 3 5 5" xfId="19422" xr:uid="{00000000-0005-0000-0000-000066530000}"/>
    <cellStyle name="Hed Side Regular 2 3 5 5 2" xfId="19423" xr:uid="{00000000-0005-0000-0000-000067530000}"/>
    <cellStyle name="Hed Side Regular 2 3 5 6" xfId="19424" xr:uid="{00000000-0005-0000-0000-000068530000}"/>
    <cellStyle name="Hed Side Regular 2 3 5 6 2" xfId="19425" xr:uid="{00000000-0005-0000-0000-000069530000}"/>
    <cellStyle name="Hed Side Regular 2 3 5 7" xfId="19426" xr:uid="{00000000-0005-0000-0000-00006A530000}"/>
    <cellStyle name="Hed Side Regular 2 3 5 7 2" xfId="19427" xr:uid="{00000000-0005-0000-0000-00006B530000}"/>
    <cellStyle name="Hed Side Regular 2 3 5 8" xfId="19428" xr:uid="{00000000-0005-0000-0000-00006C530000}"/>
    <cellStyle name="Hed Side Regular 2 3 5 8 2" xfId="19429" xr:uid="{00000000-0005-0000-0000-00006D530000}"/>
    <cellStyle name="Hed Side Regular 2 3 5 9" xfId="19430" xr:uid="{00000000-0005-0000-0000-00006E530000}"/>
    <cellStyle name="Hed Side Regular 2 3 5 9 2" xfId="19431" xr:uid="{00000000-0005-0000-0000-00006F530000}"/>
    <cellStyle name="Hed Side Regular 2 3 6" xfId="19432" xr:uid="{00000000-0005-0000-0000-000070530000}"/>
    <cellStyle name="Hed Side Regular 2 3 6 10" xfId="19433" xr:uid="{00000000-0005-0000-0000-000071530000}"/>
    <cellStyle name="Hed Side Regular 2 3 6 2" xfId="19434" xr:uid="{00000000-0005-0000-0000-000072530000}"/>
    <cellStyle name="Hed Side Regular 2 3 6 2 2" xfId="19435" xr:uid="{00000000-0005-0000-0000-000073530000}"/>
    <cellStyle name="Hed Side Regular 2 3 6 3" xfId="19436" xr:uid="{00000000-0005-0000-0000-000074530000}"/>
    <cellStyle name="Hed Side Regular 2 3 6 3 2" xfId="19437" xr:uid="{00000000-0005-0000-0000-000075530000}"/>
    <cellStyle name="Hed Side Regular 2 3 6 4" xfId="19438" xr:uid="{00000000-0005-0000-0000-000076530000}"/>
    <cellStyle name="Hed Side Regular 2 3 6 4 2" xfId="19439" xr:uid="{00000000-0005-0000-0000-000077530000}"/>
    <cellStyle name="Hed Side Regular 2 3 6 5" xfId="19440" xr:uid="{00000000-0005-0000-0000-000078530000}"/>
    <cellStyle name="Hed Side Regular 2 3 6 5 2" xfId="19441" xr:uid="{00000000-0005-0000-0000-000079530000}"/>
    <cellStyle name="Hed Side Regular 2 3 6 6" xfId="19442" xr:uid="{00000000-0005-0000-0000-00007A530000}"/>
    <cellStyle name="Hed Side Regular 2 3 6 6 2" xfId="19443" xr:uid="{00000000-0005-0000-0000-00007B530000}"/>
    <cellStyle name="Hed Side Regular 2 3 6 7" xfId="19444" xr:uid="{00000000-0005-0000-0000-00007C530000}"/>
    <cellStyle name="Hed Side Regular 2 3 6 7 2" xfId="19445" xr:uid="{00000000-0005-0000-0000-00007D530000}"/>
    <cellStyle name="Hed Side Regular 2 3 6 8" xfId="19446" xr:uid="{00000000-0005-0000-0000-00007E530000}"/>
    <cellStyle name="Hed Side Regular 2 3 6 8 2" xfId="19447" xr:uid="{00000000-0005-0000-0000-00007F530000}"/>
    <cellStyle name="Hed Side Regular 2 3 6 9" xfId="19448" xr:uid="{00000000-0005-0000-0000-000080530000}"/>
    <cellStyle name="Hed Side Regular 2 3 6 9 2" xfId="19449" xr:uid="{00000000-0005-0000-0000-000081530000}"/>
    <cellStyle name="Hed Side Regular 2 3 7" xfId="19450" xr:uid="{00000000-0005-0000-0000-000082530000}"/>
    <cellStyle name="Hed Side Regular 2 3 7 10" xfId="19451" xr:uid="{00000000-0005-0000-0000-000083530000}"/>
    <cellStyle name="Hed Side Regular 2 3 7 2" xfId="19452" xr:uid="{00000000-0005-0000-0000-000084530000}"/>
    <cellStyle name="Hed Side Regular 2 3 7 2 2" xfId="19453" xr:uid="{00000000-0005-0000-0000-000085530000}"/>
    <cellStyle name="Hed Side Regular 2 3 7 3" xfId="19454" xr:uid="{00000000-0005-0000-0000-000086530000}"/>
    <cellStyle name="Hed Side Regular 2 3 7 3 2" xfId="19455" xr:uid="{00000000-0005-0000-0000-000087530000}"/>
    <cellStyle name="Hed Side Regular 2 3 7 4" xfId="19456" xr:uid="{00000000-0005-0000-0000-000088530000}"/>
    <cellStyle name="Hed Side Regular 2 3 7 4 2" xfId="19457" xr:uid="{00000000-0005-0000-0000-000089530000}"/>
    <cellStyle name="Hed Side Regular 2 3 7 5" xfId="19458" xr:uid="{00000000-0005-0000-0000-00008A530000}"/>
    <cellStyle name="Hed Side Regular 2 3 7 5 2" xfId="19459" xr:uid="{00000000-0005-0000-0000-00008B530000}"/>
    <cellStyle name="Hed Side Regular 2 3 7 6" xfId="19460" xr:uid="{00000000-0005-0000-0000-00008C530000}"/>
    <cellStyle name="Hed Side Regular 2 3 7 6 2" xfId="19461" xr:uid="{00000000-0005-0000-0000-00008D530000}"/>
    <cellStyle name="Hed Side Regular 2 3 7 7" xfId="19462" xr:uid="{00000000-0005-0000-0000-00008E530000}"/>
    <cellStyle name="Hed Side Regular 2 3 7 7 2" xfId="19463" xr:uid="{00000000-0005-0000-0000-00008F530000}"/>
    <cellStyle name="Hed Side Regular 2 3 7 8" xfId="19464" xr:uid="{00000000-0005-0000-0000-000090530000}"/>
    <cellStyle name="Hed Side Regular 2 3 7 8 2" xfId="19465" xr:uid="{00000000-0005-0000-0000-000091530000}"/>
    <cellStyle name="Hed Side Regular 2 3 7 9" xfId="19466" xr:uid="{00000000-0005-0000-0000-000092530000}"/>
    <cellStyle name="Hed Side Regular 2 3 7 9 2" xfId="19467" xr:uid="{00000000-0005-0000-0000-000093530000}"/>
    <cellStyle name="Hed Side Regular 2 3 8" xfId="19468" xr:uid="{00000000-0005-0000-0000-000094530000}"/>
    <cellStyle name="Hed Side Regular 2 3 8 10" xfId="19469" xr:uid="{00000000-0005-0000-0000-000095530000}"/>
    <cellStyle name="Hed Side Regular 2 3 8 2" xfId="19470" xr:uid="{00000000-0005-0000-0000-000096530000}"/>
    <cellStyle name="Hed Side Regular 2 3 8 2 2" xfId="19471" xr:uid="{00000000-0005-0000-0000-000097530000}"/>
    <cellStyle name="Hed Side Regular 2 3 8 3" xfId="19472" xr:uid="{00000000-0005-0000-0000-000098530000}"/>
    <cellStyle name="Hed Side Regular 2 3 8 3 2" xfId="19473" xr:uid="{00000000-0005-0000-0000-000099530000}"/>
    <cellStyle name="Hed Side Regular 2 3 8 4" xfId="19474" xr:uid="{00000000-0005-0000-0000-00009A530000}"/>
    <cellStyle name="Hed Side Regular 2 3 8 4 2" xfId="19475" xr:uid="{00000000-0005-0000-0000-00009B530000}"/>
    <cellStyle name="Hed Side Regular 2 3 8 5" xfId="19476" xr:uid="{00000000-0005-0000-0000-00009C530000}"/>
    <cellStyle name="Hed Side Regular 2 3 8 5 2" xfId="19477" xr:uid="{00000000-0005-0000-0000-00009D530000}"/>
    <cellStyle name="Hed Side Regular 2 3 8 6" xfId="19478" xr:uid="{00000000-0005-0000-0000-00009E530000}"/>
    <cellStyle name="Hed Side Regular 2 3 8 6 2" xfId="19479" xr:uid="{00000000-0005-0000-0000-00009F530000}"/>
    <cellStyle name="Hed Side Regular 2 3 8 7" xfId="19480" xr:uid="{00000000-0005-0000-0000-0000A0530000}"/>
    <cellStyle name="Hed Side Regular 2 3 8 7 2" xfId="19481" xr:uid="{00000000-0005-0000-0000-0000A1530000}"/>
    <cellStyle name="Hed Side Regular 2 3 8 8" xfId="19482" xr:uid="{00000000-0005-0000-0000-0000A2530000}"/>
    <cellStyle name="Hed Side Regular 2 3 8 8 2" xfId="19483" xr:uid="{00000000-0005-0000-0000-0000A3530000}"/>
    <cellStyle name="Hed Side Regular 2 3 8 9" xfId="19484" xr:uid="{00000000-0005-0000-0000-0000A4530000}"/>
    <cellStyle name="Hed Side Regular 2 3 8 9 2" xfId="19485" xr:uid="{00000000-0005-0000-0000-0000A5530000}"/>
    <cellStyle name="Hed Side Regular 2 3 9" xfId="19486" xr:uid="{00000000-0005-0000-0000-0000A6530000}"/>
    <cellStyle name="Hed Side Regular 2 3 9 10" xfId="19487" xr:uid="{00000000-0005-0000-0000-0000A7530000}"/>
    <cellStyle name="Hed Side Regular 2 3 9 2" xfId="19488" xr:uid="{00000000-0005-0000-0000-0000A8530000}"/>
    <cellStyle name="Hed Side Regular 2 3 9 2 2" xfId="19489" xr:uid="{00000000-0005-0000-0000-0000A9530000}"/>
    <cellStyle name="Hed Side Regular 2 3 9 3" xfId="19490" xr:uid="{00000000-0005-0000-0000-0000AA530000}"/>
    <cellStyle name="Hed Side Regular 2 3 9 3 2" xfId="19491" xr:uid="{00000000-0005-0000-0000-0000AB530000}"/>
    <cellStyle name="Hed Side Regular 2 3 9 4" xfId="19492" xr:uid="{00000000-0005-0000-0000-0000AC530000}"/>
    <cellStyle name="Hed Side Regular 2 3 9 4 2" xfId="19493" xr:uid="{00000000-0005-0000-0000-0000AD530000}"/>
    <cellStyle name="Hed Side Regular 2 3 9 5" xfId="19494" xr:uid="{00000000-0005-0000-0000-0000AE530000}"/>
    <cellStyle name="Hed Side Regular 2 3 9 5 2" xfId="19495" xr:uid="{00000000-0005-0000-0000-0000AF530000}"/>
    <cellStyle name="Hed Side Regular 2 3 9 6" xfId="19496" xr:uid="{00000000-0005-0000-0000-0000B0530000}"/>
    <cellStyle name="Hed Side Regular 2 3 9 6 2" xfId="19497" xr:uid="{00000000-0005-0000-0000-0000B1530000}"/>
    <cellStyle name="Hed Side Regular 2 3 9 7" xfId="19498" xr:uid="{00000000-0005-0000-0000-0000B2530000}"/>
    <cellStyle name="Hed Side Regular 2 3 9 7 2" xfId="19499" xr:uid="{00000000-0005-0000-0000-0000B3530000}"/>
    <cellStyle name="Hed Side Regular 2 3 9 8" xfId="19500" xr:uid="{00000000-0005-0000-0000-0000B4530000}"/>
    <cellStyle name="Hed Side Regular 2 3 9 8 2" xfId="19501" xr:uid="{00000000-0005-0000-0000-0000B5530000}"/>
    <cellStyle name="Hed Side Regular 2 3 9 9" xfId="19502" xr:uid="{00000000-0005-0000-0000-0000B6530000}"/>
    <cellStyle name="Hed Side Regular 2 3 9 9 2" xfId="19503" xr:uid="{00000000-0005-0000-0000-0000B7530000}"/>
    <cellStyle name="Hed Side Regular 2 4" xfId="19504" xr:uid="{00000000-0005-0000-0000-0000B8530000}"/>
    <cellStyle name="Hed Side Regular 2 4 10" xfId="19505" xr:uid="{00000000-0005-0000-0000-0000B9530000}"/>
    <cellStyle name="Hed Side Regular 2 4 10 2" xfId="19506" xr:uid="{00000000-0005-0000-0000-0000BA530000}"/>
    <cellStyle name="Hed Side Regular 2 4 10 2 2" xfId="19507" xr:uid="{00000000-0005-0000-0000-0000BB530000}"/>
    <cellStyle name="Hed Side Regular 2 4 10 3" xfId="19508" xr:uid="{00000000-0005-0000-0000-0000BC530000}"/>
    <cellStyle name="Hed Side Regular 2 4 10 3 2" xfId="19509" xr:uid="{00000000-0005-0000-0000-0000BD530000}"/>
    <cellStyle name="Hed Side Regular 2 4 10 4" xfId="19510" xr:uid="{00000000-0005-0000-0000-0000BE530000}"/>
    <cellStyle name="Hed Side Regular 2 4 10 4 2" xfId="19511" xr:uid="{00000000-0005-0000-0000-0000BF530000}"/>
    <cellStyle name="Hed Side Regular 2 4 10 5" xfId="19512" xr:uid="{00000000-0005-0000-0000-0000C0530000}"/>
    <cellStyle name="Hed Side Regular 2 4 10 5 2" xfId="19513" xr:uid="{00000000-0005-0000-0000-0000C1530000}"/>
    <cellStyle name="Hed Side Regular 2 4 10 6" xfId="19514" xr:uid="{00000000-0005-0000-0000-0000C2530000}"/>
    <cellStyle name="Hed Side Regular 2 4 10 6 2" xfId="19515" xr:uid="{00000000-0005-0000-0000-0000C3530000}"/>
    <cellStyle name="Hed Side Regular 2 4 10 7" xfId="19516" xr:uid="{00000000-0005-0000-0000-0000C4530000}"/>
    <cellStyle name="Hed Side Regular 2 4 10 7 2" xfId="19517" xr:uid="{00000000-0005-0000-0000-0000C5530000}"/>
    <cellStyle name="Hed Side Regular 2 4 10 8" xfId="19518" xr:uid="{00000000-0005-0000-0000-0000C6530000}"/>
    <cellStyle name="Hed Side Regular 2 4 10 8 2" xfId="19519" xr:uid="{00000000-0005-0000-0000-0000C7530000}"/>
    <cellStyle name="Hed Side Regular 2 4 10 9" xfId="19520" xr:uid="{00000000-0005-0000-0000-0000C8530000}"/>
    <cellStyle name="Hed Side Regular 2 4 11" xfId="19521" xr:uid="{00000000-0005-0000-0000-0000C9530000}"/>
    <cellStyle name="Hed Side Regular 2 4 11 2" xfId="19522" xr:uid="{00000000-0005-0000-0000-0000CA530000}"/>
    <cellStyle name="Hed Side Regular 2 4 12" xfId="19523" xr:uid="{00000000-0005-0000-0000-0000CB530000}"/>
    <cellStyle name="Hed Side Regular 2 4 12 2" xfId="19524" xr:uid="{00000000-0005-0000-0000-0000CC530000}"/>
    <cellStyle name="Hed Side Regular 2 4 13" xfId="19525" xr:uid="{00000000-0005-0000-0000-0000CD530000}"/>
    <cellStyle name="Hed Side Regular 2 4 13 2" xfId="19526" xr:uid="{00000000-0005-0000-0000-0000CE530000}"/>
    <cellStyle name="Hed Side Regular 2 4 14" xfId="19527" xr:uid="{00000000-0005-0000-0000-0000CF530000}"/>
    <cellStyle name="Hed Side Regular 2 4 14 2" xfId="19528" xr:uid="{00000000-0005-0000-0000-0000D0530000}"/>
    <cellStyle name="Hed Side Regular 2 4 15" xfId="19529" xr:uid="{00000000-0005-0000-0000-0000D1530000}"/>
    <cellStyle name="Hed Side Regular 2 4 15 2" xfId="19530" xr:uid="{00000000-0005-0000-0000-0000D2530000}"/>
    <cellStyle name="Hed Side Regular 2 4 16" xfId="19531" xr:uid="{00000000-0005-0000-0000-0000D3530000}"/>
    <cellStyle name="Hed Side Regular 2 4 16 2" xfId="19532" xr:uid="{00000000-0005-0000-0000-0000D4530000}"/>
    <cellStyle name="Hed Side Regular 2 4 17" xfId="19533" xr:uid="{00000000-0005-0000-0000-0000D5530000}"/>
    <cellStyle name="Hed Side Regular 2 4 17 2" xfId="19534" xr:uid="{00000000-0005-0000-0000-0000D6530000}"/>
    <cellStyle name="Hed Side Regular 2 4 18" xfId="19535" xr:uid="{00000000-0005-0000-0000-0000D7530000}"/>
    <cellStyle name="Hed Side Regular 2 4 2" xfId="19536" xr:uid="{00000000-0005-0000-0000-0000D8530000}"/>
    <cellStyle name="Hed Side Regular 2 4 2 10" xfId="19537" xr:uid="{00000000-0005-0000-0000-0000D9530000}"/>
    <cellStyle name="Hed Side Regular 2 4 2 2" xfId="19538" xr:uid="{00000000-0005-0000-0000-0000DA530000}"/>
    <cellStyle name="Hed Side Regular 2 4 2 2 2" xfId="19539" xr:uid="{00000000-0005-0000-0000-0000DB530000}"/>
    <cellStyle name="Hed Side Regular 2 4 2 3" xfId="19540" xr:uid="{00000000-0005-0000-0000-0000DC530000}"/>
    <cellStyle name="Hed Side Regular 2 4 2 3 2" xfId="19541" xr:uid="{00000000-0005-0000-0000-0000DD530000}"/>
    <cellStyle name="Hed Side Regular 2 4 2 4" xfId="19542" xr:uid="{00000000-0005-0000-0000-0000DE530000}"/>
    <cellStyle name="Hed Side Regular 2 4 2 4 2" xfId="19543" xr:uid="{00000000-0005-0000-0000-0000DF530000}"/>
    <cellStyle name="Hed Side Regular 2 4 2 5" xfId="19544" xr:uid="{00000000-0005-0000-0000-0000E0530000}"/>
    <cellStyle name="Hed Side Regular 2 4 2 5 2" xfId="19545" xr:uid="{00000000-0005-0000-0000-0000E1530000}"/>
    <cellStyle name="Hed Side Regular 2 4 2 6" xfId="19546" xr:uid="{00000000-0005-0000-0000-0000E2530000}"/>
    <cellStyle name="Hed Side Regular 2 4 2 6 2" xfId="19547" xr:uid="{00000000-0005-0000-0000-0000E3530000}"/>
    <cellStyle name="Hed Side Regular 2 4 2 7" xfId="19548" xr:uid="{00000000-0005-0000-0000-0000E4530000}"/>
    <cellStyle name="Hed Side Regular 2 4 2 7 2" xfId="19549" xr:uid="{00000000-0005-0000-0000-0000E5530000}"/>
    <cellStyle name="Hed Side Regular 2 4 2 8" xfId="19550" xr:uid="{00000000-0005-0000-0000-0000E6530000}"/>
    <cellStyle name="Hed Side Regular 2 4 2 8 2" xfId="19551" xr:uid="{00000000-0005-0000-0000-0000E7530000}"/>
    <cellStyle name="Hed Side Regular 2 4 2 9" xfId="19552" xr:uid="{00000000-0005-0000-0000-0000E8530000}"/>
    <cellStyle name="Hed Side Regular 2 4 2 9 2" xfId="19553" xr:uid="{00000000-0005-0000-0000-0000E9530000}"/>
    <cellStyle name="Hed Side Regular 2 4 3" xfId="19554" xr:uid="{00000000-0005-0000-0000-0000EA530000}"/>
    <cellStyle name="Hed Side Regular 2 4 3 10" xfId="19555" xr:uid="{00000000-0005-0000-0000-0000EB530000}"/>
    <cellStyle name="Hed Side Regular 2 4 3 2" xfId="19556" xr:uid="{00000000-0005-0000-0000-0000EC530000}"/>
    <cellStyle name="Hed Side Regular 2 4 3 2 2" xfId="19557" xr:uid="{00000000-0005-0000-0000-0000ED530000}"/>
    <cellStyle name="Hed Side Regular 2 4 3 3" xfId="19558" xr:uid="{00000000-0005-0000-0000-0000EE530000}"/>
    <cellStyle name="Hed Side Regular 2 4 3 3 2" xfId="19559" xr:uid="{00000000-0005-0000-0000-0000EF530000}"/>
    <cellStyle name="Hed Side Regular 2 4 3 4" xfId="19560" xr:uid="{00000000-0005-0000-0000-0000F0530000}"/>
    <cellStyle name="Hed Side Regular 2 4 3 4 2" xfId="19561" xr:uid="{00000000-0005-0000-0000-0000F1530000}"/>
    <cellStyle name="Hed Side Regular 2 4 3 5" xfId="19562" xr:uid="{00000000-0005-0000-0000-0000F2530000}"/>
    <cellStyle name="Hed Side Regular 2 4 3 5 2" xfId="19563" xr:uid="{00000000-0005-0000-0000-0000F3530000}"/>
    <cellStyle name="Hed Side Regular 2 4 3 6" xfId="19564" xr:uid="{00000000-0005-0000-0000-0000F4530000}"/>
    <cellStyle name="Hed Side Regular 2 4 3 6 2" xfId="19565" xr:uid="{00000000-0005-0000-0000-0000F5530000}"/>
    <cellStyle name="Hed Side Regular 2 4 3 7" xfId="19566" xr:uid="{00000000-0005-0000-0000-0000F6530000}"/>
    <cellStyle name="Hed Side Regular 2 4 3 7 2" xfId="19567" xr:uid="{00000000-0005-0000-0000-0000F7530000}"/>
    <cellStyle name="Hed Side Regular 2 4 3 8" xfId="19568" xr:uid="{00000000-0005-0000-0000-0000F8530000}"/>
    <cellStyle name="Hed Side Regular 2 4 3 8 2" xfId="19569" xr:uid="{00000000-0005-0000-0000-0000F9530000}"/>
    <cellStyle name="Hed Side Regular 2 4 3 9" xfId="19570" xr:uid="{00000000-0005-0000-0000-0000FA530000}"/>
    <cellStyle name="Hed Side Regular 2 4 3 9 2" xfId="19571" xr:uid="{00000000-0005-0000-0000-0000FB530000}"/>
    <cellStyle name="Hed Side Regular 2 4 4" xfId="19572" xr:uid="{00000000-0005-0000-0000-0000FC530000}"/>
    <cellStyle name="Hed Side Regular 2 4 4 10" xfId="19573" xr:uid="{00000000-0005-0000-0000-0000FD530000}"/>
    <cellStyle name="Hed Side Regular 2 4 4 2" xfId="19574" xr:uid="{00000000-0005-0000-0000-0000FE530000}"/>
    <cellStyle name="Hed Side Regular 2 4 4 2 2" xfId="19575" xr:uid="{00000000-0005-0000-0000-0000FF530000}"/>
    <cellStyle name="Hed Side Regular 2 4 4 3" xfId="19576" xr:uid="{00000000-0005-0000-0000-000000540000}"/>
    <cellStyle name="Hed Side Regular 2 4 4 3 2" xfId="19577" xr:uid="{00000000-0005-0000-0000-000001540000}"/>
    <cellStyle name="Hed Side Regular 2 4 4 4" xfId="19578" xr:uid="{00000000-0005-0000-0000-000002540000}"/>
    <cellStyle name="Hed Side Regular 2 4 4 4 2" xfId="19579" xr:uid="{00000000-0005-0000-0000-000003540000}"/>
    <cellStyle name="Hed Side Regular 2 4 4 5" xfId="19580" xr:uid="{00000000-0005-0000-0000-000004540000}"/>
    <cellStyle name="Hed Side Regular 2 4 4 5 2" xfId="19581" xr:uid="{00000000-0005-0000-0000-000005540000}"/>
    <cellStyle name="Hed Side Regular 2 4 4 6" xfId="19582" xr:uid="{00000000-0005-0000-0000-000006540000}"/>
    <cellStyle name="Hed Side Regular 2 4 4 6 2" xfId="19583" xr:uid="{00000000-0005-0000-0000-000007540000}"/>
    <cellStyle name="Hed Side Regular 2 4 4 7" xfId="19584" xr:uid="{00000000-0005-0000-0000-000008540000}"/>
    <cellStyle name="Hed Side Regular 2 4 4 7 2" xfId="19585" xr:uid="{00000000-0005-0000-0000-000009540000}"/>
    <cellStyle name="Hed Side Regular 2 4 4 8" xfId="19586" xr:uid="{00000000-0005-0000-0000-00000A540000}"/>
    <cellStyle name="Hed Side Regular 2 4 4 8 2" xfId="19587" xr:uid="{00000000-0005-0000-0000-00000B540000}"/>
    <cellStyle name="Hed Side Regular 2 4 4 9" xfId="19588" xr:uid="{00000000-0005-0000-0000-00000C540000}"/>
    <cellStyle name="Hed Side Regular 2 4 4 9 2" xfId="19589" xr:uid="{00000000-0005-0000-0000-00000D540000}"/>
    <cellStyle name="Hed Side Regular 2 4 5" xfId="19590" xr:uid="{00000000-0005-0000-0000-00000E540000}"/>
    <cellStyle name="Hed Side Regular 2 4 5 10" xfId="19591" xr:uid="{00000000-0005-0000-0000-00000F540000}"/>
    <cellStyle name="Hed Side Regular 2 4 5 2" xfId="19592" xr:uid="{00000000-0005-0000-0000-000010540000}"/>
    <cellStyle name="Hed Side Regular 2 4 5 2 2" xfId="19593" xr:uid="{00000000-0005-0000-0000-000011540000}"/>
    <cellStyle name="Hed Side Regular 2 4 5 3" xfId="19594" xr:uid="{00000000-0005-0000-0000-000012540000}"/>
    <cellStyle name="Hed Side Regular 2 4 5 3 2" xfId="19595" xr:uid="{00000000-0005-0000-0000-000013540000}"/>
    <cellStyle name="Hed Side Regular 2 4 5 4" xfId="19596" xr:uid="{00000000-0005-0000-0000-000014540000}"/>
    <cellStyle name="Hed Side Regular 2 4 5 4 2" xfId="19597" xr:uid="{00000000-0005-0000-0000-000015540000}"/>
    <cellStyle name="Hed Side Regular 2 4 5 5" xfId="19598" xr:uid="{00000000-0005-0000-0000-000016540000}"/>
    <cellStyle name="Hed Side Regular 2 4 5 5 2" xfId="19599" xr:uid="{00000000-0005-0000-0000-000017540000}"/>
    <cellStyle name="Hed Side Regular 2 4 5 6" xfId="19600" xr:uid="{00000000-0005-0000-0000-000018540000}"/>
    <cellStyle name="Hed Side Regular 2 4 5 6 2" xfId="19601" xr:uid="{00000000-0005-0000-0000-000019540000}"/>
    <cellStyle name="Hed Side Regular 2 4 5 7" xfId="19602" xr:uid="{00000000-0005-0000-0000-00001A540000}"/>
    <cellStyle name="Hed Side Regular 2 4 5 7 2" xfId="19603" xr:uid="{00000000-0005-0000-0000-00001B540000}"/>
    <cellStyle name="Hed Side Regular 2 4 5 8" xfId="19604" xr:uid="{00000000-0005-0000-0000-00001C540000}"/>
    <cellStyle name="Hed Side Regular 2 4 5 8 2" xfId="19605" xr:uid="{00000000-0005-0000-0000-00001D540000}"/>
    <cellStyle name="Hed Side Regular 2 4 5 9" xfId="19606" xr:uid="{00000000-0005-0000-0000-00001E540000}"/>
    <cellStyle name="Hed Side Regular 2 4 5 9 2" xfId="19607" xr:uid="{00000000-0005-0000-0000-00001F540000}"/>
    <cellStyle name="Hed Side Regular 2 4 6" xfId="19608" xr:uid="{00000000-0005-0000-0000-000020540000}"/>
    <cellStyle name="Hed Side Regular 2 4 6 10" xfId="19609" xr:uid="{00000000-0005-0000-0000-000021540000}"/>
    <cellStyle name="Hed Side Regular 2 4 6 2" xfId="19610" xr:uid="{00000000-0005-0000-0000-000022540000}"/>
    <cellStyle name="Hed Side Regular 2 4 6 2 2" xfId="19611" xr:uid="{00000000-0005-0000-0000-000023540000}"/>
    <cellStyle name="Hed Side Regular 2 4 6 3" xfId="19612" xr:uid="{00000000-0005-0000-0000-000024540000}"/>
    <cellStyle name="Hed Side Regular 2 4 6 3 2" xfId="19613" xr:uid="{00000000-0005-0000-0000-000025540000}"/>
    <cellStyle name="Hed Side Regular 2 4 6 4" xfId="19614" xr:uid="{00000000-0005-0000-0000-000026540000}"/>
    <cellStyle name="Hed Side Regular 2 4 6 4 2" xfId="19615" xr:uid="{00000000-0005-0000-0000-000027540000}"/>
    <cellStyle name="Hed Side Regular 2 4 6 5" xfId="19616" xr:uid="{00000000-0005-0000-0000-000028540000}"/>
    <cellStyle name="Hed Side Regular 2 4 6 5 2" xfId="19617" xr:uid="{00000000-0005-0000-0000-000029540000}"/>
    <cellStyle name="Hed Side Regular 2 4 6 6" xfId="19618" xr:uid="{00000000-0005-0000-0000-00002A540000}"/>
    <cellStyle name="Hed Side Regular 2 4 6 6 2" xfId="19619" xr:uid="{00000000-0005-0000-0000-00002B540000}"/>
    <cellStyle name="Hed Side Regular 2 4 6 7" xfId="19620" xr:uid="{00000000-0005-0000-0000-00002C540000}"/>
    <cellStyle name="Hed Side Regular 2 4 6 7 2" xfId="19621" xr:uid="{00000000-0005-0000-0000-00002D540000}"/>
    <cellStyle name="Hed Side Regular 2 4 6 8" xfId="19622" xr:uid="{00000000-0005-0000-0000-00002E540000}"/>
    <cellStyle name="Hed Side Regular 2 4 6 8 2" xfId="19623" xr:uid="{00000000-0005-0000-0000-00002F540000}"/>
    <cellStyle name="Hed Side Regular 2 4 6 9" xfId="19624" xr:uid="{00000000-0005-0000-0000-000030540000}"/>
    <cellStyle name="Hed Side Regular 2 4 6 9 2" xfId="19625" xr:uid="{00000000-0005-0000-0000-000031540000}"/>
    <cellStyle name="Hed Side Regular 2 4 7" xfId="19626" xr:uid="{00000000-0005-0000-0000-000032540000}"/>
    <cellStyle name="Hed Side Regular 2 4 7 10" xfId="19627" xr:uid="{00000000-0005-0000-0000-000033540000}"/>
    <cellStyle name="Hed Side Regular 2 4 7 2" xfId="19628" xr:uid="{00000000-0005-0000-0000-000034540000}"/>
    <cellStyle name="Hed Side Regular 2 4 7 2 2" xfId="19629" xr:uid="{00000000-0005-0000-0000-000035540000}"/>
    <cellStyle name="Hed Side Regular 2 4 7 3" xfId="19630" xr:uid="{00000000-0005-0000-0000-000036540000}"/>
    <cellStyle name="Hed Side Regular 2 4 7 3 2" xfId="19631" xr:uid="{00000000-0005-0000-0000-000037540000}"/>
    <cellStyle name="Hed Side Regular 2 4 7 4" xfId="19632" xr:uid="{00000000-0005-0000-0000-000038540000}"/>
    <cellStyle name="Hed Side Regular 2 4 7 4 2" xfId="19633" xr:uid="{00000000-0005-0000-0000-000039540000}"/>
    <cellStyle name="Hed Side Regular 2 4 7 5" xfId="19634" xr:uid="{00000000-0005-0000-0000-00003A540000}"/>
    <cellStyle name="Hed Side Regular 2 4 7 5 2" xfId="19635" xr:uid="{00000000-0005-0000-0000-00003B540000}"/>
    <cellStyle name="Hed Side Regular 2 4 7 6" xfId="19636" xr:uid="{00000000-0005-0000-0000-00003C540000}"/>
    <cellStyle name="Hed Side Regular 2 4 7 6 2" xfId="19637" xr:uid="{00000000-0005-0000-0000-00003D540000}"/>
    <cellStyle name="Hed Side Regular 2 4 7 7" xfId="19638" xr:uid="{00000000-0005-0000-0000-00003E540000}"/>
    <cellStyle name="Hed Side Regular 2 4 7 7 2" xfId="19639" xr:uid="{00000000-0005-0000-0000-00003F540000}"/>
    <cellStyle name="Hed Side Regular 2 4 7 8" xfId="19640" xr:uid="{00000000-0005-0000-0000-000040540000}"/>
    <cellStyle name="Hed Side Regular 2 4 7 8 2" xfId="19641" xr:uid="{00000000-0005-0000-0000-000041540000}"/>
    <cellStyle name="Hed Side Regular 2 4 7 9" xfId="19642" xr:uid="{00000000-0005-0000-0000-000042540000}"/>
    <cellStyle name="Hed Side Regular 2 4 7 9 2" xfId="19643" xr:uid="{00000000-0005-0000-0000-000043540000}"/>
    <cellStyle name="Hed Side Regular 2 4 8" xfId="19644" xr:uid="{00000000-0005-0000-0000-000044540000}"/>
    <cellStyle name="Hed Side Regular 2 4 8 10" xfId="19645" xr:uid="{00000000-0005-0000-0000-000045540000}"/>
    <cellStyle name="Hed Side Regular 2 4 8 2" xfId="19646" xr:uid="{00000000-0005-0000-0000-000046540000}"/>
    <cellStyle name="Hed Side Regular 2 4 8 2 2" xfId="19647" xr:uid="{00000000-0005-0000-0000-000047540000}"/>
    <cellStyle name="Hed Side Regular 2 4 8 3" xfId="19648" xr:uid="{00000000-0005-0000-0000-000048540000}"/>
    <cellStyle name="Hed Side Regular 2 4 8 3 2" xfId="19649" xr:uid="{00000000-0005-0000-0000-000049540000}"/>
    <cellStyle name="Hed Side Regular 2 4 8 4" xfId="19650" xr:uid="{00000000-0005-0000-0000-00004A540000}"/>
    <cellStyle name="Hed Side Regular 2 4 8 4 2" xfId="19651" xr:uid="{00000000-0005-0000-0000-00004B540000}"/>
    <cellStyle name="Hed Side Regular 2 4 8 5" xfId="19652" xr:uid="{00000000-0005-0000-0000-00004C540000}"/>
    <cellStyle name="Hed Side Regular 2 4 8 5 2" xfId="19653" xr:uid="{00000000-0005-0000-0000-00004D540000}"/>
    <cellStyle name="Hed Side Regular 2 4 8 6" xfId="19654" xr:uid="{00000000-0005-0000-0000-00004E540000}"/>
    <cellStyle name="Hed Side Regular 2 4 8 6 2" xfId="19655" xr:uid="{00000000-0005-0000-0000-00004F540000}"/>
    <cellStyle name="Hed Side Regular 2 4 8 7" xfId="19656" xr:uid="{00000000-0005-0000-0000-000050540000}"/>
    <cellStyle name="Hed Side Regular 2 4 8 7 2" xfId="19657" xr:uid="{00000000-0005-0000-0000-000051540000}"/>
    <cellStyle name="Hed Side Regular 2 4 8 8" xfId="19658" xr:uid="{00000000-0005-0000-0000-000052540000}"/>
    <cellStyle name="Hed Side Regular 2 4 8 8 2" xfId="19659" xr:uid="{00000000-0005-0000-0000-000053540000}"/>
    <cellStyle name="Hed Side Regular 2 4 8 9" xfId="19660" xr:uid="{00000000-0005-0000-0000-000054540000}"/>
    <cellStyle name="Hed Side Regular 2 4 8 9 2" xfId="19661" xr:uid="{00000000-0005-0000-0000-000055540000}"/>
    <cellStyle name="Hed Side Regular 2 4 9" xfId="19662" xr:uid="{00000000-0005-0000-0000-000056540000}"/>
    <cellStyle name="Hed Side Regular 2 4 9 10" xfId="19663" xr:uid="{00000000-0005-0000-0000-000057540000}"/>
    <cellStyle name="Hed Side Regular 2 4 9 2" xfId="19664" xr:uid="{00000000-0005-0000-0000-000058540000}"/>
    <cellStyle name="Hed Side Regular 2 4 9 2 2" xfId="19665" xr:uid="{00000000-0005-0000-0000-000059540000}"/>
    <cellStyle name="Hed Side Regular 2 4 9 3" xfId="19666" xr:uid="{00000000-0005-0000-0000-00005A540000}"/>
    <cellStyle name="Hed Side Regular 2 4 9 3 2" xfId="19667" xr:uid="{00000000-0005-0000-0000-00005B540000}"/>
    <cellStyle name="Hed Side Regular 2 4 9 4" xfId="19668" xr:uid="{00000000-0005-0000-0000-00005C540000}"/>
    <cellStyle name="Hed Side Regular 2 4 9 4 2" xfId="19669" xr:uid="{00000000-0005-0000-0000-00005D540000}"/>
    <cellStyle name="Hed Side Regular 2 4 9 5" xfId="19670" xr:uid="{00000000-0005-0000-0000-00005E540000}"/>
    <cellStyle name="Hed Side Regular 2 4 9 5 2" xfId="19671" xr:uid="{00000000-0005-0000-0000-00005F540000}"/>
    <cellStyle name="Hed Side Regular 2 4 9 6" xfId="19672" xr:uid="{00000000-0005-0000-0000-000060540000}"/>
    <cellStyle name="Hed Side Regular 2 4 9 6 2" xfId="19673" xr:uid="{00000000-0005-0000-0000-000061540000}"/>
    <cellStyle name="Hed Side Regular 2 4 9 7" xfId="19674" xr:uid="{00000000-0005-0000-0000-000062540000}"/>
    <cellStyle name="Hed Side Regular 2 4 9 7 2" xfId="19675" xr:uid="{00000000-0005-0000-0000-000063540000}"/>
    <cellStyle name="Hed Side Regular 2 4 9 8" xfId="19676" xr:uid="{00000000-0005-0000-0000-000064540000}"/>
    <cellStyle name="Hed Side Regular 2 4 9 8 2" xfId="19677" xr:uid="{00000000-0005-0000-0000-000065540000}"/>
    <cellStyle name="Hed Side Regular 2 4 9 9" xfId="19678" xr:uid="{00000000-0005-0000-0000-000066540000}"/>
    <cellStyle name="Hed Side Regular 2 4 9 9 2" xfId="19679" xr:uid="{00000000-0005-0000-0000-000067540000}"/>
    <cellStyle name="Hed Side Regular 2 5" xfId="19680" xr:uid="{00000000-0005-0000-0000-000068540000}"/>
    <cellStyle name="Hed Side Regular 2 5 10" xfId="19681" xr:uid="{00000000-0005-0000-0000-000069540000}"/>
    <cellStyle name="Hed Side Regular 2 5 10 2" xfId="19682" xr:uid="{00000000-0005-0000-0000-00006A540000}"/>
    <cellStyle name="Hed Side Regular 2 5 10 2 2" xfId="19683" xr:uid="{00000000-0005-0000-0000-00006B540000}"/>
    <cellStyle name="Hed Side Regular 2 5 10 3" xfId="19684" xr:uid="{00000000-0005-0000-0000-00006C540000}"/>
    <cellStyle name="Hed Side Regular 2 5 10 3 2" xfId="19685" xr:uid="{00000000-0005-0000-0000-00006D540000}"/>
    <cellStyle name="Hed Side Regular 2 5 10 4" xfId="19686" xr:uid="{00000000-0005-0000-0000-00006E540000}"/>
    <cellStyle name="Hed Side Regular 2 5 10 4 2" xfId="19687" xr:uid="{00000000-0005-0000-0000-00006F540000}"/>
    <cellStyle name="Hed Side Regular 2 5 10 5" xfId="19688" xr:uid="{00000000-0005-0000-0000-000070540000}"/>
    <cellStyle name="Hed Side Regular 2 5 10 5 2" xfId="19689" xr:uid="{00000000-0005-0000-0000-000071540000}"/>
    <cellStyle name="Hed Side Regular 2 5 10 6" xfId="19690" xr:uid="{00000000-0005-0000-0000-000072540000}"/>
    <cellStyle name="Hed Side Regular 2 5 10 6 2" xfId="19691" xr:uid="{00000000-0005-0000-0000-000073540000}"/>
    <cellStyle name="Hed Side Regular 2 5 10 7" xfId="19692" xr:uid="{00000000-0005-0000-0000-000074540000}"/>
    <cellStyle name="Hed Side Regular 2 5 10 7 2" xfId="19693" xr:uid="{00000000-0005-0000-0000-000075540000}"/>
    <cellStyle name="Hed Side Regular 2 5 10 8" xfId="19694" xr:uid="{00000000-0005-0000-0000-000076540000}"/>
    <cellStyle name="Hed Side Regular 2 5 10 8 2" xfId="19695" xr:uid="{00000000-0005-0000-0000-000077540000}"/>
    <cellStyle name="Hed Side Regular 2 5 10 9" xfId="19696" xr:uid="{00000000-0005-0000-0000-000078540000}"/>
    <cellStyle name="Hed Side Regular 2 5 11" xfId="19697" xr:uid="{00000000-0005-0000-0000-000079540000}"/>
    <cellStyle name="Hed Side Regular 2 5 11 2" xfId="19698" xr:uid="{00000000-0005-0000-0000-00007A540000}"/>
    <cellStyle name="Hed Side Regular 2 5 12" xfId="19699" xr:uid="{00000000-0005-0000-0000-00007B540000}"/>
    <cellStyle name="Hed Side Regular 2 5 12 2" xfId="19700" xr:uid="{00000000-0005-0000-0000-00007C540000}"/>
    <cellStyle name="Hed Side Regular 2 5 13" xfId="19701" xr:uid="{00000000-0005-0000-0000-00007D540000}"/>
    <cellStyle name="Hed Side Regular 2 5 13 2" xfId="19702" xr:uid="{00000000-0005-0000-0000-00007E540000}"/>
    <cellStyle name="Hed Side Regular 2 5 14" xfId="19703" xr:uid="{00000000-0005-0000-0000-00007F540000}"/>
    <cellStyle name="Hed Side Regular 2 5 14 2" xfId="19704" xr:uid="{00000000-0005-0000-0000-000080540000}"/>
    <cellStyle name="Hed Side Regular 2 5 15" xfId="19705" xr:uid="{00000000-0005-0000-0000-000081540000}"/>
    <cellStyle name="Hed Side Regular 2 5 15 2" xfId="19706" xr:uid="{00000000-0005-0000-0000-000082540000}"/>
    <cellStyle name="Hed Side Regular 2 5 16" xfId="19707" xr:uid="{00000000-0005-0000-0000-000083540000}"/>
    <cellStyle name="Hed Side Regular 2 5 16 2" xfId="19708" xr:uid="{00000000-0005-0000-0000-000084540000}"/>
    <cellStyle name="Hed Side Regular 2 5 17" xfId="19709" xr:uid="{00000000-0005-0000-0000-000085540000}"/>
    <cellStyle name="Hed Side Regular 2 5 17 2" xfId="19710" xr:uid="{00000000-0005-0000-0000-000086540000}"/>
    <cellStyle name="Hed Side Regular 2 5 18" xfId="19711" xr:uid="{00000000-0005-0000-0000-000087540000}"/>
    <cellStyle name="Hed Side Regular 2 5 2" xfId="19712" xr:uid="{00000000-0005-0000-0000-000088540000}"/>
    <cellStyle name="Hed Side Regular 2 5 2 10" xfId="19713" xr:uid="{00000000-0005-0000-0000-000089540000}"/>
    <cellStyle name="Hed Side Regular 2 5 2 2" xfId="19714" xr:uid="{00000000-0005-0000-0000-00008A540000}"/>
    <cellStyle name="Hed Side Regular 2 5 2 2 2" xfId="19715" xr:uid="{00000000-0005-0000-0000-00008B540000}"/>
    <cellStyle name="Hed Side Regular 2 5 2 3" xfId="19716" xr:uid="{00000000-0005-0000-0000-00008C540000}"/>
    <cellStyle name="Hed Side Regular 2 5 2 3 2" xfId="19717" xr:uid="{00000000-0005-0000-0000-00008D540000}"/>
    <cellStyle name="Hed Side Regular 2 5 2 4" xfId="19718" xr:uid="{00000000-0005-0000-0000-00008E540000}"/>
    <cellStyle name="Hed Side Regular 2 5 2 4 2" xfId="19719" xr:uid="{00000000-0005-0000-0000-00008F540000}"/>
    <cellStyle name="Hed Side Regular 2 5 2 5" xfId="19720" xr:uid="{00000000-0005-0000-0000-000090540000}"/>
    <cellStyle name="Hed Side Regular 2 5 2 5 2" xfId="19721" xr:uid="{00000000-0005-0000-0000-000091540000}"/>
    <cellStyle name="Hed Side Regular 2 5 2 6" xfId="19722" xr:uid="{00000000-0005-0000-0000-000092540000}"/>
    <cellStyle name="Hed Side Regular 2 5 2 6 2" xfId="19723" xr:uid="{00000000-0005-0000-0000-000093540000}"/>
    <cellStyle name="Hed Side Regular 2 5 2 7" xfId="19724" xr:uid="{00000000-0005-0000-0000-000094540000}"/>
    <cellStyle name="Hed Side Regular 2 5 2 7 2" xfId="19725" xr:uid="{00000000-0005-0000-0000-000095540000}"/>
    <cellStyle name="Hed Side Regular 2 5 2 8" xfId="19726" xr:uid="{00000000-0005-0000-0000-000096540000}"/>
    <cellStyle name="Hed Side Regular 2 5 2 8 2" xfId="19727" xr:uid="{00000000-0005-0000-0000-000097540000}"/>
    <cellStyle name="Hed Side Regular 2 5 2 9" xfId="19728" xr:uid="{00000000-0005-0000-0000-000098540000}"/>
    <cellStyle name="Hed Side Regular 2 5 2 9 2" xfId="19729" xr:uid="{00000000-0005-0000-0000-000099540000}"/>
    <cellStyle name="Hed Side Regular 2 5 3" xfId="19730" xr:uid="{00000000-0005-0000-0000-00009A540000}"/>
    <cellStyle name="Hed Side Regular 2 5 3 10" xfId="19731" xr:uid="{00000000-0005-0000-0000-00009B540000}"/>
    <cellStyle name="Hed Side Regular 2 5 3 2" xfId="19732" xr:uid="{00000000-0005-0000-0000-00009C540000}"/>
    <cellStyle name="Hed Side Regular 2 5 3 2 2" xfId="19733" xr:uid="{00000000-0005-0000-0000-00009D540000}"/>
    <cellStyle name="Hed Side Regular 2 5 3 3" xfId="19734" xr:uid="{00000000-0005-0000-0000-00009E540000}"/>
    <cellStyle name="Hed Side Regular 2 5 3 3 2" xfId="19735" xr:uid="{00000000-0005-0000-0000-00009F540000}"/>
    <cellStyle name="Hed Side Regular 2 5 3 4" xfId="19736" xr:uid="{00000000-0005-0000-0000-0000A0540000}"/>
    <cellStyle name="Hed Side Regular 2 5 3 4 2" xfId="19737" xr:uid="{00000000-0005-0000-0000-0000A1540000}"/>
    <cellStyle name="Hed Side Regular 2 5 3 5" xfId="19738" xr:uid="{00000000-0005-0000-0000-0000A2540000}"/>
    <cellStyle name="Hed Side Regular 2 5 3 5 2" xfId="19739" xr:uid="{00000000-0005-0000-0000-0000A3540000}"/>
    <cellStyle name="Hed Side Regular 2 5 3 6" xfId="19740" xr:uid="{00000000-0005-0000-0000-0000A4540000}"/>
    <cellStyle name="Hed Side Regular 2 5 3 6 2" xfId="19741" xr:uid="{00000000-0005-0000-0000-0000A5540000}"/>
    <cellStyle name="Hed Side Regular 2 5 3 7" xfId="19742" xr:uid="{00000000-0005-0000-0000-0000A6540000}"/>
    <cellStyle name="Hed Side Regular 2 5 3 7 2" xfId="19743" xr:uid="{00000000-0005-0000-0000-0000A7540000}"/>
    <cellStyle name="Hed Side Regular 2 5 3 8" xfId="19744" xr:uid="{00000000-0005-0000-0000-0000A8540000}"/>
    <cellStyle name="Hed Side Regular 2 5 3 8 2" xfId="19745" xr:uid="{00000000-0005-0000-0000-0000A9540000}"/>
    <cellStyle name="Hed Side Regular 2 5 3 9" xfId="19746" xr:uid="{00000000-0005-0000-0000-0000AA540000}"/>
    <cellStyle name="Hed Side Regular 2 5 3 9 2" xfId="19747" xr:uid="{00000000-0005-0000-0000-0000AB540000}"/>
    <cellStyle name="Hed Side Regular 2 5 4" xfId="19748" xr:uid="{00000000-0005-0000-0000-0000AC540000}"/>
    <cellStyle name="Hed Side Regular 2 5 4 10" xfId="19749" xr:uid="{00000000-0005-0000-0000-0000AD540000}"/>
    <cellStyle name="Hed Side Regular 2 5 4 2" xfId="19750" xr:uid="{00000000-0005-0000-0000-0000AE540000}"/>
    <cellStyle name="Hed Side Regular 2 5 4 2 2" xfId="19751" xr:uid="{00000000-0005-0000-0000-0000AF540000}"/>
    <cellStyle name="Hed Side Regular 2 5 4 3" xfId="19752" xr:uid="{00000000-0005-0000-0000-0000B0540000}"/>
    <cellStyle name="Hed Side Regular 2 5 4 3 2" xfId="19753" xr:uid="{00000000-0005-0000-0000-0000B1540000}"/>
    <cellStyle name="Hed Side Regular 2 5 4 4" xfId="19754" xr:uid="{00000000-0005-0000-0000-0000B2540000}"/>
    <cellStyle name="Hed Side Regular 2 5 4 4 2" xfId="19755" xr:uid="{00000000-0005-0000-0000-0000B3540000}"/>
    <cellStyle name="Hed Side Regular 2 5 4 5" xfId="19756" xr:uid="{00000000-0005-0000-0000-0000B4540000}"/>
    <cellStyle name="Hed Side Regular 2 5 4 5 2" xfId="19757" xr:uid="{00000000-0005-0000-0000-0000B5540000}"/>
    <cellStyle name="Hed Side Regular 2 5 4 6" xfId="19758" xr:uid="{00000000-0005-0000-0000-0000B6540000}"/>
    <cellStyle name="Hed Side Regular 2 5 4 6 2" xfId="19759" xr:uid="{00000000-0005-0000-0000-0000B7540000}"/>
    <cellStyle name="Hed Side Regular 2 5 4 7" xfId="19760" xr:uid="{00000000-0005-0000-0000-0000B8540000}"/>
    <cellStyle name="Hed Side Regular 2 5 4 7 2" xfId="19761" xr:uid="{00000000-0005-0000-0000-0000B9540000}"/>
    <cellStyle name="Hed Side Regular 2 5 4 8" xfId="19762" xr:uid="{00000000-0005-0000-0000-0000BA540000}"/>
    <cellStyle name="Hed Side Regular 2 5 4 8 2" xfId="19763" xr:uid="{00000000-0005-0000-0000-0000BB540000}"/>
    <cellStyle name="Hed Side Regular 2 5 4 9" xfId="19764" xr:uid="{00000000-0005-0000-0000-0000BC540000}"/>
    <cellStyle name="Hed Side Regular 2 5 4 9 2" xfId="19765" xr:uid="{00000000-0005-0000-0000-0000BD540000}"/>
    <cellStyle name="Hed Side Regular 2 5 5" xfId="19766" xr:uid="{00000000-0005-0000-0000-0000BE540000}"/>
    <cellStyle name="Hed Side Regular 2 5 5 10" xfId="19767" xr:uid="{00000000-0005-0000-0000-0000BF540000}"/>
    <cellStyle name="Hed Side Regular 2 5 5 2" xfId="19768" xr:uid="{00000000-0005-0000-0000-0000C0540000}"/>
    <cellStyle name="Hed Side Regular 2 5 5 2 2" xfId="19769" xr:uid="{00000000-0005-0000-0000-0000C1540000}"/>
    <cellStyle name="Hed Side Regular 2 5 5 3" xfId="19770" xr:uid="{00000000-0005-0000-0000-0000C2540000}"/>
    <cellStyle name="Hed Side Regular 2 5 5 3 2" xfId="19771" xr:uid="{00000000-0005-0000-0000-0000C3540000}"/>
    <cellStyle name="Hed Side Regular 2 5 5 4" xfId="19772" xr:uid="{00000000-0005-0000-0000-0000C4540000}"/>
    <cellStyle name="Hed Side Regular 2 5 5 4 2" xfId="19773" xr:uid="{00000000-0005-0000-0000-0000C5540000}"/>
    <cellStyle name="Hed Side Regular 2 5 5 5" xfId="19774" xr:uid="{00000000-0005-0000-0000-0000C6540000}"/>
    <cellStyle name="Hed Side Regular 2 5 5 5 2" xfId="19775" xr:uid="{00000000-0005-0000-0000-0000C7540000}"/>
    <cellStyle name="Hed Side Regular 2 5 5 6" xfId="19776" xr:uid="{00000000-0005-0000-0000-0000C8540000}"/>
    <cellStyle name="Hed Side Regular 2 5 5 6 2" xfId="19777" xr:uid="{00000000-0005-0000-0000-0000C9540000}"/>
    <cellStyle name="Hed Side Regular 2 5 5 7" xfId="19778" xr:uid="{00000000-0005-0000-0000-0000CA540000}"/>
    <cellStyle name="Hed Side Regular 2 5 5 7 2" xfId="19779" xr:uid="{00000000-0005-0000-0000-0000CB540000}"/>
    <cellStyle name="Hed Side Regular 2 5 5 8" xfId="19780" xr:uid="{00000000-0005-0000-0000-0000CC540000}"/>
    <cellStyle name="Hed Side Regular 2 5 5 8 2" xfId="19781" xr:uid="{00000000-0005-0000-0000-0000CD540000}"/>
    <cellStyle name="Hed Side Regular 2 5 5 9" xfId="19782" xr:uid="{00000000-0005-0000-0000-0000CE540000}"/>
    <cellStyle name="Hed Side Regular 2 5 5 9 2" xfId="19783" xr:uid="{00000000-0005-0000-0000-0000CF540000}"/>
    <cellStyle name="Hed Side Regular 2 5 6" xfId="19784" xr:uid="{00000000-0005-0000-0000-0000D0540000}"/>
    <cellStyle name="Hed Side Regular 2 5 6 10" xfId="19785" xr:uid="{00000000-0005-0000-0000-0000D1540000}"/>
    <cellStyle name="Hed Side Regular 2 5 6 2" xfId="19786" xr:uid="{00000000-0005-0000-0000-0000D2540000}"/>
    <cellStyle name="Hed Side Regular 2 5 6 2 2" xfId="19787" xr:uid="{00000000-0005-0000-0000-0000D3540000}"/>
    <cellStyle name="Hed Side Regular 2 5 6 3" xfId="19788" xr:uid="{00000000-0005-0000-0000-0000D4540000}"/>
    <cellStyle name="Hed Side Regular 2 5 6 3 2" xfId="19789" xr:uid="{00000000-0005-0000-0000-0000D5540000}"/>
    <cellStyle name="Hed Side Regular 2 5 6 4" xfId="19790" xr:uid="{00000000-0005-0000-0000-0000D6540000}"/>
    <cellStyle name="Hed Side Regular 2 5 6 4 2" xfId="19791" xr:uid="{00000000-0005-0000-0000-0000D7540000}"/>
    <cellStyle name="Hed Side Regular 2 5 6 5" xfId="19792" xr:uid="{00000000-0005-0000-0000-0000D8540000}"/>
    <cellStyle name="Hed Side Regular 2 5 6 5 2" xfId="19793" xr:uid="{00000000-0005-0000-0000-0000D9540000}"/>
    <cellStyle name="Hed Side Regular 2 5 6 6" xfId="19794" xr:uid="{00000000-0005-0000-0000-0000DA540000}"/>
    <cellStyle name="Hed Side Regular 2 5 6 6 2" xfId="19795" xr:uid="{00000000-0005-0000-0000-0000DB540000}"/>
    <cellStyle name="Hed Side Regular 2 5 6 7" xfId="19796" xr:uid="{00000000-0005-0000-0000-0000DC540000}"/>
    <cellStyle name="Hed Side Regular 2 5 6 7 2" xfId="19797" xr:uid="{00000000-0005-0000-0000-0000DD540000}"/>
    <cellStyle name="Hed Side Regular 2 5 6 8" xfId="19798" xr:uid="{00000000-0005-0000-0000-0000DE540000}"/>
    <cellStyle name="Hed Side Regular 2 5 6 8 2" xfId="19799" xr:uid="{00000000-0005-0000-0000-0000DF540000}"/>
    <cellStyle name="Hed Side Regular 2 5 6 9" xfId="19800" xr:uid="{00000000-0005-0000-0000-0000E0540000}"/>
    <cellStyle name="Hed Side Regular 2 5 6 9 2" xfId="19801" xr:uid="{00000000-0005-0000-0000-0000E1540000}"/>
    <cellStyle name="Hed Side Regular 2 5 7" xfId="19802" xr:uid="{00000000-0005-0000-0000-0000E2540000}"/>
    <cellStyle name="Hed Side Regular 2 5 7 10" xfId="19803" xr:uid="{00000000-0005-0000-0000-0000E3540000}"/>
    <cellStyle name="Hed Side Regular 2 5 7 2" xfId="19804" xr:uid="{00000000-0005-0000-0000-0000E4540000}"/>
    <cellStyle name="Hed Side Regular 2 5 7 2 2" xfId="19805" xr:uid="{00000000-0005-0000-0000-0000E5540000}"/>
    <cellStyle name="Hed Side Regular 2 5 7 3" xfId="19806" xr:uid="{00000000-0005-0000-0000-0000E6540000}"/>
    <cellStyle name="Hed Side Regular 2 5 7 3 2" xfId="19807" xr:uid="{00000000-0005-0000-0000-0000E7540000}"/>
    <cellStyle name="Hed Side Regular 2 5 7 4" xfId="19808" xr:uid="{00000000-0005-0000-0000-0000E8540000}"/>
    <cellStyle name="Hed Side Regular 2 5 7 4 2" xfId="19809" xr:uid="{00000000-0005-0000-0000-0000E9540000}"/>
    <cellStyle name="Hed Side Regular 2 5 7 5" xfId="19810" xr:uid="{00000000-0005-0000-0000-0000EA540000}"/>
    <cellStyle name="Hed Side Regular 2 5 7 5 2" xfId="19811" xr:uid="{00000000-0005-0000-0000-0000EB540000}"/>
    <cellStyle name="Hed Side Regular 2 5 7 6" xfId="19812" xr:uid="{00000000-0005-0000-0000-0000EC540000}"/>
    <cellStyle name="Hed Side Regular 2 5 7 6 2" xfId="19813" xr:uid="{00000000-0005-0000-0000-0000ED540000}"/>
    <cellStyle name="Hed Side Regular 2 5 7 7" xfId="19814" xr:uid="{00000000-0005-0000-0000-0000EE540000}"/>
    <cellStyle name="Hed Side Regular 2 5 7 7 2" xfId="19815" xr:uid="{00000000-0005-0000-0000-0000EF540000}"/>
    <cellStyle name="Hed Side Regular 2 5 7 8" xfId="19816" xr:uid="{00000000-0005-0000-0000-0000F0540000}"/>
    <cellStyle name="Hed Side Regular 2 5 7 8 2" xfId="19817" xr:uid="{00000000-0005-0000-0000-0000F1540000}"/>
    <cellStyle name="Hed Side Regular 2 5 7 9" xfId="19818" xr:uid="{00000000-0005-0000-0000-0000F2540000}"/>
    <cellStyle name="Hed Side Regular 2 5 7 9 2" xfId="19819" xr:uid="{00000000-0005-0000-0000-0000F3540000}"/>
    <cellStyle name="Hed Side Regular 2 5 8" xfId="19820" xr:uid="{00000000-0005-0000-0000-0000F4540000}"/>
    <cellStyle name="Hed Side Regular 2 5 8 10" xfId="19821" xr:uid="{00000000-0005-0000-0000-0000F5540000}"/>
    <cellStyle name="Hed Side Regular 2 5 8 2" xfId="19822" xr:uid="{00000000-0005-0000-0000-0000F6540000}"/>
    <cellStyle name="Hed Side Regular 2 5 8 2 2" xfId="19823" xr:uid="{00000000-0005-0000-0000-0000F7540000}"/>
    <cellStyle name="Hed Side Regular 2 5 8 3" xfId="19824" xr:uid="{00000000-0005-0000-0000-0000F8540000}"/>
    <cellStyle name="Hed Side Regular 2 5 8 3 2" xfId="19825" xr:uid="{00000000-0005-0000-0000-0000F9540000}"/>
    <cellStyle name="Hed Side Regular 2 5 8 4" xfId="19826" xr:uid="{00000000-0005-0000-0000-0000FA540000}"/>
    <cellStyle name="Hed Side Regular 2 5 8 4 2" xfId="19827" xr:uid="{00000000-0005-0000-0000-0000FB540000}"/>
    <cellStyle name="Hed Side Regular 2 5 8 5" xfId="19828" xr:uid="{00000000-0005-0000-0000-0000FC540000}"/>
    <cellStyle name="Hed Side Regular 2 5 8 5 2" xfId="19829" xr:uid="{00000000-0005-0000-0000-0000FD540000}"/>
    <cellStyle name="Hed Side Regular 2 5 8 6" xfId="19830" xr:uid="{00000000-0005-0000-0000-0000FE540000}"/>
    <cellStyle name="Hed Side Regular 2 5 8 6 2" xfId="19831" xr:uid="{00000000-0005-0000-0000-0000FF540000}"/>
    <cellStyle name="Hed Side Regular 2 5 8 7" xfId="19832" xr:uid="{00000000-0005-0000-0000-000000550000}"/>
    <cellStyle name="Hed Side Regular 2 5 8 7 2" xfId="19833" xr:uid="{00000000-0005-0000-0000-000001550000}"/>
    <cellStyle name="Hed Side Regular 2 5 8 8" xfId="19834" xr:uid="{00000000-0005-0000-0000-000002550000}"/>
    <cellStyle name="Hed Side Regular 2 5 8 8 2" xfId="19835" xr:uid="{00000000-0005-0000-0000-000003550000}"/>
    <cellStyle name="Hed Side Regular 2 5 8 9" xfId="19836" xr:uid="{00000000-0005-0000-0000-000004550000}"/>
    <cellStyle name="Hed Side Regular 2 5 8 9 2" xfId="19837" xr:uid="{00000000-0005-0000-0000-000005550000}"/>
    <cellStyle name="Hed Side Regular 2 5 9" xfId="19838" xr:uid="{00000000-0005-0000-0000-000006550000}"/>
    <cellStyle name="Hed Side Regular 2 5 9 10" xfId="19839" xr:uid="{00000000-0005-0000-0000-000007550000}"/>
    <cellStyle name="Hed Side Regular 2 5 9 2" xfId="19840" xr:uid="{00000000-0005-0000-0000-000008550000}"/>
    <cellStyle name="Hed Side Regular 2 5 9 2 2" xfId="19841" xr:uid="{00000000-0005-0000-0000-000009550000}"/>
    <cellStyle name="Hed Side Regular 2 5 9 3" xfId="19842" xr:uid="{00000000-0005-0000-0000-00000A550000}"/>
    <cellStyle name="Hed Side Regular 2 5 9 3 2" xfId="19843" xr:uid="{00000000-0005-0000-0000-00000B550000}"/>
    <cellStyle name="Hed Side Regular 2 5 9 4" xfId="19844" xr:uid="{00000000-0005-0000-0000-00000C550000}"/>
    <cellStyle name="Hed Side Regular 2 5 9 4 2" xfId="19845" xr:uid="{00000000-0005-0000-0000-00000D550000}"/>
    <cellStyle name="Hed Side Regular 2 5 9 5" xfId="19846" xr:uid="{00000000-0005-0000-0000-00000E550000}"/>
    <cellStyle name="Hed Side Regular 2 5 9 5 2" xfId="19847" xr:uid="{00000000-0005-0000-0000-00000F550000}"/>
    <cellStyle name="Hed Side Regular 2 5 9 6" xfId="19848" xr:uid="{00000000-0005-0000-0000-000010550000}"/>
    <cellStyle name="Hed Side Regular 2 5 9 6 2" xfId="19849" xr:uid="{00000000-0005-0000-0000-000011550000}"/>
    <cellStyle name="Hed Side Regular 2 5 9 7" xfId="19850" xr:uid="{00000000-0005-0000-0000-000012550000}"/>
    <cellStyle name="Hed Side Regular 2 5 9 7 2" xfId="19851" xr:uid="{00000000-0005-0000-0000-000013550000}"/>
    <cellStyle name="Hed Side Regular 2 5 9 8" xfId="19852" xr:uid="{00000000-0005-0000-0000-000014550000}"/>
    <cellStyle name="Hed Side Regular 2 5 9 8 2" xfId="19853" xr:uid="{00000000-0005-0000-0000-000015550000}"/>
    <cellStyle name="Hed Side Regular 2 5 9 9" xfId="19854" xr:uid="{00000000-0005-0000-0000-000016550000}"/>
    <cellStyle name="Hed Side Regular 2 5 9 9 2" xfId="19855" xr:uid="{00000000-0005-0000-0000-000017550000}"/>
    <cellStyle name="Hed Side Regular 2 6" xfId="19856" xr:uid="{00000000-0005-0000-0000-000018550000}"/>
    <cellStyle name="Hed Side Regular 2 6 10" xfId="19857" xr:uid="{00000000-0005-0000-0000-000019550000}"/>
    <cellStyle name="Hed Side Regular 2 6 10 2" xfId="19858" xr:uid="{00000000-0005-0000-0000-00001A550000}"/>
    <cellStyle name="Hed Side Regular 2 6 10 2 2" xfId="19859" xr:uid="{00000000-0005-0000-0000-00001B550000}"/>
    <cellStyle name="Hed Side Regular 2 6 10 3" xfId="19860" xr:uid="{00000000-0005-0000-0000-00001C550000}"/>
    <cellStyle name="Hed Side Regular 2 6 10 3 2" xfId="19861" xr:uid="{00000000-0005-0000-0000-00001D550000}"/>
    <cellStyle name="Hed Side Regular 2 6 10 4" xfId="19862" xr:uid="{00000000-0005-0000-0000-00001E550000}"/>
    <cellStyle name="Hed Side Regular 2 6 10 4 2" xfId="19863" xr:uid="{00000000-0005-0000-0000-00001F550000}"/>
    <cellStyle name="Hed Side Regular 2 6 10 5" xfId="19864" xr:uid="{00000000-0005-0000-0000-000020550000}"/>
    <cellStyle name="Hed Side Regular 2 6 10 5 2" xfId="19865" xr:uid="{00000000-0005-0000-0000-000021550000}"/>
    <cellStyle name="Hed Side Regular 2 6 10 6" xfId="19866" xr:uid="{00000000-0005-0000-0000-000022550000}"/>
    <cellStyle name="Hed Side Regular 2 6 10 6 2" xfId="19867" xr:uid="{00000000-0005-0000-0000-000023550000}"/>
    <cellStyle name="Hed Side Regular 2 6 10 7" xfId="19868" xr:uid="{00000000-0005-0000-0000-000024550000}"/>
    <cellStyle name="Hed Side Regular 2 6 10 7 2" xfId="19869" xr:uid="{00000000-0005-0000-0000-000025550000}"/>
    <cellStyle name="Hed Side Regular 2 6 10 8" xfId="19870" xr:uid="{00000000-0005-0000-0000-000026550000}"/>
    <cellStyle name="Hed Side Regular 2 6 10 8 2" xfId="19871" xr:uid="{00000000-0005-0000-0000-000027550000}"/>
    <cellStyle name="Hed Side Regular 2 6 10 9" xfId="19872" xr:uid="{00000000-0005-0000-0000-000028550000}"/>
    <cellStyle name="Hed Side Regular 2 6 11" xfId="19873" xr:uid="{00000000-0005-0000-0000-000029550000}"/>
    <cellStyle name="Hed Side Regular 2 6 11 2" xfId="19874" xr:uid="{00000000-0005-0000-0000-00002A550000}"/>
    <cellStyle name="Hed Side Regular 2 6 12" xfId="19875" xr:uid="{00000000-0005-0000-0000-00002B550000}"/>
    <cellStyle name="Hed Side Regular 2 6 12 2" xfId="19876" xr:uid="{00000000-0005-0000-0000-00002C550000}"/>
    <cellStyle name="Hed Side Regular 2 6 13" xfId="19877" xr:uid="{00000000-0005-0000-0000-00002D550000}"/>
    <cellStyle name="Hed Side Regular 2 6 13 2" xfId="19878" xr:uid="{00000000-0005-0000-0000-00002E550000}"/>
    <cellStyle name="Hed Side Regular 2 6 14" xfId="19879" xr:uid="{00000000-0005-0000-0000-00002F550000}"/>
    <cellStyle name="Hed Side Regular 2 6 14 2" xfId="19880" xr:uid="{00000000-0005-0000-0000-000030550000}"/>
    <cellStyle name="Hed Side Regular 2 6 15" xfId="19881" xr:uid="{00000000-0005-0000-0000-000031550000}"/>
    <cellStyle name="Hed Side Regular 2 6 15 2" xfId="19882" xr:uid="{00000000-0005-0000-0000-000032550000}"/>
    <cellStyle name="Hed Side Regular 2 6 16" xfId="19883" xr:uid="{00000000-0005-0000-0000-000033550000}"/>
    <cellStyle name="Hed Side Regular 2 6 16 2" xfId="19884" xr:uid="{00000000-0005-0000-0000-000034550000}"/>
    <cellStyle name="Hed Side Regular 2 6 17" xfId="19885" xr:uid="{00000000-0005-0000-0000-000035550000}"/>
    <cellStyle name="Hed Side Regular 2 6 17 2" xfId="19886" xr:uid="{00000000-0005-0000-0000-000036550000}"/>
    <cellStyle name="Hed Side Regular 2 6 18" xfId="19887" xr:uid="{00000000-0005-0000-0000-000037550000}"/>
    <cellStyle name="Hed Side Regular 2 6 2" xfId="19888" xr:uid="{00000000-0005-0000-0000-000038550000}"/>
    <cellStyle name="Hed Side Regular 2 6 2 10" xfId="19889" xr:uid="{00000000-0005-0000-0000-000039550000}"/>
    <cellStyle name="Hed Side Regular 2 6 2 2" xfId="19890" xr:uid="{00000000-0005-0000-0000-00003A550000}"/>
    <cellStyle name="Hed Side Regular 2 6 2 2 2" xfId="19891" xr:uid="{00000000-0005-0000-0000-00003B550000}"/>
    <cellStyle name="Hed Side Regular 2 6 2 3" xfId="19892" xr:uid="{00000000-0005-0000-0000-00003C550000}"/>
    <cellStyle name="Hed Side Regular 2 6 2 3 2" xfId="19893" xr:uid="{00000000-0005-0000-0000-00003D550000}"/>
    <cellStyle name="Hed Side Regular 2 6 2 4" xfId="19894" xr:uid="{00000000-0005-0000-0000-00003E550000}"/>
    <cellStyle name="Hed Side Regular 2 6 2 4 2" xfId="19895" xr:uid="{00000000-0005-0000-0000-00003F550000}"/>
    <cellStyle name="Hed Side Regular 2 6 2 5" xfId="19896" xr:uid="{00000000-0005-0000-0000-000040550000}"/>
    <cellStyle name="Hed Side Regular 2 6 2 5 2" xfId="19897" xr:uid="{00000000-0005-0000-0000-000041550000}"/>
    <cellStyle name="Hed Side Regular 2 6 2 6" xfId="19898" xr:uid="{00000000-0005-0000-0000-000042550000}"/>
    <cellStyle name="Hed Side Regular 2 6 2 6 2" xfId="19899" xr:uid="{00000000-0005-0000-0000-000043550000}"/>
    <cellStyle name="Hed Side Regular 2 6 2 7" xfId="19900" xr:uid="{00000000-0005-0000-0000-000044550000}"/>
    <cellStyle name="Hed Side Regular 2 6 2 7 2" xfId="19901" xr:uid="{00000000-0005-0000-0000-000045550000}"/>
    <cellStyle name="Hed Side Regular 2 6 2 8" xfId="19902" xr:uid="{00000000-0005-0000-0000-000046550000}"/>
    <cellStyle name="Hed Side Regular 2 6 2 8 2" xfId="19903" xr:uid="{00000000-0005-0000-0000-000047550000}"/>
    <cellStyle name="Hed Side Regular 2 6 2 9" xfId="19904" xr:uid="{00000000-0005-0000-0000-000048550000}"/>
    <cellStyle name="Hed Side Regular 2 6 2 9 2" xfId="19905" xr:uid="{00000000-0005-0000-0000-000049550000}"/>
    <cellStyle name="Hed Side Regular 2 6 3" xfId="19906" xr:uid="{00000000-0005-0000-0000-00004A550000}"/>
    <cellStyle name="Hed Side Regular 2 6 3 10" xfId="19907" xr:uid="{00000000-0005-0000-0000-00004B550000}"/>
    <cellStyle name="Hed Side Regular 2 6 3 2" xfId="19908" xr:uid="{00000000-0005-0000-0000-00004C550000}"/>
    <cellStyle name="Hed Side Regular 2 6 3 2 2" xfId="19909" xr:uid="{00000000-0005-0000-0000-00004D550000}"/>
    <cellStyle name="Hed Side Regular 2 6 3 3" xfId="19910" xr:uid="{00000000-0005-0000-0000-00004E550000}"/>
    <cellStyle name="Hed Side Regular 2 6 3 3 2" xfId="19911" xr:uid="{00000000-0005-0000-0000-00004F550000}"/>
    <cellStyle name="Hed Side Regular 2 6 3 4" xfId="19912" xr:uid="{00000000-0005-0000-0000-000050550000}"/>
    <cellStyle name="Hed Side Regular 2 6 3 4 2" xfId="19913" xr:uid="{00000000-0005-0000-0000-000051550000}"/>
    <cellStyle name="Hed Side Regular 2 6 3 5" xfId="19914" xr:uid="{00000000-0005-0000-0000-000052550000}"/>
    <cellStyle name="Hed Side Regular 2 6 3 5 2" xfId="19915" xr:uid="{00000000-0005-0000-0000-000053550000}"/>
    <cellStyle name="Hed Side Regular 2 6 3 6" xfId="19916" xr:uid="{00000000-0005-0000-0000-000054550000}"/>
    <cellStyle name="Hed Side Regular 2 6 3 6 2" xfId="19917" xr:uid="{00000000-0005-0000-0000-000055550000}"/>
    <cellStyle name="Hed Side Regular 2 6 3 7" xfId="19918" xr:uid="{00000000-0005-0000-0000-000056550000}"/>
    <cellStyle name="Hed Side Regular 2 6 3 7 2" xfId="19919" xr:uid="{00000000-0005-0000-0000-000057550000}"/>
    <cellStyle name="Hed Side Regular 2 6 3 8" xfId="19920" xr:uid="{00000000-0005-0000-0000-000058550000}"/>
    <cellStyle name="Hed Side Regular 2 6 3 8 2" xfId="19921" xr:uid="{00000000-0005-0000-0000-000059550000}"/>
    <cellStyle name="Hed Side Regular 2 6 3 9" xfId="19922" xr:uid="{00000000-0005-0000-0000-00005A550000}"/>
    <cellStyle name="Hed Side Regular 2 6 3 9 2" xfId="19923" xr:uid="{00000000-0005-0000-0000-00005B550000}"/>
    <cellStyle name="Hed Side Regular 2 6 4" xfId="19924" xr:uid="{00000000-0005-0000-0000-00005C550000}"/>
    <cellStyle name="Hed Side Regular 2 6 4 10" xfId="19925" xr:uid="{00000000-0005-0000-0000-00005D550000}"/>
    <cellStyle name="Hed Side Regular 2 6 4 2" xfId="19926" xr:uid="{00000000-0005-0000-0000-00005E550000}"/>
    <cellStyle name="Hed Side Regular 2 6 4 2 2" xfId="19927" xr:uid="{00000000-0005-0000-0000-00005F550000}"/>
    <cellStyle name="Hed Side Regular 2 6 4 3" xfId="19928" xr:uid="{00000000-0005-0000-0000-000060550000}"/>
    <cellStyle name="Hed Side Regular 2 6 4 3 2" xfId="19929" xr:uid="{00000000-0005-0000-0000-000061550000}"/>
    <cellStyle name="Hed Side Regular 2 6 4 4" xfId="19930" xr:uid="{00000000-0005-0000-0000-000062550000}"/>
    <cellStyle name="Hed Side Regular 2 6 4 4 2" xfId="19931" xr:uid="{00000000-0005-0000-0000-000063550000}"/>
    <cellStyle name="Hed Side Regular 2 6 4 5" xfId="19932" xr:uid="{00000000-0005-0000-0000-000064550000}"/>
    <cellStyle name="Hed Side Regular 2 6 4 5 2" xfId="19933" xr:uid="{00000000-0005-0000-0000-000065550000}"/>
    <cellStyle name="Hed Side Regular 2 6 4 6" xfId="19934" xr:uid="{00000000-0005-0000-0000-000066550000}"/>
    <cellStyle name="Hed Side Regular 2 6 4 6 2" xfId="19935" xr:uid="{00000000-0005-0000-0000-000067550000}"/>
    <cellStyle name="Hed Side Regular 2 6 4 7" xfId="19936" xr:uid="{00000000-0005-0000-0000-000068550000}"/>
    <cellStyle name="Hed Side Regular 2 6 4 7 2" xfId="19937" xr:uid="{00000000-0005-0000-0000-000069550000}"/>
    <cellStyle name="Hed Side Regular 2 6 4 8" xfId="19938" xr:uid="{00000000-0005-0000-0000-00006A550000}"/>
    <cellStyle name="Hed Side Regular 2 6 4 8 2" xfId="19939" xr:uid="{00000000-0005-0000-0000-00006B550000}"/>
    <cellStyle name="Hed Side Regular 2 6 4 9" xfId="19940" xr:uid="{00000000-0005-0000-0000-00006C550000}"/>
    <cellStyle name="Hed Side Regular 2 6 4 9 2" xfId="19941" xr:uid="{00000000-0005-0000-0000-00006D550000}"/>
    <cellStyle name="Hed Side Regular 2 6 5" xfId="19942" xr:uid="{00000000-0005-0000-0000-00006E550000}"/>
    <cellStyle name="Hed Side Regular 2 6 5 10" xfId="19943" xr:uid="{00000000-0005-0000-0000-00006F550000}"/>
    <cellStyle name="Hed Side Regular 2 6 5 2" xfId="19944" xr:uid="{00000000-0005-0000-0000-000070550000}"/>
    <cellStyle name="Hed Side Regular 2 6 5 2 2" xfId="19945" xr:uid="{00000000-0005-0000-0000-000071550000}"/>
    <cellStyle name="Hed Side Regular 2 6 5 3" xfId="19946" xr:uid="{00000000-0005-0000-0000-000072550000}"/>
    <cellStyle name="Hed Side Regular 2 6 5 3 2" xfId="19947" xr:uid="{00000000-0005-0000-0000-000073550000}"/>
    <cellStyle name="Hed Side Regular 2 6 5 4" xfId="19948" xr:uid="{00000000-0005-0000-0000-000074550000}"/>
    <cellStyle name="Hed Side Regular 2 6 5 4 2" xfId="19949" xr:uid="{00000000-0005-0000-0000-000075550000}"/>
    <cellStyle name="Hed Side Regular 2 6 5 5" xfId="19950" xr:uid="{00000000-0005-0000-0000-000076550000}"/>
    <cellStyle name="Hed Side Regular 2 6 5 5 2" xfId="19951" xr:uid="{00000000-0005-0000-0000-000077550000}"/>
    <cellStyle name="Hed Side Regular 2 6 5 6" xfId="19952" xr:uid="{00000000-0005-0000-0000-000078550000}"/>
    <cellStyle name="Hed Side Regular 2 6 5 6 2" xfId="19953" xr:uid="{00000000-0005-0000-0000-000079550000}"/>
    <cellStyle name="Hed Side Regular 2 6 5 7" xfId="19954" xr:uid="{00000000-0005-0000-0000-00007A550000}"/>
    <cellStyle name="Hed Side Regular 2 6 5 7 2" xfId="19955" xr:uid="{00000000-0005-0000-0000-00007B550000}"/>
    <cellStyle name="Hed Side Regular 2 6 5 8" xfId="19956" xr:uid="{00000000-0005-0000-0000-00007C550000}"/>
    <cellStyle name="Hed Side Regular 2 6 5 8 2" xfId="19957" xr:uid="{00000000-0005-0000-0000-00007D550000}"/>
    <cellStyle name="Hed Side Regular 2 6 5 9" xfId="19958" xr:uid="{00000000-0005-0000-0000-00007E550000}"/>
    <cellStyle name="Hed Side Regular 2 6 5 9 2" xfId="19959" xr:uid="{00000000-0005-0000-0000-00007F550000}"/>
    <cellStyle name="Hed Side Regular 2 6 6" xfId="19960" xr:uid="{00000000-0005-0000-0000-000080550000}"/>
    <cellStyle name="Hed Side Regular 2 6 6 10" xfId="19961" xr:uid="{00000000-0005-0000-0000-000081550000}"/>
    <cellStyle name="Hed Side Regular 2 6 6 2" xfId="19962" xr:uid="{00000000-0005-0000-0000-000082550000}"/>
    <cellStyle name="Hed Side Regular 2 6 6 2 2" xfId="19963" xr:uid="{00000000-0005-0000-0000-000083550000}"/>
    <cellStyle name="Hed Side Regular 2 6 6 3" xfId="19964" xr:uid="{00000000-0005-0000-0000-000084550000}"/>
    <cellStyle name="Hed Side Regular 2 6 6 3 2" xfId="19965" xr:uid="{00000000-0005-0000-0000-000085550000}"/>
    <cellStyle name="Hed Side Regular 2 6 6 4" xfId="19966" xr:uid="{00000000-0005-0000-0000-000086550000}"/>
    <cellStyle name="Hed Side Regular 2 6 6 4 2" xfId="19967" xr:uid="{00000000-0005-0000-0000-000087550000}"/>
    <cellStyle name="Hed Side Regular 2 6 6 5" xfId="19968" xr:uid="{00000000-0005-0000-0000-000088550000}"/>
    <cellStyle name="Hed Side Regular 2 6 6 5 2" xfId="19969" xr:uid="{00000000-0005-0000-0000-000089550000}"/>
    <cellStyle name="Hed Side Regular 2 6 6 6" xfId="19970" xr:uid="{00000000-0005-0000-0000-00008A550000}"/>
    <cellStyle name="Hed Side Regular 2 6 6 6 2" xfId="19971" xr:uid="{00000000-0005-0000-0000-00008B550000}"/>
    <cellStyle name="Hed Side Regular 2 6 6 7" xfId="19972" xr:uid="{00000000-0005-0000-0000-00008C550000}"/>
    <cellStyle name="Hed Side Regular 2 6 6 7 2" xfId="19973" xr:uid="{00000000-0005-0000-0000-00008D550000}"/>
    <cellStyle name="Hed Side Regular 2 6 6 8" xfId="19974" xr:uid="{00000000-0005-0000-0000-00008E550000}"/>
    <cellStyle name="Hed Side Regular 2 6 6 8 2" xfId="19975" xr:uid="{00000000-0005-0000-0000-00008F550000}"/>
    <cellStyle name="Hed Side Regular 2 6 6 9" xfId="19976" xr:uid="{00000000-0005-0000-0000-000090550000}"/>
    <cellStyle name="Hed Side Regular 2 6 6 9 2" xfId="19977" xr:uid="{00000000-0005-0000-0000-000091550000}"/>
    <cellStyle name="Hed Side Regular 2 6 7" xfId="19978" xr:uid="{00000000-0005-0000-0000-000092550000}"/>
    <cellStyle name="Hed Side Regular 2 6 7 10" xfId="19979" xr:uid="{00000000-0005-0000-0000-000093550000}"/>
    <cellStyle name="Hed Side Regular 2 6 7 2" xfId="19980" xr:uid="{00000000-0005-0000-0000-000094550000}"/>
    <cellStyle name="Hed Side Regular 2 6 7 2 2" xfId="19981" xr:uid="{00000000-0005-0000-0000-000095550000}"/>
    <cellStyle name="Hed Side Regular 2 6 7 3" xfId="19982" xr:uid="{00000000-0005-0000-0000-000096550000}"/>
    <cellStyle name="Hed Side Regular 2 6 7 3 2" xfId="19983" xr:uid="{00000000-0005-0000-0000-000097550000}"/>
    <cellStyle name="Hed Side Regular 2 6 7 4" xfId="19984" xr:uid="{00000000-0005-0000-0000-000098550000}"/>
    <cellStyle name="Hed Side Regular 2 6 7 4 2" xfId="19985" xr:uid="{00000000-0005-0000-0000-000099550000}"/>
    <cellStyle name="Hed Side Regular 2 6 7 5" xfId="19986" xr:uid="{00000000-0005-0000-0000-00009A550000}"/>
    <cellStyle name="Hed Side Regular 2 6 7 5 2" xfId="19987" xr:uid="{00000000-0005-0000-0000-00009B550000}"/>
    <cellStyle name="Hed Side Regular 2 6 7 6" xfId="19988" xr:uid="{00000000-0005-0000-0000-00009C550000}"/>
    <cellStyle name="Hed Side Regular 2 6 7 6 2" xfId="19989" xr:uid="{00000000-0005-0000-0000-00009D550000}"/>
    <cellStyle name="Hed Side Regular 2 6 7 7" xfId="19990" xr:uid="{00000000-0005-0000-0000-00009E550000}"/>
    <cellStyle name="Hed Side Regular 2 6 7 7 2" xfId="19991" xr:uid="{00000000-0005-0000-0000-00009F550000}"/>
    <cellStyle name="Hed Side Regular 2 6 7 8" xfId="19992" xr:uid="{00000000-0005-0000-0000-0000A0550000}"/>
    <cellStyle name="Hed Side Regular 2 6 7 8 2" xfId="19993" xr:uid="{00000000-0005-0000-0000-0000A1550000}"/>
    <cellStyle name="Hed Side Regular 2 6 7 9" xfId="19994" xr:uid="{00000000-0005-0000-0000-0000A2550000}"/>
    <cellStyle name="Hed Side Regular 2 6 7 9 2" xfId="19995" xr:uid="{00000000-0005-0000-0000-0000A3550000}"/>
    <cellStyle name="Hed Side Regular 2 6 8" xfId="19996" xr:uid="{00000000-0005-0000-0000-0000A4550000}"/>
    <cellStyle name="Hed Side Regular 2 6 8 10" xfId="19997" xr:uid="{00000000-0005-0000-0000-0000A5550000}"/>
    <cellStyle name="Hed Side Regular 2 6 8 2" xfId="19998" xr:uid="{00000000-0005-0000-0000-0000A6550000}"/>
    <cellStyle name="Hed Side Regular 2 6 8 2 2" xfId="19999" xr:uid="{00000000-0005-0000-0000-0000A7550000}"/>
    <cellStyle name="Hed Side Regular 2 6 8 3" xfId="20000" xr:uid="{00000000-0005-0000-0000-0000A8550000}"/>
    <cellStyle name="Hed Side Regular 2 6 8 3 2" xfId="20001" xr:uid="{00000000-0005-0000-0000-0000A9550000}"/>
    <cellStyle name="Hed Side Regular 2 6 8 4" xfId="20002" xr:uid="{00000000-0005-0000-0000-0000AA550000}"/>
    <cellStyle name="Hed Side Regular 2 6 8 4 2" xfId="20003" xr:uid="{00000000-0005-0000-0000-0000AB550000}"/>
    <cellStyle name="Hed Side Regular 2 6 8 5" xfId="20004" xr:uid="{00000000-0005-0000-0000-0000AC550000}"/>
    <cellStyle name="Hed Side Regular 2 6 8 5 2" xfId="20005" xr:uid="{00000000-0005-0000-0000-0000AD550000}"/>
    <cellStyle name="Hed Side Regular 2 6 8 6" xfId="20006" xr:uid="{00000000-0005-0000-0000-0000AE550000}"/>
    <cellStyle name="Hed Side Regular 2 6 8 6 2" xfId="20007" xr:uid="{00000000-0005-0000-0000-0000AF550000}"/>
    <cellStyle name="Hed Side Regular 2 6 8 7" xfId="20008" xr:uid="{00000000-0005-0000-0000-0000B0550000}"/>
    <cellStyle name="Hed Side Regular 2 6 8 7 2" xfId="20009" xr:uid="{00000000-0005-0000-0000-0000B1550000}"/>
    <cellStyle name="Hed Side Regular 2 6 8 8" xfId="20010" xr:uid="{00000000-0005-0000-0000-0000B2550000}"/>
    <cellStyle name="Hed Side Regular 2 6 8 8 2" xfId="20011" xr:uid="{00000000-0005-0000-0000-0000B3550000}"/>
    <cellStyle name="Hed Side Regular 2 6 8 9" xfId="20012" xr:uid="{00000000-0005-0000-0000-0000B4550000}"/>
    <cellStyle name="Hed Side Regular 2 6 8 9 2" xfId="20013" xr:uid="{00000000-0005-0000-0000-0000B5550000}"/>
    <cellStyle name="Hed Side Regular 2 6 9" xfId="20014" xr:uid="{00000000-0005-0000-0000-0000B6550000}"/>
    <cellStyle name="Hed Side Regular 2 6 9 10" xfId="20015" xr:uid="{00000000-0005-0000-0000-0000B7550000}"/>
    <cellStyle name="Hed Side Regular 2 6 9 2" xfId="20016" xr:uid="{00000000-0005-0000-0000-0000B8550000}"/>
    <cellStyle name="Hed Side Regular 2 6 9 2 2" xfId="20017" xr:uid="{00000000-0005-0000-0000-0000B9550000}"/>
    <cellStyle name="Hed Side Regular 2 6 9 3" xfId="20018" xr:uid="{00000000-0005-0000-0000-0000BA550000}"/>
    <cellStyle name="Hed Side Regular 2 6 9 3 2" xfId="20019" xr:uid="{00000000-0005-0000-0000-0000BB550000}"/>
    <cellStyle name="Hed Side Regular 2 6 9 4" xfId="20020" xr:uid="{00000000-0005-0000-0000-0000BC550000}"/>
    <cellStyle name="Hed Side Regular 2 6 9 4 2" xfId="20021" xr:uid="{00000000-0005-0000-0000-0000BD550000}"/>
    <cellStyle name="Hed Side Regular 2 6 9 5" xfId="20022" xr:uid="{00000000-0005-0000-0000-0000BE550000}"/>
    <cellStyle name="Hed Side Regular 2 6 9 5 2" xfId="20023" xr:uid="{00000000-0005-0000-0000-0000BF550000}"/>
    <cellStyle name="Hed Side Regular 2 6 9 6" xfId="20024" xr:uid="{00000000-0005-0000-0000-0000C0550000}"/>
    <cellStyle name="Hed Side Regular 2 6 9 6 2" xfId="20025" xr:uid="{00000000-0005-0000-0000-0000C1550000}"/>
    <cellStyle name="Hed Side Regular 2 6 9 7" xfId="20026" xr:uid="{00000000-0005-0000-0000-0000C2550000}"/>
    <cellStyle name="Hed Side Regular 2 6 9 7 2" xfId="20027" xr:uid="{00000000-0005-0000-0000-0000C3550000}"/>
    <cellStyle name="Hed Side Regular 2 6 9 8" xfId="20028" xr:uid="{00000000-0005-0000-0000-0000C4550000}"/>
    <cellStyle name="Hed Side Regular 2 6 9 8 2" xfId="20029" xr:uid="{00000000-0005-0000-0000-0000C5550000}"/>
    <cellStyle name="Hed Side Regular 2 6 9 9" xfId="20030" xr:uid="{00000000-0005-0000-0000-0000C6550000}"/>
    <cellStyle name="Hed Side Regular 2 6 9 9 2" xfId="20031" xr:uid="{00000000-0005-0000-0000-0000C7550000}"/>
    <cellStyle name="Hed Side Regular 2 7" xfId="20032" xr:uid="{00000000-0005-0000-0000-0000C8550000}"/>
    <cellStyle name="Hed Side Regular 2 7 10" xfId="20033" xr:uid="{00000000-0005-0000-0000-0000C9550000}"/>
    <cellStyle name="Hed Side Regular 2 7 10 2" xfId="20034" xr:uid="{00000000-0005-0000-0000-0000CA550000}"/>
    <cellStyle name="Hed Side Regular 2 7 10 2 2" xfId="20035" xr:uid="{00000000-0005-0000-0000-0000CB550000}"/>
    <cellStyle name="Hed Side Regular 2 7 10 3" xfId="20036" xr:uid="{00000000-0005-0000-0000-0000CC550000}"/>
    <cellStyle name="Hed Side Regular 2 7 10 3 2" xfId="20037" xr:uid="{00000000-0005-0000-0000-0000CD550000}"/>
    <cellStyle name="Hed Side Regular 2 7 10 4" xfId="20038" xr:uid="{00000000-0005-0000-0000-0000CE550000}"/>
    <cellStyle name="Hed Side Regular 2 7 10 4 2" xfId="20039" xr:uid="{00000000-0005-0000-0000-0000CF550000}"/>
    <cellStyle name="Hed Side Regular 2 7 10 5" xfId="20040" xr:uid="{00000000-0005-0000-0000-0000D0550000}"/>
    <cellStyle name="Hed Side Regular 2 7 10 5 2" xfId="20041" xr:uid="{00000000-0005-0000-0000-0000D1550000}"/>
    <cellStyle name="Hed Side Regular 2 7 10 6" xfId="20042" xr:uid="{00000000-0005-0000-0000-0000D2550000}"/>
    <cellStyle name="Hed Side Regular 2 7 10 6 2" xfId="20043" xr:uid="{00000000-0005-0000-0000-0000D3550000}"/>
    <cellStyle name="Hed Side Regular 2 7 10 7" xfId="20044" xr:uid="{00000000-0005-0000-0000-0000D4550000}"/>
    <cellStyle name="Hed Side Regular 2 7 10 7 2" xfId="20045" xr:uid="{00000000-0005-0000-0000-0000D5550000}"/>
    <cellStyle name="Hed Side Regular 2 7 10 8" xfId="20046" xr:uid="{00000000-0005-0000-0000-0000D6550000}"/>
    <cellStyle name="Hed Side Regular 2 7 10 8 2" xfId="20047" xr:uid="{00000000-0005-0000-0000-0000D7550000}"/>
    <cellStyle name="Hed Side Regular 2 7 10 9" xfId="20048" xr:uid="{00000000-0005-0000-0000-0000D8550000}"/>
    <cellStyle name="Hed Side Regular 2 7 11" xfId="20049" xr:uid="{00000000-0005-0000-0000-0000D9550000}"/>
    <cellStyle name="Hed Side Regular 2 7 11 2" xfId="20050" xr:uid="{00000000-0005-0000-0000-0000DA550000}"/>
    <cellStyle name="Hed Side Regular 2 7 12" xfId="20051" xr:uid="{00000000-0005-0000-0000-0000DB550000}"/>
    <cellStyle name="Hed Side Regular 2 7 12 2" xfId="20052" xr:uid="{00000000-0005-0000-0000-0000DC550000}"/>
    <cellStyle name="Hed Side Regular 2 7 13" xfId="20053" xr:uid="{00000000-0005-0000-0000-0000DD550000}"/>
    <cellStyle name="Hed Side Regular 2 7 13 2" xfId="20054" xr:uid="{00000000-0005-0000-0000-0000DE550000}"/>
    <cellStyle name="Hed Side Regular 2 7 14" xfId="20055" xr:uid="{00000000-0005-0000-0000-0000DF550000}"/>
    <cellStyle name="Hed Side Regular 2 7 14 2" xfId="20056" xr:uid="{00000000-0005-0000-0000-0000E0550000}"/>
    <cellStyle name="Hed Side Regular 2 7 15" xfId="20057" xr:uid="{00000000-0005-0000-0000-0000E1550000}"/>
    <cellStyle name="Hed Side Regular 2 7 15 2" xfId="20058" xr:uid="{00000000-0005-0000-0000-0000E2550000}"/>
    <cellStyle name="Hed Side Regular 2 7 16" xfId="20059" xr:uid="{00000000-0005-0000-0000-0000E3550000}"/>
    <cellStyle name="Hed Side Regular 2 7 16 2" xfId="20060" xr:uid="{00000000-0005-0000-0000-0000E4550000}"/>
    <cellStyle name="Hed Side Regular 2 7 17" xfId="20061" xr:uid="{00000000-0005-0000-0000-0000E5550000}"/>
    <cellStyle name="Hed Side Regular 2 7 17 2" xfId="20062" xr:uid="{00000000-0005-0000-0000-0000E6550000}"/>
    <cellStyle name="Hed Side Regular 2 7 18" xfId="20063" xr:uid="{00000000-0005-0000-0000-0000E7550000}"/>
    <cellStyle name="Hed Side Regular 2 7 2" xfId="20064" xr:uid="{00000000-0005-0000-0000-0000E8550000}"/>
    <cellStyle name="Hed Side Regular 2 7 2 10" xfId="20065" xr:uid="{00000000-0005-0000-0000-0000E9550000}"/>
    <cellStyle name="Hed Side Regular 2 7 2 2" xfId="20066" xr:uid="{00000000-0005-0000-0000-0000EA550000}"/>
    <cellStyle name="Hed Side Regular 2 7 2 2 2" xfId="20067" xr:uid="{00000000-0005-0000-0000-0000EB550000}"/>
    <cellStyle name="Hed Side Regular 2 7 2 3" xfId="20068" xr:uid="{00000000-0005-0000-0000-0000EC550000}"/>
    <cellStyle name="Hed Side Regular 2 7 2 3 2" xfId="20069" xr:uid="{00000000-0005-0000-0000-0000ED550000}"/>
    <cellStyle name="Hed Side Regular 2 7 2 4" xfId="20070" xr:uid="{00000000-0005-0000-0000-0000EE550000}"/>
    <cellStyle name="Hed Side Regular 2 7 2 4 2" xfId="20071" xr:uid="{00000000-0005-0000-0000-0000EF550000}"/>
    <cellStyle name="Hed Side Regular 2 7 2 5" xfId="20072" xr:uid="{00000000-0005-0000-0000-0000F0550000}"/>
    <cellStyle name="Hed Side Regular 2 7 2 5 2" xfId="20073" xr:uid="{00000000-0005-0000-0000-0000F1550000}"/>
    <cellStyle name="Hed Side Regular 2 7 2 6" xfId="20074" xr:uid="{00000000-0005-0000-0000-0000F2550000}"/>
    <cellStyle name="Hed Side Regular 2 7 2 6 2" xfId="20075" xr:uid="{00000000-0005-0000-0000-0000F3550000}"/>
    <cellStyle name="Hed Side Regular 2 7 2 7" xfId="20076" xr:uid="{00000000-0005-0000-0000-0000F4550000}"/>
    <cellStyle name="Hed Side Regular 2 7 2 7 2" xfId="20077" xr:uid="{00000000-0005-0000-0000-0000F5550000}"/>
    <cellStyle name="Hed Side Regular 2 7 2 8" xfId="20078" xr:uid="{00000000-0005-0000-0000-0000F6550000}"/>
    <cellStyle name="Hed Side Regular 2 7 2 8 2" xfId="20079" xr:uid="{00000000-0005-0000-0000-0000F7550000}"/>
    <cellStyle name="Hed Side Regular 2 7 2 9" xfId="20080" xr:uid="{00000000-0005-0000-0000-0000F8550000}"/>
    <cellStyle name="Hed Side Regular 2 7 2 9 2" xfId="20081" xr:uid="{00000000-0005-0000-0000-0000F9550000}"/>
    <cellStyle name="Hed Side Regular 2 7 3" xfId="20082" xr:uid="{00000000-0005-0000-0000-0000FA550000}"/>
    <cellStyle name="Hed Side Regular 2 7 3 10" xfId="20083" xr:uid="{00000000-0005-0000-0000-0000FB550000}"/>
    <cellStyle name="Hed Side Regular 2 7 3 2" xfId="20084" xr:uid="{00000000-0005-0000-0000-0000FC550000}"/>
    <cellStyle name="Hed Side Regular 2 7 3 2 2" xfId="20085" xr:uid="{00000000-0005-0000-0000-0000FD550000}"/>
    <cellStyle name="Hed Side Regular 2 7 3 3" xfId="20086" xr:uid="{00000000-0005-0000-0000-0000FE550000}"/>
    <cellStyle name="Hed Side Regular 2 7 3 3 2" xfId="20087" xr:uid="{00000000-0005-0000-0000-0000FF550000}"/>
    <cellStyle name="Hed Side Regular 2 7 3 4" xfId="20088" xr:uid="{00000000-0005-0000-0000-000000560000}"/>
    <cellStyle name="Hed Side Regular 2 7 3 4 2" xfId="20089" xr:uid="{00000000-0005-0000-0000-000001560000}"/>
    <cellStyle name="Hed Side Regular 2 7 3 5" xfId="20090" xr:uid="{00000000-0005-0000-0000-000002560000}"/>
    <cellStyle name="Hed Side Regular 2 7 3 5 2" xfId="20091" xr:uid="{00000000-0005-0000-0000-000003560000}"/>
    <cellStyle name="Hed Side Regular 2 7 3 6" xfId="20092" xr:uid="{00000000-0005-0000-0000-000004560000}"/>
    <cellStyle name="Hed Side Regular 2 7 3 6 2" xfId="20093" xr:uid="{00000000-0005-0000-0000-000005560000}"/>
    <cellStyle name="Hed Side Regular 2 7 3 7" xfId="20094" xr:uid="{00000000-0005-0000-0000-000006560000}"/>
    <cellStyle name="Hed Side Regular 2 7 3 7 2" xfId="20095" xr:uid="{00000000-0005-0000-0000-000007560000}"/>
    <cellStyle name="Hed Side Regular 2 7 3 8" xfId="20096" xr:uid="{00000000-0005-0000-0000-000008560000}"/>
    <cellStyle name="Hed Side Regular 2 7 3 8 2" xfId="20097" xr:uid="{00000000-0005-0000-0000-000009560000}"/>
    <cellStyle name="Hed Side Regular 2 7 3 9" xfId="20098" xr:uid="{00000000-0005-0000-0000-00000A560000}"/>
    <cellStyle name="Hed Side Regular 2 7 3 9 2" xfId="20099" xr:uid="{00000000-0005-0000-0000-00000B560000}"/>
    <cellStyle name="Hed Side Regular 2 7 4" xfId="20100" xr:uid="{00000000-0005-0000-0000-00000C560000}"/>
    <cellStyle name="Hed Side Regular 2 7 4 10" xfId="20101" xr:uid="{00000000-0005-0000-0000-00000D560000}"/>
    <cellStyle name="Hed Side Regular 2 7 4 2" xfId="20102" xr:uid="{00000000-0005-0000-0000-00000E560000}"/>
    <cellStyle name="Hed Side Regular 2 7 4 2 2" xfId="20103" xr:uid="{00000000-0005-0000-0000-00000F560000}"/>
    <cellStyle name="Hed Side Regular 2 7 4 3" xfId="20104" xr:uid="{00000000-0005-0000-0000-000010560000}"/>
    <cellStyle name="Hed Side Regular 2 7 4 3 2" xfId="20105" xr:uid="{00000000-0005-0000-0000-000011560000}"/>
    <cellStyle name="Hed Side Regular 2 7 4 4" xfId="20106" xr:uid="{00000000-0005-0000-0000-000012560000}"/>
    <cellStyle name="Hed Side Regular 2 7 4 4 2" xfId="20107" xr:uid="{00000000-0005-0000-0000-000013560000}"/>
    <cellStyle name="Hed Side Regular 2 7 4 5" xfId="20108" xr:uid="{00000000-0005-0000-0000-000014560000}"/>
    <cellStyle name="Hed Side Regular 2 7 4 5 2" xfId="20109" xr:uid="{00000000-0005-0000-0000-000015560000}"/>
    <cellStyle name="Hed Side Regular 2 7 4 6" xfId="20110" xr:uid="{00000000-0005-0000-0000-000016560000}"/>
    <cellStyle name="Hed Side Regular 2 7 4 6 2" xfId="20111" xr:uid="{00000000-0005-0000-0000-000017560000}"/>
    <cellStyle name="Hed Side Regular 2 7 4 7" xfId="20112" xr:uid="{00000000-0005-0000-0000-000018560000}"/>
    <cellStyle name="Hed Side Regular 2 7 4 7 2" xfId="20113" xr:uid="{00000000-0005-0000-0000-000019560000}"/>
    <cellStyle name="Hed Side Regular 2 7 4 8" xfId="20114" xr:uid="{00000000-0005-0000-0000-00001A560000}"/>
    <cellStyle name="Hed Side Regular 2 7 4 8 2" xfId="20115" xr:uid="{00000000-0005-0000-0000-00001B560000}"/>
    <cellStyle name="Hed Side Regular 2 7 4 9" xfId="20116" xr:uid="{00000000-0005-0000-0000-00001C560000}"/>
    <cellStyle name="Hed Side Regular 2 7 4 9 2" xfId="20117" xr:uid="{00000000-0005-0000-0000-00001D560000}"/>
    <cellStyle name="Hed Side Regular 2 7 5" xfId="20118" xr:uid="{00000000-0005-0000-0000-00001E560000}"/>
    <cellStyle name="Hed Side Regular 2 7 5 10" xfId="20119" xr:uid="{00000000-0005-0000-0000-00001F560000}"/>
    <cellStyle name="Hed Side Regular 2 7 5 2" xfId="20120" xr:uid="{00000000-0005-0000-0000-000020560000}"/>
    <cellStyle name="Hed Side Regular 2 7 5 2 2" xfId="20121" xr:uid="{00000000-0005-0000-0000-000021560000}"/>
    <cellStyle name="Hed Side Regular 2 7 5 3" xfId="20122" xr:uid="{00000000-0005-0000-0000-000022560000}"/>
    <cellStyle name="Hed Side Regular 2 7 5 3 2" xfId="20123" xr:uid="{00000000-0005-0000-0000-000023560000}"/>
    <cellStyle name="Hed Side Regular 2 7 5 4" xfId="20124" xr:uid="{00000000-0005-0000-0000-000024560000}"/>
    <cellStyle name="Hed Side Regular 2 7 5 4 2" xfId="20125" xr:uid="{00000000-0005-0000-0000-000025560000}"/>
    <cellStyle name="Hed Side Regular 2 7 5 5" xfId="20126" xr:uid="{00000000-0005-0000-0000-000026560000}"/>
    <cellStyle name="Hed Side Regular 2 7 5 5 2" xfId="20127" xr:uid="{00000000-0005-0000-0000-000027560000}"/>
    <cellStyle name="Hed Side Regular 2 7 5 6" xfId="20128" xr:uid="{00000000-0005-0000-0000-000028560000}"/>
    <cellStyle name="Hed Side Regular 2 7 5 6 2" xfId="20129" xr:uid="{00000000-0005-0000-0000-000029560000}"/>
    <cellStyle name="Hed Side Regular 2 7 5 7" xfId="20130" xr:uid="{00000000-0005-0000-0000-00002A560000}"/>
    <cellStyle name="Hed Side Regular 2 7 5 7 2" xfId="20131" xr:uid="{00000000-0005-0000-0000-00002B560000}"/>
    <cellStyle name="Hed Side Regular 2 7 5 8" xfId="20132" xr:uid="{00000000-0005-0000-0000-00002C560000}"/>
    <cellStyle name="Hed Side Regular 2 7 5 8 2" xfId="20133" xr:uid="{00000000-0005-0000-0000-00002D560000}"/>
    <cellStyle name="Hed Side Regular 2 7 5 9" xfId="20134" xr:uid="{00000000-0005-0000-0000-00002E560000}"/>
    <cellStyle name="Hed Side Regular 2 7 5 9 2" xfId="20135" xr:uid="{00000000-0005-0000-0000-00002F560000}"/>
    <cellStyle name="Hed Side Regular 2 7 6" xfId="20136" xr:uid="{00000000-0005-0000-0000-000030560000}"/>
    <cellStyle name="Hed Side Regular 2 7 6 10" xfId="20137" xr:uid="{00000000-0005-0000-0000-000031560000}"/>
    <cellStyle name="Hed Side Regular 2 7 6 2" xfId="20138" xr:uid="{00000000-0005-0000-0000-000032560000}"/>
    <cellStyle name="Hed Side Regular 2 7 6 2 2" xfId="20139" xr:uid="{00000000-0005-0000-0000-000033560000}"/>
    <cellStyle name="Hed Side Regular 2 7 6 3" xfId="20140" xr:uid="{00000000-0005-0000-0000-000034560000}"/>
    <cellStyle name="Hed Side Regular 2 7 6 3 2" xfId="20141" xr:uid="{00000000-0005-0000-0000-000035560000}"/>
    <cellStyle name="Hed Side Regular 2 7 6 4" xfId="20142" xr:uid="{00000000-0005-0000-0000-000036560000}"/>
    <cellStyle name="Hed Side Regular 2 7 6 4 2" xfId="20143" xr:uid="{00000000-0005-0000-0000-000037560000}"/>
    <cellStyle name="Hed Side Regular 2 7 6 5" xfId="20144" xr:uid="{00000000-0005-0000-0000-000038560000}"/>
    <cellStyle name="Hed Side Regular 2 7 6 5 2" xfId="20145" xr:uid="{00000000-0005-0000-0000-000039560000}"/>
    <cellStyle name="Hed Side Regular 2 7 6 6" xfId="20146" xr:uid="{00000000-0005-0000-0000-00003A560000}"/>
    <cellStyle name="Hed Side Regular 2 7 6 6 2" xfId="20147" xr:uid="{00000000-0005-0000-0000-00003B560000}"/>
    <cellStyle name="Hed Side Regular 2 7 6 7" xfId="20148" xr:uid="{00000000-0005-0000-0000-00003C560000}"/>
    <cellStyle name="Hed Side Regular 2 7 6 7 2" xfId="20149" xr:uid="{00000000-0005-0000-0000-00003D560000}"/>
    <cellStyle name="Hed Side Regular 2 7 6 8" xfId="20150" xr:uid="{00000000-0005-0000-0000-00003E560000}"/>
    <cellStyle name="Hed Side Regular 2 7 6 8 2" xfId="20151" xr:uid="{00000000-0005-0000-0000-00003F560000}"/>
    <cellStyle name="Hed Side Regular 2 7 6 9" xfId="20152" xr:uid="{00000000-0005-0000-0000-000040560000}"/>
    <cellStyle name="Hed Side Regular 2 7 6 9 2" xfId="20153" xr:uid="{00000000-0005-0000-0000-000041560000}"/>
    <cellStyle name="Hed Side Regular 2 7 7" xfId="20154" xr:uid="{00000000-0005-0000-0000-000042560000}"/>
    <cellStyle name="Hed Side Regular 2 7 7 10" xfId="20155" xr:uid="{00000000-0005-0000-0000-000043560000}"/>
    <cellStyle name="Hed Side Regular 2 7 7 2" xfId="20156" xr:uid="{00000000-0005-0000-0000-000044560000}"/>
    <cellStyle name="Hed Side Regular 2 7 7 2 2" xfId="20157" xr:uid="{00000000-0005-0000-0000-000045560000}"/>
    <cellStyle name="Hed Side Regular 2 7 7 3" xfId="20158" xr:uid="{00000000-0005-0000-0000-000046560000}"/>
    <cellStyle name="Hed Side Regular 2 7 7 3 2" xfId="20159" xr:uid="{00000000-0005-0000-0000-000047560000}"/>
    <cellStyle name="Hed Side Regular 2 7 7 4" xfId="20160" xr:uid="{00000000-0005-0000-0000-000048560000}"/>
    <cellStyle name="Hed Side Regular 2 7 7 4 2" xfId="20161" xr:uid="{00000000-0005-0000-0000-000049560000}"/>
    <cellStyle name="Hed Side Regular 2 7 7 5" xfId="20162" xr:uid="{00000000-0005-0000-0000-00004A560000}"/>
    <cellStyle name="Hed Side Regular 2 7 7 5 2" xfId="20163" xr:uid="{00000000-0005-0000-0000-00004B560000}"/>
    <cellStyle name="Hed Side Regular 2 7 7 6" xfId="20164" xr:uid="{00000000-0005-0000-0000-00004C560000}"/>
    <cellStyle name="Hed Side Regular 2 7 7 6 2" xfId="20165" xr:uid="{00000000-0005-0000-0000-00004D560000}"/>
    <cellStyle name="Hed Side Regular 2 7 7 7" xfId="20166" xr:uid="{00000000-0005-0000-0000-00004E560000}"/>
    <cellStyle name="Hed Side Regular 2 7 7 7 2" xfId="20167" xr:uid="{00000000-0005-0000-0000-00004F560000}"/>
    <cellStyle name="Hed Side Regular 2 7 7 8" xfId="20168" xr:uid="{00000000-0005-0000-0000-000050560000}"/>
    <cellStyle name="Hed Side Regular 2 7 7 8 2" xfId="20169" xr:uid="{00000000-0005-0000-0000-000051560000}"/>
    <cellStyle name="Hed Side Regular 2 7 7 9" xfId="20170" xr:uid="{00000000-0005-0000-0000-000052560000}"/>
    <cellStyle name="Hed Side Regular 2 7 7 9 2" xfId="20171" xr:uid="{00000000-0005-0000-0000-000053560000}"/>
    <cellStyle name="Hed Side Regular 2 7 8" xfId="20172" xr:uid="{00000000-0005-0000-0000-000054560000}"/>
    <cellStyle name="Hed Side Regular 2 7 8 10" xfId="20173" xr:uid="{00000000-0005-0000-0000-000055560000}"/>
    <cellStyle name="Hed Side Regular 2 7 8 2" xfId="20174" xr:uid="{00000000-0005-0000-0000-000056560000}"/>
    <cellStyle name="Hed Side Regular 2 7 8 2 2" xfId="20175" xr:uid="{00000000-0005-0000-0000-000057560000}"/>
    <cellStyle name="Hed Side Regular 2 7 8 3" xfId="20176" xr:uid="{00000000-0005-0000-0000-000058560000}"/>
    <cellStyle name="Hed Side Regular 2 7 8 3 2" xfId="20177" xr:uid="{00000000-0005-0000-0000-000059560000}"/>
    <cellStyle name="Hed Side Regular 2 7 8 4" xfId="20178" xr:uid="{00000000-0005-0000-0000-00005A560000}"/>
    <cellStyle name="Hed Side Regular 2 7 8 4 2" xfId="20179" xr:uid="{00000000-0005-0000-0000-00005B560000}"/>
    <cellStyle name="Hed Side Regular 2 7 8 5" xfId="20180" xr:uid="{00000000-0005-0000-0000-00005C560000}"/>
    <cellStyle name="Hed Side Regular 2 7 8 5 2" xfId="20181" xr:uid="{00000000-0005-0000-0000-00005D560000}"/>
    <cellStyle name="Hed Side Regular 2 7 8 6" xfId="20182" xr:uid="{00000000-0005-0000-0000-00005E560000}"/>
    <cellStyle name="Hed Side Regular 2 7 8 6 2" xfId="20183" xr:uid="{00000000-0005-0000-0000-00005F560000}"/>
    <cellStyle name="Hed Side Regular 2 7 8 7" xfId="20184" xr:uid="{00000000-0005-0000-0000-000060560000}"/>
    <cellStyle name="Hed Side Regular 2 7 8 7 2" xfId="20185" xr:uid="{00000000-0005-0000-0000-000061560000}"/>
    <cellStyle name="Hed Side Regular 2 7 8 8" xfId="20186" xr:uid="{00000000-0005-0000-0000-000062560000}"/>
    <cellStyle name="Hed Side Regular 2 7 8 8 2" xfId="20187" xr:uid="{00000000-0005-0000-0000-000063560000}"/>
    <cellStyle name="Hed Side Regular 2 7 8 9" xfId="20188" xr:uid="{00000000-0005-0000-0000-000064560000}"/>
    <cellStyle name="Hed Side Regular 2 7 8 9 2" xfId="20189" xr:uid="{00000000-0005-0000-0000-000065560000}"/>
    <cellStyle name="Hed Side Regular 2 7 9" xfId="20190" xr:uid="{00000000-0005-0000-0000-000066560000}"/>
    <cellStyle name="Hed Side Regular 2 7 9 10" xfId="20191" xr:uid="{00000000-0005-0000-0000-000067560000}"/>
    <cellStyle name="Hed Side Regular 2 7 9 2" xfId="20192" xr:uid="{00000000-0005-0000-0000-000068560000}"/>
    <cellStyle name="Hed Side Regular 2 7 9 2 2" xfId="20193" xr:uid="{00000000-0005-0000-0000-000069560000}"/>
    <cellStyle name="Hed Side Regular 2 7 9 3" xfId="20194" xr:uid="{00000000-0005-0000-0000-00006A560000}"/>
    <cellStyle name="Hed Side Regular 2 7 9 3 2" xfId="20195" xr:uid="{00000000-0005-0000-0000-00006B560000}"/>
    <cellStyle name="Hed Side Regular 2 7 9 4" xfId="20196" xr:uid="{00000000-0005-0000-0000-00006C560000}"/>
    <cellStyle name="Hed Side Regular 2 7 9 4 2" xfId="20197" xr:uid="{00000000-0005-0000-0000-00006D560000}"/>
    <cellStyle name="Hed Side Regular 2 7 9 5" xfId="20198" xr:uid="{00000000-0005-0000-0000-00006E560000}"/>
    <cellStyle name="Hed Side Regular 2 7 9 5 2" xfId="20199" xr:uid="{00000000-0005-0000-0000-00006F560000}"/>
    <cellStyle name="Hed Side Regular 2 7 9 6" xfId="20200" xr:uid="{00000000-0005-0000-0000-000070560000}"/>
    <cellStyle name="Hed Side Regular 2 7 9 6 2" xfId="20201" xr:uid="{00000000-0005-0000-0000-000071560000}"/>
    <cellStyle name="Hed Side Regular 2 7 9 7" xfId="20202" xr:uid="{00000000-0005-0000-0000-000072560000}"/>
    <cellStyle name="Hed Side Regular 2 7 9 7 2" xfId="20203" xr:uid="{00000000-0005-0000-0000-000073560000}"/>
    <cellStyle name="Hed Side Regular 2 7 9 8" xfId="20204" xr:uid="{00000000-0005-0000-0000-000074560000}"/>
    <cellStyle name="Hed Side Regular 2 7 9 8 2" xfId="20205" xr:uid="{00000000-0005-0000-0000-000075560000}"/>
    <cellStyle name="Hed Side Regular 2 7 9 9" xfId="20206" xr:uid="{00000000-0005-0000-0000-000076560000}"/>
    <cellStyle name="Hed Side Regular 2 7 9 9 2" xfId="20207" xr:uid="{00000000-0005-0000-0000-000077560000}"/>
    <cellStyle name="Hed Side Regular 2 8" xfId="20208" xr:uid="{00000000-0005-0000-0000-000078560000}"/>
    <cellStyle name="Hed Side Regular 2 8 10" xfId="20209" xr:uid="{00000000-0005-0000-0000-000079560000}"/>
    <cellStyle name="Hed Side Regular 2 8 10 2" xfId="20210" xr:uid="{00000000-0005-0000-0000-00007A560000}"/>
    <cellStyle name="Hed Side Regular 2 8 10 2 2" xfId="20211" xr:uid="{00000000-0005-0000-0000-00007B560000}"/>
    <cellStyle name="Hed Side Regular 2 8 10 3" xfId="20212" xr:uid="{00000000-0005-0000-0000-00007C560000}"/>
    <cellStyle name="Hed Side Regular 2 8 10 3 2" xfId="20213" xr:uid="{00000000-0005-0000-0000-00007D560000}"/>
    <cellStyle name="Hed Side Regular 2 8 10 4" xfId="20214" xr:uid="{00000000-0005-0000-0000-00007E560000}"/>
    <cellStyle name="Hed Side Regular 2 8 10 4 2" xfId="20215" xr:uid="{00000000-0005-0000-0000-00007F560000}"/>
    <cellStyle name="Hed Side Regular 2 8 10 5" xfId="20216" xr:uid="{00000000-0005-0000-0000-000080560000}"/>
    <cellStyle name="Hed Side Regular 2 8 10 5 2" xfId="20217" xr:uid="{00000000-0005-0000-0000-000081560000}"/>
    <cellStyle name="Hed Side Regular 2 8 10 6" xfId="20218" xr:uid="{00000000-0005-0000-0000-000082560000}"/>
    <cellStyle name="Hed Side Regular 2 8 10 6 2" xfId="20219" xr:uid="{00000000-0005-0000-0000-000083560000}"/>
    <cellStyle name="Hed Side Regular 2 8 10 7" xfId="20220" xr:uid="{00000000-0005-0000-0000-000084560000}"/>
    <cellStyle name="Hed Side Regular 2 8 10 7 2" xfId="20221" xr:uid="{00000000-0005-0000-0000-000085560000}"/>
    <cellStyle name="Hed Side Regular 2 8 10 8" xfId="20222" xr:uid="{00000000-0005-0000-0000-000086560000}"/>
    <cellStyle name="Hed Side Regular 2 8 10 8 2" xfId="20223" xr:uid="{00000000-0005-0000-0000-000087560000}"/>
    <cellStyle name="Hed Side Regular 2 8 10 9" xfId="20224" xr:uid="{00000000-0005-0000-0000-000088560000}"/>
    <cellStyle name="Hed Side Regular 2 8 11" xfId="20225" xr:uid="{00000000-0005-0000-0000-000089560000}"/>
    <cellStyle name="Hed Side Regular 2 8 11 2" xfId="20226" xr:uid="{00000000-0005-0000-0000-00008A560000}"/>
    <cellStyle name="Hed Side Regular 2 8 12" xfId="20227" xr:uid="{00000000-0005-0000-0000-00008B560000}"/>
    <cellStyle name="Hed Side Regular 2 8 12 2" xfId="20228" xr:uid="{00000000-0005-0000-0000-00008C560000}"/>
    <cellStyle name="Hed Side Regular 2 8 13" xfId="20229" xr:uid="{00000000-0005-0000-0000-00008D560000}"/>
    <cellStyle name="Hed Side Regular 2 8 13 2" xfId="20230" xr:uid="{00000000-0005-0000-0000-00008E560000}"/>
    <cellStyle name="Hed Side Regular 2 8 14" xfId="20231" xr:uid="{00000000-0005-0000-0000-00008F560000}"/>
    <cellStyle name="Hed Side Regular 2 8 14 2" xfId="20232" xr:uid="{00000000-0005-0000-0000-000090560000}"/>
    <cellStyle name="Hed Side Regular 2 8 15" xfId="20233" xr:uid="{00000000-0005-0000-0000-000091560000}"/>
    <cellStyle name="Hed Side Regular 2 8 15 2" xfId="20234" xr:uid="{00000000-0005-0000-0000-000092560000}"/>
    <cellStyle name="Hed Side Regular 2 8 16" xfId="20235" xr:uid="{00000000-0005-0000-0000-000093560000}"/>
    <cellStyle name="Hed Side Regular 2 8 16 2" xfId="20236" xr:uid="{00000000-0005-0000-0000-000094560000}"/>
    <cellStyle name="Hed Side Regular 2 8 17" xfId="20237" xr:uid="{00000000-0005-0000-0000-000095560000}"/>
    <cellStyle name="Hed Side Regular 2 8 17 2" xfId="20238" xr:uid="{00000000-0005-0000-0000-000096560000}"/>
    <cellStyle name="Hed Side Regular 2 8 18" xfId="20239" xr:uid="{00000000-0005-0000-0000-000097560000}"/>
    <cellStyle name="Hed Side Regular 2 8 2" xfId="20240" xr:uid="{00000000-0005-0000-0000-000098560000}"/>
    <cellStyle name="Hed Side Regular 2 8 2 10" xfId="20241" xr:uid="{00000000-0005-0000-0000-000099560000}"/>
    <cellStyle name="Hed Side Regular 2 8 2 2" xfId="20242" xr:uid="{00000000-0005-0000-0000-00009A560000}"/>
    <cellStyle name="Hed Side Regular 2 8 2 2 2" xfId="20243" xr:uid="{00000000-0005-0000-0000-00009B560000}"/>
    <cellStyle name="Hed Side Regular 2 8 2 3" xfId="20244" xr:uid="{00000000-0005-0000-0000-00009C560000}"/>
    <cellStyle name="Hed Side Regular 2 8 2 3 2" xfId="20245" xr:uid="{00000000-0005-0000-0000-00009D560000}"/>
    <cellStyle name="Hed Side Regular 2 8 2 4" xfId="20246" xr:uid="{00000000-0005-0000-0000-00009E560000}"/>
    <cellStyle name="Hed Side Regular 2 8 2 4 2" xfId="20247" xr:uid="{00000000-0005-0000-0000-00009F560000}"/>
    <cellStyle name="Hed Side Regular 2 8 2 5" xfId="20248" xr:uid="{00000000-0005-0000-0000-0000A0560000}"/>
    <cellStyle name="Hed Side Regular 2 8 2 5 2" xfId="20249" xr:uid="{00000000-0005-0000-0000-0000A1560000}"/>
    <cellStyle name="Hed Side Regular 2 8 2 6" xfId="20250" xr:uid="{00000000-0005-0000-0000-0000A2560000}"/>
    <cellStyle name="Hed Side Regular 2 8 2 6 2" xfId="20251" xr:uid="{00000000-0005-0000-0000-0000A3560000}"/>
    <cellStyle name="Hed Side Regular 2 8 2 7" xfId="20252" xr:uid="{00000000-0005-0000-0000-0000A4560000}"/>
    <cellStyle name="Hed Side Regular 2 8 2 7 2" xfId="20253" xr:uid="{00000000-0005-0000-0000-0000A5560000}"/>
    <cellStyle name="Hed Side Regular 2 8 2 8" xfId="20254" xr:uid="{00000000-0005-0000-0000-0000A6560000}"/>
    <cellStyle name="Hed Side Regular 2 8 2 8 2" xfId="20255" xr:uid="{00000000-0005-0000-0000-0000A7560000}"/>
    <cellStyle name="Hed Side Regular 2 8 2 9" xfId="20256" xr:uid="{00000000-0005-0000-0000-0000A8560000}"/>
    <cellStyle name="Hed Side Regular 2 8 2 9 2" xfId="20257" xr:uid="{00000000-0005-0000-0000-0000A9560000}"/>
    <cellStyle name="Hed Side Regular 2 8 3" xfId="20258" xr:uid="{00000000-0005-0000-0000-0000AA560000}"/>
    <cellStyle name="Hed Side Regular 2 8 3 10" xfId="20259" xr:uid="{00000000-0005-0000-0000-0000AB560000}"/>
    <cellStyle name="Hed Side Regular 2 8 3 2" xfId="20260" xr:uid="{00000000-0005-0000-0000-0000AC560000}"/>
    <cellStyle name="Hed Side Regular 2 8 3 2 2" xfId="20261" xr:uid="{00000000-0005-0000-0000-0000AD560000}"/>
    <cellStyle name="Hed Side Regular 2 8 3 3" xfId="20262" xr:uid="{00000000-0005-0000-0000-0000AE560000}"/>
    <cellStyle name="Hed Side Regular 2 8 3 3 2" xfId="20263" xr:uid="{00000000-0005-0000-0000-0000AF560000}"/>
    <cellStyle name="Hed Side Regular 2 8 3 4" xfId="20264" xr:uid="{00000000-0005-0000-0000-0000B0560000}"/>
    <cellStyle name="Hed Side Regular 2 8 3 4 2" xfId="20265" xr:uid="{00000000-0005-0000-0000-0000B1560000}"/>
    <cellStyle name="Hed Side Regular 2 8 3 5" xfId="20266" xr:uid="{00000000-0005-0000-0000-0000B2560000}"/>
    <cellStyle name="Hed Side Regular 2 8 3 5 2" xfId="20267" xr:uid="{00000000-0005-0000-0000-0000B3560000}"/>
    <cellStyle name="Hed Side Regular 2 8 3 6" xfId="20268" xr:uid="{00000000-0005-0000-0000-0000B4560000}"/>
    <cellStyle name="Hed Side Regular 2 8 3 6 2" xfId="20269" xr:uid="{00000000-0005-0000-0000-0000B5560000}"/>
    <cellStyle name="Hed Side Regular 2 8 3 7" xfId="20270" xr:uid="{00000000-0005-0000-0000-0000B6560000}"/>
    <cellStyle name="Hed Side Regular 2 8 3 7 2" xfId="20271" xr:uid="{00000000-0005-0000-0000-0000B7560000}"/>
    <cellStyle name="Hed Side Regular 2 8 3 8" xfId="20272" xr:uid="{00000000-0005-0000-0000-0000B8560000}"/>
    <cellStyle name="Hed Side Regular 2 8 3 8 2" xfId="20273" xr:uid="{00000000-0005-0000-0000-0000B9560000}"/>
    <cellStyle name="Hed Side Regular 2 8 3 9" xfId="20274" xr:uid="{00000000-0005-0000-0000-0000BA560000}"/>
    <cellStyle name="Hed Side Regular 2 8 3 9 2" xfId="20275" xr:uid="{00000000-0005-0000-0000-0000BB560000}"/>
    <cellStyle name="Hed Side Regular 2 8 4" xfId="20276" xr:uid="{00000000-0005-0000-0000-0000BC560000}"/>
    <cellStyle name="Hed Side Regular 2 8 4 10" xfId="20277" xr:uid="{00000000-0005-0000-0000-0000BD560000}"/>
    <cellStyle name="Hed Side Regular 2 8 4 2" xfId="20278" xr:uid="{00000000-0005-0000-0000-0000BE560000}"/>
    <cellStyle name="Hed Side Regular 2 8 4 2 2" xfId="20279" xr:uid="{00000000-0005-0000-0000-0000BF560000}"/>
    <cellStyle name="Hed Side Regular 2 8 4 3" xfId="20280" xr:uid="{00000000-0005-0000-0000-0000C0560000}"/>
    <cellStyle name="Hed Side Regular 2 8 4 3 2" xfId="20281" xr:uid="{00000000-0005-0000-0000-0000C1560000}"/>
    <cellStyle name="Hed Side Regular 2 8 4 4" xfId="20282" xr:uid="{00000000-0005-0000-0000-0000C2560000}"/>
    <cellStyle name="Hed Side Regular 2 8 4 4 2" xfId="20283" xr:uid="{00000000-0005-0000-0000-0000C3560000}"/>
    <cellStyle name="Hed Side Regular 2 8 4 5" xfId="20284" xr:uid="{00000000-0005-0000-0000-0000C4560000}"/>
    <cellStyle name="Hed Side Regular 2 8 4 5 2" xfId="20285" xr:uid="{00000000-0005-0000-0000-0000C5560000}"/>
    <cellStyle name="Hed Side Regular 2 8 4 6" xfId="20286" xr:uid="{00000000-0005-0000-0000-0000C6560000}"/>
    <cellStyle name="Hed Side Regular 2 8 4 6 2" xfId="20287" xr:uid="{00000000-0005-0000-0000-0000C7560000}"/>
    <cellStyle name="Hed Side Regular 2 8 4 7" xfId="20288" xr:uid="{00000000-0005-0000-0000-0000C8560000}"/>
    <cellStyle name="Hed Side Regular 2 8 4 7 2" xfId="20289" xr:uid="{00000000-0005-0000-0000-0000C9560000}"/>
    <cellStyle name="Hed Side Regular 2 8 4 8" xfId="20290" xr:uid="{00000000-0005-0000-0000-0000CA560000}"/>
    <cellStyle name="Hed Side Regular 2 8 4 8 2" xfId="20291" xr:uid="{00000000-0005-0000-0000-0000CB560000}"/>
    <cellStyle name="Hed Side Regular 2 8 4 9" xfId="20292" xr:uid="{00000000-0005-0000-0000-0000CC560000}"/>
    <cellStyle name="Hed Side Regular 2 8 4 9 2" xfId="20293" xr:uid="{00000000-0005-0000-0000-0000CD560000}"/>
    <cellStyle name="Hed Side Regular 2 8 5" xfId="20294" xr:uid="{00000000-0005-0000-0000-0000CE560000}"/>
    <cellStyle name="Hed Side Regular 2 8 5 10" xfId="20295" xr:uid="{00000000-0005-0000-0000-0000CF560000}"/>
    <cellStyle name="Hed Side Regular 2 8 5 2" xfId="20296" xr:uid="{00000000-0005-0000-0000-0000D0560000}"/>
    <cellStyle name="Hed Side Regular 2 8 5 2 2" xfId="20297" xr:uid="{00000000-0005-0000-0000-0000D1560000}"/>
    <cellStyle name="Hed Side Regular 2 8 5 3" xfId="20298" xr:uid="{00000000-0005-0000-0000-0000D2560000}"/>
    <cellStyle name="Hed Side Regular 2 8 5 3 2" xfId="20299" xr:uid="{00000000-0005-0000-0000-0000D3560000}"/>
    <cellStyle name="Hed Side Regular 2 8 5 4" xfId="20300" xr:uid="{00000000-0005-0000-0000-0000D4560000}"/>
    <cellStyle name="Hed Side Regular 2 8 5 4 2" xfId="20301" xr:uid="{00000000-0005-0000-0000-0000D5560000}"/>
    <cellStyle name="Hed Side Regular 2 8 5 5" xfId="20302" xr:uid="{00000000-0005-0000-0000-0000D6560000}"/>
    <cellStyle name="Hed Side Regular 2 8 5 5 2" xfId="20303" xr:uid="{00000000-0005-0000-0000-0000D7560000}"/>
    <cellStyle name="Hed Side Regular 2 8 5 6" xfId="20304" xr:uid="{00000000-0005-0000-0000-0000D8560000}"/>
    <cellStyle name="Hed Side Regular 2 8 5 6 2" xfId="20305" xr:uid="{00000000-0005-0000-0000-0000D9560000}"/>
    <cellStyle name="Hed Side Regular 2 8 5 7" xfId="20306" xr:uid="{00000000-0005-0000-0000-0000DA560000}"/>
    <cellStyle name="Hed Side Regular 2 8 5 7 2" xfId="20307" xr:uid="{00000000-0005-0000-0000-0000DB560000}"/>
    <cellStyle name="Hed Side Regular 2 8 5 8" xfId="20308" xr:uid="{00000000-0005-0000-0000-0000DC560000}"/>
    <cellStyle name="Hed Side Regular 2 8 5 8 2" xfId="20309" xr:uid="{00000000-0005-0000-0000-0000DD560000}"/>
    <cellStyle name="Hed Side Regular 2 8 5 9" xfId="20310" xr:uid="{00000000-0005-0000-0000-0000DE560000}"/>
    <cellStyle name="Hed Side Regular 2 8 5 9 2" xfId="20311" xr:uid="{00000000-0005-0000-0000-0000DF560000}"/>
    <cellStyle name="Hed Side Regular 2 8 6" xfId="20312" xr:uid="{00000000-0005-0000-0000-0000E0560000}"/>
    <cellStyle name="Hed Side Regular 2 8 6 10" xfId="20313" xr:uid="{00000000-0005-0000-0000-0000E1560000}"/>
    <cellStyle name="Hed Side Regular 2 8 6 2" xfId="20314" xr:uid="{00000000-0005-0000-0000-0000E2560000}"/>
    <cellStyle name="Hed Side Regular 2 8 6 2 2" xfId="20315" xr:uid="{00000000-0005-0000-0000-0000E3560000}"/>
    <cellStyle name="Hed Side Regular 2 8 6 3" xfId="20316" xr:uid="{00000000-0005-0000-0000-0000E4560000}"/>
    <cellStyle name="Hed Side Regular 2 8 6 3 2" xfId="20317" xr:uid="{00000000-0005-0000-0000-0000E5560000}"/>
    <cellStyle name="Hed Side Regular 2 8 6 4" xfId="20318" xr:uid="{00000000-0005-0000-0000-0000E6560000}"/>
    <cellStyle name="Hed Side Regular 2 8 6 4 2" xfId="20319" xr:uid="{00000000-0005-0000-0000-0000E7560000}"/>
    <cellStyle name="Hed Side Regular 2 8 6 5" xfId="20320" xr:uid="{00000000-0005-0000-0000-0000E8560000}"/>
    <cellStyle name="Hed Side Regular 2 8 6 5 2" xfId="20321" xr:uid="{00000000-0005-0000-0000-0000E9560000}"/>
    <cellStyle name="Hed Side Regular 2 8 6 6" xfId="20322" xr:uid="{00000000-0005-0000-0000-0000EA560000}"/>
    <cellStyle name="Hed Side Regular 2 8 6 6 2" xfId="20323" xr:uid="{00000000-0005-0000-0000-0000EB560000}"/>
    <cellStyle name="Hed Side Regular 2 8 6 7" xfId="20324" xr:uid="{00000000-0005-0000-0000-0000EC560000}"/>
    <cellStyle name="Hed Side Regular 2 8 6 7 2" xfId="20325" xr:uid="{00000000-0005-0000-0000-0000ED560000}"/>
    <cellStyle name="Hed Side Regular 2 8 6 8" xfId="20326" xr:uid="{00000000-0005-0000-0000-0000EE560000}"/>
    <cellStyle name="Hed Side Regular 2 8 6 8 2" xfId="20327" xr:uid="{00000000-0005-0000-0000-0000EF560000}"/>
    <cellStyle name="Hed Side Regular 2 8 6 9" xfId="20328" xr:uid="{00000000-0005-0000-0000-0000F0560000}"/>
    <cellStyle name="Hed Side Regular 2 8 6 9 2" xfId="20329" xr:uid="{00000000-0005-0000-0000-0000F1560000}"/>
    <cellStyle name="Hed Side Regular 2 8 7" xfId="20330" xr:uid="{00000000-0005-0000-0000-0000F2560000}"/>
    <cellStyle name="Hed Side Regular 2 8 7 10" xfId="20331" xr:uid="{00000000-0005-0000-0000-0000F3560000}"/>
    <cellStyle name="Hed Side Regular 2 8 7 2" xfId="20332" xr:uid="{00000000-0005-0000-0000-0000F4560000}"/>
    <cellStyle name="Hed Side Regular 2 8 7 2 2" xfId="20333" xr:uid="{00000000-0005-0000-0000-0000F5560000}"/>
    <cellStyle name="Hed Side Regular 2 8 7 3" xfId="20334" xr:uid="{00000000-0005-0000-0000-0000F6560000}"/>
    <cellStyle name="Hed Side Regular 2 8 7 3 2" xfId="20335" xr:uid="{00000000-0005-0000-0000-0000F7560000}"/>
    <cellStyle name="Hed Side Regular 2 8 7 4" xfId="20336" xr:uid="{00000000-0005-0000-0000-0000F8560000}"/>
    <cellStyle name="Hed Side Regular 2 8 7 4 2" xfId="20337" xr:uid="{00000000-0005-0000-0000-0000F9560000}"/>
    <cellStyle name="Hed Side Regular 2 8 7 5" xfId="20338" xr:uid="{00000000-0005-0000-0000-0000FA560000}"/>
    <cellStyle name="Hed Side Regular 2 8 7 5 2" xfId="20339" xr:uid="{00000000-0005-0000-0000-0000FB560000}"/>
    <cellStyle name="Hed Side Regular 2 8 7 6" xfId="20340" xr:uid="{00000000-0005-0000-0000-0000FC560000}"/>
    <cellStyle name="Hed Side Regular 2 8 7 6 2" xfId="20341" xr:uid="{00000000-0005-0000-0000-0000FD560000}"/>
    <cellStyle name="Hed Side Regular 2 8 7 7" xfId="20342" xr:uid="{00000000-0005-0000-0000-0000FE560000}"/>
    <cellStyle name="Hed Side Regular 2 8 7 7 2" xfId="20343" xr:uid="{00000000-0005-0000-0000-0000FF560000}"/>
    <cellStyle name="Hed Side Regular 2 8 7 8" xfId="20344" xr:uid="{00000000-0005-0000-0000-000000570000}"/>
    <cellStyle name="Hed Side Regular 2 8 7 8 2" xfId="20345" xr:uid="{00000000-0005-0000-0000-000001570000}"/>
    <cellStyle name="Hed Side Regular 2 8 7 9" xfId="20346" xr:uid="{00000000-0005-0000-0000-000002570000}"/>
    <cellStyle name="Hed Side Regular 2 8 7 9 2" xfId="20347" xr:uid="{00000000-0005-0000-0000-000003570000}"/>
    <cellStyle name="Hed Side Regular 2 8 8" xfId="20348" xr:uid="{00000000-0005-0000-0000-000004570000}"/>
    <cellStyle name="Hed Side Regular 2 8 8 10" xfId="20349" xr:uid="{00000000-0005-0000-0000-000005570000}"/>
    <cellStyle name="Hed Side Regular 2 8 8 2" xfId="20350" xr:uid="{00000000-0005-0000-0000-000006570000}"/>
    <cellStyle name="Hed Side Regular 2 8 8 2 2" xfId="20351" xr:uid="{00000000-0005-0000-0000-000007570000}"/>
    <cellStyle name="Hed Side Regular 2 8 8 3" xfId="20352" xr:uid="{00000000-0005-0000-0000-000008570000}"/>
    <cellStyle name="Hed Side Regular 2 8 8 3 2" xfId="20353" xr:uid="{00000000-0005-0000-0000-000009570000}"/>
    <cellStyle name="Hed Side Regular 2 8 8 4" xfId="20354" xr:uid="{00000000-0005-0000-0000-00000A570000}"/>
    <cellStyle name="Hed Side Regular 2 8 8 4 2" xfId="20355" xr:uid="{00000000-0005-0000-0000-00000B570000}"/>
    <cellStyle name="Hed Side Regular 2 8 8 5" xfId="20356" xr:uid="{00000000-0005-0000-0000-00000C570000}"/>
    <cellStyle name="Hed Side Regular 2 8 8 5 2" xfId="20357" xr:uid="{00000000-0005-0000-0000-00000D570000}"/>
    <cellStyle name="Hed Side Regular 2 8 8 6" xfId="20358" xr:uid="{00000000-0005-0000-0000-00000E570000}"/>
    <cellStyle name="Hed Side Regular 2 8 8 6 2" xfId="20359" xr:uid="{00000000-0005-0000-0000-00000F570000}"/>
    <cellStyle name="Hed Side Regular 2 8 8 7" xfId="20360" xr:uid="{00000000-0005-0000-0000-000010570000}"/>
    <cellStyle name="Hed Side Regular 2 8 8 7 2" xfId="20361" xr:uid="{00000000-0005-0000-0000-000011570000}"/>
    <cellStyle name="Hed Side Regular 2 8 8 8" xfId="20362" xr:uid="{00000000-0005-0000-0000-000012570000}"/>
    <cellStyle name="Hed Side Regular 2 8 8 8 2" xfId="20363" xr:uid="{00000000-0005-0000-0000-000013570000}"/>
    <cellStyle name="Hed Side Regular 2 8 8 9" xfId="20364" xr:uid="{00000000-0005-0000-0000-000014570000}"/>
    <cellStyle name="Hed Side Regular 2 8 8 9 2" xfId="20365" xr:uid="{00000000-0005-0000-0000-000015570000}"/>
    <cellStyle name="Hed Side Regular 2 8 9" xfId="20366" xr:uid="{00000000-0005-0000-0000-000016570000}"/>
    <cellStyle name="Hed Side Regular 2 8 9 10" xfId="20367" xr:uid="{00000000-0005-0000-0000-000017570000}"/>
    <cellStyle name="Hed Side Regular 2 8 9 2" xfId="20368" xr:uid="{00000000-0005-0000-0000-000018570000}"/>
    <cellStyle name="Hed Side Regular 2 8 9 2 2" xfId="20369" xr:uid="{00000000-0005-0000-0000-000019570000}"/>
    <cellStyle name="Hed Side Regular 2 8 9 3" xfId="20370" xr:uid="{00000000-0005-0000-0000-00001A570000}"/>
    <cellStyle name="Hed Side Regular 2 8 9 3 2" xfId="20371" xr:uid="{00000000-0005-0000-0000-00001B570000}"/>
    <cellStyle name="Hed Side Regular 2 8 9 4" xfId="20372" xr:uid="{00000000-0005-0000-0000-00001C570000}"/>
    <cellStyle name="Hed Side Regular 2 8 9 4 2" xfId="20373" xr:uid="{00000000-0005-0000-0000-00001D570000}"/>
    <cellStyle name="Hed Side Regular 2 8 9 5" xfId="20374" xr:uid="{00000000-0005-0000-0000-00001E570000}"/>
    <cellStyle name="Hed Side Regular 2 8 9 5 2" xfId="20375" xr:uid="{00000000-0005-0000-0000-00001F570000}"/>
    <cellStyle name="Hed Side Regular 2 8 9 6" xfId="20376" xr:uid="{00000000-0005-0000-0000-000020570000}"/>
    <cellStyle name="Hed Side Regular 2 8 9 6 2" xfId="20377" xr:uid="{00000000-0005-0000-0000-000021570000}"/>
    <cellStyle name="Hed Side Regular 2 8 9 7" xfId="20378" xr:uid="{00000000-0005-0000-0000-000022570000}"/>
    <cellStyle name="Hed Side Regular 2 8 9 7 2" xfId="20379" xr:uid="{00000000-0005-0000-0000-000023570000}"/>
    <cellStyle name="Hed Side Regular 2 8 9 8" xfId="20380" xr:uid="{00000000-0005-0000-0000-000024570000}"/>
    <cellStyle name="Hed Side Regular 2 8 9 8 2" xfId="20381" xr:uid="{00000000-0005-0000-0000-000025570000}"/>
    <cellStyle name="Hed Side Regular 2 8 9 9" xfId="20382" xr:uid="{00000000-0005-0000-0000-000026570000}"/>
    <cellStyle name="Hed Side Regular 2 8 9 9 2" xfId="20383" xr:uid="{00000000-0005-0000-0000-000027570000}"/>
    <cellStyle name="Hed Side Regular 3" xfId="173" xr:uid="{00000000-0005-0000-0000-000028570000}"/>
    <cellStyle name="Hed Side Regular 3 2" xfId="20384" xr:uid="{00000000-0005-0000-0000-000029570000}"/>
    <cellStyle name="Hed Side Regular 3 2 10" xfId="20385" xr:uid="{00000000-0005-0000-0000-00002A570000}"/>
    <cellStyle name="Hed Side Regular 3 2 10 10" xfId="20386" xr:uid="{00000000-0005-0000-0000-00002B570000}"/>
    <cellStyle name="Hed Side Regular 3 2 10 2" xfId="20387" xr:uid="{00000000-0005-0000-0000-00002C570000}"/>
    <cellStyle name="Hed Side Regular 3 2 10 2 2" xfId="20388" xr:uid="{00000000-0005-0000-0000-00002D570000}"/>
    <cellStyle name="Hed Side Regular 3 2 10 3" xfId="20389" xr:uid="{00000000-0005-0000-0000-00002E570000}"/>
    <cellStyle name="Hed Side Regular 3 2 10 3 2" xfId="20390" xr:uid="{00000000-0005-0000-0000-00002F570000}"/>
    <cellStyle name="Hed Side Regular 3 2 10 4" xfId="20391" xr:uid="{00000000-0005-0000-0000-000030570000}"/>
    <cellStyle name="Hed Side Regular 3 2 10 4 2" xfId="20392" xr:uid="{00000000-0005-0000-0000-000031570000}"/>
    <cellStyle name="Hed Side Regular 3 2 10 5" xfId="20393" xr:uid="{00000000-0005-0000-0000-000032570000}"/>
    <cellStyle name="Hed Side Regular 3 2 10 5 2" xfId="20394" xr:uid="{00000000-0005-0000-0000-000033570000}"/>
    <cellStyle name="Hed Side Regular 3 2 10 6" xfId="20395" xr:uid="{00000000-0005-0000-0000-000034570000}"/>
    <cellStyle name="Hed Side Regular 3 2 10 6 2" xfId="20396" xr:uid="{00000000-0005-0000-0000-000035570000}"/>
    <cellStyle name="Hed Side Regular 3 2 10 7" xfId="20397" xr:uid="{00000000-0005-0000-0000-000036570000}"/>
    <cellStyle name="Hed Side Regular 3 2 10 7 2" xfId="20398" xr:uid="{00000000-0005-0000-0000-000037570000}"/>
    <cellStyle name="Hed Side Regular 3 2 10 8" xfId="20399" xr:uid="{00000000-0005-0000-0000-000038570000}"/>
    <cellStyle name="Hed Side Regular 3 2 10 8 2" xfId="20400" xr:uid="{00000000-0005-0000-0000-000039570000}"/>
    <cellStyle name="Hed Side Regular 3 2 10 9" xfId="20401" xr:uid="{00000000-0005-0000-0000-00003A570000}"/>
    <cellStyle name="Hed Side Regular 3 2 10 9 2" xfId="20402" xr:uid="{00000000-0005-0000-0000-00003B570000}"/>
    <cellStyle name="Hed Side Regular 3 2 11" xfId="20403" xr:uid="{00000000-0005-0000-0000-00003C570000}"/>
    <cellStyle name="Hed Side Regular 3 2 11 2" xfId="20404" xr:uid="{00000000-0005-0000-0000-00003D570000}"/>
    <cellStyle name="Hed Side Regular 3 2 11 2 2" xfId="20405" xr:uid="{00000000-0005-0000-0000-00003E570000}"/>
    <cellStyle name="Hed Side Regular 3 2 11 3" xfId="20406" xr:uid="{00000000-0005-0000-0000-00003F570000}"/>
    <cellStyle name="Hed Side Regular 3 2 11 3 2" xfId="20407" xr:uid="{00000000-0005-0000-0000-000040570000}"/>
    <cellStyle name="Hed Side Regular 3 2 11 4" xfId="20408" xr:uid="{00000000-0005-0000-0000-000041570000}"/>
    <cellStyle name="Hed Side Regular 3 2 11 4 2" xfId="20409" xr:uid="{00000000-0005-0000-0000-000042570000}"/>
    <cellStyle name="Hed Side Regular 3 2 11 5" xfId="20410" xr:uid="{00000000-0005-0000-0000-000043570000}"/>
    <cellStyle name="Hed Side Regular 3 2 11 5 2" xfId="20411" xr:uid="{00000000-0005-0000-0000-000044570000}"/>
    <cellStyle name="Hed Side Regular 3 2 11 6" xfId="20412" xr:uid="{00000000-0005-0000-0000-000045570000}"/>
    <cellStyle name="Hed Side Regular 3 2 11 6 2" xfId="20413" xr:uid="{00000000-0005-0000-0000-000046570000}"/>
    <cellStyle name="Hed Side Regular 3 2 11 7" xfId="20414" xr:uid="{00000000-0005-0000-0000-000047570000}"/>
    <cellStyle name="Hed Side Regular 3 2 11 7 2" xfId="20415" xr:uid="{00000000-0005-0000-0000-000048570000}"/>
    <cellStyle name="Hed Side Regular 3 2 11 8" xfId="20416" xr:uid="{00000000-0005-0000-0000-000049570000}"/>
    <cellStyle name="Hed Side Regular 3 2 11 8 2" xfId="20417" xr:uid="{00000000-0005-0000-0000-00004A570000}"/>
    <cellStyle name="Hed Side Regular 3 2 11 9" xfId="20418" xr:uid="{00000000-0005-0000-0000-00004B570000}"/>
    <cellStyle name="Hed Side Regular 3 2 2" xfId="20419" xr:uid="{00000000-0005-0000-0000-00004C570000}"/>
    <cellStyle name="Hed Side Regular 3 2 2 10" xfId="20420" xr:uid="{00000000-0005-0000-0000-00004D570000}"/>
    <cellStyle name="Hed Side Regular 3 2 2 2" xfId="20421" xr:uid="{00000000-0005-0000-0000-00004E570000}"/>
    <cellStyle name="Hed Side Regular 3 2 2 2 2" xfId="20422" xr:uid="{00000000-0005-0000-0000-00004F570000}"/>
    <cellStyle name="Hed Side Regular 3 2 2 3" xfId="20423" xr:uid="{00000000-0005-0000-0000-000050570000}"/>
    <cellStyle name="Hed Side Regular 3 2 2 3 2" xfId="20424" xr:uid="{00000000-0005-0000-0000-000051570000}"/>
    <cellStyle name="Hed Side Regular 3 2 2 4" xfId="20425" xr:uid="{00000000-0005-0000-0000-000052570000}"/>
    <cellStyle name="Hed Side Regular 3 2 2 4 2" xfId="20426" xr:uid="{00000000-0005-0000-0000-000053570000}"/>
    <cellStyle name="Hed Side Regular 3 2 2 5" xfId="20427" xr:uid="{00000000-0005-0000-0000-000054570000}"/>
    <cellStyle name="Hed Side Regular 3 2 2 5 2" xfId="20428" xr:uid="{00000000-0005-0000-0000-000055570000}"/>
    <cellStyle name="Hed Side Regular 3 2 2 6" xfId="20429" xr:uid="{00000000-0005-0000-0000-000056570000}"/>
    <cellStyle name="Hed Side Regular 3 2 2 6 2" xfId="20430" xr:uid="{00000000-0005-0000-0000-000057570000}"/>
    <cellStyle name="Hed Side Regular 3 2 2 7" xfId="20431" xr:uid="{00000000-0005-0000-0000-000058570000}"/>
    <cellStyle name="Hed Side Regular 3 2 2 7 2" xfId="20432" xr:uid="{00000000-0005-0000-0000-000059570000}"/>
    <cellStyle name="Hed Side Regular 3 2 2 8" xfId="20433" xr:uid="{00000000-0005-0000-0000-00005A570000}"/>
    <cellStyle name="Hed Side Regular 3 2 2 8 2" xfId="20434" xr:uid="{00000000-0005-0000-0000-00005B570000}"/>
    <cellStyle name="Hed Side Regular 3 2 2 9" xfId="20435" xr:uid="{00000000-0005-0000-0000-00005C570000}"/>
    <cellStyle name="Hed Side Regular 3 2 2 9 2" xfId="20436" xr:uid="{00000000-0005-0000-0000-00005D570000}"/>
    <cellStyle name="Hed Side Regular 3 2 3" xfId="20437" xr:uid="{00000000-0005-0000-0000-00005E570000}"/>
    <cellStyle name="Hed Side Regular 3 2 3 10" xfId="20438" xr:uid="{00000000-0005-0000-0000-00005F570000}"/>
    <cellStyle name="Hed Side Regular 3 2 3 2" xfId="20439" xr:uid="{00000000-0005-0000-0000-000060570000}"/>
    <cellStyle name="Hed Side Regular 3 2 3 2 2" xfId="20440" xr:uid="{00000000-0005-0000-0000-000061570000}"/>
    <cellStyle name="Hed Side Regular 3 2 3 3" xfId="20441" xr:uid="{00000000-0005-0000-0000-000062570000}"/>
    <cellStyle name="Hed Side Regular 3 2 3 3 2" xfId="20442" xr:uid="{00000000-0005-0000-0000-000063570000}"/>
    <cellStyle name="Hed Side Regular 3 2 3 4" xfId="20443" xr:uid="{00000000-0005-0000-0000-000064570000}"/>
    <cellStyle name="Hed Side Regular 3 2 3 4 2" xfId="20444" xr:uid="{00000000-0005-0000-0000-000065570000}"/>
    <cellStyle name="Hed Side Regular 3 2 3 5" xfId="20445" xr:uid="{00000000-0005-0000-0000-000066570000}"/>
    <cellStyle name="Hed Side Regular 3 2 3 5 2" xfId="20446" xr:uid="{00000000-0005-0000-0000-000067570000}"/>
    <cellStyle name="Hed Side Regular 3 2 3 6" xfId="20447" xr:uid="{00000000-0005-0000-0000-000068570000}"/>
    <cellStyle name="Hed Side Regular 3 2 3 6 2" xfId="20448" xr:uid="{00000000-0005-0000-0000-000069570000}"/>
    <cellStyle name="Hed Side Regular 3 2 3 7" xfId="20449" xr:uid="{00000000-0005-0000-0000-00006A570000}"/>
    <cellStyle name="Hed Side Regular 3 2 3 7 2" xfId="20450" xr:uid="{00000000-0005-0000-0000-00006B570000}"/>
    <cellStyle name="Hed Side Regular 3 2 3 8" xfId="20451" xr:uid="{00000000-0005-0000-0000-00006C570000}"/>
    <cellStyle name="Hed Side Regular 3 2 3 8 2" xfId="20452" xr:uid="{00000000-0005-0000-0000-00006D570000}"/>
    <cellStyle name="Hed Side Regular 3 2 3 9" xfId="20453" xr:uid="{00000000-0005-0000-0000-00006E570000}"/>
    <cellStyle name="Hed Side Regular 3 2 3 9 2" xfId="20454" xr:uid="{00000000-0005-0000-0000-00006F570000}"/>
    <cellStyle name="Hed Side Regular 3 2 4" xfId="20455" xr:uid="{00000000-0005-0000-0000-000070570000}"/>
    <cellStyle name="Hed Side Regular 3 2 4 10" xfId="20456" xr:uid="{00000000-0005-0000-0000-000071570000}"/>
    <cellStyle name="Hed Side Regular 3 2 4 2" xfId="20457" xr:uid="{00000000-0005-0000-0000-000072570000}"/>
    <cellStyle name="Hed Side Regular 3 2 4 2 2" xfId="20458" xr:uid="{00000000-0005-0000-0000-000073570000}"/>
    <cellStyle name="Hed Side Regular 3 2 4 3" xfId="20459" xr:uid="{00000000-0005-0000-0000-000074570000}"/>
    <cellStyle name="Hed Side Regular 3 2 4 3 2" xfId="20460" xr:uid="{00000000-0005-0000-0000-000075570000}"/>
    <cellStyle name="Hed Side Regular 3 2 4 4" xfId="20461" xr:uid="{00000000-0005-0000-0000-000076570000}"/>
    <cellStyle name="Hed Side Regular 3 2 4 4 2" xfId="20462" xr:uid="{00000000-0005-0000-0000-000077570000}"/>
    <cellStyle name="Hed Side Regular 3 2 4 5" xfId="20463" xr:uid="{00000000-0005-0000-0000-000078570000}"/>
    <cellStyle name="Hed Side Regular 3 2 4 5 2" xfId="20464" xr:uid="{00000000-0005-0000-0000-000079570000}"/>
    <cellStyle name="Hed Side Regular 3 2 4 6" xfId="20465" xr:uid="{00000000-0005-0000-0000-00007A570000}"/>
    <cellStyle name="Hed Side Regular 3 2 4 6 2" xfId="20466" xr:uid="{00000000-0005-0000-0000-00007B570000}"/>
    <cellStyle name="Hed Side Regular 3 2 4 7" xfId="20467" xr:uid="{00000000-0005-0000-0000-00007C570000}"/>
    <cellStyle name="Hed Side Regular 3 2 4 7 2" xfId="20468" xr:uid="{00000000-0005-0000-0000-00007D570000}"/>
    <cellStyle name="Hed Side Regular 3 2 4 8" xfId="20469" xr:uid="{00000000-0005-0000-0000-00007E570000}"/>
    <cellStyle name="Hed Side Regular 3 2 4 8 2" xfId="20470" xr:uid="{00000000-0005-0000-0000-00007F570000}"/>
    <cellStyle name="Hed Side Regular 3 2 4 9" xfId="20471" xr:uid="{00000000-0005-0000-0000-000080570000}"/>
    <cellStyle name="Hed Side Regular 3 2 4 9 2" xfId="20472" xr:uid="{00000000-0005-0000-0000-000081570000}"/>
    <cellStyle name="Hed Side Regular 3 2 5" xfId="20473" xr:uid="{00000000-0005-0000-0000-000082570000}"/>
    <cellStyle name="Hed Side Regular 3 2 5 10" xfId="20474" xr:uid="{00000000-0005-0000-0000-000083570000}"/>
    <cellStyle name="Hed Side Regular 3 2 5 2" xfId="20475" xr:uid="{00000000-0005-0000-0000-000084570000}"/>
    <cellStyle name="Hed Side Regular 3 2 5 2 2" xfId="20476" xr:uid="{00000000-0005-0000-0000-000085570000}"/>
    <cellStyle name="Hed Side Regular 3 2 5 3" xfId="20477" xr:uid="{00000000-0005-0000-0000-000086570000}"/>
    <cellStyle name="Hed Side Regular 3 2 5 3 2" xfId="20478" xr:uid="{00000000-0005-0000-0000-000087570000}"/>
    <cellStyle name="Hed Side Regular 3 2 5 4" xfId="20479" xr:uid="{00000000-0005-0000-0000-000088570000}"/>
    <cellStyle name="Hed Side Regular 3 2 5 4 2" xfId="20480" xr:uid="{00000000-0005-0000-0000-000089570000}"/>
    <cellStyle name="Hed Side Regular 3 2 5 5" xfId="20481" xr:uid="{00000000-0005-0000-0000-00008A570000}"/>
    <cellStyle name="Hed Side Regular 3 2 5 5 2" xfId="20482" xr:uid="{00000000-0005-0000-0000-00008B570000}"/>
    <cellStyle name="Hed Side Regular 3 2 5 6" xfId="20483" xr:uid="{00000000-0005-0000-0000-00008C570000}"/>
    <cellStyle name="Hed Side Regular 3 2 5 6 2" xfId="20484" xr:uid="{00000000-0005-0000-0000-00008D570000}"/>
    <cellStyle name="Hed Side Regular 3 2 5 7" xfId="20485" xr:uid="{00000000-0005-0000-0000-00008E570000}"/>
    <cellStyle name="Hed Side Regular 3 2 5 7 2" xfId="20486" xr:uid="{00000000-0005-0000-0000-00008F570000}"/>
    <cellStyle name="Hed Side Regular 3 2 5 8" xfId="20487" xr:uid="{00000000-0005-0000-0000-000090570000}"/>
    <cellStyle name="Hed Side Regular 3 2 5 8 2" xfId="20488" xr:uid="{00000000-0005-0000-0000-000091570000}"/>
    <cellStyle name="Hed Side Regular 3 2 5 9" xfId="20489" xr:uid="{00000000-0005-0000-0000-000092570000}"/>
    <cellStyle name="Hed Side Regular 3 2 5 9 2" xfId="20490" xr:uid="{00000000-0005-0000-0000-000093570000}"/>
    <cellStyle name="Hed Side Regular 3 2 6" xfId="20491" xr:uid="{00000000-0005-0000-0000-000094570000}"/>
    <cellStyle name="Hed Side Regular 3 2 6 10" xfId="20492" xr:uid="{00000000-0005-0000-0000-000095570000}"/>
    <cellStyle name="Hed Side Regular 3 2 6 2" xfId="20493" xr:uid="{00000000-0005-0000-0000-000096570000}"/>
    <cellStyle name="Hed Side Regular 3 2 6 2 2" xfId="20494" xr:uid="{00000000-0005-0000-0000-000097570000}"/>
    <cellStyle name="Hed Side Regular 3 2 6 3" xfId="20495" xr:uid="{00000000-0005-0000-0000-000098570000}"/>
    <cellStyle name="Hed Side Regular 3 2 6 3 2" xfId="20496" xr:uid="{00000000-0005-0000-0000-000099570000}"/>
    <cellStyle name="Hed Side Regular 3 2 6 4" xfId="20497" xr:uid="{00000000-0005-0000-0000-00009A570000}"/>
    <cellStyle name="Hed Side Regular 3 2 6 4 2" xfId="20498" xr:uid="{00000000-0005-0000-0000-00009B570000}"/>
    <cellStyle name="Hed Side Regular 3 2 6 5" xfId="20499" xr:uid="{00000000-0005-0000-0000-00009C570000}"/>
    <cellStyle name="Hed Side Regular 3 2 6 5 2" xfId="20500" xr:uid="{00000000-0005-0000-0000-00009D570000}"/>
    <cellStyle name="Hed Side Regular 3 2 6 6" xfId="20501" xr:uid="{00000000-0005-0000-0000-00009E570000}"/>
    <cellStyle name="Hed Side Regular 3 2 6 6 2" xfId="20502" xr:uid="{00000000-0005-0000-0000-00009F570000}"/>
    <cellStyle name="Hed Side Regular 3 2 6 7" xfId="20503" xr:uid="{00000000-0005-0000-0000-0000A0570000}"/>
    <cellStyle name="Hed Side Regular 3 2 6 7 2" xfId="20504" xr:uid="{00000000-0005-0000-0000-0000A1570000}"/>
    <cellStyle name="Hed Side Regular 3 2 6 8" xfId="20505" xr:uid="{00000000-0005-0000-0000-0000A2570000}"/>
    <cellStyle name="Hed Side Regular 3 2 6 8 2" xfId="20506" xr:uid="{00000000-0005-0000-0000-0000A3570000}"/>
    <cellStyle name="Hed Side Regular 3 2 6 9" xfId="20507" xr:uid="{00000000-0005-0000-0000-0000A4570000}"/>
    <cellStyle name="Hed Side Regular 3 2 6 9 2" xfId="20508" xr:uid="{00000000-0005-0000-0000-0000A5570000}"/>
    <cellStyle name="Hed Side Regular 3 2 7" xfId="20509" xr:uid="{00000000-0005-0000-0000-0000A6570000}"/>
    <cellStyle name="Hed Side Regular 3 2 7 10" xfId="20510" xr:uid="{00000000-0005-0000-0000-0000A7570000}"/>
    <cellStyle name="Hed Side Regular 3 2 7 2" xfId="20511" xr:uid="{00000000-0005-0000-0000-0000A8570000}"/>
    <cellStyle name="Hed Side Regular 3 2 7 2 2" xfId="20512" xr:uid="{00000000-0005-0000-0000-0000A9570000}"/>
    <cellStyle name="Hed Side Regular 3 2 7 3" xfId="20513" xr:uid="{00000000-0005-0000-0000-0000AA570000}"/>
    <cellStyle name="Hed Side Regular 3 2 7 3 2" xfId="20514" xr:uid="{00000000-0005-0000-0000-0000AB570000}"/>
    <cellStyle name="Hed Side Regular 3 2 7 4" xfId="20515" xr:uid="{00000000-0005-0000-0000-0000AC570000}"/>
    <cellStyle name="Hed Side Regular 3 2 7 4 2" xfId="20516" xr:uid="{00000000-0005-0000-0000-0000AD570000}"/>
    <cellStyle name="Hed Side Regular 3 2 7 5" xfId="20517" xr:uid="{00000000-0005-0000-0000-0000AE570000}"/>
    <cellStyle name="Hed Side Regular 3 2 7 5 2" xfId="20518" xr:uid="{00000000-0005-0000-0000-0000AF570000}"/>
    <cellStyle name="Hed Side Regular 3 2 7 6" xfId="20519" xr:uid="{00000000-0005-0000-0000-0000B0570000}"/>
    <cellStyle name="Hed Side Regular 3 2 7 6 2" xfId="20520" xr:uid="{00000000-0005-0000-0000-0000B1570000}"/>
    <cellStyle name="Hed Side Regular 3 2 7 7" xfId="20521" xr:uid="{00000000-0005-0000-0000-0000B2570000}"/>
    <cellStyle name="Hed Side Regular 3 2 7 7 2" xfId="20522" xr:uid="{00000000-0005-0000-0000-0000B3570000}"/>
    <cellStyle name="Hed Side Regular 3 2 7 8" xfId="20523" xr:uid="{00000000-0005-0000-0000-0000B4570000}"/>
    <cellStyle name="Hed Side Regular 3 2 7 8 2" xfId="20524" xr:uid="{00000000-0005-0000-0000-0000B5570000}"/>
    <cellStyle name="Hed Side Regular 3 2 7 9" xfId="20525" xr:uid="{00000000-0005-0000-0000-0000B6570000}"/>
    <cellStyle name="Hed Side Regular 3 2 7 9 2" xfId="20526" xr:uid="{00000000-0005-0000-0000-0000B7570000}"/>
    <cellStyle name="Hed Side Regular 3 2 8" xfId="20527" xr:uid="{00000000-0005-0000-0000-0000B8570000}"/>
    <cellStyle name="Hed Side Regular 3 2 8 10" xfId="20528" xr:uid="{00000000-0005-0000-0000-0000B9570000}"/>
    <cellStyle name="Hed Side Regular 3 2 8 2" xfId="20529" xr:uid="{00000000-0005-0000-0000-0000BA570000}"/>
    <cellStyle name="Hed Side Regular 3 2 8 2 2" xfId="20530" xr:uid="{00000000-0005-0000-0000-0000BB570000}"/>
    <cellStyle name="Hed Side Regular 3 2 8 3" xfId="20531" xr:uid="{00000000-0005-0000-0000-0000BC570000}"/>
    <cellStyle name="Hed Side Regular 3 2 8 3 2" xfId="20532" xr:uid="{00000000-0005-0000-0000-0000BD570000}"/>
    <cellStyle name="Hed Side Regular 3 2 8 4" xfId="20533" xr:uid="{00000000-0005-0000-0000-0000BE570000}"/>
    <cellStyle name="Hed Side Regular 3 2 8 4 2" xfId="20534" xr:uid="{00000000-0005-0000-0000-0000BF570000}"/>
    <cellStyle name="Hed Side Regular 3 2 8 5" xfId="20535" xr:uid="{00000000-0005-0000-0000-0000C0570000}"/>
    <cellStyle name="Hed Side Regular 3 2 8 5 2" xfId="20536" xr:uid="{00000000-0005-0000-0000-0000C1570000}"/>
    <cellStyle name="Hed Side Regular 3 2 8 6" xfId="20537" xr:uid="{00000000-0005-0000-0000-0000C2570000}"/>
    <cellStyle name="Hed Side Regular 3 2 8 6 2" xfId="20538" xr:uid="{00000000-0005-0000-0000-0000C3570000}"/>
    <cellStyle name="Hed Side Regular 3 2 8 7" xfId="20539" xr:uid="{00000000-0005-0000-0000-0000C4570000}"/>
    <cellStyle name="Hed Side Regular 3 2 8 7 2" xfId="20540" xr:uid="{00000000-0005-0000-0000-0000C5570000}"/>
    <cellStyle name="Hed Side Regular 3 2 8 8" xfId="20541" xr:uid="{00000000-0005-0000-0000-0000C6570000}"/>
    <cellStyle name="Hed Side Regular 3 2 8 8 2" xfId="20542" xr:uid="{00000000-0005-0000-0000-0000C7570000}"/>
    <cellStyle name="Hed Side Regular 3 2 8 9" xfId="20543" xr:uid="{00000000-0005-0000-0000-0000C8570000}"/>
    <cellStyle name="Hed Side Regular 3 2 8 9 2" xfId="20544" xr:uid="{00000000-0005-0000-0000-0000C9570000}"/>
    <cellStyle name="Hed Side Regular 3 2 9" xfId="20545" xr:uid="{00000000-0005-0000-0000-0000CA570000}"/>
    <cellStyle name="Hed Side Regular 3 2 9 10" xfId="20546" xr:uid="{00000000-0005-0000-0000-0000CB570000}"/>
    <cellStyle name="Hed Side Regular 3 2 9 2" xfId="20547" xr:uid="{00000000-0005-0000-0000-0000CC570000}"/>
    <cellStyle name="Hed Side Regular 3 2 9 2 2" xfId="20548" xr:uid="{00000000-0005-0000-0000-0000CD570000}"/>
    <cellStyle name="Hed Side Regular 3 2 9 3" xfId="20549" xr:uid="{00000000-0005-0000-0000-0000CE570000}"/>
    <cellStyle name="Hed Side Regular 3 2 9 3 2" xfId="20550" xr:uid="{00000000-0005-0000-0000-0000CF570000}"/>
    <cellStyle name="Hed Side Regular 3 2 9 4" xfId="20551" xr:uid="{00000000-0005-0000-0000-0000D0570000}"/>
    <cellStyle name="Hed Side Regular 3 2 9 4 2" xfId="20552" xr:uid="{00000000-0005-0000-0000-0000D1570000}"/>
    <cellStyle name="Hed Side Regular 3 2 9 5" xfId="20553" xr:uid="{00000000-0005-0000-0000-0000D2570000}"/>
    <cellStyle name="Hed Side Regular 3 2 9 5 2" xfId="20554" xr:uid="{00000000-0005-0000-0000-0000D3570000}"/>
    <cellStyle name="Hed Side Regular 3 2 9 6" xfId="20555" xr:uid="{00000000-0005-0000-0000-0000D4570000}"/>
    <cellStyle name="Hed Side Regular 3 2 9 6 2" xfId="20556" xr:uid="{00000000-0005-0000-0000-0000D5570000}"/>
    <cellStyle name="Hed Side Regular 3 2 9 7" xfId="20557" xr:uid="{00000000-0005-0000-0000-0000D6570000}"/>
    <cellStyle name="Hed Side Regular 3 2 9 7 2" xfId="20558" xr:uid="{00000000-0005-0000-0000-0000D7570000}"/>
    <cellStyle name="Hed Side Regular 3 2 9 8" xfId="20559" xr:uid="{00000000-0005-0000-0000-0000D8570000}"/>
    <cellStyle name="Hed Side Regular 3 2 9 8 2" xfId="20560" xr:uid="{00000000-0005-0000-0000-0000D9570000}"/>
    <cellStyle name="Hed Side Regular 3 2 9 9" xfId="20561" xr:uid="{00000000-0005-0000-0000-0000DA570000}"/>
    <cellStyle name="Hed Side Regular 3 2 9 9 2" xfId="20562" xr:uid="{00000000-0005-0000-0000-0000DB570000}"/>
    <cellStyle name="Hed Side Regular 3 3" xfId="20563" xr:uid="{00000000-0005-0000-0000-0000DC570000}"/>
    <cellStyle name="Hed Side Regular 3 3 10" xfId="20564" xr:uid="{00000000-0005-0000-0000-0000DD570000}"/>
    <cellStyle name="Hed Side Regular 3 3 10 10" xfId="20565" xr:uid="{00000000-0005-0000-0000-0000DE570000}"/>
    <cellStyle name="Hed Side Regular 3 3 10 2" xfId="20566" xr:uid="{00000000-0005-0000-0000-0000DF570000}"/>
    <cellStyle name="Hed Side Regular 3 3 10 2 2" xfId="20567" xr:uid="{00000000-0005-0000-0000-0000E0570000}"/>
    <cellStyle name="Hed Side Regular 3 3 10 3" xfId="20568" xr:uid="{00000000-0005-0000-0000-0000E1570000}"/>
    <cellStyle name="Hed Side Regular 3 3 10 3 2" xfId="20569" xr:uid="{00000000-0005-0000-0000-0000E2570000}"/>
    <cellStyle name="Hed Side Regular 3 3 10 4" xfId="20570" xr:uid="{00000000-0005-0000-0000-0000E3570000}"/>
    <cellStyle name="Hed Side Regular 3 3 10 4 2" xfId="20571" xr:uid="{00000000-0005-0000-0000-0000E4570000}"/>
    <cellStyle name="Hed Side Regular 3 3 10 5" xfId="20572" xr:uid="{00000000-0005-0000-0000-0000E5570000}"/>
    <cellStyle name="Hed Side Regular 3 3 10 5 2" xfId="20573" xr:uid="{00000000-0005-0000-0000-0000E6570000}"/>
    <cellStyle name="Hed Side Regular 3 3 10 6" xfId="20574" xr:uid="{00000000-0005-0000-0000-0000E7570000}"/>
    <cellStyle name="Hed Side Regular 3 3 10 6 2" xfId="20575" xr:uid="{00000000-0005-0000-0000-0000E8570000}"/>
    <cellStyle name="Hed Side Regular 3 3 10 7" xfId="20576" xr:uid="{00000000-0005-0000-0000-0000E9570000}"/>
    <cellStyle name="Hed Side Regular 3 3 10 7 2" xfId="20577" xr:uid="{00000000-0005-0000-0000-0000EA570000}"/>
    <cellStyle name="Hed Side Regular 3 3 10 8" xfId="20578" xr:uid="{00000000-0005-0000-0000-0000EB570000}"/>
    <cellStyle name="Hed Side Regular 3 3 10 8 2" xfId="20579" xr:uid="{00000000-0005-0000-0000-0000EC570000}"/>
    <cellStyle name="Hed Side Regular 3 3 10 9" xfId="20580" xr:uid="{00000000-0005-0000-0000-0000ED570000}"/>
    <cellStyle name="Hed Side Regular 3 3 10 9 2" xfId="20581" xr:uid="{00000000-0005-0000-0000-0000EE570000}"/>
    <cellStyle name="Hed Side Regular 3 3 11" xfId="20582" xr:uid="{00000000-0005-0000-0000-0000EF570000}"/>
    <cellStyle name="Hed Side Regular 3 3 11 2" xfId="20583" xr:uid="{00000000-0005-0000-0000-0000F0570000}"/>
    <cellStyle name="Hed Side Regular 3 3 11 2 2" xfId="20584" xr:uid="{00000000-0005-0000-0000-0000F1570000}"/>
    <cellStyle name="Hed Side Regular 3 3 11 3" xfId="20585" xr:uid="{00000000-0005-0000-0000-0000F2570000}"/>
    <cellStyle name="Hed Side Regular 3 3 11 3 2" xfId="20586" xr:uid="{00000000-0005-0000-0000-0000F3570000}"/>
    <cellStyle name="Hed Side Regular 3 3 11 4" xfId="20587" xr:uid="{00000000-0005-0000-0000-0000F4570000}"/>
    <cellStyle name="Hed Side Regular 3 3 11 4 2" xfId="20588" xr:uid="{00000000-0005-0000-0000-0000F5570000}"/>
    <cellStyle name="Hed Side Regular 3 3 11 5" xfId="20589" xr:uid="{00000000-0005-0000-0000-0000F6570000}"/>
    <cellStyle name="Hed Side Regular 3 3 11 5 2" xfId="20590" xr:uid="{00000000-0005-0000-0000-0000F7570000}"/>
    <cellStyle name="Hed Side Regular 3 3 11 6" xfId="20591" xr:uid="{00000000-0005-0000-0000-0000F8570000}"/>
    <cellStyle name="Hed Side Regular 3 3 11 6 2" xfId="20592" xr:uid="{00000000-0005-0000-0000-0000F9570000}"/>
    <cellStyle name="Hed Side Regular 3 3 11 7" xfId="20593" xr:uid="{00000000-0005-0000-0000-0000FA570000}"/>
    <cellStyle name="Hed Side Regular 3 3 11 7 2" xfId="20594" xr:uid="{00000000-0005-0000-0000-0000FB570000}"/>
    <cellStyle name="Hed Side Regular 3 3 11 8" xfId="20595" xr:uid="{00000000-0005-0000-0000-0000FC570000}"/>
    <cellStyle name="Hed Side Regular 3 3 11 8 2" xfId="20596" xr:uid="{00000000-0005-0000-0000-0000FD570000}"/>
    <cellStyle name="Hed Side Regular 3 3 11 9" xfId="20597" xr:uid="{00000000-0005-0000-0000-0000FE570000}"/>
    <cellStyle name="Hed Side Regular 3 3 2" xfId="20598" xr:uid="{00000000-0005-0000-0000-0000FF570000}"/>
    <cellStyle name="Hed Side Regular 3 3 2 10" xfId="20599" xr:uid="{00000000-0005-0000-0000-000000580000}"/>
    <cellStyle name="Hed Side Regular 3 3 2 2" xfId="20600" xr:uid="{00000000-0005-0000-0000-000001580000}"/>
    <cellStyle name="Hed Side Regular 3 3 2 2 2" xfId="20601" xr:uid="{00000000-0005-0000-0000-000002580000}"/>
    <cellStyle name="Hed Side Regular 3 3 2 3" xfId="20602" xr:uid="{00000000-0005-0000-0000-000003580000}"/>
    <cellStyle name="Hed Side Regular 3 3 2 3 2" xfId="20603" xr:uid="{00000000-0005-0000-0000-000004580000}"/>
    <cellStyle name="Hed Side Regular 3 3 2 4" xfId="20604" xr:uid="{00000000-0005-0000-0000-000005580000}"/>
    <cellStyle name="Hed Side Regular 3 3 2 4 2" xfId="20605" xr:uid="{00000000-0005-0000-0000-000006580000}"/>
    <cellStyle name="Hed Side Regular 3 3 2 5" xfId="20606" xr:uid="{00000000-0005-0000-0000-000007580000}"/>
    <cellStyle name="Hed Side Regular 3 3 2 5 2" xfId="20607" xr:uid="{00000000-0005-0000-0000-000008580000}"/>
    <cellStyle name="Hed Side Regular 3 3 2 6" xfId="20608" xr:uid="{00000000-0005-0000-0000-000009580000}"/>
    <cellStyle name="Hed Side Regular 3 3 2 6 2" xfId="20609" xr:uid="{00000000-0005-0000-0000-00000A580000}"/>
    <cellStyle name="Hed Side Regular 3 3 2 7" xfId="20610" xr:uid="{00000000-0005-0000-0000-00000B580000}"/>
    <cellStyle name="Hed Side Regular 3 3 2 7 2" xfId="20611" xr:uid="{00000000-0005-0000-0000-00000C580000}"/>
    <cellStyle name="Hed Side Regular 3 3 2 8" xfId="20612" xr:uid="{00000000-0005-0000-0000-00000D580000}"/>
    <cellStyle name="Hed Side Regular 3 3 2 8 2" xfId="20613" xr:uid="{00000000-0005-0000-0000-00000E580000}"/>
    <cellStyle name="Hed Side Regular 3 3 2 9" xfId="20614" xr:uid="{00000000-0005-0000-0000-00000F580000}"/>
    <cellStyle name="Hed Side Regular 3 3 2 9 2" xfId="20615" xr:uid="{00000000-0005-0000-0000-000010580000}"/>
    <cellStyle name="Hed Side Regular 3 3 3" xfId="20616" xr:uid="{00000000-0005-0000-0000-000011580000}"/>
    <cellStyle name="Hed Side Regular 3 3 3 10" xfId="20617" xr:uid="{00000000-0005-0000-0000-000012580000}"/>
    <cellStyle name="Hed Side Regular 3 3 3 2" xfId="20618" xr:uid="{00000000-0005-0000-0000-000013580000}"/>
    <cellStyle name="Hed Side Regular 3 3 3 2 2" xfId="20619" xr:uid="{00000000-0005-0000-0000-000014580000}"/>
    <cellStyle name="Hed Side Regular 3 3 3 3" xfId="20620" xr:uid="{00000000-0005-0000-0000-000015580000}"/>
    <cellStyle name="Hed Side Regular 3 3 3 3 2" xfId="20621" xr:uid="{00000000-0005-0000-0000-000016580000}"/>
    <cellStyle name="Hed Side Regular 3 3 3 4" xfId="20622" xr:uid="{00000000-0005-0000-0000-000017580000}"/>
    <cellStyle name="Hed Side Regular 3 3 3 4 2" xfId="20623" xr:uid="{00000000-0005-0000-0000-000018580000}"/>
    <cellStyle name="Hed Side Regular 3 3 3 5" xfId="20624" xr:uid="{00000000-0005-0000-0000-000019580000}"/>
    <cellStyle name="Hed Side Regular 3 3 3 5 2" xfId="20625" xr:uid="{00000000-0005-0000-0000-00001A580000}"/>
    <cellStyle name="Hed Side Regular 3 3 3 6" xfId="20626" xr:uid="{00000000-0005-0000-0000-00001B580000}"/>
    <cellStyle name="Hed Side Regular 3 3 3 6 2" xfId="20627" xr:uid="{00000000-0005-0000-0000-00001C580000}"/>
    <cellStyle name="Hed Side Regular 3 3 3 7" xfId="20628" xr:uid="{00000000-0005-0000-0000-00001D580000}"/>
    <cellStyle name="Hed Side Regular 3 3 3 7 2" xfId="20629" xr:uid="{00000000-0005-0000-0000-00001E580000}"/>
    <cellStyle name="Hed Side Regular 3 3 3 8" xfId="20630" xr:uid="{00000000-0005-0000-0000-00001F580000}"/>
    <cellStyle name="Hed Side Regular 3 3 3 8 2" xfId="20631" xr:uid="{00000000-0005-0000-0000-000020580000}"/>
    <cellStyle name="Hed Side Regular 3 3 3 9" xfId="20632" xr:uid="{00000000-0005-0000-0000-000021580000}"/>
    <cellStyle name="Hed Side Regular 3 3 3 9 2" xfId="20633" xr:uid="{00000000-0005-0000-0000-000022580000}"/>
    <cellStyle name="Hed Side Regular 3 3 4" xfId="20634" xr:uid="{00000000-0005-0000-0000-000023580000}"/>
    <cellStyle name="Hed Side Regular 3 3 4 10" xfId="20635" xr:uid="{00000000-0005-0000-0000-000024580000}"/>
    <cellStyle name="Hed Side Regular 3 3 4 2" xfId="20636" xr:uid="{00000000-0005-0000-0000-000025580000}"/>
    <cellStyle name="Hed Side Regular 3 3 4 2 2" xfId="20637" xr:uid="{00000000-0005-0000-0000-000026580000}"/>
    <cellStyle name="Hed Side Regular 3 3 4 3" xfId="20638" xr:uid="{00000000-0005-0000-0000-000027580000}"/>
    <cellStyle name="Hed Side Regular 3 3 4 3 2" xfId="20639" xr:uid="{00000000-0005-0000-0000-000028580000}"/>
    <cellStyle name="Hed Side Regular 3 3 4 4" xfId="20640" xr:uid="{00000000-0005-0000-0000-000029580000}"/>
    <cellStyle name="Hed Side Regular 3 3 4 4 2" xfId="20641" xr:uid="{00000000-0005-0000-0000-00002A580000}"/>
    <cellStyle name="Hed Side Regular 3 3 4 5" xfId="20642" xr:uid="{00000000-0005-0000-0000-00002B580000}"/>
    <cellStyle name="Hed Side Regular 3 3 4 5 2" xfId="20643" xr:uid="{00000000-0005-0000-0000-00002C580000}"/>
    <cellStyle name="Hed Side Regular 3 3 4 6" xfId="20644" xr:uid="{00000000-0005-0000-0000-00002D580000}"/>
    <cellStyle name="Hed Side Regular 3 3 4 6 2" xfId="20645" xr:uid="{00000000-0005-0000-0000-00002E580000}"/>
    <cellStyle name="Hed Side Regular 3 3 4 7" xfId="20646" xr:uid="{00000000-0005-0000-0000-00002F580000}"/>
    <cellStyle name="Hed Side Regular 3 3 4 7 2" xfId="20647" xr:uid="{00000000-0005-0000-0000-000030580000}"/>
    <cellStyle name="Hed Side Regular 3 3 4 8" xfId="20648" xr:uid="{00000000-0005-0000-0000-000031580000}"/>
    <cellStyle name="Hed Side Regular 3 3 4 8 2" xfId="20649" xr:uid="{00000000-0005-0000-0000-000032580000}"/>
    <cellStyle name="Hed Side Regular 3 3 4 9" xfId="20650" xr:uid="{00000000-0005-0000-0000-000033580000}"/>
    <cellStyle name="Hed Side Regular 3 3 4 9 2" xfId="20651" xr:uid="{00000000-0005-0000-0000-000034580000}"/>
    <cellStyle name="Hed Side Regular 3 3 5" xfId="20652" xr:uid="{00000000-0005-0000-0000-000035580000}"/>
    <cellStyle name="Hed Side Regular 3 3 5 10" xfId="20653" xr:uid="{00000000-0005-0000-0000-000036580000}"/>
    <cellStyle name="Hed Side Regular 3 3 5 2" xfId="20654" xr:uid="{00000000-0005-0000-0000-000037580000}"/>
    <cellStyle name="Hed Side Regular 3 3 5 2 2" xfId="20655" xr:uid="{00000000-0005-0000-0000-000038580000}"/>
    <cellStyle name="Hed Side Regular 3 3 5 3" xfId="20656" xr:uid="{00000000-0005-0000-0000-000039580000}"/>
    <cellStyle name="Hed Side Regular 3 3 5 3 2" xfId="20657" xr:uid="{00000000-0005-0000-0000-00003A580000}"/>
    <cellStyle name="Hed Side Regular 3 3 5 4" xfId="20658" xr:uid="{00000000-0005-0000-0000-00003B580000}"/>
    <cellStyle name="Hed Side Regular 3 3 5 4 2" xfId="20659" xr:uid="{00000000-0005-0000-0000-00003C580000}"/>
    <cellStyle name="Hed Side Regular 3 3 5 5" xfId="20660" xr:uid="{00000000-0005-0000-0000-00003D580000}"/>
    <cellStyle name="Hed Side Regular 3 3 5 5 2" xfId="20661" xr:uid="{00000000-0005-0000-0000-00003E580000}"/>
    <cellStyle name="Hed Side Regular 3 3 5 6" xfId="20662" xr:uid="{00000000-0005-0000-0000-00003F580000}"/>
    <cellStyle name="Hed Side Regular 3 3 5 6 2" xfId="20663" xr:uid="{00000000-0005-0000-0000-000040580000}"/>
    <cellStyle name="Hed Side Regular 3 3 5 7" xfId="20664" xr:uid="{00000000-0005-0000-0000-000041580000}"/>
    <cellStyle name="Hed Side Regular 3 3 5 7 2" xfId="20665" xr:uid="{00000000-0005-0000-0000-000042580000}"/>
    <cellStyle name="Hed Side Regular 3 3 5 8" xfId="20666" xr:uid="{00000000-0005-0000-0000-000043580000}"/>
    <cellStyle name="Hed Side Regular 3 3 5 8 2" xfId="20667" xr:uid="{00000000-0005-0000-0000-000044580000}"/>
    <cellStyle name="Hed Side Regular 3 3 5 9" xfId="20668" xr:uid="{00000000-0005-0000-0000-000045580000}"/>
    <cellStyle name="Hed Side Regular 3 3 5 9 2" xfId="20669" xr:uid="{00000000-0005-0000-0000-000046580000}"/>
    <cellStyle name="Hed Side Regular 3 3 6" xfId="20670" xr:uid="{00000000-0005-0000-0000-000047580000}"/>
    <cellStyle name="Hed Side Regular 3 3 6 10" xfId="20671" xr:uid="{00000000-0005-0000-0000-000048580000}"/>
    <cellStyle name="Hed Side Regular 3 3 6 2" xfId="20672" xr:uid="{00000000-0005-0000-0000-000049580000}"/>
    <cellStyle name="Hed Side Regular 3 3 6 2 2" xfId="20673" xr:uid="{00000000-0005-0000-0000-00004A580000}"/>
    <cellStyle name="Hed Side Regular 3 3 6 3" xfId="20674" xr:uid="{00000000-0005-0000-0000-00004B580000}"/>
    <cellStyle name="Hed Side Regular 3 3 6 3 2" xfId="20675" xr:uid="{00000000-0005-0000-0000-00004C580000}"/>
    <cellStyle name="Hed Side Regular 3 3 6 4" xfId="20676" xr:uid="{00000000-0005-0000-0000-00004D580000}"/>
    <cellStyle name="Hed Side Regular 3 3 6 4 2" xfId="20677" xr:uid="{00000000-0005-0000-0000-00004E580000}"/>
    <cellStyle name="Hed Side Regular 3 3 6 5" xfId="20678" xr:uid="{00000000-0005-0000-0000-00004F580000}"/>
    <cellStyle name="Hed Side Regular 3 3 6 5 2" xfId="20679" xr:uid="{00000000-0005-0000-0000-000050580000}"/>
    <cellStyle name="Hed Side Regular 3 3 6 6" xfId="20680" xr:uid="{00000000-0005-0000-0000-000051580000}"/>
    <cellStyle name="Hed Side Regular 3 3 6 6 2" xfId="20681" xr:uid="{00000000-0005-0000-0000-000052580000}"/>
    <cellStyle name="Hed Side Regular 3 3 6 7" xfId="20682" xr:uid="{00000000-0005-0000-0000-000053580000}"/>
    <cellStyle name="Hed Side Regular 3 3 6 7 2" xfId="20683" xr:uid="{00000000-0005-0000-0000-000054580000}"/>
    <cellStyle name="Hed Side Regular 3 3 6 8" xfId="20684" xr:uid="{00000000-0005-0000-0000-000055580000}"/>
    <cellStyle name="Hed Side Regular 3 3 6 8 2" xfId="20685" xr:uid="{00000000-0005-0000-0000-000056580000}"/>
    <cellStyle name="Hed Side Regular 3 3 6 9" xfId="20686" xr:uid="{00000000-0005-0000-0000-000057580000}"/>
    <cellStyle name="Hed Side Regular 3 3 6 9 2" xfId="20687" xr:uid="{00000000-0005-0000-0000-000058580000}"/>
    <cellStyle name="Hed Side Regular 3 3 7" xfId="20688" xr:uid="{00000000-0005-0000-0000-000059580000}"/>
    <cellStyle name="Hed Side Regular 3 3 7 10" xfId="20689" xr:uid="{00000000-0005-0000-0000-00005A580000}"/>
    <cellStyle name="Hed Side Regular 3 3 7 2" xfId="20690" xr:uid="{00000000-0005-0000-0000-00005B580000}"/>
    <cellStyle name="Hed Side Regular 3 3 7 2 2" xfId="20691" xr:uid="{00000000-0005-0000-0000-00005C580000}"/>
    <cellStyle name="Hed Side Regular 3 3 7 3" xfId="20692" xr:uid="{00000000-0005-0000-0000-00005D580000}"/>
    <cellStyle name="Hed Side Regular 3 3 7 3 2" xfId="20693" xr:uid="{00000000-0005-0000-0000-00005E580000}"/>
    <cellStyle name="Hed Side Regular 3 3 7 4" xfId="20694" xr:uid="{00000000-0005-0000-0000-00005F580000}"/>
    <cellStyle name="Hed Side Regular 3 3 7 4 2" xfId="20695" xr:uid="{00000000-0005-0000-0000-000060580000}"/>
    <cellStyle name="Hed Side Regular 3 3 7 5" xfId="20696" xr:uid="{00000000-0005-0000-0000-000061580000}"/>
    <cellStyle name="Hed Side Regular 3 3 7 5 2" xfId="20697" xr:uid="{00000000-0005-0000-0000-000062580000}"/>
    <cellStyle name="Hed Side Regular 3 3 7 6" xfId="20698" xr:uid="{00000000-0005-0000-0000-000063580000}"/>
    <cellStyle name="Hed Side Regular 3 3 7 6 2" xfId="20699" xr:uid="{00000000-0005-0000-0000-000064580000}"/>
    <cellStyle name="Hed Side Regular 3 3 7 7" xfId="20700" xr:uid="{00000000-0005-0000-0000-000065580000}"/>
    <cellStyle name="Hed Side Regular 3 3 7 7 2" xfId="20701" xr:uid="{00000000-0005-0000-0000-000066580000}"/>
    <cellStyle name="Hed Side Regular 3 3 7 8" xfId="20702" xr:uid="{00000000-0005-0000-0000-000067580000}"/>
    <cellStyle name="Hed Side Regular 3 3 7 8 2" xfId="20703" xr:uid="{00000000-0005-0000-0000-000068580000}"/>
    <cellStyle name="Hed Side Regular 3 3 7 9" xfId="20704" xr:uid="{00000000-0005-0000-0000-000069580000}"/>
    <cellStyle name="Hed Side Regular 3 3 7 9 2" xfId="20705" xr:uid="{00000000-0005-0000-0000-00006A580000}"/>
    <cellStyle name="Hed Side Regular 3 3 8" xfId="20706" xr:uid="{00000000-0005-0000-0000-00006B580000}"/>
    <cellStyle name="Hed Side Regular 3 3 8 10" xfId="20707" xr:uid="{00000000-0005-0000-0000-00006C580000}"/>
    <cellStyle name="Hed Side Regular 3 3 8 2" xfId="20708" xr:uid="{00000000-0005-0000-0000-00006D580000}"/>
    <cellStyle name="Hed Side Regular 3 3 8 2 2" xfId="20709" xr:uid="{00000000-0005-0000-0000-00006E580000}"/>
    <cellStyle name="Hed Side Regular 3 3 8 3" xfId="20710" xr:uid="{00000000-0005-0000-0000-00006F580000}"/>
    <cellStyle name="Hed Side Regular 3 3 8 3 2" xfId="20711" xr:uid="{00000000-0005-0000-0000-000070580000}"/>
    <cellStyle name="Hed Side Regular 3 3 8 4" xfId="20712" xr:uid="{00000000-0005-0000-0000-000071580000}"/>
    <cellStyle name="Hed Side Regular 3 3 8 4 2" xfId="20713" xr:uid="{00000000-0005-0000-0000-000072580000}"/>
    <cellStyle name="Hed Side Regular 3 3 8 5" xfId="20714" xr:uid="{00000000-0005-0000-0000-000073580000}"/>
    <cellStyle name="Hed Side Regular 3 3 8 5 2" xfId="20715" xr:uid="{00000000-0005-0000-0000-000074580000}"/>
    <cellStyle name="Hed Side Regular 3 3 8 6" xfId="20716" xr:uid="{00000000-0005-0000-0000-000075580000}"/>
    <cellStyle name="Hed Side Regular 3 3 8 6 2" xfId="20717" xr:uid="{00000000-0005-0000-0000-000076580000}"/>
    <cellStyle name="Hed Side Regular 3 3 8 7" xfId="20718" xr:uid="{00000000-0005-0000-0000-000077580000}"/>
    <cellStyle name="Hed Side Regular 3 3 8 7 2" xfId="20719" xr:uid="{00000000-0005-0000-0000-000078580000}"/>
    <cellStyle name="Hed Side Regular 3 3 8 8" xfId="20720" xr:uid="{00000000-0005-0000-0000-000079580000}"/>
    <cellStyle name="Hed Side Regular 3 3 8 8 2" xfId="20721" xr:uid="{00000000-0005-0000-0000-00007A580000}"/>
    <cellStyle name="Hed Side Regular 3 3 8 9" xfId="20722" xr:uid="{00000000-0005-0000-0000-00007B580000}"/>
    <cellStyle name="Hed Side Regular 3 3 8 9 2" xfId="20723" xr:uid="{00000000-0005-0000-0000-00007C580000}"/>
    <cellStyle name="Hed Side Regular 3 3 9" xfId="20724" xr:uid="{00000000-0005-0000-0000-00007D580000}"/>
    <cellStyle name="Hed Side Regular 3 3 9 10" xfId="20725" xr:uid="{00000000-0005-0000-0000-00007E580000}"/>
    <cellStyle name="Hed Side Regular 3 3 9 2" xfId="20726" xr:uid="{00000000-0005-0000-0000-00007F580000}"/>
    <cellStyle name="Hed Side Regular 3 3 9 2 2" xfId="20727" xr:uid="{00000000-0005-0000-0000-000080580000}"/>
    <cellStyle name="Hed Side Regular 3 3 9 3" xfId="20728" xr:uid="{00000000-0005-0000-0000-000081580000}"/>
    <cellStyle name="Hed Side Regular 3 3 9 3 2" xfId="20729" xr:uid="{00000000-0005-0000-0000-000082580000}"/>
    <cellStyle name="Hed Side Regular 3 3 9 4" xfId="20730" xr:uid="{00000000-0005-0000-0000-000083580000}"/>
    <cellStyle name="Hed Side Regular 3 3 9 4 2" xfId="20731" xr:uid="{00000000-0005-0000-0000-000084580000}"/>
    <cellStyle name="Hed Side Regular 3 3 9 5" xfId="20732" xr:uid="{00000000-0005-0000-0000-000085580000}"/>
    <cellStyle name="Hed Side Regular 3 3 9 5 2" xfId="20733" xr:uid="{00000000-0005-0000-0000-000086580000}"/>
    <cellStyle name="Hed Side Regular 3 3 9 6" xfId="20734" xr:uid="{00000000-0005-0000-0000-000087580000}"/>
    <cellStyle name="Hed Side Regular 3 3 9 6 2" xfId="20735" xr:uid="{00000000-0005-0000-0000-000088580000}"/>
    <cellStyle name="Hed Side Regular 3 3 9 7" xfId="20736" xr:uid="{00000000-0005-0000-0000-000089580000}"/>
    <cellStyle name="Hed Side Regular 3 3 9 7 2" xfId="20737" xr:uid="{00000000-0005-0000-0000-00008A580000}"/>
    <cellStyle name="Hed Side Regular 3 3 9 8" xfId="20738" xr:uid="{00000000-0005-0000-0000-00008B580000}"/>
    <cellStyle name="Hed Side Regular 3 3 9 8 2" xfId="20739" xr:uid="{00000000-0005-0000-0000-00008C580000}"/>
    <cellStyle name="Hed Side Regular 3 3 9 9" xfId="20740" xr:uid="{00000000-0005-0000-0000-00008D580000}"/>
    <cellStyle name="Hed Side Regular 3 3 9 9 2" xfId="20741" xr:uid="{00000000-0005-0000-0000-00008E580000}"/>
    <cellStyle name="Hed Side Regular 3 4" xfId="20742" xr:uid="{00000000-0005-0000-0000-00008F580000}"/>
    <cellStyle name="Hed Side Regular 3 4 10" xfId="20743" xr:uid="{00000000-0005-0000-0000-000090580000}"/>
    <cellStyle name="Hed Side Regular 3 4 10 2" xfId="20744" xr:uid="{00000000-0005-0000-0000-000091580000}"/>
    <cellStyle name="Hed Side Regular 3 4 10 2 2" xfId="20745" xr:uid="{00000000-0005-0000-0000-000092580000}"/>
    <cellStyle name="Hed Side Regular 3 4 10 3" xfId="20746" xr:uid="{00000000-0005-0000-0000-000093580000}"/>
    <cellStyle name="Hed Side Regular 3 4 10 3 2" xfId="20747" xr:uid="{00000000-0005-0000-0000-000094580000}"/>
    <cellStyle name="Hed Side Regular 3 4 10 4" xfId="20748" xr:uid="{00000000-0005-0000-0000-000095580000}"/>
    <cellStyle name="Hed Side Regular 3 4 10 4 2" xfId="20749" xr:uid="{00000000-0005-0000-0000-000096580000}"/>
    <cellStyle name="Hed Side Regular 3 4 10 5" xfId="20750" xr:uid="{00000000-0005-0000-0000-000097580000}"/>
    <cellStyle name="Hed Side Regular 3 4 10 5 2" xfId="20751" xr:uid="{00000000-0005-0000-0000-000098580000}"/>
    <cellStyle name="Hed Side Regular 3 4 10 6" xfId="20752" xr:uid="{00000000-0005-0000-0000-000099580000}"/>
    <cellStyle name="Hed Side Regular 3 4 10 6 2" xfId="20753" xr:uid="{00000000-0005-0000-0000-00009A580000}"/>
    <cellStyle name="Hed Side Regular 3 4 10 7" xfId="20754" xr:uid="{00000000-0005-0000-0000-00009B580000}"/>
    <cellStyle name="Hed Side Regular 3 4 10 7 2" xfId="20755" xr:uid="{00000000-0005-0000-0000-00009C580000}"/>
    <cellStyle name="Hed Side Regular 3 4 10 8" xfId="20756" xr:uid="{00000000-0005-0000-0000-00009D580000}"/>
    <cellStyle name="Hed Side Regular 3 4 10 8 2" xfId="20757" xr:uid="{00000000-0005-0000-0000-00009E580000}"/>
    <cellStyle name="Hed Side Regular 3 4 10 9" xfId="20758" xr:uid="{00000000-0005-0000-0000-00009F580000}"/>
    <cellStyle name="Hed Side Regular 3 4 11" xfId="20759" xr:uid="{00000000-0005-0000-0000-0000A0580000}"/>
    <cellStyle name="Hed Side Regular 3 4 11 2" xfId="20760" xr:uid="{00000000-0005-0000-0000-0000A1580000}"/>
    <cellStyle name="Hed Side Regular 3 4 12" xfId="20761" xr:uid="{00000000-0005-0000-0000-0000A2580000}"/>
    <cellStyle name="Hed Side Regular 3 4 12 2" xfId="20762" xr:uid="{00000000-0005-0000-0000-0000A3580000}"/>
    <cellStyle name="Hed Side Regular 3 4 13" xfId="20763" xr:uid="{00000000-0005-0000-0000-0000A4580000}"/>
    <cellStyle name="Hed Side Regular 3 4 13 2" xfId="20764" xr:uid="{00000000-0005-0000-0000-0000A5580000}"/>
    <cellStyle name="Hed Side Regular 3 4 14" xfId="20765" xr:uid="{00000000-0005-0000-0000-0000A6580000}"/>
    <cellStyle name="Hed Side Regular 3 4 14 2" xfId="20766" xr:uid="{00000000-0005-0000-0000-0000A7580000}"/>
    <cellStyle name="Hed Side Regular 3 4 15" xfId="20767" xr:uid="{00000000-0005-0000-0000-0000A8580000}"/>
    <cellStyle name="Hed Side Regular 3 4 15 2" xfId="20768" xr:uid="{00000000-0005-0000-0000-0000A9580000}"/>
    <cellStyle name="Hed Side Regular 3 4 16" xfId="20769" xr:uid="{00000000-0005-0000-0000-0000AA580000}"/>
    <cellStyle name="Hed Side Regular 3 4 16 2" xfId="20770" xr:uid="{00000000-0005-0000-0000-0000AB580000}"/>
    <cellStyle name="Hed Side Regular 3 4 17" xfId="20771" xr:uid="{00000000-0005-0000-0000-0000AC580000}"/>
    <cellStyle name="Hed Side Regular 3 4 17 2" xfId="20772" xr:uid="{00000000-0005-0000-0000-0000AD580000}"/>
    <cellStyle name="Hed Side Regular 3 4 18" xfId="20773" xr:uid="{00000000-0005-0000-0000-0000AE580000}"/>
    <cellStyle name="Hed Side Regular 3 4 2" xfId="20774" xr:uid="{00000000-0005-0000-0000-0000AF580000}"/>
    <cellStyle name="Hed Side Regular 3 4 2 10" xfId="20775" xr:uid="{00000000-0005-0000-0000-0000B0580000}"/>
    <cellStyle name="Hed Side Regular 3 4 2 2" xfId="20776" xr:uid="{00000000-0005-0000-0000-0000B1580000}"/>
    <cellStyle name="Hed Side Regular 3 4 2 2 2" xfId="20777" xr:uid="{00000000-0005-0000-0000-0000B2580000}"/>
    <cellStyle name="Hed Side Regular 3 4 2 3" xfId="20778" xr:uid="{00000000-0005-0000-0000-0000B3580000}"/>
    <cellStyle name="Hed Side Regular 3 4 2 3 2" xfId="20779" xr:uid="{00000000-0005-0000-0000-0000B4580000}"/>
    <cellStyle name="Hed Side Regular 3 4 2 4" xfId="20780" xr:uid="{00000000-0005-0000-0000-0000B5580000}"/>
    <cellStyle name="Hed Side Regular 3 4 2 4 2" xfId="20781" xr:uid="{00000000-0005-0000-0000-0000B6580000}"/>
    <cellStyle name="Hed Side Regular 3 4 2 5" xfId="20782" xr:uid="{00000000-0005-0000-0000-0000B7580000}"/>
    <cellStyle name="Hed Side Regular 3 4 2 5 2" xfId="20783" xr:uid="{00000000-0005-0000-0000-0000B8580000}"/>
    <cellStyle name="Hed Side Regular 3 4 2 6" xfId="20784" xr:uid="{00000000-0005-0000-0000-0000B9580000}"/>
    <cellStyle name="Hed Side Regular 3 4 2 6 2" xfId="20785" xr:uid="{00000000-0005-0000-0000-0000BA580000}"/>
    <cellStyle name="Hed Side Regular 3 4 2 7" xfId="20786" xr:uid="{00000000-0005-0000-0000-0000BB580000}"/>
    <cellStyle name="Hed Side Regular 3 4 2 7 2" xfId="20787" xr:uid="{00000000-0005-0000-0000-0000BC580000}"/>
    <cellStyle name="Hed Side Regular 3 4 2 8" xfId="20788" xr:uid="{00000000-0005-0000-0000-0000BD580000}"/>
    <cellStyle name="Hed Side Regular 3 4 2 8 2" xfId="20789" xr:uid="{00000000-0005-0000-0000-0000BE580000}"/>
    <cellStyle name="Hed Side Regular 3 4 2 9" xfId="20790" xr:uid="{00000000-0005-0000-0000-0000BF580000}"/>
    <cellStyle name="Hed Side Regular 3 4 2 9 2" xfId="20791" xr:uid="{00000000-0005-0000-0000-0000C0580000}"/>
    <cellStyle name="Hed Side Regular 3 4 3" xfId="20792" xr:uid="{00000000-0005-0000-0000-0000C1580000}"/>
    <cellStyle name="Hed Side Regular 3 4 3 10" xfId="20793" xr:uid="{00000000-0005-0000-0000-0000C2580000}"/>
    <cellStyle name="Hed Side Regular 3 4 3 2" xfId="20794" xr:uid="{00000000-0005-0000-0000-0000C3580000}"/>
    <cellStyle name="Hed Side Regular 3 4 3 2 2" xfId="20795" xr:uid="{00000000-0005-0000-0000-0000C4580000}"/>
    <cellStyle name="Hed Side Regular 3 4 3 3" xfId="20796" xr:uid="{00000000-0005-0000-0000-0000C5580000}"/>
    <cellStyle name="Hed Side Regular 3 4 3 3 2" xfId="20797" xr:uid="{00000000-0005-0000-0000-0000C6580000}"/>
    <cellStyle name="Hed Side Regular 3 4 3 4" xfId="20798" xr:uid="{00000000-0005-0000-0000-0000C7580000}"/>
    <cellStyle name="Hed Side Regular 3 4 3 4 2" xfId="20799" xr:uid="{00000000-0005-0000-0000-0000C8580000}"/>
    <cellStyle name="Hed Side Regular 3 4 3 5" xfId="20800" xr:uid="{00000000-0005-0000-0000-0000C9580000}"/>
    <cellStyle name="Hed Side Regular 3 4 3 5 2" xfId="20801" xr:uid="{00000000-0005-0000-0000-0000CA580000}"/>
    <cellStyle name="Hed Side Regular 3 4 3 6" xfId="20802" xr:uid="{00000000-0005-0000-0000-0000CB580000}"/>
    <cellStyle name="Hed Side Regular 3 4 3 6 2" xfId="20803" xr:uid="{00000000-0005-0000-0000-0000CC580000}"/>
    <cellStyle name="Hed Side Regular 3 4 3 7" xfId="20804" xr:uid="{00000000-0005-0000-0000-0000CD580000}"/>
    <cellStyle name="Hed Side Regular 3 4 3 7 2" xfId="20805" xr:uid="{00000000-0005-0000-0000-0000CE580000}"/>
    <cellStyle name="Hed Side Regular 3 4 3 8" xfId="20806" xr:uid="{00000000-0005-0000-0000-0000CF580000}"/>
    <cellStyle name="Hed Side Regular 3 4 3 8 2" xfId="20807" xr:uid="{00000000-0005-0000-0000-0000D0580000}"/>
    <cellStyle name="Hed Side Regular 3 4 3 9" xfId="20808" xr:uid="{00000000-0005-0000-0000-0000D1580000}"/>
    <cellStyle name="Hed Side Regular 3 4 3 9 2" xfId="20809" xr:uid="{00000000-0005-0000-0000-0000D2580000}"/>
    <cellStyle name="Hed Side Regular 3 4 4" xfId="20810" xr:uid="{00000000-0005-0000-0000-0000D3580000}"/>
    <cellStyle name="Hed Side Regular 3 4 4 10" xfId="20811" xr:uid="{00000000-0005-0000-0000-0000D4580000}"/>
    <cellStyle name="Hed Side Regular 3 4 4 2" xfId="20812" xr:uid="{00000000-0005-0000-0000-0000D5580000}"/>
    <cellStyle name="Hed Side Regular 3 4 4 2 2" xfId="20813" xr:uid="{00000000-0005-0000-0000-0000D6580000}"/>
    <cellStyle name="Hed Side Regular 3 4 4 3" xfId="20814" xr:uid="{00000000-0005-0000-0000-0000D7580000}"/>
    <cellStyle name="Hed Side Regular 3 4 4 3 2" xfId="20815" xr:uid="{00000000-0005-0000-0000-0000D8580000}"/>
    <cellStyle name="Hed Side Regular 3 4 4 4" xfId="20816" xr:uid="{00000000-0005-0000-0000-0000D9580000}"/>
    <cellStyle name="Hed Side Regular 3 4 4 4 2" xfId="20817" xr:uid="{00000000-0005-0000-0000-0000DA580000}"/>
    <cellStyle name="Hed Side Regular 3 4 4 5" xfId="20818" xr:uid="{00000000-0005-0000-0000-0000DB580000}"/>
    <cellStyle name="Hed Side Regular 3 4 4 5 2" xfId="20819" xr:uid="{00000000-0005-0000-0000-0000DC580000}"/>
    <cellStyle name="Hed Side Regular 3 4 4 6" xfId="20820" xr:uid="{00000000-0005-0000-0000-0000DD580000}"/>
    <cellStyle name="Hed Side Regular 3 4 4 6 2" xfId="20821" xr:uid="{00000000-0005-0000-0000-0000DE580000}"/>
    <cellStyle name="Hed Side Regular 3 4 4 7" xfId="20822" xr:uid="{00000000-0005-0000-0000-0000DF580000}"/>
    <cellStyle name="Hed Side Regular 3 4 4 7 2" xfId="20823" xr:uid="{00000000-0005-0000-0000-0000E0580000}"/>
    <cellStyle name="Hed Side Regular 3 4 4 8" xfId="20824" xr:uid="{00000000-0005-0000-0000-0000E1580000}"/>
    <cellStyle name="Hed Side Regular 3 4 4 8 2" xfId="20825" xr:uid="{00000000-0005-0000-0000-0000E2580000}"/>
    <cellStyle name="Hed Side Regular 3 4 4 9" xfId="20826" xr:uid="{00000000-0005-0000-0000-0000E3580000}"/>
    <cellStyle name="Hed Side Regular 3 4 4 9 2" xfId="20827" xr:uid="{00000000-0005-0000-0000-0000E4580000}"/>
    <cellStyle name="Hed Side Regular 3 4 5" xfId="20828" xr:uid="{00000000-0005-0000-0000-0000E5580000}"/>
    <cellStyle name="Hed Side Regular 3 4 5 10" xfId="20829" xr:uid="{00000000-0005-0000-0000-0000E6580000}"/>
    <cellStyle name="Hed Side Regular 3 4 5 2" xfId="20830" xr:uid="{00000000-0005-0000-0000-0000E7580000}"/>
    <cellStyle name="Hed Side Regular 3 4 5 2 2" xfId="20831" xr:uid="{00000000-0005-0000-0000-0000E8580000}"/>
    <cellStyle name="Hed Side Regular 3 4 5 3" xfId="20832" xr:uid="{00000000-0005-0000-0000-0000E9580000}"/>
    <cellStyle name="Hed Side Regular 3 4 5 3 2" xfId="20833" xr:uid="{00000000-0005-0000-0000-0000EA580000}"/>
    <cellStyle name="Hed Side Regular 3 4 5 4" xfId="20834" xr:uid="{00000000-0005-0000-0000-0000EB580000}"/>
    <cellStyle name="Hed Side Regular 3 4 5 4 2" xfId="20835" xr:uid="{00000000-0005-0000-0000-0000EC580000}"/>
    <cellStyle name="Hed Side Regular 3 4 5 5" xfId="20836" xr:uid="{00000000-0005-0000-0000-0000ED580000}"/>
    <cellStyle name="Hed Side Regular 3 4 5 5 2" xfId="20837" xr:uid="{00000000-0005-0000-0000-0000EE580000}"/>
    <cellStyle name="Hed Side Regular 3 4 5 6" xfId="20838" xr:uid="{00000000-0005-0000-0000-0000EF580000}"/>
    <cellStyle name="Hed Side Regular 3 4 5 6 2" xfId="20839" xr:uid="{00000000-0005-0000-0000-0000F0580000}"/>
    <cellStyle name="Hed Side Regular 3 4 5 7" xfId="20840" xr:uid="{00000000-0005-0000-0000-0000F1580000}"/>
    <cellStyle name="Hed Side Regular 3 4 5 7 2" xfId="20841" xr:uid="{00000000-0005-0000-0000-0000F2580000}"/>
    <cellStyle name="Hed Side Regular 3 4 5 8" xfId="20842" xr:uid="{00000000-0005-0000-0000-0000F3580000}"/>
    <cellStyle name="Hed Side Regular 3 4 5 8 2" xfId="20843" xr:uid="{00000000-0005-0000-0000-0000F4580000}"/>
    <cellStyle name="Hed Side Regular 3 4 5 9" xfId="20844" xr:uid="{00000000-0005-0000-0000-0000F5580000}"/>
    <cellStyle name="Hed Side Regular 3 4 5 9 2" xfId="20845" xr:uid="{00000000-0005-0000-0000-0000F6580000}"/>
    <cellStyle name="Hed Side Regular 3 4 6" xfId="20846" xr:uid="{00000000-0005-0000-0000-0000F7580000}"/>
    <cellStyle name="Hed Side Regular 3 4 6 10" xfId="20847" xr:uid="{00000000-0005-0000-0000-0000F8580000}"/>
    <cellStyle name="Hed Side Regular 3 4 6 2" xfId="20848" xr:uid="{00000000-0005-0000-0000-0000F9580000}"/>
    <cellStyle name="Hed Side Regular 3 4 6 2 2" xfId="20849" xr:uid="{00000000-0005-0000-0000-0000FA580000}"/>
    <cellStyle name="Hed Side Regular 3 4 6 3" xfId="20850" xr:uid="{00000000-0005-0000-0000-0000FB580000}"/>
    <cellStyle name="Hed Side Regular 3 4 6 3 2" xfId="20851" xr:uid="{00000000-0005-0000-0000-0000FC580000}"/>
    <cellStyle name="Hed Side Regular 3 4 6 4" xfId="20852" xr:uid="{00000000-0005-0000-0000-0000FD580000}"/>
    <cellStyle name="Hed Side Regular 3 4 6 4 2" xfId="20853" xr:uid="{00000000-0005-0000-0000-0000FE580000}"/>
    <cellStyle name="Hed Side Regular 3 4 6 5" xfId="20854" xr:uid="{00000000-0005-0000-0000-0000FF580000}"/>
    <cellStyle name="Hed Side Regular 3 4 6 5 2" xfId="20855" xr:uid="{00000000-0005-0000-0000-000000590000}"/>
    <cellStyle name="Hed Side Regular 3 4 6 6" xfId="20856" xr:uid="{00000000-0005-0000-0000-000001590000}"/>
    <cellStyle name="Hed Side Regular 3 4 6 6 2" xfId="20857" xr:uid="{00000000-0005-0000-0000-000002590000}"/>
    <cellStyle name="Hed Side Regular 3 4 6 7" xfId="20858" xr:uid="{00000000-0005-0000-0000-000003590000}"/>
    <cellStyle name="Hed Side Regular 3 4 6 7 2" xfId="20859" xr:uid="{00000000-0005-0000-0000-000004590000}"/>
    <cellStyle name="Hed Side Regular 3 4 6 8" xfId="20860" xr:uid="{00000000-0005-0000-0000-000005590000}"/>
    <cellStyle name="Hed Side Regular 3 4 6 8 2" xfId="20861" xr:uid="{00000000-0005-0000-0000-000006590000}"/>
    <cellStyle name="Hed Side Regular 3 4 6 9" xfId="20862" xr:uid="{00000000-0005-0000-0000-000007590000}"/>
    <cellStyle name="Hed Side Regular 3 4 6 9 2" xfId="20863" xr:uid="{00000000-0005-0000-0000-000008590000}"/>
    <cellStyle name="Hed Side Regular 3 4 7" xfId="20864" xr:uid="{00000000-0005-0000-0000-000009590000}"/>
    <cellStyle name="Hed Side Regular 3 4 7 10" xfId="20865" xr:uid="{00000000-0005-0000-0000-00000A590000}"/>
    <cellStyle name="Hed Side Regular 3 4 7 2" xfId="20866" xr:uid="{00000000-0005-0000-0000-00000B590000}"/>
    <cellStyle name="Hed Side Regular 3 4 7 2 2" xfId="20867" xr:uid="{00000000-0005-0000-0000-00000C590000}"/>
    <cellStyle name="Hed Side Regular 3 4 7 3" xfId="20868" xr:uid="{00000000-0005-0000-0000-00000D590000}"/>
    <cellStyle name="Hed Side Regular 3 4 7 3 2" xfId="20869" xr:uid="{00000000-0005-0000-0000-00000E590000}"/>
    <cellStyle name="Hed Side Regular 3 4 7 4" xfId="20870" xr:uid="{00000000-0005-0000-0000-00000F590000}"/>
    <cellStyle name="Hed Side Regular 3 4 7 4 2" xfId="20871" xr:uid="{00000000-0005-0000-0000-000010590000}"/>
    <cellStyle name="Hed Side Regular 3 4 7 5" xfId="20872" xr:uid="{00000000-0005-0000-0000-000011590000}"/>
    <cellStyle name="Hed Side Regular 3 4 7 5 2" xfId="20873" xr:uid="{00000000-0005-0000-0000-000012590000}"/>
    <cellStyle name="Hed Side Regular 3 4 7 6" xfId="20874" xr:uid="{00000000-0005-0000-0000-000013590000}"/>
    <cellStyle name="Hed Side Regular 3 4 7 6 2" xfId="20875" xr:uid="{00000000-0005-0000-0000-000014590000}"/>
    <cellStyle name="Hed Side Regular 3 4 7 7" xfId="20876" xr:uid="{00000000-0005-0000-0000-000015590000}"/>
    <cellStyle name="Hed Side Regular 3 4 7 7 2" xfId="20877" xr:uid="{00000000-0005-0000-0000-000016590000}"/>
    <cellStyle name="Hed Side Regular 3 4 7 8" xfId="20878" xr:uid="{00000000-0005-0000-0000-000017590000}"/>
    <cellStyle name="Hed Side Regular 3 4 7 8 2" xfId="20879" xr:uid="{00000000-0005-0000-0000-000018590000}"/>
    <cellStyle name="Hed Side Regular 3 4 7 9" xfId="20880" xr:uid="{00000000-0005-0000-0000-000019590000}"/>
    <cellStyle name="Hed Side Regular 3 4 7 9 2" xfId="20881" xr:uid="{00000000-0005-0000-0000-00001A590000}"/>
    <cellStyle name="Hed Side Regular 3 4 8" xfId="20882" xr:uid="{00000000-0005-0000-0000-00001B590000}"/>
    <cellStyle name="Hed Side Regular 3 4 8 10" xfId="20883" xr:uid="{00000000-0005-0000-0000-00001C590000}"/>
    <cellStyle name="Hed Side Regular 3 4 8 2" xfId="20884" xr:uid="{00000000-0005-0000-0000-00001D590000}"/>
    <cellStyle name="Hed Side Regular 3 4 8 2 2" xfId="20885" xr:uid="{00000000-0005-0000-0000-00001E590000}"/>
    <cellStyle name="Hed Side Regular 3 4 8 3" xfId="20886" xr:uid="{00000000-0005-0000-0000-00001F590000}"/>
    <cellStyle name="Hed Side Regular 3 4 8 3 2" xfId="20887" xr:uid="{00000000-0005-0000-0000-000020590000}"/>
    <cellStyle name="Hed Side Regular 3 4 8 4" xfId="20888" xr:uid="{00000000-0005-0000-0000-000021590000}"/>
    <cellStyle name="Hed Side Regular 3 4 8 4 2" xfId="20889" xr:uid="{00000000-0005-0000-0000-000022590000}"/>
    <cellStyle name="Hed Side Regular 3 4 8 5" xfId="20890" xr:uid="{00000000-0005-0000-0000-000023590000}"/>
    <cellStyle name="Hed Side Regular 3 4 8 5 2" xfId="20891" xr:uid="{00000000-0005-0000-0000-000024590000}"/>
    <cellStyle name="Hed Side Regular 3 4 8 6" xfId="20892" xr:uid="{00000000-0005-0000-0000-000025590000}"/>
    <cellStyle name="Hed Side Regular 3 4 8 6 2" xfId="20893" xr:uid="{00000000-0005-0000-0000-000026590000}"/>
    <cellStyle name="Hed Side Regular 3 4 8 7" xfId="20894" xr:uid="{00000000-0005-0000-0000-000027590000}"/>
    <cellStyle name="Hed Side Regular 3 4 8 7 2" xfId="20895" xr:uid="{00000000-0005-0000-0000-000028590000}"/>
    <cellStyle name="Hed Side Regular 3 4 8 8" xfId="20896" xr:uid="{00000000-0005-0000-0000-000029590000}"/>
    <cellStyle name="Hed Side Regular 3 4 8 8 2" xfId="20897" xr:uid="{00000000-0005-0000-0000-00002A590000}"/>
    <cellStyle name="Hed Side Regular 3 4 8 9" xfId="20898" xr:uid="{00000000-0005-0000-0000-00002B590000}"/>
    <cellStyle name="Hed Side Regular 3 4 8 9 2" xfId="20899" xr:uid="{00000000-0005-0000-0000-00002C590000}"/>
    <cellStyle name="Hed Side Regular 3 4 9" xfId="20900" xr:uid="{00000000-0005-0000-0000-00002D590000}"/>
    <cellStyle name="Hed Side Regular 3 4 9 10" xfId="20901" xr:uid="{00000000-0005-0000-0000-00002E590000}"/>
    <cellStyle name="Hed Side Regular 3 4 9 2" xfId="20902" xr:uid="{00000000-0005-0000-0000-00002F590000}"/>
    <cellStyle name="Hed Side Regular 3 4 9 2 2" xfId="20903" xr:uid="{00000000-0005-0000-0000-000030590000}"/>
    <cellStyle name="Hed Side Regular 3 4 9 3" xfId="20904" xr:uid="{00000000-0005-0000-0000-000031590000}"/>
    <cellStyle name="Hed Side Regular 3 4 9 3 2" xfId="20905" xr:uid="{00000000-0005-0000-0000-000032590000}"/>
    <cellStyle name="Hed Side Regular 3 4 9 4" xfId="20906" xr:uid="{00000000-0005-0000-0000-000033590000}"/>
    <cellStyle name="Hed Side Regular 3 4 9 4 2" xfId="20907" xr:uid="{00000000-0005-0000-0000-000034590000}"/>
    <cellStyle name="Hed Side Regular 3 4 9 5" xfId="20908" xr:uid="{00000000-0005-0000-0000-000035590000}"/>
    <cellStyle name="Hed Side Regular 3 4 9 5 2" xfId="20909" xr:uid="{00000000-0005-0000-0000-000036590000}"/>
    <cellStyle name="Hed Side Regular 3 4 9 6" xfId="20910" xr:uid="{00000000-0005-0000-0000-000037590000}"/>
    <cellStyle name="Hed Side Regular 3 4 9 6 2" xfId="20911" xr:uid="{00000000-0005-0000-0000-000038590000}"/>
    <cellStyle name="Hed Side Regular 3 4 9 7" xfId="20912" xr:uid="{00000000-0005-0000-0000-000039590000}"/>
    <cellStyle name="Hed Side Regular 3 4 9 7 2" xfId="20913" xr:uid="{00000000-0005-0000-0000-00003A590000}"/>
    <cellStyle name="Hed Side Regular 3 4 9 8" xfId="20914" xr:uid="{00000000-0005-0000-0000-00003B590000}"/>
    <cellStyle name="Hed Side Regular 3 4 9 8 2" xfId="20915" xr:uid="{00000000-0005-0000-0000-00003C590000}"/>
    <cellStyle name="Hed Side Regular 3 4 9 9" xfId="20916" xr:uid="{00000000-0005-0000-0000-00003D590000}"/>
    <cellStyle name="Hed Side Regular 3 4 9 9 2" xfId="20917" xr:uid="{00000000-0005-0000-0000-00003E590000}"/>
    <cellStyle name="Hed Side Regular 3 5" xfId="20918" xr:uid="{00000000-0005-0000-0000-00003F590000}"/>
    <cellStyle name="Hed Side Regular 3 5 10" xfId="20919" xr:uid="{00000000-0005-0000-0000-000040590000}"/>
    <cellStyle name="Hed Side Regular 3 5 10 2" xfId="20920" xr:uid="{00000000-0005-0000-0000-000041590000}"/>
    <cellStyle name="Hed Side Regular 3 5 10 2 2" xfId="20921" xr:uid="{00000000-0005-0000-0000-000042590000}"/>
    <cellStyle name="Hed Side Regular 3 5 10 3" xfId="20922" xr:uid="{00000000-0005-0000-0000-000043590000}"/>
    <cellStyle name="Hed Side Regular 3 5 10 3 2" xfId="20923" xr:uid="{00000000-0005-0000-0000-000044590000}"/>
    <cellStyle name="Hed Side Regular 3 5 10 4" xfId="20924" xr:uid="{00000000-0005-0000-0000-000045590000}"/>
    <cellStyle name="Hed Side Regular 3 5 10 4 2" xfId="20925" xr:uid="{00000000-0005-0000-0000-000046590000}"/>
    <cellStyle name="Hed Side Regular 3 5 10 5" xfId="20926" xr:uid="{00000000-0005-0000-0000-000047590000}"/>
    <cellStyle name="Hed Side Regular 3 5 10 5 2" xfId="20927" xr:uid="{00000000-0005-0000-0000-000048590000}"/>
    <cellStyle name="Hed Side Regular 3 5 10 6" xfId="20928" xr:uid="{00000000-0005-0000-0000-000049590000}"/>
    <cellStyle name="Hed Side Regular 3 5 10 6 2" xfId="20929" xr:uid="{00000000-0005-0000-0000-00004A590000}"/>
    <cellStyle name="Hed Side Regular 3 5 10 7" xfId="20930" xr:uid="{00000000-0005-0000-0000-00004B590000}"/>
    <cellStyle name="Hed Side Regular 3 5 10 7 2" xfId="20931" xr:uid="{00000000-0005-0000-0000-00004C590000}"/>
    <cellStyle name="Hed Side Regular 3 5 10 8" xfId="20932" xr:uid="{00000000-0005-0000-0000-00004D590000}"/>
    <cellStyle name="Hed Side Regular 3 5 10 8 2" xfId="20933" xr:uid="{00000000-0005-0000-0000-00004E590000}"/>
    <cellStyle name="Hed Side Regular 3 5 10 9" xfId="20934" xr:uid="{00000000-0005-0000-0000-00004F590000}"/>
    <cellStyle name="Hed Side Regular 3 5 11" xfId="20935" xr:uid="{00000000-0005-0000-0000-000050590000}"/>
    <cellStyle name="Hed Side Regular 3 5 11 2" xfId="20936" xr:uid="{00000000-0005-0000-0000-000051590000}"/>
    <cellStyle name="Hed Side Regular 3 5 12" xfId="20937" xr:uid="{00000000-0005-0000-0000-000052590000}"/>
    <cellStyle name="Hed Side Regular 3 5 12 2" xfId="20938" xr:uid="{00000000-0005-0000-0000-000053590000}"/>
    <cellStyle name="Hed Side Regular 3 5 13" xfId="20939" xr:uid="{00000000-0005-0000-0000-000054590000}"/>
    <cellStyle name="Hed Side Regular 3 5 13 2" xfId="20940" xr:uid="{00000000-0005-0000-0000-000055590000}"/>
    <cellStyle name="Hed Side Regular 3 5 14" xfId="20941" xr:uid="{00000000-0005-0000-0000-000056590000}"/>
    <cellStyle name="Hed Side Regular 3 5 14 2" xfId="20942" xr:uid="{00000000-0005-0000-0000-000057590000}"/>
    <cellStyle name="Hed Side Regular 3 5 15" xfId="20943" xr:uid="{00000000-0005-0000-0000-000058590000}"/>
    <cellStyle name="Hed Side Regular 3 5 15 2" xfId="20944" xr:uid="{00000000-0005-0000-0000-000059590000}"/>
    <cellStyle name="Hed Side Regular 3 5 16" xfId="20945" xr:uid="{00000000-0005-0000-0000-00005A590000}"/>
    <cellStyle name="Hed Side Regular 3 5 16 2" xfId="20946" xr:uid="{00000000-0005-0000-0000-00005B590000}"/>
    <cellStyle name="Hed Side Regular 3 5 17" xfId="20947" xr:uid="{00000000-0005-0000-0000-00005C590000}"/>
    <cellStyle name="Hed Side Regular 3 5 17 2" xfId="20948" xr:uid="{00000000-0005-0000-0000-00005D590000}"/>
    <cellStyle name="Hed Side Regular 3 5 18" xfId="20949" xr:uid="{00000000-0005-0000-0000-00005E590000}"/>
    <cellStyle name="Hed Side Regular 3 5 2" xfId="20950" xr:uid="{00000000-0005-0000-0000-00005F590000}"/>
    <cellStyle name="Hed Side Regular 3 5 2 10" xfId="20951" xr:uid="{00000000-0005-0000-0000-000060590000}"/>
    <cellStyle name="Hed Side Regular 3 5 2 2" xfId="20952" xr:uid="{00000000-0005-0000-0000-000061590000}"/>
    <cellStyle name="Hed Side Regular 3 5 2 2 2" xfId="20953" xr:uid="{00000000-0005-0000-0000-000062590000}"/>
    <cellStyle name="Hed Side Regular 3 5 2 3" xfId="20954" xr:uid="{00000000-0005-0000-0000-000063590000}"/>
    <cellStyle name="Hed Side Regular 3 5 2 3 2" xfId="20955" xr:uid="{00000000-0005-0000-0000-000064590000}"/>
    <cellStyle name="Hed Side Regular 3 5 2 4" xfId="20956" xr:uid="{00000000-0005-0000-0000-000065590000}"/>
    <cellStyle name="Hed Side Regular 3 5 2 4 2" xfId="20957" xr:uid="{00000000-0005-0000-0000-000066590000}"/>
    <cellStyle name="Hed Side Regular 3 5 2 5" xfId="20958" xr:uid="{00000000-0005-0000-0000-000067590000}"/>
    <cellStyle name="Hed Side Regular 3 5 2 5 2" xfId="20959" xr:uid="{00000000-0005-0000-0000-000068590000}"/>
    <cellStyle name="Hed Side Regular 3 5 2 6" xfId="20960" xr:uid="{00000000-0005-0000-0000-000069590000}"/>
    <cellStyle name="Hed Side Regular 3 5 2 6 2" xfId="20961" xr:uid="{00000000-0005-0000-0000-00006A590000}"/>
    <cellStyle name="Hed Side Regular 3 5 2 7" xfId="20962" xr:uid="{00000000-0005-0000-0000-00006B590000}"/>
    <cellStyle name="Hed Side Regular 3 5 2 7 2" xfId="20963" xr:uid="{00000000-0005-0000-0000-00006C590000}"/>
    <cellStyle name="Hed Side Regular 3 5 2 8" xfId="20964" xr:uid="{00000000-0005-0000-0000-00006D590000}"/>
    <cellStyle name="Hed Side Regular 3 5 2 8 2" xfId="20965" xr:uid="{00000000-0005-0000-0000-00006E590000}"/>
    <cellStyle name="Hed Side Regular 3 5 2 9" xfId="20966" xr:uid="{00000000-0005-0000-0000-00006F590000}"/>
    <cellStyle name="Hed Side Regular 3 5 2 9 2" xfId="20967" xr:uid="{00000000-0005-0000-0000-000070590000}"/>
    <cellStyle name="Hed Side Regular 3 5 3" xfId="20968" xr:uid="{00000000-0005-0000-0000-000071590000}"/>
    <cellStyle name="Hed Side Regular 3 5 3 10" xfId="20969" xr:uid="{00000000-0005-0000-0000-000072590000}"/>
    <cellStyle name="Hed Side Regular 3 5 3 2" xfId="20970" xr:uid="{00000000-0005-0000-0000-000073590000}"/>
    <cellStyle name="Hed Side Regular 3 5 3 2 2" xfId="20971" xr:uid="{00000000-0005-0000-0000-000074590000}"/>
    <cellStyle name="Hed Side Regular 3 5 3 3" xfId="20972" xr:uid="{00000000-0005-0000-0000-000075590000}"/>
    <cellStyle name="Hed Side Regular 3 5 3 3 2" xfId="20973" xr:uid="{00000000-0005-0000-0000-000076590000}"/>
    <cellStyle name="Hed Side Regular 3 5 3 4" xfId="20974" xr:uid="{00000000-0005-0000-0000-000077590000}"/>
    <cellStyle name="Hed Side Regular 3 5 3 4 2" xfId="20975" xr:uid="{00000000-0005-0000-0000-000078590000}"/>
    <cellStyle name="Hed Side Regular 3 5 3 5" xfId="20976" xr:uid="{00000000-0005-0000-0000-000079590000}"/>
    <cellStyle name="Hed Side Regular 3 5 3 5 2" xfId="20977" xr:uid="{00000000-0005-0000-0000-00007A590000}"/>
    <cellStyle name="Hed Side Regular 3 5 3 6" xfId="20978" xr:uid="{00000000-0005-0000-0000-00007B590000}"/>
    <cellStyle name="Hed Side Regular 3 5 3 6 2" xfId="20979" xr:uid="{00000000-0005-0000-0000-00007C590000}"/>
    <cellStyle name="Hed Side Regular 3 5 3 7" xfId="20980" xr:uid="{00000000-0005-0000-0000-00007D590000}"/>
    <cellStyle name="Hed Side Regular 3 5 3 7 2" xfId="20981" xr:uid="{00000000-0005-0000-0000-00007E590000}"/>
    <cellStyle name="Hed Side Regular 3 5 3 8" xfId="20982" xr:uid="{00000000-0005-0000-0000-00007F590000}"/>
    <cellStyle name="Hed Side Regular 3 5 3 8 2" xfId="20983" xr:uid="{00000000-0005-0000-0000-000080590000}"/>
    <cellStyle name="Hed Side Regular 3 5 3 9" xfId="20984" xr:uid="{00000000-0005-0000-0000-000081590000}"/>
    <cellStyle name="Hed Side Regular 3 5 3 9 2" xfId="20985" xr:uid="{00000000-0005-0000-0000-000082590000}"/>
    <cellStyle name="Hed Side Regular 3 5 4" xfId="20986" xr:uid="{00000000-0005-0000-0000-000083590000}"/>
    <cellStyle name="Hed Side Regular 3 5 4 10" xfId="20987" xr:uid="{00000000-0005-0000-0000-000084590000}"/>
    <cellStyle name="Hed Side Regular 3 5 4 2" xfId="20988" xr:uid="{00000000-0005-0000-0000-000085590000}"/>
    <cellStyle name="Hed Side Regular 3 5 4 2 2" xfId="20989" xr:uid="{00000000-0005-0000-0000-000086590000}"/>
    <cellStyle name="Hed Side Regular 3 5 4 3" xfId="20990" xr:uid="{00000000-0005-0000-0000-000087590000}"/>
    <cellStyle name="Hed Side Regular 3 5 4 3 2" xfId="20991" xr:uid="{00000000-0005-0000-0000-000088590000}"/>
    <cellStyle name="Hed Side Regular 3 5 4 4" xfId="20992" xr:uid="{00000000-0005-0000-0000-000089590000}"/>
    <cellStyle name="Hed Side Regular 3 5 4 4 2" xfId="20993" xr:uid="{00000000-0005-0000-0000-00008A590000}"/>
    <cellStyle name="Hed Side Regular 3 5 4 5" xfId="20994" xr:uid="{00000000-0005-0000-0000-00008B590000}"/>
    <cellStyle name="Hed Side Regular 3 5 4 5 2" xfId="20995" xr:uid="{00000000-0005-0000-0000-00008C590000}"/>
    <cellStyle name="Hed Side Regular 3 5 4 6" xfId="20996" xr:uid="{00000000-0005-0000-0000-00008D590000}"/>
    <cellStyle name="Hed Side Regular 3 5 4 6 2" xfId="20997" xr:uid="{00000000-0005-0000-0000-00008E590000}"/>
    <cellStyle name="Hed Side Regular 3 5 4 7" xfId="20998" xr:uid="{00000000-0005-0000-0000-00008F590000}"/>
    <cellStyle name="Hed Side Regular 3 5 4 7 2" xfId="20999" xr:uid="{00000000-0005-0000-0000-000090590000}"/>
    <cellStyle name="Hed Side Regular 3 5 4 8" xfId="21000" xr:uid="{00000000-0005-0000-0000-000091590000}"/>
    <cellStyle name="Hed Side Regular 3 5 4 8 2" xfId="21001" xr:uid="{00000000-0005-0000-0000-000092590000}"/>
    <cellStyle name="Hed Side Regular 3 5 4 9" xfId="21002" xr:uid="{00000000-0005-0000-0000-000093590000}"/>
    <cellStyle name="Hed Side Regular 3 5 4 9 2" xfId="21003" xr:uid="{00000000-0005-0000-0000-000094590000}"/>
    <cellStyle name="Hed Side Regular 3 5 5" xfId="21004" xr:uid="{00000000-0005-0000-0000-000095590000}"/>
    <cellStyle name="Hed Side Regular 3 5 5 10" xfId="21005" xr:uid="{00000000-0005-0000-0000-000096590000}"/>
    <cellStyle name="Hed Side Regular 3 5 5 2" xfId="21006" xr:uid="{00000000-0005-0000-0000-000097590000}"/>
    <cellStyle name="Hed Side Regular 3 5 5 2 2" xfId="21007" xr:uid="{00000000-0005-0000-0000-000098590000}"/>
    <cellStyle name="Hed Side Regular 3 5 5 3" xfId="21008" xr:uid="{00000000-0005-0000-0000-000099590000}"/>
    <cellStyle name="Hed Side Regular 3 5 5 3 2" xfId="21009" xr:uid="{00000000-0005-0000-0000-00009A590000}"/>
    <cellStyle name="Hed Side Regular 3 5 5 4" xfId="21010" xr:uid="{00000000-0005-0000-0000-00009B590000}"/>
    <cellStyle name="Hed Side Regular 3 5 5 4 2" xfId="21011" xr:uid="{00000000-0005-0000-0000-00009C590000}"/>
    <cellStyle name="Hed Side Regular 3 5 5 5" xfId="21012" xr:uid="{00000000-0005-0000-0000-00009D590000}"/>
    <cellStyle name="Hed Side Regular 3 5 5 5 2" xfId="21013" xr:uid="{00000000-0005-0000-0000-00009E590000}"/>
    <cellStyle name="Hed Side Regular 3 5 5 6" xfId="21014" xr:uid="{00000000-0005-0000-0000-00009F590000}"/>
    <cellStyle name="Hed Side Regular 3 5 5 6 2" xfId="21015" xr:uid="{00000000-0005-0000-0000-0000A0590000}"/>
    <cellStyle name="Hed Side Regular 3 5 5 7" xfId="21016" xr:uid="{00000000-0005-0000-0000-0000A1590000}"/>
    <cellStyle name="Hed Side Regular 3 5 5 7 2" xfId="21017" xr:uid="{00000000-0005-0000-0000-0000A2590000}"/>
    <cellStyle name="Hed Side Regular 3 5 5 8" xfId="21018" xr:uid="{00000000-0005-0000-0000-0000A3590000}"/>
    <cellStyle name="Hed Side Regular 3 5 5 8 2" xfId="21019" xr:uid="{00000000-0005-0000-0000-0000A4590000}"/>
    <cellStyle name="Hed Side Regular 3 5 5 9" xfId="21020" xr:uid="{00000000-0005-0000-0000-0000A5590000}"/>
    <cellStyle name="Hed Side Regular 3 5 5 9 2" xfId="21021" xr:uid="{00000000-0005-0000-0000-0000A6590000}"/>
    <cellStyle name="Hed Side Regular 3 5 6" xfId="21022" xr:uid="{00000000-0005-0000-0000-0000A7590000}"/>
    <cellStyle name="Hed Side Regular 3 5 6 10" xfId="21023" xr:uid="{00000000-0005-0000-0000-0000A8590000}"/>
    <cellStyle name="Hed Side Regular 3 5 6 2" xfId="21024" xr:uid="{00000000-0005-0000-0000-0000A9590000}"/>
    <cellStyle name="Hed Side Regular 3 5 6 2 2" xfId="21025" xr:uid="{00000000-0005-0000-0000-0000AA590000}"/>
    <cellStyle name="Hed Side Regular 3 5 6 3" xfId="21026" xr:uid="{00000000-0005-0000-0000-0000AB590000}"/>
    <cellStyle name="Hed Side Regular 3 5 6 3 2" xfId="21027" xr:uid="{00000000-0005-0000-0000-0000AC590000}"/>
    <cellStyle name="Hed Side Regular 3 5 6 4" xfId="21028" xr:uid="{00000000-0005-0000-0000-0000AD590000}"/>
    <cellStyle name="Hed Side Regular 3 5 6 4 2" xfId="21029" xr:uid="{00000000-0005-0000-0000-0000AE590000}"/>
    <cellStyle name="Hed Side Regular 3 5 6 5" xfId="21030" xr:uid="{00000000-0005-0000-0000-0000AF590000}"/>
    <cellStyle name="Hed Side Regular 3 5 6 5 2" xfId="21031" xr:uid="{00000000-0005-0000-0000-0000B0590000}"/>
    <cellStyle name="Hed Side Regular 3 5 6 6" xfId="21032" xr:uid="{00000000-0005-0000-0000-0000B1590000}"/>
    <cellStyle name="Hed Side Regular 3 5 6 6 2" xfId="21033" xr:uid="{00000000-0005-0000-0000-0000B2590000}"/>
    <cellStyle name="Hed Side Regular 3 5 6 7" xfId="21034" xr:uid="{00000000-0005-0000-0000-0000B3590000}"/>
    <cellStyle name="Hed Side Regular 3 5 6 7 2" xfId="21035" xr:uid="{00000000-0005-0000-0000-0000B4590000}"/>
    <cellStyle name="Hed Side Regular 3 5 6 8" xfId="21036" xr:uid="{00000000-0005-0000-0000-0000B5590000}"/>
    <cellStyle name="Hed Side Regular 3 5 6 8 2" xfId="21037" xr:uid="{00000000-0005-0000-0000-0000B6590000}"/>
    <cellStyle name="Hed Side Regular 3 5 6 9" xfId="21038" xr:uid="{00000000-0005-0000-0000-0000B7590000}"/>
    <cellStyle name="Hed Side Regular 3 5 6 9 2" xfId="21039" xr:uid="{00000000-0005-0000-0000-0000B8590000}"/>
    <cellStyle name="Hed Side Regular 3 5 7" xfId="21040" xr:uid="{00000000-0005-0000-0000-0000B9590000}"/>
    <cellStyle name="Hed Side Regular 3 5 7 10" xfId="21041" xr:uid="{00000000-0005-0000-0000-0000BA590000}"/>
    <cellStyle name="Hed Side Regular 3 5 7 2" xfId="21042" xr:uid="{00000000-0005-0000-0000-0000BB590000}"/>
    <cellStyle name="Hed Side Regular 3 5 7 2 2" xfId="21043" xr:uid="{00000000-0005-0000-0000-0000BC590000}"/>
    <cellStyle name="Hed Side Regular 3 5 7 3" xfId="21044" xr:uid="{00000000-0005-0000-0000-0000BD590000}"/>
    <cellStyle name="Hed Side Regular 3 5 7 3 2" xfId="21045" xr:uid="{00000000-0005-0000-0000-0000BE590000}"/>
    <cellStyle name="Hed Side Regular 3 5 7 4" xfId="21046" xr:uid="{00000000-0005-0000-0000-0000BF590000}"/>
    <cellStyle name="Hed Side Regular 3 5 7 4 2" xfId="21047" xr:uid="{00000000-0005-0000-0000-0000C0590000}"/>
    <cellStyle name="Hed Side Regular 3 5 7 5" xfId="21048" xr:uid="{00000000-0005-0000-0000-0000C1590000}"/>
    <cellStyle name="Hed Side Regular 3 5 7 5 2" xfId="21049" xr:uid="{00000000-0005-0000-0000-0000C2590000}"/>
    <cellStyle name="Hed Side Regular 3 5 7 6" xfId="21050" xr:uid="{00000000-0005-0000-0000-0000C3590000}"/>
    <cellStyle name="Hed Side Regular 3 5 7 6 2" xfId="21051" xr:uid="{00000000-0005-0000-0000-0000C4590000}"/>
    <cellStyle name="Hed Side Regular 3 5 7 7" xfId="21052" xr:uid="{00000000-0005-0000-0000-0000C5590000}"/>
    <cellStyle name="Hed Side Regular 3 5 7 7 2" xfId="21053" xr:uid="{00000000-0005-0000-0000-0000C6590000}"/>
    <cellStyle name="Hed Side Regular 3 5 7 8" xfId="21054" xr:uid="{00000000-0005-0000-0000-0000C7590000}"/>
    <cellStyle name="Hed Side Regular 3 5 7 8 2" xfId="21055" xr:uid="{00000000-0005-0000-0000-0000C8590000}"/>
    <cellStyle name="Hed Side Regular 3 5 7 9" xfId="21056" xr:uid="{00000000-0005-0000-0000-0000C9590000}"/>
    <cellStyle name="Hed Side Regular 3 5 7 9 2" xfId="21057" xr:uid="{00000000-0005-0000-0000-0000CA590000}"/>
    <cellStyle name="Hed Side Regular 3 5 8" xfId="21058" xr:uid="{00000000-0005-0000-0000-0000CB590000}"/>
    <cellStyle name="Hed Side Regular 3 5 8 10" xfId="21059" xr:uid="{00000000-0005-0000-0000-0000CC590000}"/>
    <cellStyle name="Hed Side Regular 3 5 8 2" xfId="21060" xr:uid="{00000000-0005-0000-0000-0000CD590000}"/>
    <cellStyle name="Hed Side Regular 3 5 8 2 2" xfId="21061" xr:uid="{00000000-0005-0000-0000-0000CE590000}"/>
    <cellStyle name="Hed Side Regular 3 5 8 3" xfId="21062" xr:uid="{00000000-0005-0000-0000-0000CF590000}"/>
    <cellStyle name="Hed Side Regular 3 5 8 3 2" xfId="21063" xr:uid="{00000000-0005-0000-0000-0000D0590000}"/>
    <cellStyle name="Hed Side Regular 3 5 8 4" xfId="21064" xr:uid="{00000000-0005-0000-0000-0000D1590000}"/>
    <cellStyle name="Hed Side Regular 3 5 8 4 2" xfId="21065" xr:uid="{00000000-0005-0000-0000-0000D2590000}"/>
    <cellStyle name="Hed Side Regular 3 5 8 5" xfId="21066" xr:uid="{00000000-0005-0000-0000-0000D3590000}"/>
    <cellStyle name="Hed Side Regular 3 5 8 5 2" xfId="21067" xr:uid="{00000000-0005-0000-0000-0000D4590000}"/>
    <cellStyle name="Hed Side Regular 3 5 8 6" xfId="21068" xr:uid="{00000000-0005-0000-0000-0000D5590000}"/>
    <cellStyle name="Hed Side Regular 3 5 8 6 2" xfId="21069" xr:uid="{00000000-0005-0000-0000-0000D6590000}"/>
    <cellStyle name="Hed Side Regular 3 5 8 7" xfId="21070" xr:uid="{00000000-0005-0000-0000-0000D7590000}"/>
    <cellStyle name="Hed Side Regular 3 5 8 7 2" xfId="21071" xr:uid="{00000000-0005-0000-0000-0000D8590000}"/>
    <cellStyle name="Hed Side Regular 3 5 8 8" xfId="21072" xr:uid="{00000000-0005-0000-0000-0000D9590000}"/>
    <cellStyle name="Hed Side Regular 3 5 8 8 2" xfId="21073" xr:uid="{00000000-0005-0000-0000-0000DA590000}"/>
    <cellStyle name="Hed Side Regular 3 5 8 9" xfId="21074" xr:uid="{00000000-0005-0000-0000-0000DB590000}"/>
    <cellStyle name="Hed Side Regular 3 5 8 9 2" xfId="21075" xr:uid="{00000000-0005-0000-0000-0000DC590000}"/>
    <cellStyle name="Hed Side Regular 3 5 9" xfId="21076" xr:uid="{00000000-0005-0000-0000-0000DD590000}"/>
    <cellStyle name="Hed Side Regular 3 5 9 10" xfId="21077" xr:uid="{00000000-0005-0000-0000-0000DE590000}"/>
    <cellStyle name="Hed Side Regular 3 5 9 2" xfId="21078" xr:uid="{00000000-0005-0000-0000-0000DF590000}"/>
    <cellStyle name="Hed Side Regular 3 5 9 2 2" xfId="21079" xr:uid="{00000000-0005-0000-0000-0000E0590000}"/>
    <cellStyle name="Hed Side Regular 3 5 9 3" xfId="21080" xr:uid="{00000000-0005-0000-0000-0000E1590000}"/>
    <cellStyle name="Hed Side Regular 3 5 9 3 2" xfId="21081" xr:uid="{00000000-0005-0000-0000-0000E2590000}"/>
    <cellStyle name="Hed Side Regular 3 5 9 4" xfId="21082" xr:uid="{00000000-0005-0000-0000-0000E3590000}"/>
    <cellStyle name="Hed Side Regular 3 5 9 4 2" xfId="21083" xr:uid="{00000000-0005-0000-0000-0000E4590000}"/>
    <cellStyle name="Hed Side Regular 3 5 9 5" xfId="21084" xr:uid="{00000000-0005-0000-0000-0000E5590000}"/>
    <cellStyle name="Hed Side Regular 3 5 9 5 2" xfId="21085" xr:uid="{00000000-0005-0000-0000-0000E6590000}"/>
    <cellStyle name="Hed Side Regular 3 5 9 6" xfId="21086" xr:uid="{00000000-0005-0000-0000-0000E7590000}"/>
    <cellStyle name="Hed Side Regular 3 5 9 6 2" xfId="21087" xr:uid="{00000000-0005-0000-0000-0000E8590000}"/>
    <cellStyle name="Hed Side Regular 3 5 9 7" xfId="21088" xr:uid="{00000000-0005-0000-0000-0000E9590000}"/>
    <cellStyle name="Hed Side Regular 3 5 9 7 2" xfId="21089" xr:uid="{00000000-0005-0000-0000-0000EA590000}"/>
    <cellStyle name="Hed Side Regular 3 5 9 8" xfId="21090" xr:uid="{00000000-0005-0000-0000-0000EB590000}"/>
    <cellStyle name="Hed Side Regular 3 5 9 8 2" xfId="21091" xr:uid="{00000000-0005-0000-0000-0000EC590000}"/>
    <cellStyle name="Hed Side Regular 3 5 9 9" xfId="21092" xr:uid="{00000000-0005-0000-0000-0000ED590000}"/>
    <cellStyle name="Hed Side Regular 3 5 9 9 2" xfId="21093" xr:uid="{00000000-0005-0000-0000-0000EE590000}"/>
    <cellStyle name="Hed Side Regular 3 6" xfId="21094" xr:uid="{00000000-0005-0000-0000-0000EF590000}"/>
    <cellStyle name="Hed Side Regular 3 6 10" xfId="21095" xr:uid="{00000000-0005-0000-0000-0000F0590000}"/>
    <cellStyle name="Hed Side Regular 3 6 10 2" xfId="21096" xr:uid="{00000000-0005-0000-0000-0000F1590000}"/>
    <cellStyle name="Hed Side Regular 3 6 10 2 2" xfId="21097" xr:uid="{00000000-0005-0000-0000-0000F2590000}"/>
    <cellStyle name="Hed Side Regular 3 6 10 3" xfId="21098" xr:uid="{00000000-0005-0000-0000-0000F3590000}"/>
    <cellStyle name="Hed Side Regular 3 6 10 3 2" xfId="21099" xr:uid="{00000000-0005-0000-0000-0000F4590000}"/>
    <cellStyle name="Hed Side Regular 3 6 10 4" xfId="21100" xr:uid="{00000000-0005-0000-0000-0000F5590000}"/>
    <cellStyle name="Hed Side Regular 3 6 10 4 2" xfId="21101" xr:uid="{00000000-0005-0000-0000-0000F6590000}"/>
    <cellStyle name="Hed Side Regular 3 6 10 5" xfId="21102" xr:uid="{00000000-0005-0000-0000-0000F7590000}"/>
    <cellStyle name="Hed Side Regular 3 6 10 5 2" xfId="21103" xr:uid="{00000000-0005-0000-0000-0000F8590000}"/>
    <cellStyle name="Hed Side Regular 3 6 10 6" xfId="21104" xr:uid="{00000000-0005-0000-0000-0000F9590000}"/>
    <cellStyle name="Hed Side Regular 3 6 10 6 2" xfId="21105" xr:uid="{00000000-0005-0000-0000-0000FA590000}"/>
    <cellStyle name="Hed Side Regular 3 6 10 7" xfId="21106" xr:uid="{00000000-0005-0000-0000-0000FB590000}"/>
    <cellStyle name="Hed Side Regular 3 6 10 7 2" xfId="21107" xr:uid="{00000000-0005-0000-0000-0000FC590000}"/>
    <cellStyle name="Hed Side Regular 3 6 10 8" xfId="21108" xr:uid="{00000000-0005-0000-0000-0000FD590000}"/>
    <cellStyle name="Hed Side Regular 3 6 10 8 2" xfId="21109" xr:uid="{00000000-0005-0000-0000-0000FE590000}"/>
    <cellStyle name="Hed Side Regular 3 6 10 9" xfId="21110" xr:uid="{00000000-0005-0000-0000-0000FF590000}"/>
    <cellStyle name="Hed Side Regular 3 6 11" xfId="21111" xr:uid="{00000000-0005-0000-0000-0000005A0000}"/>
    <cellStyle name="Hed Side Regular 3 6 11 2" xfId="21112" xr:uid="{00000000-0005-0000-0000-0000015A0000}"/>
    <cellStyle name="Hed Side Regular 3 6 12" xfId="21113" xr:uid="{00000000-0005-0000-0000-0000025A0000}"/>
    <cellStyle name="Hed Side Regular 3 6 12 2" xfId="21114" xr:uid="{00000000-0005-0000-0000-0000035A0000}"/>
    <cellStyle name="Hed Side Regular 3 6 13" xfId="21115" xr:uid="{00000000-0005-0000-0000-0000045A0000}"/>
    <cellStyle name="Hed Side Regular 3 6 13 2" xfId="21116" xr:uid="{00000000-0005-0000-0000-0000055A0000}"/>
    <cellStyle name="Hed Side Regular 3 6 14" xfId="21117" xr:uid="{00000000-0005-0000-0000-0000065A0000}"/>
    <cellStyle name="Hed Side Regular 3 6 14 2" xfId="21118" xr:uid="{00000000-0005-0000-0000-0000075A0000}"/>
    <cellStyle name="Hed Side Regular 3 6 15" xfId="21119" xr:uid="{00000000-0005-0000-0000-0000085A0000}"/>
    <cellStyle name="Hed Side Regular 3 6 15 2" xfId="21120" xr:uid="{00000000-0005-0000-0000-0000095A0000}"/>
    <cellStyle name="Hed Side Regular 3 6 16" xfId="21121" xr:uid="{00000000-0005-0000-0000-00000A5A0000}"/>
    <cellStyle name="Hed Side Regular 3 6 16 2" xfId="21122" xr:uid="{00000000-0005-0000-0000-00000B5A0000}"/>
    <cellStyle name="Hed Side Regular 3 6 17" xfId="21123" xr:uid="{00000000-0005-0000-0000-00000C5A0000}"/>
    <cellStyle name="Hed Side Regular 3 6 17 2" xfId="21124" xr:uid="{00000000-0005-0000-0000-00000D5A0000}"/>
    <cellStyle name="Hed Side Regular 3 6 18" xfId="21125" xr:uid="{00000000-0005-0000-0000-00000E5A0000}"/>
    <cellStyle name="Hed Side Regular 3 6 2" xfId="21126" xr:uid="{00000000-0005-0000-0000-00000F5A0000}"/>
    <cellStyle name="Hed Side Regular 3 6 2 10" xfId="21127" xr:uid="{00000000-0005-0000-0000-0000105A0000}"/>
    <cellStyle name="Hed Side Regular 3 6 2 2" xfId="21128" xr:uid="{00000000-0005-0000-0000-0000115A0000}"/>
    <cellStyle name="Hed Side Regular 3 6 2 2 2" xfId="21129" xr:uid="{00000000-0005-0000-0000-0000125A0000}"/>
    <cellStyle name="Hed Side Regular 3 6 2 3" xfId="21130" xr:uid="{00000000-0005-0000-0000-0000135A0000}"/>
    <cellStyle name="Hed Side Regular 3 6 2 3 2" xfId="21131" xr:uid="{00000000-0005-0000-0000-0000145A0000}"/>
    <cellStyle name="Hed Side Regular 3 6 2 4" xfId="21132" xr:uid="{00000000-0005-0000-0000-0000155A0000}"/>
    <cellStyle name="Hed Side Regular 3 6 2 4 2" xfId="21133" xr:uid="{00000000-0005-0000-0000-0000165A0000}"/>
    <cellStyle name="Hed Side Regular 3 6 2 5" xfId="21134" xr:uid="{00000000-0005-0000-0000-0000175A0000}"/>
    <cellStyle name="Hed Side Regular 3 6 2 5 2" xfId="21135" xr:uid="{00000000-0005-0000-0000-0000185A0000}"/>
    <cellStyle name="Hed Side Regular 3 6 2 6" xfId="21136" xr:uid="{00000000-0005-0000-0000-0000195A0000}"/>
    <cellStyle name="Hed Side Regular 3 6 2 6 2" xfId="21137" xr:uid="{00000000-0005-0000-0000-00001A5A0000}"/>
    <cellStyle name="Hed Side Regular 3 6 2 7" xfId="21138" xr:uid="{00000000-0005-0000-0000-00001B5A0000}"/>
    <cellStyle name="Hed Side Regular 3 6 2 7 2" xfId="21139" xr:uid="{00000000-0005-0000-0000-00001C5A0000}"/>
    <cellStyle name="Hed Side Regular 3 6 2 8" xfId="21140" xr:uid="{00000000-0005-0000-0000-00001D5A0000}"/>
    <cellStyle name="Hed Side Regular 3 6 2 8 2" xfId="21141" xr:uid="{00000000-0005-0000-0000-00001E5A0000}"/>
    <cellStyle name="Hed Side Regular 3 6 2 9" xfId="21142" xr:uid="{00000000-0005-0000-0000-00001F5A0000}"/>
    <cellStyle name="Hed Side Regular 3 6 2 9 2" xfId="21143" xr:uid="{00000000-0005-0000-0000-0000205A0000}"/>
    <cellStyle name="Hed Side Regular 3 6 3" xfId="21144" xr:uid="{00000000-0005-0000-0000-0000215A0000}"/>
    <cellStyle name="Hed Side Regular 3 6 3 10" xfId="21145" xr:uid="{00000000-0005-0000-0000-0000225A0000}"/>
    <cellStyle name="Hed Side Regular 3 6 3 2" xfId="21146" xr:uid="{00000000-0005-0000-0000-0000235A0000}"/>
    <cellStyle name="Hed Side Regular 3 6 3 2 2" xfId="21147" xr:uid="{00000000-0005-0000-0000-0000245A0000}"/>
    <cellStyle name="Hed Side Regular 3 6 3 3" xfId="21148" xr:uid="{00000000-0005-0000-0000-0000255A0000}"/>
    <cellStyle name="Hed Side Regular 3 6 3 3 2" xfId="21149" xr:uid="{00000000-0005-0000-0000-0000265A0000}"/>
    <cellStyle name="Hed Side Regular 3 6 3 4" xfId="21150" xr:uid="{00000000-0005-0000-0000-0000275A0000}"/>
    <cellStyle name="Hed Side Regular 3 6 3 4 2" xfId="21151" xr:uid="{00000000-0005-0000-0000-0000285A0000}"/>
    <cellStyle name="Hed Side Regular 3 6 3 5" xfId="21152" xr:uid="{00000000-0005-0000-0000-0000295A0000}"/>
    <cellStyle name="Hed Side Regular 3 6 3 5 2" xfId="21153" xr:uid="{00000000-0005-0000-0000-00002A5A0000}"/>
    <cellStyle name="Hed Side Regular 3 6 3 6" xfId="21154" xr:uid="{00000000-0005-0000-0000-00002B5A0000}"/>
    <cellStyle name="Hed Side Regular 3 6 3 6 2" xfId="21155" xr:uid="{00000000-0005-0000-0000-00002C5A0000}"/>
    <cellStyle name="Hed Side Regular 3 6 3 7" xfId="21156" xr:uid="{00000000-0005-0000-0000-00002D5A0000}"/>
    <cellStyle name="Hed Side Regular 3 6 3 7 2" xfId="21157" xr:uid="{00000000-0005-0000-0000-00002E5A0000}"/>
    <cellStyle name="Hed Side Regular 3 6 3 8" xfId="21158" xr:uid="{00000000-0005-0000-0000-00002F5A0000}"/>
    <cellStyle name="Hed Side Regular 3 6 3 8 2" xfId="21159" xr:uid="{00000000-0005-0000-0000-0000305A0000}"/>
    <cellStyle name="Hed Side Regular 3 6 3 9" xfId="21160" xr:uid="{00000000-0005-0000-0000-0000315A0000}"/>
    <cellStyle name="Hed Side Regular 3 6 3 9 2" xfId="21161" xr:uid="{00000000-0005-0000-0000-0000325A0000}"/>
    <cellStyle name="Hed Side Regular 3 6 4" xfId="21162" xr:uid="{00000000-0005-0000-0000-0000335A0000}"/>
    <cellStyle name="Hed Side Regular 3 6 4 10" xfId="21163" xr:uid="{00000000-0005-0000-0000-0000345A0000}"/>
    <cellStyle name="Hed Side Regular 3 6 4 2" xfId="21164" xr:uid="{00000000-0005-0000-0000-0000355A0000}"/>
    <cellStyle name="Hed Side Regular 3 6 4 2 2" xfId="21165" xr:uid="{00000000-0005-0000-0000-0000365A0000}"/>
    <cellStyle name="Hed Side Regular 3 6 4 3" xfId="21166" xr:uid="{00000000-0005-0000-0000-0000375A0000}"/>
    <cellStyle name="Hed Side Regular 3 6 4 3 2" xfId="21167" xr:uid="{00000000-0005-0000-0000-0000385A0000}"/>
    <cellStyle name="Hed Side Regular 3 6 4 4" xfId="21168" xr:uid="{00000000-0005-0000-0000-0000395A0000}"/>
    <cellStyle name="Hed Side Regular 3 6 4 4 2" xfId="21169" xr:uid="{00000000-0005-0000-0000-00003A5A0000}"/>
    <cellStyle name="Hed Side Regular 3 6 4 5" xfId="21170" xr:uid="{00000000-0005-0000-0000-00003B5A0000}"/>
    <cellStyle name="Hed Side Regular 3 6 4 5 2" xfId="21171" xr:uid="{00000000-0005-0000-0000-00003C5A0000}"/>
    <cellStyle name="Hed Side Regular 3 6 4 6" xfId="21172" xr:uid="{00000000-0005-0000-0000-00003D5A0000}"/>
    <cellStyle name="Hed Side Regular 3 6 4 6 2" xfId="21173" xr:uid="{00000000-0005-0000-0000-00003E5A0000}"/>
    <cellStyle name="Hed Side Regular 3 6 4 7" xfId="21174" xr:uid="{00000000-0005-0000-0000-00003F5A0000}"/>
    <cellStyle name="Hed Side Regular 3 6 4 7 2" xfId="21175" xr:uid="{00000000-0005-0000-0000-0000405A0000}"/>
    <cellStyle name="Hed Side Regular 3 6 4 8" xfId="21176" xr:uid="{00000000-0005-0000-0000-0000415A0000}"/>
    <cellStyle name="Hed Side Regular 3 6 4 8 2" xfId="21177" xr:uid="{00000000-0005-0000-0000-0000425A0000}"/>
    <cellStyle name="Hed Side Regular 3 6 4 9" xfId="21178" xr:uid="{00000000-0005-0000-0000-0000435A0000}"/>
    <cellStyle name="Hed Side Regular 3 6 4 9 2" xfId="21179" xr:uid="{00000000-0005-0000-0000-0000445A0000}"/>
    <cellStyle name="Hed Side Regular 3 6 5" xfId="21180" xr:uid="{00000000-0005-0000-0000-0000455A0000}"/>
    <cellStyle name="Hed Side Regular 3 6 5 10" xfId="21181" xr:uid="{00000000-0005-0000-0000-0000465A0000}"/>
    <cellStyle name="Hed Side Regular 3 6 5 2" xfId="21182" xr:uid="{00000000-0005-0000-0000-0000475A0000}"/>
    <cellStyle name="Hed Side Regular 3 6 5 2 2" xfId="21183" xr:uid="{00000000-0005-0000-0000-0000485A0000}"/>
    <cellStyle name="Hed Side Regular 3 6 5 3" xfId="21184" xr:uid="{00000000-0005-0000-0000-0000495A0000}"/>
    <cellStyle name="Hed Side Regular 3 6 5 3 2" xfId="21185" xr:uid="{00000000-0005-0000-0000-00004A5A0000}"/>
    <cellStyle name="Hed Side Regular 3 6 5 4" xfId="21186" xr:uid="{00000000-0005-0000-0000-00004B5A0000}"/>
    <cellStyle name="Hed Side Regular 3 6 5 4 2" xfId="21187" xr:uid="{00000000-0005-0000-0000-00004C5A0000}"/>
    <cellStyle name="Hed Side Regular 3 6 5 5" xfId="21188" xr:uid="{00000000-0005-0000-0000-00004D5A0000}"/>
    <cellStyle name="Hed Side Regular 3 6 5 5 2" xfId="21189" xr:uid="{00000000-0005-0000-0000-00004E5A0000}"/>
    <cellStyle name="Hed Side Regular 3 6 5 6" xfId="21190" xr:uid="{00000000-0005-0000-0000-00004F5A0000}"/>
    <cellStyle name="Hed Side Regular 3 6 5 6 2" xfId="21191" xr:uid="{00000000-0005-0000-0000-0000505A0000}"/>
    <cellStyle name="Hed Side Regular 3 6 5 7" xfId="21192" xr:uid="{00000000-0005-0000-0000-0000515A0000}"/>
    <cellStyle name="Hed Side Regular 3 6 5 7 2" xfId="21193" xr:uid="{00000000-0005-0000-0000-0000525A0000}"/>
    <cellStyle name="Hed Side Regular 3 6 5 8" xfId="21194" xr:uid="{00000000-0005-0000-0000-0000535A0000}"/>
    <cellStyle name="Hed Side Regular 3 6 5 8 2" xfId="21195" xr:uid="{00000000-0005-0000-0000-0000545A0000}"/>
    <cellStyle name="Hed Side Regular 3 6 5 9" xfId="21196" xr:uid="{00000000-0005-0000-0000-0000555A0000}"/>
    <cellStyle name="Hed Side Regular 3 6 5 9 2" xfId="21197" xr:uid="{00000000-0005-0000-0000-0000565A0000}"/>
    <cellStyle name="Hed Side Regular 3 6 6" xfId="21198" xr:uid="{00000000-0005-0000-0000-0000575A0000}"/>
    <cellStyle name="Hed Side Regular 3 6 6 10" xfId="21199" xr:uid="{00000000-0005-0000-0000-0000585A0000}"/>
    <cellStyle name="Hed Side Regular 3 6 6 2" xfId="21200" xr:uid="{00000000-0005-0000-0000-0000595A0000}"/>
    <cellStyle name="Hed Side Regular 3 6 6 2 2" xfId="21201" xr:uid="{00000000-0005-0000-0000-00005A5A0000}"/>
    <cellStyle name="Hed Side Regular 3 6 6 3" xfId="21202" xr:uid="{00000000-0005-0000-0000-00005B5A0000}"/>
    <cellStyle name="Hed Side Regular 3 6 6 3 2" xfId="21203" xr:uid="{00000000-0005-0000-0000-00005C5A0000}"/>
    <cellStyle name="Hed Side Regular 3 6 6 4" xfId="21204" xr:uid="{00000000-0005-0000-0000-00005D5A0000}"/>
    <cellStyle name="Hed Side Regular 3 6 6 4 2" xfId="21205" xr:uid="{00000000-0005-0000-0000-00005E5A0000}"/>
    <cellStyle name="Hed Side Regular 3 6 6 5" xfId="21206" xr:uid="{00000000-0005-0000-0000-00005F5A0000}"/>
    <cellStyle name="Hed Side Regular 3 6 6 5 2" xfId="21207" xr:uid="{00000000-0005-0000-0000-0000605A0000}"/>
    <cellStyle name="Hed Side Regular 3 6 6 6" xfId="21208" xr:uid="{00000000-0005-0000-0000-0000615A0000}"/>
    <cellStyle name="Hed Side Regular 3 6 6 6 2" xfId="21209" xr:uid="{00000000-0005-0000-0000-0000625A0000}"/>
    <cellStyle name="Hed Side Regular 3 6 6 7" xfId="21210" xr:uid="{00000000-0005-0000-0000-0000635A0000}"/>
    <cellStyle name="Hed Side Regular 3 6 6 7 2" xfId="21211" xr:uid="{00000000-0005-0000-0000-0000645A0000}"/>
    <cellStyle name="Hed Side Regular 3 6 6 8" xfId="21212" xr:uid="{00000000-0005-0000-0000-0000655A0000}"/>
    <cellStyle name="Hed Side Regular 3 6 6 8 2" xfId="21213" xr:uid="{00000000-0005-0000-0000-0000665A0000}"/>
    <cellStyle name="Hed Side Regular 3 6 6 9" xfId="21214" xr:uid="{00000000-0005-0000-0000-0000675A0000}"/>
    <cellStyle name="Hed Side Regular 3 6 6 9 2" xfId="21215" xr:uid="{00000000-0005-0000-0000-0000685A0000}"/>
    <cellStyle name="Hed Side Regular 3 6 7" xfId="21216" xr:uid="{00000000-0005-0000-0000-0000695A0000}"/>
    <cellStyle name="Hed Side Regular 3 6 7 10" xfId="21217" xr:uid="{00000000-0005-0000-0000-00006A5A0000}"/>
    <cellStyle name="Hed Side Regular 3 6 7 2" xfId="21218" xr:uid="{00000000-0005-0000-0000-00006B5A0000}"/>
    <cellStyle name="Hed Side Regular 3 6 7 2 2" xfId="21219" xr:uid="{00000000-0005-0000-0000-00006C5A0000}"/>
    <cellStyle name="Hed Side Regular 3 6 7 3" xfId="21220" xr:uid="{00000000-0005-0000-0000-00006D5A0000}"/>
    <cellStyle name="Hed Side Regular 3 6 7 3 2" xfId="21221" xr:uid="{00000000-0005-0000-0000-00006E5A0000}"/>
    <cellStyle name="Hed Side Regular 3 6 7 4" xfId="21222" xr:uid="{00000000-0005-0000-0000-00006F5A0000}"/>
    <cellStyle name="Hed Side Regular 3 6 7 4 2" xfId="21223" xr:uid="{00000000-0005-0000-0000-0000705A0000}"/>
    <cellStyle name="Hed Side Regular 3 6 7 5" xfId="21224" xr:uid="{00000000-0005-0000-0000-0000715A0000}"/>
    <cellStyle name="Hed Side Regular 3 6 7 5 2" xfId="21225" xr:uid="{00000000-0005-0000-0000-0000725A0000}"/>
    <cellStyle name="Hed Side Regular 3 6 7 6" xfId="21226" xr:uid="{00000000-0005-0000-0000-0000735A0000}"/>
    <cellStyle name="Hed Side Regular 3 6 7 6 2" xfId="21227" xr:uid="{00000000-0005-0000-0000-0000745A0000}"/>
    <cellStyle name="Hed Side Regular 3 6 7 7" xfId="21228" xr:uid="{00000000-0005-0000-0000-0000755A0000}"/>
    <cellStyle name="Hed Side Regular 3 6 7 7 2" xfId="21229" xr:uid="{00000000-0005-0000-0000-0000765A0000}"/>
    <cellStyle name="Hed Side Regular 3 6 7 8" xfId="21230" xr:uid="{00000000-0005-0000-0000-0000775A0000}"/>
    <cellStyle name="Hed Side Regular 3 6 7 8 2" xfId="21231" xr:uid="{00000000-0005-0000-0000-0000785A0000}"/>
    <cellStyle name="Hed Side Regular 3 6 7 9" xfId="21232" xr:uid="{00000000-0005-0000-0000-0000795A0000}"/>
    <cellStyle name="Hed Side Regular 3 6 7 9 2" xfId="21233" xr:uid="{00000000-0005-0000-0000-00007A5A0000}"/>
    <cellStyle name="Hed Side Regular 3 6 8" xfId="21234" xr:uid="{00000000-0005-0000-0000-00007B5A0000}"/>
    <cellStyle name="Hed Side Regular 3 6 8 10" xfId="21235" xr:uid="{00000000-0005-0000-0000-00007C5A0000}"/>
    <cellStyle name="Hed Side Regular 3 6 8 2" xfId="21236" xr:uid="{00000000-0005-0000-0000-00007D5A0000}"/>
    <cellStyle name="Hed Side Regular 3 6 8 2 2" xfId="21237" xr:uid="{00000000-0005-0000-0000-00007E5A0000}"/>
    <cellStyle name="Hed Side Regular 3 6 8 3" xfId="21238" xr:uid="{00000000-0005-0000-0000-00007F5A0000}"/>
    <cellStyle name="Hed Side Regular 3 6 8 3 2" xfId="21239" xr:uid="{00000000-0005-0000-0000-0000805A0000}"/>
    <cellStyle name="Hed Side Regular 3 6 8 4" xfId="21240" xr:uid="{00000000-0005-0000-0000-0000815A0000}"/>
    <cellStyle name="Hed Side Regular 3 6 8 4 2" xfId="21241" xr:uid="{00000000-0005-0000-0000-0000825A0000}"/>
    <cellStyle name="Hed Side Regular 3 6 8 5" xfId="21242" xr:uid="{00000000-0005-0000-0000-0000835A0000}"/>
    <cellStyle name="Hed Side Regular 3 6 8 5 2" xfId="21243" xr:uid="{00000000-0005-0000-0000-0000845A0000}"/>
    <cellStyle name="Hed Side Regular 3 6 8 6" xfId="21244" xr:uid="{00000000-0005-0000-0000-0000855A0000}"/>
    <cellStyle name="Hed Side Regular 3 6 8 6 2" xfId="21245" xr:uid="{00000000-0005-0000-0000-0000865A0000}"/>
    <cellStyle name="Hed Side Regular 3 6 8 7" xfId="21246" xr:uid="{00000000-0005-0000-0000-0000875A0000}"/>
    <cellStyle name="Hed Side Regular 3 6 8 7 2" xfId="21247" xr:uid="{00000000-0005-0000-0000-0000885A0000}"/>
    <cellStyle name="Hed Side Regular 3 6 8 8" xfId="21248" xr:uid="{00000000-0005-0000-0000-0000895A0000}"/>
    <cellStyle name="Hed Side Regular 3 6 8 8 2" xfId="21249" xr:uid="{00000000-0005-0000-0000-00008A5A0000}"/>
    <cellStyle name="Hed Side Regular 3 6 8 9" xfId="21250" xr:uid="{00000000-0005-0000-0000-00008B5A0000}"/>
    <cellStyle name="Hed Side Regular 3 6 8 9 2" xfId="21251" xr:uid="{00000000-0005-0000-0000-00008C5A0000}"/>
    <cellStyle name="Hed Side Regular 3 6 9" xfId="21252" xr:uid="{00000000-0005-0000-0000-00008D5A0000}"/>
    <cellStyle name="Hed Side Regular 3 6 9 10" xfId="21253" xr:uid="{00000000-0005-0000-0000-00008E5A0000}"/>
    <cellStyle name="Hed Side Regular 3 6 9 2" xfId="21254" xr:uid="{00000000-0005-0000-0000-00008F5A0000}"/>
    <cellStyle name="Hed Side Regular 3 6 9 2 2" xfId="21255" xr:uid="{00000000-0005-0000-0000-0000905A0000}"/>
    <cellStyle name="Hed Side Regular 3 6 9 3" xfId="21256" xr:uid="{00000000-0005-0000-0000-0000915A0000}"/>
    <cellStyle name="Hed Side Regular 3 6 9 3 2" xfId="21257" xr:uid="{00000000-0005-0000-0000-0000925A0000}"/>
    <cellStyle name="Hed Side Regular 3 6 9 4" xfId="21258" xr:uid="{00000000-0005-0000-0000-0000935A0000}"/>
    <cellStyle name="Hed Side Regular 3 6 9 4 2" xfId="21259" xr:uid="{00000000-0005-0000-0000-0000945A0000}"/>
    <cellStyle name="Hed Side Regular 3 6 9 5" xfId="21260" xr:uid="{00000000-0005-0000-0000-0000955A0000}"/>
    <cellStyle name="Hed Side Regular 3 6 9 5 2" xfId="21261" xr:uid="{00000000-0005-0000-0000-0000965A0000}"/>
    <cellStyle name="Hed Side Regular 3 6 9 6" xfId="21262" xr:uid="{00000000-0005-0000-0000-0000975A0000}"/>
    <cellStyle name="Hed Side Regular 3 6 9 6 2" xfId="21263" xr:uid="{00000000-0005-0000-0000-0000985A0000}"/>
    <cellStyle name="Hed Side Regular 3 6 9 7" xfId="21264" xr:uid="{00000000-0005-0000-0000-0000995A0000}"/>
    <cellStyle name="Hed Side Regular 3 6 9 7 2" xfId="21265" xr:uid="{00000000-0005-0000-0000-00009A5A0000}"/>
    <cellStyle name="Hed Side Regular 3 6 9 8" xfId="21266" xr:uid="{00000000-0005-0000-0000-00009B5A0000}"/>
    <cellStyle name="Hed Side Regular 3 6 9 8 2" xfId="21267" xr:uid="{00000000-0005-0000-0000-00009C5A0000}"/>
    <cellStyle name="Hed Side Regular 3 6 9 9" xfId="21268" xr:uid="{00000000-0005-0000-0000-00009D5A0000}"/>
    <cellStyle name="Hed Side Regular 3 6 9 9 2" xfId="21269" xr:uid="{00000000-0005-0000-0000-00009E5A0000}"/>
    <cellStyle name="Hed Side Regular 3 7" xfId="21270" xr:uid="{00000000-0005-0000-0000-00009F5A0000}"/>
    <cellStyle name="Hed Side Regular 3 7 10" xfId="21271" xr:uid="{00000000-0005-0000-0000-0000A05A0000}"/>
    <cellStyle name="Hed Side Regular 3 7 10 2" xfId="21272" xr:uid="{00000000-0005-0000-0000-0000A15A0000}"/>
    <cellStyle name="Hed Side Regular 3 7 10 2 2" xfId="21273" xr:uid="{00000000-0005-0000-0000-0000A25A0000}"/>
    <cellStyle name="Hed Side Regular 3 7 10 3" xfId="21274" xr:uid="{00000000-0005-0000-0000-0000A35A0000}"/>
    <cellStyle name="Hed Side Regular 3 7 10 3 2" xfId="21275" xr:uid="{00000000-0005-0000-0000-0000A45A0000}"/>
    <cellStyle name="Hed Side Regular 3 7 10 4" xfId="21276" xr:uid="{00000000-0005-0000-0000-0000A55A0000}"/>
    <cellStyle name="Hed Side Regular 3 7 10 4 2" xfId="21277" xr:uid="{00000000-0005-0000-0000-0000A65A0000}"/>
    <cellStyle name="Hed Side Regular 3 7 10 5" xfId="21278" xr:uid="{00000000-0005-0000-0000-0000A75A0000}"/>
    <cellStyle name="Hed Side Regular 3 7 10 5 2" xfId="21279" xr:uid="{00000000-0005-0000-0000-0000A85A0000}"/>
    <cellStyle name="Hed Side Regular 3 7 10 6" xfId="21280" xr:uid="{00000000-0005-0000-0000-0000A95A0000}"/>
    <cellStyle name="Hed Side Regular 3 7 10 6 2" xfId="21281" xr:uid="{00000000-0005-0000-0000-0000AA5A0000}"/>
    <cellStyle name="Hed Side Regular 3 7 10 7" xfId="21282" xr:uid="{00000000-0005-0000-0000-0000AB5A0000}"/>
    <cellStyle name="Hed Side Regular 3 7 10 7 2" xfId="21283" xr:uid="{00000000-0005-0000-0000-0000AC5A0000}"/>
    <cellStyle name="Hed Side Regular 3 7 10 8" xfId="21284" xr:uid="{00000000-0005-0000-0000-0000AD5A0000}"/>
    <cellStyle name="Hed Side Regular 3 7 10 8 2" xfId="21285" xr:uid="{00000000-0005-0000-0000-0000AE5A0000}"/>
    <cellStyle name="Hed Side Regular 3 7 10 9" xfId="21286" xr:uid="{00000000-0005-0000-0000-0000AF5A0000}"/>
    <cellStyle name="Hed Side Regular 3 7 11" xfId="21287" xr:uid="{00000000-0005-0000-0000-0000B05A0000}"/>
    <cellStyle name="Hed Side Regular 3 7 11 2" xfId="21288" xr:uid="{00000000-0005-0000-0000-0000B15A0000}"/>
    <cellStyle name="Hed Side Regular 3 7 12" xfId="21289" xr:uid="{00000000-0005-0000-0000-0000B25A0000}"/>
    <cellStyle name="Hed Side Regular 3 7 12 2" xfId="21290" xr:uid="{00000000-0005-0000-0000-0000B35A0000}"/>
    <cellStyle name="Hed Side Regular 3 7 13" xfId="21291" xr:uid="{00000000-0005-0000-0000-0000B45A0000}"/>
    <cellStyle name="Hed Side Regular 3 7 13 2" xfId="21292" xr:uid="{00000000-0005-0000-0000-0000B55A0000}"/>
    <cellStyle name="Hed Side Regular 3 7 14" xfId="21293" xr:uid="{00000000-0005-0000-0000-0000B65A0000}"/>
    <cellStyle name="Hed Side Regular 3 7 14 2" xfId="21294" xr:uid="{00000000-0005-0000-0000-0000B75A0000}"/>
    <cellStyle name="Hed Side Regular 3 7 15" xfId="21295" xr:uid="{00000000-0005-0000-0000-0000B85A0000}"/>
    <cellStyle name="Hed Side Regular 3 7 15 2" xfId="21296" xr:uid="{00000000-0005-0000-0000-0000B95A0000}"/>
    <cellStyle name="Hed Side Regular 3 7 16" xfId="21297" xr:uid="{00000000-0005-0000-0000-0000BA5A0000}"/>
    <cellStyle name="Hed Side Regular 3 7 16 2" xfId="21298" xr:uid="{00000000-0005-0000-0000-0000BB5A0000}"/>
    <cellStyle name="Hed Side Regular 3 7 17" xfId="21299" xr:uid="{00000000-0005-0000-0000-0000BC5A0000}"/>
    <cellStyle name="Hed Side Regular 3 7 17 2" xfId="21300" xr:uid="{00000000-0005-0000-0000-0000BD5A0000}"/>
    <cellStyle name="Hed Side Regular 3 7 18" xfId="21301" xr:uid="{00000000-0005-0000-0000-0000BE5A0000}"/>
    <cellStyle name="Hed Side Regular 3 7 2" xfId="21302" xr:uid="{00000000-0005-0000-0000-0000BF5A0000}"/>
    <cellStyle name="Hed Side Regular 3 7 2 10" xfId="21303" xr:uid="{00000000-0005-0000-0000-0000C05A0000}"/>
    <cellStyle name="Hed Side Regular 3 7 2 2" xfId="21304" xr:uid="{00000000-0005-0000-0000-0000C15A0000}"/>
    <cellStyle name="Hed Side Regular 3 7 2 2 2" xfId="21305" xr:uid="{00000000-0005-0000-0000-0000C25A0000}"/>
    <cellStyle name="Hed Side Regular 3 7 2 3" xfId="21306" xr:uid="{00000000-0005-0000-0000-0000C35A0000}"/>
    <cellStyle name="Hed Side Regular 3 7 2 3 2" xfId="21307" xr:uid="{00000000-0005-0000-0000-0000C45A0000}"/>
    <cellStyle name="Hed Side Regular 3 7 2 4" xfId="21308" xr:uid="{00000000-0005-0000-0000-0000C55A0000}"/>
    <cellStyle name="Hed Side Regular 3 7 2 4 2" xfId="21309" xr:uid="{00000000-0005-0000-0000-0000C65A0000}"/>
    <cellStyle name="Hed Side Regular 3 7 2 5" xfId="21310" xr:uid="{00000000-0005-0000-0000-0000C75A0000}"/>
    <cellStyle name="Hed Side Regular 3 7 2 5 2" xfId="21311" xr:uid="{00000000-0005-0000-0000-0000C85A0000}"/>
    <cellStyle name="Hed Side Regular 3 7 2 6" xfId="21312" xr:uid="{00000000-0005-0000-0000-0000C95A0000}"/>
    <cellStyle name="Hed Side Regular 3 7 2 6 2" xfId="21313" xr:uid="{00000000-0005-0000-0000-0000CA5A0000}"/>
    <cellStyle name="Hed Side Regular 3 7 2 7" xfId="21314" xr:uid="{00000000-0005-0000-0000-0000CB5A0000}"/>
    <cellStyle name="Hed Side Regular 3 7 2 7 2" xfId="21315" xr:uid="{00000000-0005-0000-0000-0000CC5A0000}"/>
    <cellStyle name="Hed Side Regular 3 7 2 8" xfId="21316" xr:uid="{00000000-0005-0000-0000-0000CD5A0000}"/>
    <cellStyle name="Hed Side Regular 3 7 2 8 2" xfId="21317" xr:uid="{00000000-0005-0000-0000-0000CE5A0000}"/>
    <cellStyle name="Hed Side Regular 3 7 2 9" xfId="21318" xr:uid="{00000000-0005-0000-0000-0000CF5A0000}"/>
    <cellStyle name="Hed Side Regular 3 7 2 9 2" xfId="21319" xr:uid="{00000000-0005-0000-0000-0000D05A0000}"/>
    <cellStyle name="Hed Side Regular 3 7 3" xfId="21320" xr:uid="{00000000-0005-0000-0000-0000D15A0000}"/>
    <cellStyle name="Hed Side Regular 3 7 3 10" xfId="21321" xr:uid="{00000000-0005-0000-0000-0000D25A0000}"/>
    <cellStyle name="Hed Side Regular 3 7 3 2" xfId="21322" xr:uid="{00000000-0005-0000-0000-0000D35A0000}"/>
    <cellStyle name="Hed Side Regular 3 7 3 2 2" xfId="21323" xr:uid="{00000000-0005-0000-0000-0000D45A0000}"/>
    <cellStyle name="Hed Side Regular 3 7 3 3" xfId="21324" xr:uid="{00000000-0005-0000-0000-0000D55A0000}"/>
    <cellStyle name="Hed Side Regular 3 7 3 3 2" xfId="21325" xr:uid="{00000000-0005-0000-0000-0000D65A0000}"/>
    <cellStyle name="Hed Side Regular 3 7 3 4" xfId="21326" xr:uid="{00000000-0005-0000-0000-0000D75A0000}"/>
    <cellStyle name="Hed Side Regular 3 7 3 4 2" xfId="21327" xr:uid="{00000000-0005-0000-0000-0000D85A0000}"/>
    <cellStyle name="Hed Side Regular 3 7 3 5" xfId="21328" xr:uid="{00000000-0005-0000-0000-0000D95A0000}"/>
    <cellStyle name="Hed Side Regular 3 7 3 5 2" xfId="21329" xr:uid="{00000000-0005-0000-0000-0000DA5A0000}"/>
    <cellStyle name="Hed Side Regular 3 7 3 6" xfId="21330" xr:uid="{00000000-0005-0000-0000-0000DB5A0000}"/>
    <cellStyle name="Hed Side Regular 3 7 3 6 2" xfId="21331" xr:uid="{00000000-0005-0000-0000-0000DC5A0000}"/>
    <cellStyle name="Hed Side Regular 3 7 3 7" xfId="21332" xr:uid="{00000000-0005-0000-0000-0000DD5A0000}"/>
    <cellStyle name="Hed Side Regular 3 7 3 7 2" xfId="21333" xr:uid="{00000000-0005-0000-0000-0000DE5A0000}"/>
    <cellStyle name="Hed Side Regular 3 7 3 8" xfId="21334" xr:uid="{00000000-0005-0000-0000-0000DF5A0000}"/>
    <cellStyle name="Hed Side Regular 3 7 3 8 2" xfId="21335" xr:uid="{00000000-0005-0000-0000-0000E05A0000}"/>
    <cellStyle name="Hed Side Regular 3 7 3 9" xfId="21336" xr:uid="{00000000-0005-0000-0000-0000E15A0000}"/>
    <cellStyle name="Hed Side Regular 3 7 3 9 2" xfId="21337" xr:uid="{00000000-0005-0000-0000-0000E25A0000}"/>
    <cellStyle name="Hed Side Regular 3 7 4" xfId="21338" xr:uid="{00000000-0005-0000-0000-0000E35A0000}"/>
    <cellStyle name="Hed Side Regular 3 7 4 10" xfId="21339" xr:uid="{00000000-0005-0000-0000-0000E45A0000}"/>
    <cellStyle name="Hed Side Regular 3 7 4 2" xfId="21340" xr:uid="{00000000-0005-0000-0000-0000E55A0000}"/>
    <cellStyle name="Hed Side Regular 3 7 4 2 2" xfId="21341" xr:uid="{00000000-0005-0000-0000-0000E65A0000}"/>
    <cellStyle name="Hed Side Regular 3 7 4 3" xfId="21342" xr:uid="{00000000-0005-0000-0000-0000E75A0000}"/>
    <cellStyle name="Hed Side Regular 3 7 4 3 2" xfId="21343" xr:uid="{00000000-0005-0000-0000-0000E85A0000}"/>
    <cellStyle name="Hed Side Regular 3 7 4 4" xfId="21344" xr:uid="{00000000-0005-0000-0000-0000E95A0000}"/>
    <cellStyle name="Hed Side Regular 3 7 4 4 2" xfId="21345" xr:uid="{00000000-0005-0000-0000-0000EA5A0000}"/>
    <cellStyle name="Hed Side Regular 3 7 4 5" xfId="21346" xr:uid="{00000000-0005-0000-0000-0000EB5A0000}"/>
    <cellStyle name="Hed Side Regular 3 7 4 5 2" xfId="21347" xr:uid="{00000000-0005-0000-0000-0000EC5A0000}"/>
    <cellStyle name="Hed Side Regular 3 7 4 6" xfId="21348" xr:uid="{00000000-0005-0000-0000-0000ED5A0000}"/>
    <cellStyle name="Hed Side Regular 3 7 4 6 2" xfId="21349" xr:uid="{00000000-0005-0000-0000-0000EE5A0000}"/>
    <cellStyle name="Hed Side Regular 3 7 4 7" xfId="21350" xr:uid="{00000000-0005-0000-0000-0000EF5A0000}"/>
    <cellStyle name="Hed Side Regular 3 7 4 7 2" xfId="21351" xr:uid="{00000000-0005-0000-0000-0000F05A0000}"/>
    <cellStyle name="Hed Side Regular 3 7 4 8" xfId="21352" xr:uid="{00000000-0005-0000-0000-0000F15A0000}"/>
    <cellStyle name="Hed Side Regular 3 7 4 8 2" xfId="21353" xr:uid="{00000000-0005-0000-0000-0000F25A0000}"/>
    <cellStyle name="Hed Side Regular 3 7 4 9" xfId="21354" xr:uid="{00000000-0005-0000-0000-0000F35A0000}"/>
    <cellStyle name="Hed Side Regular 3 7 4 9 2" xfId="21355" xr:uid="{00000000-0005-0000-0000-0000F45A0000}"/>
    <cellStyle name="Hed Side Regular 3 7 5" xfId="21356" xr:uid="{00000000-0005-0000-0000-0000F55A0000}"/>
    <cellStyle name="Hed Side Regular 3 7 5 10" xfId="21357" xr:uid="{00000000-0005-0000-0000-0000F65A0000}"/>
    <cellStyle name="Hed Side Regular 3 7 5 2" xfId="21358" xr:uid="{00000000-0005-0000-0000-0000F75A0000}"/>
    <cellStyle name="Hed Side Regular 3 7 5 2 2" xfId="21359" xr:uid="{00000000-0005-0000-0000-0000F85A0000}"/>
    <cellStyle name="Hed Side Regular 3 7 5 3" xfId="21360" xr:uid="{00000000-0005-0000-0000-0000F95A0000}"/>
    <cellStyle name="Hed Side Regular 3 7 5 3 2" xfId="21361" xr:uid="{00000000-0005-0000-0000-0000FA5A0000}"/>
    <cellStyle name="Hed Side Regular 3 7 5 4" xfId="21362" xr:uid="{00000000-0005-0000-0000-0000FB5A0000}"/>
    <cellStyle name="Hed Side Regular 3 7 5 4 2" xfId="21363" xr:uid="{00000000-0005-0000-0000-0000FC5A0000}"/>
    <cellStyle name="Hed Side Regular 3 7 5 5" xfId="21364" xr:uid="{00000000-0005-0000-0000-0000FD5A0000}"/>
    <cellStyle name="Hed Side Regular 3 7 5 5 2" xfId="21365" xr:uid="{00000000-0005-0000-0000-0000FE5A0000}"/>
    <cellStyle name="Hed Side Regular 3 7 5 6" xfId="21366" xr:uid="{00000000-0005-0000-0000-0000FF5A0000}"/>
    <cellStyle name="Hed Side Regular 3 7 5 6 2" xfId="21367" xr:uid="{00000000-0005-0000-0000-0000005B0000}"/>
    <cellStyle name="Hed Side Regular 3 7 5 7" xfId="21368" xr:uid="{00000000-0005-0000-0000-0000015B0000}"/>
    <cellStyle name="Hed Side Regular 3 7 5 7 2" xfId="21369" xr:uid="{00000000-0005-0000-0000-0000025B0000}"/>
    <cellStyle name="Hed Side Regular 3 7 5 8" xfId="21370" xr:uid="{00000000-0005-0000-0000-0000035B0000}"/>
    <cellStyle name="Hed Side Regular 3 7 5 8 2" xfId="21371" xr:uid="{00000000-0005-0000-0000-0000045B0000}"/>
    <cellStyle name="Hed Side Regular 3 7 5 9" xfId="21372" xr:uid="{00000000-0005-0000-0000-0000055B0000}"/>
    <cellStyle name="Hed Side Regular 3 7 5 9 2" xfId="21373" xr:uid="{00000000-0005-0000-0000-0000065B0000}"/>
    <cellStyle name="Hed Side Regular 3 7 6" xfId="21374" xr:uid="{00000000-0005-0000-0000-0000075B0000}"/>
    <cellStyle name="Hed Side Regular 3 7 6 10" xfId="21375" xr:uid="{00000000-0005-0000-0000-0000085B0000}"/>
    <cellStyle name="Hed Side Regular 3 7 6 2" xfId="21376" xr:uid="{00000000-0005-0000-0000-0000095B0000}"/>
    <cellStyle name="Hed Side Regular 3 7 6 2 2" xfId="21377" xr:uid="{00000000-0005-0000-0000-00000A5B0000}"/>
    <cellStyle name="Hed Side Regular 3 7 6 3" xfId="21378" xr:uid="{00000000-0005-0000-0000-00000B5B0000}"/>
    <cellStyle name="Hed Side Regular 3 7 6 3 2" xfId="21379" xr:uid="{00000000-0005-0000-0000-00000C5B0000}"/>
    <cellStyle name="Hed Side Regular 3 7 6 4" xfId="21380" xr:uid="{00000000-0005-0000-0000-00000D5B0000}"/>
    <cellStyle name="Hed Side Regular 3 7 6 4 2" xfId="21381" xr:uid="{00000000-0005-0000-0000-00000E5B0000}"/>
    <cellStyle name="Hed Side Regular 3 7 6 5" xfId="21382" xr:uid="{00000000-0005-0000-0000-00000F5B0000}"/>
    <cellStyle name="Hed Side Regular 3 7 6 5 2" xfId="21383" xr:uid="{00000000-0005-0000-0000-0000105B0000}"/>
    <cellStyle name="Hed Side Regular 3 7 6 6" xfId="21384" xr:uid="{00000000-0005-0000-0000-0000115B0000}"/>
    <cellStyle name="Hed Side Regular 3 7 6 6 2" xfId="21385" xr:uid="{00000000-0005-0000-0000-0000125B0000}"/>
    <cellStyle name="Hed Side Regular 3 7 6 7" xfId="21386" xr:uid="{00000000-0005-0000-0000-0000135B0000}"/>
    <cellStyle name="Hed Side Regular 3 7 6 7 2" xfId="21387" xr:uid="{00000000-0005-0000-0000-0000145B0000}"/>
    <cellStyle name="Hed Side Regular 3 7 6 8" xfId="21388" xr:uid="{00000000-0005-0000-0000-0000155B0000}"/>
    <cellStyle name="Hed Side Regular 3 7 6 8 2" xfId="21389" xr:uid="{00000000-0005-0000-0000-0000165B0000}"/>
    <cellStyle name="Hed Side Regular 3 7 6 9" xfId="21390" xr:uid="{00000000-0005-0000-0000-0000175B0000}"/>
    <cellStyle name="Hed Side Regular 3 7 6 9 2" xfId="21391" xr:uid="{00000000-0005-0000-0000-0000185B0000}"/>
    <cellStyle name="Hed Side Regular 3 7 7" xfId="21392" xr:uid="{00000000-0005-0000-0000-0000195B0000}"/>
    <cellStyle name="Hed Side Regular 3 7 7 10" xfId="21393" xr:uid="{00000000-0005-0000-0000-00001A5B0000}"/>
    <cellStyle name="Hed Side Regular 3 7 7 2" xfId="21394" xr:uid="{00000000-0005-0000-0000-00001B5B0000}"/>
    <cellStyle name="Hed Side Regular 3 7 7 2 2" xfId="21395" xr:uid="{00000000-0005-0000-0000-00001C5B0000}"/>
    <cellStyle name="Hed Side Regular 3 7 7 3" xfId="21396" xr:uid="{00000000-0005-0000-0000-00001D5B0000}"/>
    <cellStyle name="Hed Side Regular 3 7 7 3 2" xfId="21397" xr:uid="{00000000-0005-0000-0000-00001E5B0000}"/>
    <cellStyle name="Hed Side Regular 3 7 7 4" xfId="21398" xr:uid="{00000000-0005-0000-0000-00001F5B0000}"/>
    <cellStyle name="Hed Side Regular 3 7 7 4 2" xfId="21399" xr:uid="{00000000-0005-0000-0000-0000205B0000}"/>
    <cellStyle name="Hed Side Regular 3 7 7 5" xfId="21400" xr:uid="{00000000-0005-0000-0000-0000215B0000}"/>
    <cellStyle name="Hed Side Regular 3 7 7 5 2" xfId="21401" xr:uid="{00000000-0005-0000-0000-0000225B0000}"/>
    <cellStyle name="Hed Side Regular 3 7 7 6" xfId="21402" xr:uid="{00000000-0005-0000-0000-0000235B0000}"/>
    <cellStyle name="Hed Side Regular 3 7 7 6 2" xfId="21403" xr:uid="{00000000-0005-0000-0000-0000245B0000}"/>
    <cellStyle name="Hed Side Regular 3 7 7 7" xfId="21404" xr:uid="{00000000-0005-0000-0000-0000255B0000}"/>
    <cellStyle name="Hed Side Regular 3 7 7 7 2" xfId="21405" xr:uid="{00000000-0005-0000-0000-0000265B0000}"/>
    <cellStyle name="Hed Side Regular 3 7 7 8" xfId="21406" xr:uid="{00000000-0005-0000-0000-0000275B0000}"/>
    <cellStyle name="Hed Side Regular 3 7 7 8 2" xfId="21407" xr:uid="{00000000-0005-0000-0000-0000285B0000}"/>
    <cellStyle name="Hed Side Regular 3 7 7 9" xfId="21408" xr:uid="{00000000-0005-0000-0000-0000295B0000}"/>
    <cellStyle name="Hed Side Regular 3 7 7 9 2" xfId="21409" xr:uid="{00000000-0005-0000-0000-00002A5B0000}"/>
    <cellStyle name="Hed Side Regular 3 7 8" xfId="21410" xr:uid="{00000000-0005-0000-0000-00002B5B0000}"/>
    <cellStyle name="Hed Side Regular 3 7 8 10" xfId="21411" xr:uid="{00000000-0005-0000-0000-00002C5B0000}"/>
    <cellStyle name="Hed Side Regular 3 7 8 2" xfId="21412" xr:uid="{00000000-0005-0000-0000-00002D5B0000}"/>
    <cellStyle name="Hed Side Regular 3 7 8 2 2" xfId="21413" xr:uid="{00000000-0005-0000-0000-00002E5B0000}"/>
    <cellStyle name="Hed Side Regular 3 7 8 3" xfId="21414" xr:uid="{00000000-0005-0000-0000-00002F5B0000}"/>
    <cellStyle name="Hed Side Regular 3 7 8 3 2" xfId="21415" xr:uid="{00000000-0005-0000-0000-0000305B0000}"/>
    <cellStyle name="Hed Side Regular 3 7 8 4" xfId="21416" xr:uid="{00000000-0005-0000-0000-0000315B0000}"/>
    <cellStyle name="Hed Side Regular 3 7 8 4 2" xfId="21417" xr:uid="{00000000-0005-0000-0000-0000325B0000}"/>
    <cellStyle name="Hed Side Regular 3 7 8 5" xfId="21418" xr:uid="{00000000-0005-0000-0000-0000335B0000}"/>
    <cellStyle name="Hed Side Regular 3 7 8 5 2" xfId="21419" xr:uid="{00000000-0005-0000-0000-0000345B0000}"/>
    <cellStyle name="Hed Side Regular 3 7 8 6" xfId="21420" xr:uid="{00000000-0005-0000-0000-0000355B0000}"/>
    <cellStyle name="Hed Side Regular 3 7 8 6 2" xfId="21421" xr:uid="{00000000-0005-0000-0000-0000365B0000}"/>
    <cellStyle name="Hed Side Regular 3 7 8 7" xfId="21422" xr:uid="{00000000-0005-0000-0000-0000375B0000}"/>
    <cellStyle name="Hed Side Regular 3 7 8 7 2" xfId="21423" xr:uid="{00000000-0005-0000-0000-0000385B0000}"/>
    <cellStyle name="Hed Side Regular 3 7 8 8" xfId="21424" xr:uid="{00000000-0005-0000-0000-0000395B0000}"/>
    <cellStyle name="Hed Side Regular 3 7 8 8 2" xfId="21425" xr:uid="{00000000-0005-0000-0000-00003A5B0000}"/>
    <cellStyle name="Hed Side Regular 3 7 8 9" xfId="21426" xr:uid="{00000000-0005-0000-0000-00003B5B0000}"/>
    <cellStyle name="Hed Side Regular 3 7 8 9 2" xfId="21427" xr:uid="{00000000-0005-0000-0000-00003C5B0000}"/>
    <cellStyle name="Hed Side Regular 3 7 9" xfId="21428" xr:uid="{00000000-0005-0000-0000-00003D5B0000}"/>
    <cellStyle name="Hed Side Regular 3 7 9 10" xfId="21429" xr:uid="{00000000-0005-0000-0000-00003E5B0000}"/>
    <cellStyle name="Hed Side Regular 3 7 9 2" xfId="21430" xr:uid="{00000000-0005-0000-0000-00003F5B0000}"/>
    <cellStyle name="Hed Side Regular 3 7 9 2 2" xfId="21431" xr:uid="{00000000-0005-0000-0000-0000405B0000}"/>
    <cellStyle name="Hed Side Regular 3 7 9 3" xfId="21432" xr:uid="{00000000-0005-0000-0000-0000415B0000}"/>
    <cellStyle name="Hed Side Regular 3 7 9 3 2" xfId="21433" xr:uid="{00000000-0005-0000-0000-0000425B0000}"/>
    <cellStyle name="Hed Side Regular 3 7 9 4" xfId="21434" xr:uid="{00000000-0005-0000-0000-0000435B0000}"/>
    <cellStyle name="Hed Side Regular 3 7 9 4 2" xfId="21435" xr:uid="{00000000-0005-0000-0000-0000445B0000}"/>
    <cellStyle name="Hed Side Regular 3 7 9 5" xfId="21436" xr:uid="{00000000-0005-0000-0000-0000455B0000}"/>
    <cellStyle name="Hed Side Regular 3 7 9 5 2" xfId="21437" xr:uid="{00000000-0005-0000-0000-0000465B0000}"/>
    <cellStyle name="Hed Side Regular 3 7 9 6" xfId="21438" xr:uid="{00000000-0005-0000-0000-0000475B0000}"/>
    <cellStyle name="Hed Side Regular 3 7 9 6 2" xfId="21439" xr:uid="{00000000-0005-0000-0000-0000485B0000}"/>
    <cellStyle name="Hed Side Regular 3 7 9 7" xfId="21440" xr:uid="{00000000-0005-0000-0000-0000495B0000}"/>
    <cellStyle name="Hed Side Regular 3 7 9 7 2" xfId="21441" xr:uid="{00000000-0005-0000-0000-00004A5B0000}"/>
    <cellStyle name="Hed Side Regular 3 7 9 8" xfId="21442" xr:uid="{00000000-0005-0000-0000-00004B5B0000}"/>
    <cellStyle name="Hed Side Regular 3 7 9 8 2" xfId="21443" xr:uid="{00000000-0005-0000-0000-00004C5B0000}"/>
    <cellStyle name="Hed Side Regular 3 7 9 9" xfId="21444" xr:uid="{00000000-0005-0000-0000-00004D5B0000}"/>
    <cellStyle name="Hed Side Regular 3 7 9 9 2" xfId="21445" xr:uid="{00000000-0005-0000-0000-00004E5B0000}"/>
    <cellStyle name="Hed Side Regular 3 8" xfId="21446" xr:uid="{00000000-0005-0000-0000-00004F5B0000}"/>
    <cellStyle name="Hed Side Regular 3 8 10" xfId="21447" xr:uid="{00000000-0005-0000-0000-0000505B0000}"/>
    <cellStyle name="Hed Side Regular 3 8 10 2" xfId="21448" xr:uid="{00000000-0005-0000-0000-0000515B0000}"/>
    <cellStyle name="Hed Side Regular 3 8 10 2 2" xfId="21449" xr:uid="{00000000-0005-0000-0000-0000525B0000}"/>
    <cellStyle name="Hed Side Regular 3 8 10 3" xfId="21450" xr:uid="{00000000-0005-0000-0000-0000535B0000}"/>
    <cellStyle name="Hed Side Regular 3 8 10 3 2" xfId="21451" xr:uid="{00000000-0005-0000-0000-0000545B0000}"/>
    <cellStyle name="Hed Side Regular 3 8 10 4" xfId="21452" xr:uid="{00000000-0005-0000-0000-0000555B0000}"/>
    <cellStyle name="Hed Side Regular 3 8 10 4 2" xfId="21453" xr:uid="{00000000-0005-0000-0000-0000565B0000}"/>
    <cellStyle name="Hed Side Regular 3 8 10 5" xfId="21454" xr:uid="{00000000-0005-0000-0000-0000575B0000}"/>
    <cellStyle name="Hed Side Regular 3 8 10 5 2" xfId="21455" xr:uid="{00000000-0005-0000-0000-0000585B0000}"/>
    <cellStyle name="Hed Side Regular 3 8 10 6" xfId="21456" xr:uid="{00000000-0005-0000-0000-0000595B0000}"/>
    <cellStyle name="Hed Side Regular 3 8 10 6 2" xfId="21457" xr:uid="{00000000-0005-0000-0000-00005A5B0000}"/>
    <cellStyle name="Hed Side Regular 3 8 10 7" xfId="21458" xr:uid="{00000000-0005-0000-0000-00005B5B0000}"/>
    <cellStyle name="Hed Side Regular 3 8 10 7 2" xfId="21459" xr:uid="{00000000-0005-0000-0000-00005C5B0000}"/>
    <cellStyle name="Hed Side Regular 3 8 10 8" xfId="21460" xr:uid="{00000000-0005-0000-0000-00005D5B0000}"/>
    <cellStyle name="Hed Side Regular 3 8 10 8 2" xfId="21461" xr:uid="{00000000-0005-0000-0000-00005E5B0000}"/>
    <cellStyle name="Hed Side Regular 3 8 10 9" xfId="21462" xr:uid="{00000000-0005-0000-0000-00005F5B0000}"/>
    <cellStyle name="Hed Side Regular 3 8 11" xfId="21463" xr:uid="{00000000-0005-0000-0000-0000605B0000}"/>
    <cellStyle name="Hed Side Regular 3 8 11 2" xfId="21464" xr:uid="{00000000-0005-0000-0000-0000615B0000}"/>
    <cellStyle name="Hed Side Regular 3 8 12" xfId="21465" xr:uid="{00000000-0005-0000-0000-0000625B0000}"/>
    <cellStyle name="Hed Side Regular 3 8 12 2" xfId="21466" xr:uid="{00000000-0005-0000-0000-0000635B0000}"/>
    <cellStyle name="Hed Side Regular 3 8 13" xfId="21467" xr:uid="{00000000-0005-0000-0000-0000645B0000}"/>
    <cellStyle name="Hed Side Regular 3 8 13 2" xfId="21468" xr:uid="{00000000-0005-0000-0000-0000655B0000}"/>
    <cellStyle name="Hed Side Regular 3 8 14" xfId="21469" xr:uid="{00000000-0005-0000-0000-0000665B0000}"/>
    <cellStyle name="Hed Side Regular 3 8 14 2" xfId="21470" xr:uid="{00000000-0005-0000-0000-0000675B0000}"/>
    <cellStyle name="Hed Side Regular 3 8 15" xfId="21471" xr:uid="{00000000-0005-0000-0000-0000685B0000}"/>
    <cellStyle name="Hed Side Regular 3 8 15 2" xfId="21472" xr:uid="{00000000-0005-0000-0000-0000695B0000}"/>
    <cellStyle name="Hed Side Regular 3 8 16" xfId="21473" xr:uid="{00000000-0005-0000-0000-00006A5B0000}"/>
    <cellStyle name="Hed Side Regular 3 8 16 2" xfId="21474" xr:uid="{00000000-0005-0000-0000-00006B5B0000}"/>
    <cellStyle name="Hed Side Regular 3 8 17" xfId="21475" xr:uid="{00000000-0005-0000-0000-00006C5B0000}"/>
    <cellStyle name="Hed Side Regular 3 8 17 2" xfId="21476" xr:uid="{00000000-0005-0000-0000-00006D5B0000}"/>
    <cellStyle name="Hed Side Regular 3 8 18" xfId="21477" xr:uid="{00000000-0005-0000-0000-00006E5B0000}"/>
    <cellStyle name="Hed Side Regular 3 8 2" xfId="21478" xr:uid="{00000000-0005-0000-0000-00006F5B0000}"/>
    <cellStyle name="Hed Side Regular 3 8 2 10" xfId="21479" xr:uid="{00000000-0005-0000-0000-0000705B0000}"/>
    <cellStyle name="Hed Side Regular 3 8 2 2" xfId="21480" xr:uid="{00000000-0005-0000-0000-0000715B0000}"/>
    <cellStyle name="Hed Side Regular 3 8 2 2 2" xfId="21481" xr:uid="{00000000-0005-0000-0000-0000725B0000}"/>
    <cellStyle name="Hed Side Regular 3 8 2 3" xfId="21482" xr:uid="{00000000-0005-0000-0000-0000735B0000}"/>
    <cellStyle name="Hed Side Regular 3 8 2 3 2" xfId="21483" xr:uid="{00000000-0005-0000-0000-0000745B0000}"/>
    <cellStyle name="Hed Side Regular 3 8 2 4" xfId="21484" xr:uid="{00000000-0005-0000-0000-0000755B0000}"/>
    <cellStyle name="Hed Side Regular 3 8 2 4 2" xfId="21485" xr:uid="{00000000-0005-0000-0000-0000765B0000}"/>
    <cellStyle name="Hed Side Regular 3 8 2 5" xfId="21486" xr:uid="{00000000-0005-0000-0000-0000775B0000}"/>
    <cellStyle name="Hed Side Regular 3 8 2 5 2" xfId="21487" xr:uid="{00000000-0005-0000-0000-0000785B0000}"/>
    <cellStyle name="Hed Side Regular 3 8 2 6" xfId="21488" xr:uid="{00000000-0005-0000-0000-0000795B0000}"/>
    <cellStyle name="Hed Side Regular 3 8 2 6 2" xfId="21489" xr:uid="{00000000-0005-0000-0000-00007A5B0000}"/>
    <cellStyle name="Hed Side Regular 3 8 2 7" xfId="21490" xr:uid="{00000000-0005-0000-0000-00007B5B0000}"/>
    <cellStyle name="Hed Side Regular 3 8 2 7 2" xfId="21491" xr:uid="{00000000-0005-0000-0000-00007C5B0000}"/>
    <cellStyle name="Hed Side Regular 3 8 2 8" xfId="21492" xr:uid="{00000000-0005-0000-0000-00007D5B0000}"/>
    <cellStyle name="Hed Side Regular 3 8 2 8 2" xfId="21493" xr:uid="{00000000-0005-0000-0000-00007E5B0000}"/>
    <cellStyle name="Hed Side Regular 3 8 2 9" xfId="21494" xr:uid="{00000000-0005-0000-0000-00007F5B0000}"/>
    <cellStyle name="Hed Side Regular 3 8 2 9 2" xfId="21495" xr:uid="{00000000-0005-0000-0000-0000805B0000}"/>
    <cellStyle name="Hed Side Regular 3 8 3" xfId="21496" xr:uid="{00000000-0005-0000-0000-0000815B0000}"/>
    <cellStyle name="Hed Side Regular 3 8 3 10" xfId="21497" xr:uid="{00000000-0005-0000-0000-0000825B0000}"/>
    <cellStyle name="Hed Side Regular 3 8 3 2" xfId="21498" xr:uid="{00000000-0005-0000-0000-0000835B0000}"/>
    <cellStyle name="Hed Side Regular 3 8 3 2 2" xfId="21499" xr:uid="{00000000-0005-0000-0000-0000845B0000}"/>
    <cellStyle name="Hed Side Regular 3 8 3 3" xfId="21500" xr:uid="{00000000-0005-0000-0000-0000855B0000}"/>
    <cellStyle name="Hed Side Regular 3 8 3 3 2" xfId="21501" xr:uid="{00000000-0005-0000-0000-0000865B0000}"/>
    <cellStyle name="Hed Side Regular 3 8 3 4" xfId="21502" xr:uid="{00000000-0005-0000-0000-0000875B0000}"/>
    <cellStyle name="Hed Side Regular 3 8 3 4 2" xfId="21503" xr:uid="{00000000-0005-0000-0000-0000885B0000}"/>
    <cellStyle name="Hed Side Regular 3 8 3 5" xfId="21504" xr:uid="{00000000-0005-0000-0000-0000895B0000}"/>
    <cellStyle name="Hed Side Regular 3 8 3 5 2" xfId="21505" xr:uid="{00000000-0005-0000-0000-00008A5B0000}"/>
    <cellStyle name="Hed Side Regular 3 8 3 6" xfId="21506" xr:uid="{00000000-0005-0000-0000-00008B5B0000}"/>
    <cellStyle name="Hed Side Regular 3 8 3 6 2" xfId="21507" xr:uid="{00000000-0005-0000-0000-00008C5B0000}"/>
    <cellStyle name="Hed Side Regular 3 8 3 7" xfId="21508" xr:uid="{00000000-0005-0000-0000-00008D5B0000}"/>
    <cellStyle name="Hed Side Regular 3 8 3 7 2" xfId="21509" xr:uid="{00000000-0005-0000-0000-00008E5B0000}"/>
    <cellStyle name="Hed Side Regular 3 8 3 8" xfId="21510" xr:uid="{00000000-0005-0000-0000-00008F5B0000}"/>
    <cellStyle name="Hed Side Regular 3 8 3 8 2" xfId="21511" xr:uid="{00000000-0005-0000-0000-0000905B0000}"/>
    <cellStyle name="Hed Side Regular 3 8 3 9" xfId="21512" xr:uid="{00000000-0005-0000-0000-0000915B0000}"/>
    <cellStyle name="Hed Side Regular 3 8 3 9 2" xfId="21513" xr:uid="{00000000-0005-0000-0000-0000925B0000}"/>
    <cellStyle name="Hed Side Regular 3 8 4" xfId="21514" xr:uid="{00000000-0005-0000-0000-0000935B0000}"/>
    <cellStyle name="Hed Side Regular 3 8 4 10" xfId="21515" xr:uid="{00000000-0005-0000-0000-0000945B0000}"/>
    <cellStyle name="Hed Side Regular 3 8 4 2" xfId="21516" xr:uid="{00000000-0005-0000-0000-0000955B0000}"/>
    <cellStyle name="Hed Side Regular 3 8 4 2 2" xfId="21517" xr:uid="{00000000-0005-0000-0000-0000965B0000}"/>
    <cellStyle name="Hed Side Regular 3 8 4 3" xfId="21518" xr:uid="{00000000-0005-0000-0000-0000975B0000}"/>
    <cellStyle name="Hed Side Regular 3 8 4 3 2" xfId="21519" xr:uid="{00000000-0005-0000-0000-0000985B0000}"/>
    <cellStyle name="Hed Side Regular 3 8 4 4" xfId="21520" xr:uid="{00000000-0005-0000-0000-0000995B0000}"/>
    <cellStyle name="Hed Side Regular 3 8 4 4 2" xfId="21521" xr:uid="{00000000-0005-0000-0000-00009A5B0000}"/>
    <cellStyle name="Hed Side Regular 3 8 4 5" xfId="21522" xr:uid="{00000000-0005-0000-0000-00009B5B0000}"/>
    <cellStyle name="Hed Side Regular 3 8 4 5 2" xfId="21523" xr:uid="{00000000-0005-0000-0000-00009C5B0000}"/>
    <cellStyle name="Hed Side Regular 3 8 4 6" xfId="21524" xr:uid="{00000000-0005-0000-0000-00009D5B0000}"/>
    <cellStyle name="Hed Side Regular 3 8 4 6 2" xfId="21525" xr:uid="{00000000-0005-0000-0000-00009E5B0000}"/>
    <cellStyle name="Hed Side Regular 3 8 4 7" xfId="21526" xr:uid="{00000000-0005-0000-0000-00009F5B0000}"/>
    <cellStyle name="Hed Side Regular 3 8 4 7 2" xfId="21527" xr:uid="{00000000-0005-0000-0000-0000A05B0000}"/>
    <cellStyle name="Hed Side Regular 3 8 4 8" xfId="21528" xr:uid="{00000000-0005-0000-0000-0000A15B0000}"/>
    <cellStyle name="Hed Side Regular 3 8 4 8 2" xfId="21529" xr:uid="{00000000-0005-0000-0000-0000A25B0000}"/>
    <cellStyle name="Hed Side Regular 3 8 4 9" xfId="21530" xr:uid="{00000000-0005-0000-0000-0000A35B0000}"/>
    <cellStyle name="Hed Side Regular 3 8 4 9 2" xfId="21531" xr:uid="{00000000-0005-0000-0000-0000A45B0000}"/>
    <cellStyle name="Hed Side Regular 3 8 5" xfId="21532" xr:uid="{00000000-0005-0000-0000-0000A55B0000}"/>
    <cellStyle name="Hed Side Regular 3 8 5 10" xfId="21533" xr:uid="{00000000-0005-0000-0000-0000A65B0000}"/>
    <cellStyle name="Hed Side Regular 3 8 5 2" xfId="21534" xr:uid="{00000000-0005-0000-0000-0000A75B0000}"/>
    <cellStyle name="Hed Side Regular 3 8 5 2 2" xfId="21535" xr:uid="{00000000-0005-0000-0000-0000A85B0000}"/>
    <cellStyle name="Hed Side Regular 3 8 5 3" xfId="21536" xr:uid="{00000000-0005-0000-0000-0000A95B0000}"/>
    <cellStyle name="Hed Side Regular 3 8 5 3 2" xfId="21537" xr:uid="{00000000-0005-0000-0000-0000AA5B0000}"/>
    <cellStyle name="Hed Side Regular 3 8 5 4" xfId="21538" xr:uid="{00000000-0005-0000-0000-0000AB5B0000}"/>
    <cellStyle name="Hed Side Regular 3 8 5 4 2" xfId="21539" xr:uid="{00000000-0005-0000-0000-0000AC5B0000}"/>
    <cellStyle name="Hed Side Regular 3 8 5 5" xfId="21540" xr:uid="{00000000-0005-0000-0000-0000AD5B0000}"/>
    <cellStyle name="Hed Side Regular 3 8 5 5 2" xfId="21541" xr:uid="{00000000-0005-0000-0000-0000AE5B0000}"/>
    <cellStyle name="Hed Side Regular 3 8 5 6" xfId="21542" xr:uid="{00000000-0005-0000-0000-0000AF5B0000}"/>
    <cellStyle name="Hed Side Regular 3 8 5 6 2" xfId="21543" xr:uid="{00000000-0005-0000-0000-0000B05B0000}"/>
    <cellStyle name="Hed Side Regular 3 8 5 7" xfId="21544" xr:uid="{00000000-0005-0000-0000-0000B15B0000}"/>
    <cellStyle name="Hed Side Regular 3 8 5 7 2" xfId="21545" xr:uid="{00000000-0005-0000-0000-0000B25B0000}"/>
    <cellStyle name="Hed Side Regular 3 8 5 8" xfId="21546" xr:uid="{00000000-0005-0000-0000-0000B35B0000}"/>
    <cellStyle name="Hed Side Regular 3 8 5 8 2" xfId="21547" xr:uid="{00000000-0005-0000-0000-0000B45B0000}"/>
    <cellStyle name="Hed Side Regular 3 8 5 9" xfId="21548" xr:uid="{00000000-0005-0000-0000-0000B55B0000}"/>
    <cellStyle name="Hed Side Regular 3 8 5 9 2" xfId="21549" xr:uid="{00000000-0005-0000-0000-0000B65B0000}"/>
    <cellStyle name="Hed Side Regular 3 8 6" xfId="21550" xr:uid="{00000000-0005-0000-0000-0000B75B0000}"/>
    <cellStyle name="Hed Side Regular 3 8 6 10" xfId="21551" xr:uid="{00000000-0005-0000-0000-0000B85B0000}"/>
    <cellStyle name="Hed Side Regular 3 8 6 2" xfId="21552" xr:uid="{00000000-0005-0000-0000-0000B95B0000}"/>
    <cellStyle name="Hed Side Regular 3 8 6 2 2" xfId="21553" xr:uid="{00000000-0005-0000-0000-0000BA5B0000}"/>
    <cellStyle name="Hed Side Regular 3 8 6 3" xfId="21554" xr:uid="{00000000-0005-0000-0000-0000BB5B0000}"/>
    <cellStyle name="Hed Side Regular 3 8 6 3 2" xfId="21555" xr:uid="{00000000-0005-0000-0000-0000BC5B0000}"/>
    <cellStyle name="Hed Side Regular 3 8 6 4" xfId="21556" xr:uid="{00000000-0005-0000-0000-0000BD5B0000}"/>
    <cellStyle name="Hed Side Regular 3 8 6 4 2" xfId="21557" xr:uid="{00000000-0005-0000-0000-0000BE5B0000}"/>
    <cellStyle name="Hed Side Regular 3 8 6 5" xfId="21558" xr:uid="{00000000-0005-0000-0000-0000BF5B0000}"/>
    <cellStyle name="Hed Side Regular 3 8 6 5 2" xfId="21559" xr:uid="{00000000-0005-0000-0000-0000C05B0000}"/>
    <cellStyle name="Hed Side Regular 3 8 6 6" xfId="21560" xr:uid="{00000000-0005-0000-0000-0000C15B0000}"/>
    <cellStyle name="Hed Side Regular 3 8 6 6 2" xfId="21561" xr:uid="{00000000-0005-0000-0000-0000C25B0000}"/>
    <cellStyle name="Hed Side Regular 3 8 6 7" xfId="21562" xr:uid="{00000000-0005-0000-0000-0000C35B0000}"/>
    <cellStyle name="Hed Side Regular 3 8 6 7 2" xfId="21563" xr:uid="{00000000-0005-0000-0000-0000C45B0000}"/>
    <cellStyle name="Hed Side Regular 3 8 6 8" xfId="21564" xr:uid="{00000000-0005-0000-0000-0000C55B0000}"/>
    <cellStyle name="Hed Side Regular 3 8 6 8 2" xfId="21565" xr:uid="{00000000-0005-0000-0000-0000C65B0000}"/>
    <cellStyle name="Hed Side Regular 3 8 6 9" xfId="21566" xr:uid="{00000000-0005-0000-0000-0000C75B0000}"/>
    <cellStyle name="Hed Side Regular 3 8 6 9 2" xfId="21567" xr:uid="{00000000-0005-0000-0000-0000C85B0000}"/>
    <cellStyle name="Hed Side Regular 3 8 7" xfId="21568" xr:uid="{00000000-0005-0000-0000-0000C95B0000}"/>
    <cellStyle name="Hed Side Regular 3 8 7 10" xfId="21569" xr:uid="{00000000-0005-0000-0000-0000CA5B0000}"/>
    <cellStyle name="Hed Side Regular 3 8 7 2" xfId="21570" xr:uid="{00000000-0005-0000-0000-0000CB5B0000}"/>
    <cellStyle name="Hed Side Regular 3 8 7 2 2" xfId="21571" xr:uid="{00000000-0005-0000-0000-0000CC5B0000}"/>
    <cellStyle name="Hed Side Regular 3 8 7 3" xfId="21572" xr:uid="{00000000-0005-0000-0000-0000CD5B0000}"/>
    <cellStyle name="Hed Side Regular 3 8 7 3 2" xfId="21573" xr:uid="{00000000-0005-0000-0000-0000CE5B0000}"/>
    <cellStyle name="Hed Side Regular 3 8 7 4" xfId="21574" xr:uid="{00000000-0005-0000-0000-0000CF5B0000}"/>
    <cellStyle name="Hed Side Regular 3 8 7 4 2" xfId="21575" xr:uid="{00000000-0005-0000-0000-0000D05B0000}"/>
    <cellStyle name="Hed Side Regular 3 8 7 5" xfId="21576" xr:uid="{00000000-0005-0000-0000-0000D15B0000}"/>
    <cellStyle name="Hed Side Regular 3 8 7 5 2" xfId="21577" xr:uid="{00000000-0005-0000-0000-0000D25B0000}"/>
    <cellStyle name="Hed Side Regular 3 8 7 6" xfId="21578" xr:uid="{00000000-0005-0000-0000-0000D35B0000}"/>
    <cellStyle name="Hed Side Regular 3 8 7 6 2" xfId="21579" xr:uid="{00000000-0005-0000-0000-0000D45B0000}"/>
    <cellStyle name="Hed Side Regular 3 8 7 7" xfId="21580" xr:uid="{00000000-0005-0000-0000-0000D55B0000}"/>
    <cellStyle name="Hed Side Regular 3 8 7 7 2" xfId="21581" xr:uid="{00000000-0005-0000-0000-0000D65B0000}"/>
    <cellStyle name="Hed Side Regular 3 8 7 8" xfId="21582" xr:uid="{00000000-0005-0000-0000-0000D75B0000}"/>
    <cellStyle name="Hed Side Regular 3 8 7 8 2" xfId="21583" xr:uid="{00000000-0005-0000-0000-0000D85B0000}"/>
    <cellStyle name="Hed Side Regular 3 8 7 9" xfId="21584" xr:uid="{00000000-0005-0000-0000-0000D95B0000}"/>
    <cellStyle name="Hed Side Regular 3 8 7 9 2" xfId="21585" xr:uid="{00000000-0005-0000-0000-0000DA5B0000}"/>
    <cellStyle name="Hed Side Regular 3 8 8" xfId="21586" xr:uid="{00000000-0005-0000-0000-0000DB5B0000}"/>
    <cellStyle name="Hed Side Regular 3 8 8 10" xfId="21587" xr:uid="{00000000-0005-0000-0000-0000DC5B0000}"/>
    <cellStyle name="Hed Side Regular 3 8 8 2" xfId="21588" xr:uid="{00000000-0005-0000-0000-0000DD5B0000}"/>
    <cellStyle name="Hed Side Regular 3 8 8 2 2" xfId="21589" xr:uid="{00000000-0005-0000-0000-0000DE5B0000}"/>
    <cellStyle name="Hed Side Regular 3 8 8 3" xfId="21590" xr:uid="{00000000-0005-0000-0000-0000DF5B0000}"/>
    <cellStyle name="Hed Side Regular 3 8 8 3 2" xfId="21591" xr:uid="{00000000-0005-0000-0000-0000E05B0000}"/>
    <cellStyle name="Hed Side Regular 3 8 8 4" xfId="21592" xr:uid="{00000000-0005-0000-0000-0000E15B0000}"/>
    <cellStyle name="Hed Side Regular 3 8 8 4 2" xfId="21593" xr:uid="{00000000-0005-0000-0000-0000E25B0000}"/>
    <cellStyle name="Hed Side Regular 3 8 8 5" xfId="21594" xr:uid="{00000000-0005-0000-0000-0000E35B0000}"/>
    <cellStyle name="Hed Side Regular 3 8 8 5 2" xfId="21595" xr:uid="{00000000-0005-0000-0000-0000E45B0000}"/>
    <cellStyle name="Hed Side Regular 3 8 8 6" xfId="21596" xr:uid="{00000000-0005-0000-0000-0000E55B0000}"/>
    <cellStyle name="Hed Side Regular 3 8 8 6 2" xfId="21597" xr:uid="{00000000-0005-0000-0000-0000E65B0000}"/>
    <cellStyle name="Hed Side Regular 3 8 8 7" xfId="21598" xr:uid="{00000000-0005-0000-0000-0000E75B0000}"/>
    <cellStyle name="Hed Side Regular 3 8 8 7 2" xfId="21599" xr:uid="{00000000-0005-0000-0000-0000E85B0000}"/>
    <cellStyle name="Hed Side Regular 3 8 8 8" xfId="21600" xr:uid="{00000000-0005-0000-0000-0000E95B0000}"/>
    <cellStyle name="Hed Side Regular 3 8 8 8 2" xfId="21601" xr:uid="{00000000-0005-0000-0000-0000EA5B0000}"/>
    <cellStyle name="Hed Side Regular 3 8 8 9" xfId="21602" xr:uid="{00000000-0005-0000-0000-0000EB5B0000}"/>
    <cellStyle name="Hed Side Regular 3 8 8 9 2" xfId="21603" xr:uid="{00000000-0005-0000-0000-0000EC5B0000}"/>
    <cellStyle name="Hed Side Regular 3 8 9" xfId="21604" xr:uid="{00000000-0005-0000-0000-0000ED5B0000}"/>
    <cellStyle name="Hed Side Regular 3 8 9 10" xfId="21605" xr:uid="{00000000-0005-0000-0000-0000EE5B0000}"/>
    <cellStyle name="Hed Side Regular 3 8 9 2" xfId="21606" xr:uid="{00000000-0005-0000-0000-0000EF5B0000}"/>
    <cellStyle name="Hed Side Regular 3 8 9 2 2" xfId="21607" xr:uid="{00000000-0005-0000-0000-0000F05B0000}"/>
    <cellStyle name="Hed Side Regular 3 8 9 3" xfId="21608" xr:uid="{00000000-0005-0000-0000-0000F15B0000}"/>
    <cellStyle name="Hed Side Regular 3 8 9 3 2" xfId="21609" xr:uid="{00000000-0005-0000-0000-0000F25B0000}"/>
    <cellStyle name="Hed Side Regular 3 8 9 4" xfId="21610" xr:uid="{00000000-0005-0000-0000-0000F35B0000}"/>
    <cellStyle name="Hed Side Regular 3 8 9 4 2" xfId="21611" xr:uid="{00000000-0005-0000-0000-0000F45B0000}"/>
    <cellStyle name="Hed Side Regular 3 8 9 5" xfId="21612" xr:uid="{00000000-0005-0000-0000-0000F55B0000}"/>
    <cellStyle name="Hed Side Regular 3 8 9 5 2" xfId="21613" xr:uid="{00000000-0005-0000-0000-0000F65B0000}"/>
    <cellStyle name="Hed Side Regular 3 8 9 6" xfId="21614" xr:uid="{00000000-0005-0000-0000-0000F75B0000}"/>
    <cellStyle name="Hed Side Regular 3 8 9 6 2" xfId="21615" xr:uid="{00000000-0005-0000-0000-0000F85B0000}"/>
    <cellStyle name="Hed Side Regular 3 8 9 7" xfId="21616" xr:uid="{00000000-0005-0000-0000-0000F95B0000}"/>
    <cellStyle name="Hed Side Regular 3 8 9 7 2" xfId="21617" xr:uid="{00000000-0005-0000-0000-0000FA5B0000}"/>
    <cellStyle name="Hed Side Regular 3 8 9 8" xfId="21618" xr:uid="{00000000-0005-0000-0000-0000FB5B0000}"/>
    <cellStyle name="Hed Side Regular 3 8 9 8 2" xfId="21619" xr:uid="{00000000-0005-0000-0000-0000FC5B0000}"/>
    <cellStyle name="Hed Side Regular 3 8 9 9" xfId="21620" xr:uid="{00000000-0005-0000-0000-0000FD5B0000}"/>
    <cellStyle name="Hed Side Regular 3 8 9 9 2" xfId="21621" xr:uid="{00000000-0005-0000-0000-0000FE5B0000}"/>
    <cellStyle name="Hed Side Regular_Regular" xfId="42834" xr:uid="{00000000-0005-0000-0000-0000FF5B0000}"/>
    <cellStyle name="Hed Side_1-1A-Regular" xfId="79" xr:uid="{00000000-0005-0000-0000-0000005C0000}"/>
    <cellStyle name="Hed Top" xfId="80" xr:uid="{00000000-0005-0000-0000-0000015C0000}"/>
    <cellStyle name="Hed Top - SECTION" xfId="81" xr:uid="{00000000-0005-0000-0000-0000025C0000}"/>
    <cellStyle name="Hed Top - SECTION 2" xfId="174" xr:uid="{00000000-0005-0000-0000-0000035C0000}"/>
    <cellStyle name="Hed Top - SECTION 2 2" xfId="175" xr:uid="{00000000-0005-0000-0000-0000045C0000}"/>
    <cellStyle name="Hed Top - SECTION 2 2 2" xfId="21622" xr:uid="{00000000-0005-0000-0000-0000055C0000}"/>
    <cellStyle name="Hed Top - SECTION 2 2 2 10" xfId="21623" xr:uid="{00000000-0005-0000-0000-0000065C0000}"/>
    <cellStyle name="Hed Top - SECTION 2 2 2 10 10" xfId="21624" xr:uid="{00000000-0005-0000-0000-0000075C0000}"/>
    <cellStyle name="Hed Top - SECTION 2 2 2 10 2" xfId="21625" xr:uid="{00000000-0005-0000-0000-0000085C0000}"/>
    <cellStyle name="Hed Top - SECTION 2 2 2 10 2 2" xfId="21626" xr:uid="{00000000-0005-0000-0000-0000095C0000}"/>
    <cellStyle name="Hed Top - SECTION 2 2 2 10 3" xfId="21627" xr:uid="{00000000-0005-0000-0000-00000A5C0000}"/>
    <cellStyle name="Hed Top - SECTION 2 2 2 10 3 2" xfId="21628" xr:uid="{00000000-0005-0000-0000-00000B5C0000}"/>
    <cellStyle name="Hed Top - SECTION 2 2 2 10 4" xfId="21629" xr:uid="{00000000-0005-0000-0000-00000C5C0000}"/>
    <cellStyle name="Hed Top - SECTION 2 2 2 10 4 2" xfId="21630" xr:uid="{00000000-0005-0000-0000-00000D5C0000}"/>
    <cellStyle name="Hed Top - SECTION 2 2 2 10 5" xfId="21631" xr:uid="{00000000-0005-0000-0000-00000E5C0000}"/>
    <cellStyle name="Hed Top - SECTION 2 2 2 10 5 2" xfId="21632" xr:uid="{00000000-0005-0000-0000-00000F5C0000}"/>
    <cellStyle name="Hed Top - SECTION 2 2 2 10 6" xfId="21633" xr:uid="{00000000-0005-0000-0000-0000105C0000}"/>
    <cellStyle name="Hed Top - SECTION 2 2 2 10 6 2" xfId="21634" xr:uid="{00000000-0005-0000-0000-0000115C0000}"/>
    <cellStyle name="Hed Top - SECTION 2 2 2 10 7" xfId="21635" xr:uid="{00000000-0005-0000-0000-0000125C0000}"/>
    <cellStyle name="Hed Top - SECTION 2 2 2 10 7 2" xfId="21636" xr:uid="{00000000-0005-0000-0000-0000135C0000}"/>
    <cellStyle name="Hed Top - SECTION 2 2 2 10 8" xfId="21637" xr:uid="{00000000-0005-0000-0000-0000145C0000}"/>
    <cellStyle name="Hed Top - SECTION 2 2 2 10 8 2" xfId="21638" xr:uid="{00000000-0005-0000-0000-0000155C0000}"/>
    <cellStyle name="Hed Top - SECTION 2 2 2 10 9" xfId="21639" xr:uid="{00000000-0005-0000-0000-0000165C0000}"/>
    <cellStyle name="Hed Top - SECTION 2 2 2 10 9 2" xfId="21640" xr:uid="{00000000-0005-0000-0000-0000175C0000}"/>
    <cellStyle name="Hed Top - SECTION 2 2 2 11" xfId="21641" xr:uid="{00000000-0005-0000-0000-0000185C0000}"/>
    <cellStyle name="Hed Top - SECTION 2 2 2 11 2" xfId="21642" xr:uid="{00000000-0005-0000-0000-0000195C0000}"/>
    <cellStyle name="Hed Top - SECTION 2 2 2 11 2 2" xfId="21643" xr:uid="{00000000-0005-0000-0000-00001A5C0000}"/>
    <cellStyle name="Hed Top - SECTION 2 2 2 11 3" xfId="21644" xr:uid="{00000000-0005-0000-0000-00001B5C0000}"/>
    <cellStyle name="Hed Top - SECTION 2 2 2 11 3 2" xfId="21645" xr:uid="{00000000-0005-0000-0000-00001C5C0000}"/>
    <cellStyle name="Hed Top - SECTION 2 2 2 11 4" xfId="21646" xr:uid="{00000000-0005-0000-0000-00001D5C0000}"/>
    <cellStyle name="Hed Top - SECTION 2 2 2 11 4 2" xfId="21647" xr:uid="{00000000-0005-0000-0000-00001E5C0000}"/>
    <cellStyle name="Hed Top - SECTION 2 2 2 11 5" xfId="21648" xr:uid="{00000000-0005-0000-0000-00001F5C0000}"/>
    <cellStyle name="Hed Top - SECTION 2 2 2 11 5 2" xfId="21649" xr:uid="{00000000-0005-0000-0000-0000205C0000}"/>
    <cellStyle name="Hed Top - SECTION 2 2 2 11 6" xfId="21650" xr:uid="{00000000-0005-0000-0000-0000215C0000}"/>
    <cellStyle name="Hed Top - SECTION 2 2 2 11 6 2" xfId="21651" xr:uid="{00000000-0005-0000-0000-0000225C0000}"/>
    <cellStyle name="Hed Top - SECTION 2 2 2 11 7" xfId="21652" xr:uid="{00000000-0005-0000-0000-0000235C0000}"/>
    <cellStyle name="Hed Top - SECTION 2 2 2 11 7 2" xfId="21653" xr:uid="{00000000-0005-0000-0000-0000245C0000}"/>
    <cellStyle name="Hed Top - SECTION 2 2 2 11 8" xfId="21654" xr:uid="{00000000-0005-0000-0000-0000255C0000}"/>
    <cellStyle name="Hed Top - SECTION 2 2 2 11 8 2" xfId="21655" xr:uid="{00000000-0005-0000-0000-0000265C0000}"/>
    <cellStyle name="Hed Top - SECTION 2 2 2 11 9" xfId="21656" xr:uid="{00000000-0005-0000-0000-0000275C0000}"/>
    <cellStyle name="Hed Top - SECTION 2 2 2 2" xfId="21657" xr:uid="{00000000-0005-0000-0000-0000285C0000}"/>
    <cellStyle name="Hed Top - SECTION 2 2 2 2 10" xfId="21658" xr:uid="{00000000-0005-0000-0000-0000295C0000}"/>
    <cellStyle name="Hed Top - SECTION 2 2 2 2 2" xfId="21659" xr:uid="{00000000-0005-0000-0000-00002A5C0000}"/>
    <cellStyle name="Hed Top - SECTION 2 2 2 2 2 2" xfId="21660" xr:uid="{00000000-0005-0000-0000-00002B5C0000}"/>
    <cellStyle name="Hed Top - SECTION 2 2 2 2 3" xfId="21661" xr:uid="{00000000-0005-0000-0000-00002C5C0000}"/>
    <cellStyle name="Hed Top - SECTION 2 2 2 2 3 2" xfId="21662" xr:uid="{00000000-0005-0000-0000-00002D5C0000}"/>
    <cellStyle name="Hed Top - SECTION 2 2 2 2 4" xfId="21663" xr:uid="{00000000-0005-0000-0000-00002E5C0000}"/>
    <cellStyle name="Hed Top - SECTION 2 2 2 2 4 2" xfId="21664" xr:uid="{00000000-0005-0000-0000-00002F5C0000}"/>
    <cellStyle name="Hed Top - SECTION 2 2 2 2 5" xfId="21665" xr:uid="{00000000-0005-0000-0000-0000305C0000}"/>
    <cellStyle name="Hed Top - SECTION 2 2 2 2 5 2" xfId="21666" xr:uid="{00000000-0005-0000-0000-0000315C0000}"/>
    <cellStyle name="Hed Top - SECTION 2 2 2 2 6" xfId="21667" xr:uid="{00000000-0005-0000-0000-0000325C0000}"/>
    <cellStyle name="Hed Top - SECTION 2 2 2 2 6 2" xfId="21668" xr:uid="{00000000-0005-0000-0000-0000335C0000}"/>
    <cellStyle name="Hed Top - SECTION 2 2 2 2 7" xfId="21669" xr:uid="{00000000-0005-0000-0000-0000345C0000}"/>
    <cellStyle name="Hed Top - SECTION 2 2 2 2 7 2" xfId="21670" xr:uid="{00000000-0005-0000-0000-0000355C0000}"/>
    <cellStyle name="Hed Top - SECTION 2 2 2 2 8" xfId="21671" xr:uid="{00000000-0005-0000-0000-0000365C0000}"/>
    <cellStyle name="Hed Top - SECTION 2 2 2 2 8 2" xfId="21672" xr:uid="{00000000-0005-0000-0000-0000375C0000}"/>
    <cellStyle name="Hed Top - SECTION 2 2 2 2 9" xfId="21673" xr:uid="{00000000-0005-0000-0000-0000385C0000}"/>
    <cellStyle name="Hed Top - SECTION 2 2 2 2 9 2" xfId="21674" xr:uid="{00000000-0005-0000-0000-0000395C0000}"/>
    <cellStyle name="Hed Top - SECTION 2 2 2 3" xfId="21675" xr:uid="{00000000-0005-0000-0000-00003A5C0000}"/>
    <cellStyle name="Hed Top - SECTION 2 2 2 3 10" xfId="21676" xr:uid="{00000000-0005-0000-0000-00003B5C0000}"/>
    <cellStyle name="Hed Top - SECTION 2 2 2 3 2" xfId="21677" xr:uid="{00000000-0005-0000-0000-00003C5C0000}"/>
    <cellStyle name="Hed Top - SECTION 2 2 2 3 2 2" xfId="21678" xr:uid="{00000000-0005-0000-0000-00003D5C0000}"/>
    <cellStyle name="Hed Top - SECTION 2 2 2 3 3" xfId="21679" xr:uid="{00000000-0005-0000-0000-00003E5C0000}"/>
    <cellStyle name="Hed Top - SECTION 2 2 2 3 3 2" xfId="21680" xr:uid="{00000000-0005-0000-0000-00003F5C0000}"/>
    <cellStyle name="Hed Top - SECTION 2 2 2 3 4" xfId="21681" xr:uid="{00000000-0005-0000-0000-0000405C0000}"/>
    <cellStyle name="Hed Top - SECTION 2 2 2 3 4 2" xfId="21682" xr:uid="{00000000-0005-0000-0000-0000415C0000}"/>
    <cellStyle name="Hed Top - SECTION 2 2 2 3 5" xfId="21683" xr:uid="{00000000-0005-0000-0000-0000425C0000}"/>
    <cellStyle name="Hed Top - SECTION 2 2 2 3 5 2" xfId="21684" xr:uid="{00000000-0005-0000-0000-0000435C0000}"/>
    <cellStyle name="Hed Top - SECTION 2 2 2 3 6" xfId="21685" xr:uid="{00000000-0005-0000-0000-0000445C0000}"/>
    <cellStyle name="Hed Top - SECTION 2 2 2 3 6 2" xfId="21686" xr:uid="{00000000-0005-0000-0000-0000455C0000}"/>
    <cellStyle name="Hed Top - SECTION 2 2 2 3 7" xfId="21687" xr:uid="{00000000-0005-0000-0000-0000465C0000}"/>
    <cellStyle name="Hed Top - SECTION 2 2 2 3 7 2" xfId="21688" xr:uid="{00000000-0005-0000-0000-0000475C0000}"/>
    <cellStyle name="Hed Top - SECTION 2 2 2 3 8" xfId="21689" xr:uid="{00000000-0005-0000-0000-0000485C0000}"/>
    <cellStyle name="Hed Top - SECTION 2 2 2 3 8 2" xfId="21690" xr:uid="{00000000-0005-0000-0000-0000495C0000}"/>
    <cellStyle name="Hed Top - SECTION 2 2 2 3 9" xfId="21691" xr:uid="{00000000-0005-0000-0000-00004A5C0000}"/>
    <cellStyle name="Hed Top - SECTION 2 2 2 3 9 2" xfId="21692" xr:uid="{00000000-0005-0000-0000-00004B5C0000}"/>
    <cellStyle name="Hed Top - SECTION 2 2 2 4" xfId="21693" xr:uid="{00000000-0005-0000-0000-00004C5C0000}"/>
    <cellStyle name="Hed Top - SECTION 2 2 2 4 10" xfId="21694" xr:uid="{00000000-0005-0000-0000-00004D5C0000}"/>
    <cellStyle name="Hed Top - SECTION 2 2 2 4 2" xfId="21695" xr:uid="{00000000-0005-0000-0000-00004E5C0000}"/>
    <cellStyle name="Hed Top - SECTION 2 2 2 4 2 2" xfId="21696" xr:uid="{00000000-0005-0000-0000-00004F5C0000}"/>
    <cellStyle name="Hed Top - SECTION 2 2 2 4 3" xfId="21697" xr:uid="{00000000-0005-0000-0000-0000505C0000}"/>
    <cellStyle name="Hed Top - SECTION 2 2 2 4 3 2" xfId="21698" xr:uid="{00000000-0005-0000-0000-0000515C0000}"/>
    <cellStyle name="Hed Top - SECTION 2 2 2 4 4" xfId="21699" xr:uid="{00000000-0005-0000-0000-0000525C0000}"/>
    <cellStyle name="Hed Top - SECTION 2 2 2 4 4 2" xfId="21700" xr:uid="{00000000-0005-0000-0000-0000535C0000}"/>
    <cellStyle name="Hed Top - SECTION 2 2 2 4 5" xfId="21701" xr:uid="{00000000-0005-0000-0000-0000545C0000}"/>
    <cellStyle name="Hed Top - SECTION 2 2 2 4 5 2" xfId="21702" xr:uid="{00000000-0005-0000-0000-0000555C0000}"/>
    <cellStyle name="Hed Top - SECTION 2 2 2 4 6" xfId="21703" xr:uid="{00000000-0005-0000-0000-0000565C0000}"/>
    <cellStyle name="Hed Top - SECTION 2 2 2 4 6 2" xfId="21704" xr:uid="{00000000-0005-0000-0000-0000575C0000}"/>
    <cellStyle name="Hed Top - SECTION 2 2 2 4 7" xfId="21705" xr:uid="{00000000-0005-0000-0000-0000585C0000}"/>
    <cellStyle name="Hed Top - SECTION 2 2 2 4 7 2" xfId="21706" xr:uid="{00000000-0005-0000-0000-0000595C0000}"/>
    <cellStyle name="Hed Top - SECTION 2 2 2 4 8" xfId="21707" xr:uid="{00000000-0005-0000-0000-00005A5C0000}"/>
    <cellStyle name="Hed Top - SECTION 2 2 2 4 8 2" xfId="21708" xr:uid="{00000000-0005-0000-0000-00005B5C0000}"/>
    <cellStyle name="Hed Top - SECTION 2 2 2 4 9" xfId="21709" xr:uid="{00000000-0005-0000-0000-00005C5C0000}"/>
    <cellStyle name="Hed Top - SECTION 2 2 2 4 9 2" xfId="21710" xr:uid="{00000000-0005-0000-0000-00005D5C0000}"/>
    <cellStyle name="Hed Top - SECTION 2 2 2 5" xfId="21711" xr:uid="{00000000-0005-0000-0000-00005E5C0000}"/>
    <cellStyle name="Hed Top - SECTION 2 2 2 5 10" xfId="21712" xr:uid="{00000000-0005-0000-0000-00005F5C0000}"/>
    <cellStyle name="Hed Top - SECTION 2 2 2 5 2" xfId="21713" xr:uid="{00000000-0005-0000-0000-0000605C0000}"/>
    <cellStyle name="Hed Top - SECTION 2 2 2 5 2 2" xfId="21714" xr:uid="{00000000-0005-0000-0000-0000615C0000}"/>
    <cellStyle name="Hed Top - SECTION 2 2 2 5 3" xfId="21715" xr:uid="{00000000-0005-0000-0000-0000625C0000}"/>
    <cellStyle name="Hed Top - SECTION 2 2 2 5 3 2" xfId="21716" xr:uid="{00000000-0005-0000-0000-0000635C0000}"/>
    <cellStyle name="Hed Top - SECTION 2 2 2 5 4" xfId="21717" xr:uid="{00000000-0005-0000-0000-0000645C0000}"/>
    <cellStyle name="Hed Top - SECTION 2 2 2 5 4 2" xfId="21718" xr:uid="{00000000-0005-0000-0000-0000655C0000}"/>
    <cellStyle name="Hed Top - SECTION 2 2 2 5 5" xfId="21719" xr:uid="{00000000-0005-0000-0000-0000665C0000}"/>
    <cellStyle name="Hed Top - SECTION 2 2 2 5 5 2" xfId="21720" xr:uid="{00000000-0005-0000-0000-0000675C0000}"/>
    <cellStyle name="Hed Top - SECTION 2 2 2 5 6" xfId="21721" xr:uid="{00000000-0005-0000-0000-0000685C0000}"/>
    <cellStyle name="Hed Top - SECTION 2 2 2 5 6 2" xfId="21722" xr:uid="{00000000-0005-0000-0000-0000695C0000}"/>
    <cellStyle name="Hed Top - SECTION 2 2 2 5 7" xfId="21723" xr:uid="{00000000-0005-0000-0000-00006A5C0000}"/>
    <cellStyle name="Hed Top - SECTION 2 2 2 5 7 2" xfId="21724" xr:uid="{00000000-0005-0000-0000-00006B5C0000}"/>
    <cellStyle name="Hed Top - SECTION 2 2 2 5 8" xfId="21725" xr:uid="{00000000-0005-0000-0000-00006C5C0000}"/>
    <cellStyle name="Hed Top - SECTION 2 2 2 5 8 2" xfId="21726" xr:uid="{00000000-0005-0000-0000-00006D5C0000}"/>
    <cellStyle name="Hed Top - SECTION 2 2 2 5 9" xfId="21727" xr:uid="{00000000-0005-0000-0000-00006E5C0000}"/>
    <cellStyle name="Hed Top - SECTION 2 2 2 5 9 2" xfId="21728" xr:uid="{00000000-0005-0000-0000-00006F5C0000}"/>
    <cellStyle name="Hed Top - SECTION 2 2 2 6" xfId="21729" xr:uid="{00000000-0005-0000-0000-0000705C0000}"/>
    <cellStyle name="Hed Top - SECTION 2 2 2 6 10" xfId="21730" xr:uid="{00000000-0005-0000-0000-0000715C0000}"/>
    <cellStyle name="Hed Top - SECTION 2 2 2 6 2" xfId="21731" xr:uid="{00000000-0005-0000-0000-0000725C0000}"/>
    <cellStyle name="Hed Top - SECTION 2 2 2 6 2 2" xfId="21732" xr:uid="{00000000-0005-0000-0000-0000735C0000}"/>
    <cellStyle name="Hed Top - SECTION 2 2 2 6 3" xfId="21733" xr:uid="{00000000-0005-0000-0000-0000745C0000}"/>
    <cellStyle name="Hed Top - SECTION 2 2 2 6 3 2" xfId="21734" xr:uid="{00000000-0005-0000-0000-0000755C0000}"/>
    <cellStyle name="Hed Top - SECTION 2 2 2 6 4" xfId="21735" xr:uid="{00000000-0005-0000-0000-0000765C0000}"/>
    <cellStyle name="Hed Top - SECTION 2 2 2 6 4 2" xfId="21736" xr:uid="{00000000-0005-0000-0000-0000775C0000}"/>
    <cellStyle name="Hed Top - SECTION 2 2 2 6 5" xfId="21737" xr:uid="{00000000-0005-0000-0000-0000785C0000}"/>
    <cellStyle name="Hed Top - SECTION 2 2 2 6 5 2" xfId="21738" xr:uid="{00000000-0005-0000-0000-0000795C0000}"/>
    <cellStyle name="Hed Top - SECTION 2 2 2 6 6" xfId="21739" xr:uid="{00000000-0005-0000-0000-00007A5C0000}"/>
    <cellStyle name="Hed Top - SECTION 2 2 2 6 6 2" xfId="21740" xr:uid="{00000000-0005-0000-0000-00007B5C0000}"/>
    <cellStyle name="Hed Top - SECTION 2 2 2 6 7" xfId="21741" xr:uid="{00000000-0005-0000-0000-00007C5C0000}"/>
    <cellStyle name="Hed Top - SECTION 2 2 2 6 7 2" xfId="21742" xr:uid="{00000000-0005-0000-0000-00007D5C0000}"/>
    <cellStyle name="Hed Top - SECTION 2 2 2 6 8" xfId="21743" xr:uid="{00000000-0005-0000-0000-00007E5C0000}"/>
    <cellStyle name="Hed Top - SECTION 2 2 2 6 8 2" xfId="21744" xr:uid="{00000000-0005-0000-0000-00007F5C0000}"/>
    <cellStyle name="Hed Top - SECTION 2 2 2 6 9" xfId="21745" xr:uid="{00000000-0005-0000-0000-0000805C0000}"/>
    <cellStyle name="Hed Top - SECTION 2 2 2 6 9 2" xfId="21746" xr:uid="{00000000-0005-0000-0000-0000815C0000}"/>
    <cellStyle name="Hed Top - SECTION 2 2 2 7" xfId="21747" xr:uid="{00000000-0005-0000-0000-0000825C0000}"/>
    <cellStyle name="Hed Top - SECTION 2 2 2 7 10" xfId="21748" xr:uid="{00000000-0005-0000-0000-0000835C0000}"/>
    <cellStyle name="Hed Top - SECTION 2 2 2 7 2" xfId="21749" xr:uid="{00000000-0005-0000-0000-0000845C0000}"/>
    <cellStyle name="Hed Top - SECTION 2 2 2 7 2 2" xfId="21750" xr:uid="{00000000-0005-0000-0000-0000855C0000}"/>
    <cellStyle name="Hed Top - SECTION 2 2 2 7 3" xfId="21751" xr:uid="{00000000-0005-0000-0000-0000865C0000}"/>
    <cellStyle name="Hed Top - SECTION 2 2 2 7 3 2" xfId="21752" xr:uid="{00000000-0005-0000-0000-0000875C0000}"/>
    <cellStyle name="Hed Top - SECTION 2 2 2 7 4" xfId="21753" xr:uid="{00000000-0005-0000-0000-0000885C0000}"/>
    <cellStyle name="Hed Top - SECTION 2 2 2 7 4 2" xfId="21754" xr:uid="{00000000-0005-0000-0000-0000895C0000}"/>
    <cellStyle name="Hed Top - SECTION 2 2 2 7 5" xfId="21755" xr:uid="{00000000-0005-0000-0000-00008A5C0000}"/>
    <cellStyle name="Hed Top - SECTION 2 2 2 7 5 2" xfId="21756" xr:uid="{00000000-0005-0000-0000-00008B5C0000}"/>
    <cellStyle name="Hed Top - SECTION 2 2 2 7 6" xfId="21757" xr:uid="{00000000-0005-0000-0000-00008C5C0000}"/>
    <cellStyle name="Hed Top - SECTION 2 2 2 7 6 2" xfId="21758" xr:uid="{00000000-0005-0000-0000-00008D5C0000}"/>
    <cellStyle name="Hed Top - SECTION 2 2 2 7 7" xfId="21759" xr:uid="{00000000-0005-0000-0000-00008E5C0000}"/>
    <cellStyle name="Hed Top - SECTION 2 2 2 7 7 2" xfId="21760" xr:uid="{00000000-0005-0000-0000-00008F5C0000}"/>
    <cellStyle name="Hed Top - SECTION 2 2 2 7 8" xfId="21761" xr:uid="{00000000-0005-0000-0000-0000905C0000}"/>
    <cellStyle name="Hed Top - SECTION 2 2 2 7 8 2" xfId="21762" xr:uid="{00000000-0005-0000-0000-0000915C0000}"/>
    <cellStyle name="Hed Top - SECTION 2 2 2 7 9" xfId="21763" xr:uid="{00000000-0005-0000-0000-0000925C0000}"/>
    <cellStyle name="Hed Top - SECTION 2 2 2 7 9 2" xfId="21764" xr:uid="{00000000-0005-0000-0000-0000935C0000}"/>
    <cellStyle name="Hed Top - SECTION 2 2 2 8" xfId="21765" xr:uid="{00000000-0005-0000-0000-0000945C0000}"/>
    <cellStyle name="Hed Top - SECTION 2 2 2 8 10" xfId="21766" xr:uid="{00000000-0005-0000-0000-0000955C0000}"/>
    <cellStyle name="Hed Top - SECTION 2 2 2 8 2" xfId="21767" xr:uid="{00000000-0005-0000-0000-0000965C0000}"/>
    <cellStyle name="Hed Top - SECTION 2 2 2 8 2 2" xfId="21768" xr:uid="{00000000-0005-0000-0000-0000975C0000}"/>
    <cellStyle name="Hed Top - SECTION 2 2 2 8 3" xfId="21769" xr:uid="{00000000-0005-0000-0000-0000985C0000}"/>
    <cellStyle name="Hed Top - SECTION 2 2 2 8 3 2" xfId="21770" xr:uid="{00000000-0005-0000-0000-0000995C0000}"/>
    <cellStyle name="Hed Top - SECTION 2 2 2 8 4" xfId="21771" xr:uid="{00000000-0005-0000-0000-00009A5C0000}"/>
    <cellStyle name="Hed Top - SECTION 2 2 2 8 4 2" xfId="21772" xr:uid="{00000000-0005-0000-0000-00009B5C0000}"/>
    <cellStyle name="Hed Top - SECTION 2 2 2 8 5" xfId="21773" xr:uid="{00000000-0005-0000-0000-00009C5C0000}"/>
    <cellStyle name="Hed Top - SECTION 2 2 2 8 5 2" xfId="21774" xr:uid="{00000000-0005-0000-0000-00009D5C0000}"/>
    <cellStyle name="Hed Top - SECTION 2 2 2 8 6" xfId="21775" xr:uid="{00000000-0005-0000-0000-00009E5C0000}"/>
    <cellStyle name="Hed Top - SECTION 2 2 2 8 6 2" xfId="21776" xr:uid="{00000000-0005-0000-0000-00009F5C0000}"/>
    <cellStyle name="Hed Top - SECTION 2 2 2 8 7" xfId="21777" xr:uid="{00000000-0005-0000-0000-0000A05C0000}"/>
    <cellStyle name="Hed Top - SECTION 2 2 2 8 7 2" xfId="21778" xr:uid="{00000000-0005-0000-0000-0000A15C0000}"/>
    <cellStyle name="Hed Top - SECTION 2 2 2 8 8" xfId="21779" xr:uid="{00000000-0005-0000-0000-0000A25C0000}"/>
    <cellStyle name="Hed Top - SECTION 2 2 2 8 8 2" xfId="21780" xr:uid="{00000000-0005-0000-0000-0000A35C0000}"/>
    <cellStyle name="Hed Top - SECTION 2 2 2 8 9" xfId="21781" xr:uid="{00000000-0005-0000-0000-0000A45C0000}"/>
    <cellStyle name="Hed Top - SECTION 2 2 2 8 9 2" xfId="21782" xr:uid="{00000000-0005-0000-0000-0000A55C0000}"/>
    <cellStyle name="Hed Top - SECTION 2 2 2 9" xfId="21783" xr:uid="{00000000-0005-0000-0000-0000A65C0000}"/>
    <cellStyle name="Hed Top - SECTION 2 2 2 9 10" xfId="21784" xr:uid="{00000000-0005-0000-0000-0000A75C0000}"/>
    <cellStyle name="Hed Top - SECTION 2 2 2 9 2" xfId="21785" xr:uid="{00000000-0005-0000-0000-0000A85C0000}"/>
    <cellStyle name="Hed Top - SECTION 2 2 2 9 2 2" xfId="21786" xr:uid="{00000000-0005-0000-0000-0000A95C0000}"/>
    <cellStyle name="Hed Top - SECTION 2 2 2 9 3" xfId="21787" xr:uid="{00000000-0005-0000-0000-0000AA5C0000}"/>
    <cellStyle name="Hed Top - SECTION 2 2 2 9 3 2" xfId="21788" xr:uid="{00000000-0005-0000-0000-0000AB5C0000}"/>
    <cellStyle name="Hed Top - SECTION 2 2 2 9 4" xfId="21789" xr:uid="{00000000-0005-0000-0000-0000AC5C0000}"/>
    <cellStyle name="Hed Top - SECTION 2 2 2 9 4 2" xfId="21790" xr:uid="{00000000-0005-0000-0000-0000AD5C0000}"/>
    <cellStyle name="Hed Top - SECTION 2 2 2 9 5" xfId="21791" xr:uid="{00000000-0005-0000-0000-0000AE5C0000}"/>
    <cellStyle name="Hed Top - SECTION 2 2 2 9 5 2" xfId="21792" xr:uid="{00000000-0005-0000-0000-0000AF5C0000}"/>
    <cellStyle name="Hed Top - SECTION 2 2 2 9 6" xfId="21793" xr:uid="{00000000-0005-0000-0000-0000B05C0000}"/>
    <cellStyle name="Hed Top - SECTION 2 2 2 9 6 2" xfId="21794" xr:uid="{00000000-0005-0000-0000-0000B15C0000}"/>
    <cellStyle name="Hed Top - SECTION 2 2 2 9 7" xfId="21795" xr:uid="{00000000-0005-0000-0000-0000B25C0000}"/>
    <cellStyle name="Hed Top - SECTION 2 2 2 9 7 2" xfId="21796" xr:uid="{00000000-0005-0000-0000-0000B35C0000}"/>
    <cellStyle name="Hed Top - SECTION 2 2 2 9 8" xfId="21797" xr:uid="{00000000-0005-0000-0000-0000B45C0000}"/>
    <cellStyle name="Hed Top - SECTION 2 2 2 9 8 2" xfId="21798" xr:uid="{00000000-0005-0000-0000-0000B55C0000}"/>
    <cellStyle name="Hed Top - SECTION 2 2 2 9 9" xfId="21799" xr:uid="{00000000-0005-0000-0000-0000B65C0000}"/>
    <cellStyle name="Hed Top - SECTION 2 2 2 9 9 2" xfId="21800" xr:uid="{00000000-0005-0000-0000-0000B75C0000}"/>
    <cellStyle name="Hed Top - SECTION 2 2 3" xfId="21801" xr:uid="{00000000-0005-0000-0000-0000B85C0000}"/>
    <cellStyle name="Hed Top - SECTION 2 2 3 10" xfId="21802" xr:uid="{00000000-0005-0000-0000-0000B95C0000}"/>
    <cellStyle name="Hed Top - SECTION 2 2 3 10 2" xfId="21803" xr:uid="{00000000-0005-0000-0000-0000BA5C0000}"/>
    <cellStyle name="Hed Top - SECTION 2 2 3 10 2 2" xfId="21804" xr:uid="{00000000-0005-0000-0000-0000BB5C0000}"/>
    <cellStyle name="Hed Top - SECTION 2 2 3 10 3" xfId="21805" xr:uid="{00000000-0005-0000-0000-0000BC5C0000}"/>
    <cellStyle name="Hed Top - SECTION 2 2 3 10 3 2" xfId="21806" xr:uid="{00000000-0005-0000-0000-0000BD5C0000}"/>
    <cellStyle name="Hed Top - SECTION 2 2 3 10 4" xfId="21807" xr:uid="{00000000-0005-0000-0000-0000BE5C0000}"/>
    <cellStyle name="Hed Top - SECTION 2 2 3 10 4 2" xfId="21808" xr:uid="{00000000-0005-0000-0000-0000BF5C0000}"/>
    <cellStyle name="Hed Top - SECTION 2 2 3 10 5" xfId="21809" xr:uid="{00000000-0005-0000-0000-0000C05C0000}"/>
    <cellStyle name="Hed Top - SECTION 2 2 3 10 5 2" xfId="21810" xr:uid="{00000000-0005-0000-0000-0000C15C0000}"/>
    <cellStyle name="Hed Top - SECTION 2 2 3 10 6" xfId="21811" xr:uid="{00000000-0005-0000-0000-0000C25C0000}"/>
    <cellStyle name="Hed Top - SECTION 2 2 3 10 6 2" xfId="21812" xr:uid="{00000000-0005-0000-0000-0000C35C0000}"/>
    <cellStyle name="Hed Top - SECTION 2 2 3 10 7" xfId="21813" xr:uid="{00000000-0005-0000-0000-0000C45C0000}"/>
    <cellStyle name="Hed Top - SECTION 2 2 3 10 7 2" xfId="21814" xr:uid="{00000000-0005-0000-0000-0000C55C0000}"/>
    <cellStyle name="Hed Top - SECTION 2 2 3 10 8" xfId="21815" xr:uid="{00000000-0005-0000-0000-0000C65C0000}"/>
    <cellStyle name="Hed Top - SECTION 2 2 3 10 8 2" xfId="21816" xr:uid="{00000000-0005-0000-0000-0000C75C0000}"/>
    <cellStyle name="Hed Top - SECTION 2 2 3 10 9" xfId="21817" xr:uid="{00000000-0005-0000-0000-0000C85C0000}"/>
    <cellStyle name="Hed Top - SECTION 2 2 3 11" xfId="21818" xr:uid="{00000000-0005-0000-0000-0000C95C0000}"/>
    <cellStyle name="Hed Top - SECTION 2 2 3 11 2" xfId="21819" xr:uid="{00000000-0005-0000-0000-0000CA5C0000}"/>
    <cellStyle name="Hed Top - SECTION 2 2 3 12" xfId="21820" xr:uid="{00000000-0005-0000-0000-0000CB5C0000}"/>
    <cellStyle name="Hed Top - SECTION 2 2 3 12 2" xfId="21821" xr:uid="{00000000-0005-0000-0000-0000CC5C0000}"/>
    <cellStyle name="Hed Top - SECTION 2 2 3 13" xfId="21822" xr:uid="{00000000-0005-0000-0000-0000CD5C0000}"/>
    <cellStyle name="Hed Top - SECTION 2 2 3 13 2" xfId="21823" xr:uid="{00000000-0005-0000-0000-0000CE5C0000}"/>
    <cellStyle name="Hed Top - SECTION 2 2 3 14" xfId="21824" xr:uid="{00000000-0005-0000-0000-0000CF5C0000}"/>
    <cellStyle name="Hed Top - SECTION 2 2 3 14 2" xfId="21825" xr:uid="{00000000-0005-0000-0000-0000D05C0000}"/>
    <cellStyle name="Hed Top - SECTION 2 2 3 15" xfId="21826" xr:uid="{00000000-0005-0000-0000-0000D15C0000}"/>
    <cellStyle name="Hed Top - SECTION 2 2 3 15 2" xfId="21827" xr:uid="{00000000-0005-0000-0000-0000D25C0000}"/>
    <cellStyle name="Hed Top - SECTION 2 2 3 16" xfId="21828" xr:uid="{00000000-0005-0000-0000-0000D35C0000}"/>
    <cellStyle name="Hed Top - SECTION 2 2 3 16 2" xfId="21829" xr:uid="{00000000-0005-0000-0000-0000D45C0000}"/>
    <cellStyle name="Hed Top - SECTION 2 2 3 17" xfId="21830" xr:uid="{00000000-0005-0000-0000-0000D55C0000}"/>
    <cellStyle name="Hed Top - SECTION 2 2 3 17 2" xfId="21831" xr:uid="{00000000-0005-0000-0000-0000D65C0000}"/>
    <cellStyle name="Hed Top - SECTION 2 2 3 18" xfId="21832" xr:uid="{00000000-0005-0000-0000-0000D75C0000}"/>
    <cellStyle name="Hed Top - SECTION 2 2 3 2" xfId="21833" xr:uid="{00000000-0005-0000-0000-0000D85C0000}"/>
    <cellStyle name="Hed Top - SECTION 2 2 3 2 10" xfId="21834" xr:uid="{00000000-0005-0000-0000-0000D95C0000}"/>
    <cellStyle name="Hed Top - SECTION 2 2 3 2 2" xfId="21835" xr:uid="{00000000-0005-0000-0000-0000DA5C0000}"/>
    <cellStyle name="Hed Top - SECTION 2 2 3 2 2 2" xfId="21836" xr:uid="{00000000-0005-0000-0000-0000DB5C0000}"/>
    <cellStyle name="Hed Top - SECTION 2 2 3 2 3" xfId="21837" xr:uid="{00000000-0005-0000-0000-0000DC5C0000}"/>
    <cellStyle name="Hed Top - SECTION 2 2 3 2 3 2" xfId="21838" xr:uid="{00000000-0005-0000-0000-0000DD5C0000}"/>
    <cellStyle name="Hed Top - SECTION 2 2 3 2 4" xfId="21839" xr:uid="{00000000-0005-0000-0000-0000DE5C0000}"/>
    <cellStyle name="Hed Top - SECTION 2 2 3 2 4 2" xfId="21840" xr:uid="{00000000-0005-0000-0000-0000DF5C0000}"/>
    <cellStyle name="Hed Top - SECTION 2 2 3 2 5" xfId="21841" xr:uid="{00000000-0005-0000-0000-0000E05C0000}"/>
    <cellStyle name="Hed Top - SECTION 2 2 3 2 5 2" xfId="21842" xr:uid="{00000000-0005-0000-0000-0000E15C0000}"/>
    <cellStyle name="Hed Top - SECTION 2 2 3 2 6" xfId="21843" xr:uid="{00000000-0005-0000-0000-0000E25C0000}"/>
    <cellStyle name="Hed Top - SECTION 2 2 3 2 6 2" xfId="21844" xr:uid="{00000000-0005-0000-0000-0000E35C0000}"/>
    <cellStyle name="Hed Top - SECTION 2 2 3 2 7" xfId="21845" xr:uid="{00000000-0005-0000-0000-0000E45C0000}"/>
    <cellStyle name="Hed Top - SECTION 2 2 3 2 7 2" xfId="21846" xr:uid="{00000000-0005-0000-0000-0000E55C0000}"/>
    <cellStyle name="Hed Top - SECTION 2 2 3 2 8" xfId="21847" xr:uid="{00000000-0005-0000-0000-0000E65C0000}"/>
    <cellStyle name="Hed Top - SECTION 2 2 3 2 8 2" xfId="21848" xr:uid="{00000000-0005-0000-0000-0000E75C0000}"/>
    <cellStyle name="Hed Top - SECTION 2 2 3 2 9" xfId="21849" xr:uid="{00000000-0005-0000-0000-0000E85C0000}"/>
    <cellStyle name="Hed Top - SECTION 2 2 3 2 9 2" xfId="21850" xr:uid="{00000000-0005-0000-0000-0000E95C0000}"/>
    <cellStyle name="Hed Top - SECTION 2 2 3 3" xfId="21851" xr:uid="{00000000-0005-0000-0000-0000EA5C0000}"/>
    <cellStyle name="Hed Top - SECTION 2 2 3 3 10" xfId="21852" xr:uid="{00000000-0005-0000-0000-0000EB5C0000}"/>
    <cellStyle name="Hed Top - SECTION 2 2 3 3 2" xfId="21853" xr:uid="{00000000-0005-0000-0000-0000EC5C0000}"/>
    <cellStyle name="Hed Top - SECTION 2 2 3 3 2 2" xfId="21854" xr:uid="{00000000-0005-0000-0000-0000ED5C0000}"/>
    <cellStyle name="Hed Top - SECTION 2 2 3 3 3" xfId="21855" xr:uid="{00000000-0005-0000-0000-0000EE5C0000}"/>
    <cellStyle name="Hed Top - SECTION 2 2 3 3 3 2" xfId="21856" xr:uid="{00000000-0005-0000-0000-0000EF5C0000}"/>
    <cellStyle name="Hed Top - SECTION 2 2 3 3 4" xfId="21857" xr:uid="{00000000-0005-0000-0000-0000F05C0000}"/>
    <cellStyle name="Hed Top - SECTION 2 2 3 3 4 2" xfId="21858" xr:uid="{00000000-0005-0000-0000-0000F15C0000}"/>
    <cellStyle name="Hed Top - SECTION 2 2 3 3 5" xfId="21859" xr:uid="{00000000-0005-0000-0000-0000F25C0000}"/>
    <cellStyle name="Hed Top - SECTION 2 2 3 3 5 2" xfId="21860" xr:uid="{00000000-0005-0000-0000-0000F35C0000}"/>
    <cellStyle name="Hed Top - SECTION 2 2 3 3 6" xfId="21861" xr:uid="{00000000-0005-0000-0000-0000F45C0000}"/>
    <cellStyle name="Hed Top - SECTION 2 2 3 3 6 2" xfId="21862" xr:uid="{00000000-0005-0000-0000-0000F55C0000}"/>
    <cellStyle name="Hed Top - SECTION 2 2 3 3 7" xfId="21863" xr:uid="{00000000-0005-0000-0000-0000F65C0000}"/>
    <cellStyle name="Hed Top - SECTION 2 2 3 3 7 2" xfId="21864" xr:uid="{00000000-0005-0000-0000-0000F75C0000}"/>
    <cellStyle name="Hed Top - SECTION 2 2 3 3 8" xfId="21865" xr:uid="{00000000-0005-0000-0000-0000F85C0000}"/>
    <cellStyle name="Hed Top - SECTION 2 2 3 3 8 2" xfId="21866" xr:uid="{00000000-0005-0000-0000-0000F95C0000}"/>
    <cellStyle name="Hed Top - SECTION 2 2 3 3 9" xfId="21867" xr:uid="{00000000-0005-0000-0000-0000FA5C0000}"/>
    <cellStyle name="Hed Top - SECTION 2 2 3 3 9 2" xfId="21868" xr:uid="{00000000-0005-0000-0000-0000FB5C0000}"/>
    <cellStyle name="Hed Top - SECTION 2 2 3 4" xfId="21869" xr:uid="{00000000-0005-0000-0000-0000FC5C0000}"/>
    <cellStyle name="Hed Top - SECTION 2 2 3 4 10" xfId="21870" xr:uid="{00000000-0005-0000-0000-0000FD5C0000}"/>
    <cellStyle name="Hed Top - SECTION 2 2 3 4 2" xfId="21871" xr:uid="{00000000-0005-0000-0000-0000FE5C0000}"/>
    <cellStyle name="Hed Top - SECTION 2 2 3 4 2 2" xfId="21872" xr:uid="{00000000-0005-0000-0000-0000FF5C0000}"/>
    <cellStyle name="Hed Top - SECTION 2 2 3 4 3" xfId="21873" xr:uid="{00000000-0005-0000-0000-0000005D0000}"/>
    <cellStyle name="Hed Top - SECTION 2 2 3 4 3 2" xfId="21874" xr:uid="{00000000-0005-0000-0000-0000015D0000}"/>
    <cellStyle name="Hed Top - SECTION 2 2 3 4 4" xfId="21875" xr:uid="{00000000-0005-0000-0000-0000025D0000}"/>
    <cellStyle name="Hed Top - SECTION 2 2 3 4 4 2" xfId="21876" xr:uid="{00000000-0005-0000-0000-0000035D0000}"/>
    <cellStyle name="Hed Top - SECTION 2 2 3 4 5" xfId="21877" xr:uid="{00000000-0005-0000-0000-0000045D0000}"/>
    <cellStyle name="Hed Top - SECTION 2 2 3 4 5 2" xfId="21878" xr:uid="{00000000-0005-0000-0000-0000055D0000}"/>
    <cellStyle name="Hed Top - SECTION 2 2 3 4 6" xfId="21879" xr:uid="{00000000-0005-0000-0000-0000065D0000}"/>
    <cellStyle name="Hed Top - SECTION 2 2 3 4 6 2" xfId="21880" xr:uid="{00000000-0005-0000-0000-0000075D0000}"/>
    <cellStyle name="Hed Top - SECTION 2 2 3 4 7" xfId="21881" xr:uid="{00000000-0005-0000-0000-0000085D0000}"/>
    <cellStyle name="Hed Top - SECTION 2 2 3 4 7 2" xfId="21882" xr:uid="{00000000-0005-0000-0000-0000095D0000}"/>
    <cellStyle name="Hed Top - SECTION 2 2 3 4 8" xfId="21883" xr:uid="{00000000-0005-0000-0000-00000A5D0000}"/>
    <cellStyle name="Hed Top - SECTION 2 2 3 4 8 2" xfId="21884" xr:uid="{00000000-0005-0000-0000-00000B5D0000}"/>
    <cellStyle name="Hed Top - SECTION 2 2 3 4 9" xfId="21885" xr:uid="{00000000-0005-0000-0000-00000C5D0000}"/>
    <cellStyle name="Hed Top - SECTION 2 2 3 4 9 2" xfId="21886" xr:uid="{00000000-0005-0000-0000-00000D5D0000}"/>
    <cellStyle name="Hed Top - SECTION 2 2 3 5" xfId="21887" xr:uid="{00000000-0005-0000-0000-00000E5D0000}"/>
    <cellStyle name="Hed Top - SECTION 2 2 3 5 10" xfId="21888" xr:uid="{00000000-0005-0000-0000-00000F5D0000}"/>
    <cellStyle name="Hed Top - SECTION 2 2 3 5 2" xfId="21889" xr:uid="{00000000-0005-0000-0000-0000105D0000}"/>
    <cellStyle name="Hed Top - SECTION 2 2 3 5 2 2" xfId="21890" xr:uid="{00000000-0005-0000-0000-0000115D0000}"/>
    <cellStyle name="Hed Top - SECTION 2 2 3 5 3" xfId="21891" xr:uid="{00000000-0005-0000-0000-0000125D0000}"/>
    <cellStyle name="Hed Top - SECTION 2 2 3 5 3 2" xfId="21892" xr:uid="{00000000-0005-0000-0000-0000135D0000}"/>
    <cellStyle name="Hed Top - SECTION 2 2 3 5 4" xfId="21893" xr:uid="{00000000-0005-0000-0000-0000145D0000}"/>
    <cellStyle name="Hed Top - SECTION 2 2 3 5 4 2" xfId="21894" xr:uid="{00000000-0005-0000-0000-0000155D0000}"/>
    <cellStyle name="Hed Top - SECTION 2 2 3 5 5" xfId="21895" xr:uid="{00000000-0005-0000-0000-0000165D0000}"/>
    <cellStyle name="Hed Top - SECTION 2 2 3 5 5 2" xfId="21896" xr:uid="{00000000-0005-0000-0000-0000175D0000}"/>
    <cellStyle name="Hed Top - SECTION 2 2 3 5 6" xfId="21897" xr:uid="{00000000-0005-0000-0000-0000185D0000}"/>
    <cellStyle name="Hed Top - SECTION 2 2 3 5 6 2" xfId="21898" xr:uid="{00000000-0005-0000-0000-0000195D0000}"/>
    <cellStyle name="Hed Top - SECTION 2 2 3 5 7" xfId="21899" xr:uid="{00000000-0005-0000-0000-00001A5D0000}"/>
    <cellStyle name="Hed Top - SECTION 2 2 3 5 7 2" xfId="21900" xr:uid="{00000000-0005-0000-0000-00001B5D0000}"/>
    <cellStyle name="Hed Top - SECTION 2 2 3 5 8" xfId="21901" xr:uid="{00000000-0005-0000-0000-00001C5D0000}"/>
    <cellStyle name="Hed Top - SECTION 2 2 3 5 8 2" xfId="21902" xr:uid="{00000000-0005-0000-0000-00001D5D0000}"/>
    <cellStyle name="Hed Top - SECTION 2 2 3 5 9" xfId="21903" xr:uid="{00000000-0005-0000-0000-00001E5D0000}"/>
    <cellStyle name="Hed Top - SECTION 2 2 3 5 9 2" xfId="21904" xr:uid="{00000000-0005-0000-0000-00001F5D0000}"/>
    <cellStyle name="Hed Top - SECTION 2 2 3 6" xfId="21905" xr:uid="{00000000-0005-0000-0000-0000205D0000}"/>
    <cellStyle name="Hed Top - SECTION 2 2 3 6 10" xfId="21906" xr:uid="{00000000-0005-0000-0000-0000215D0000}"/>
    <cellStyle name="Hed Top - SECTION 2 2 3 6 2" xfId="21907" xr:uid="{00000000-0005-0000-0000-0000225D0000}"/>
    <cellStyle name="Hed Top - SECTION 2 2 3 6 2 2" xfId="21908" xr:uid="{00000000-0005-0000-0000-0000235D0000}"/>
    <cellStyle name="Hed Top - SECTION 2 2 3 6 3" xfId="21909" xr:uid="{00000000-0005-0000-0000-0000245D0000}"/>
    <cellStyle name="Hed Top - SECTION 2 2 3 6 3 2" xfId="21910" xr:uid="{00000000-0005-0000-0000-0000255D0000}"/>
    <cellStyle name="Hed Top - SECTION 2 2 3 6 4" xfId="21911" xr:uid="{00000000-0005-0000-0000-0000265D0000}"/>
    <cellStyle name="Hed Top - SECTION 2 2 3 6 4 2" xfId="21912" xr:uid="{00000000-0005-0000-0000-0000275D0000}"/>
    <cellStyle name="Hed Top - SECTION 2 2 3 6 5" xfId="21913" xr:uid="{00000000-0005-0000-0000-0000285D0000}"/>
    <cellStyle name="Hed Top - SECTION 2 2 3 6 5 2" xfId="21914" xr:uid="{00000000-0005-0000-0000-0000295D0000}"/>
    <cellStyle name="Hed Top - SECTION 2 2 3 6 6" xfId="21915" xr:uid="{00000000-0005-0000-0000-00002A5D0000}"/>
    <cellStyle name="Hed Top - SECTION 2 2 3 6 6 2" xfId="21916" xr:uid="{00000000-0005-0000-0000-00002B5D0000}"/>
    <cellStyle name="Hed Top - SECTION 2 2 3 6 7" xfId="21917" xr:uid="{00000000-0005-0000-0000-00002C5D0000}"/>
    <cellStyle name="Hed Top - SECTION 2 2 3 6 7 2" xfId="21918" xr:uid="{00000000-0005-0000-0000-00002D5D0000}"/>
    <cellStyle name="Hed Top - SECTION 2 2 3 6 8" xfId="21919" xr:uid="{00000000-0005-0000-0000-00002E5D0000}"/>
    <cellStyle name="Hed Top - SECTION 2 2 3 6 8 2" xfId="21920" xr:uid="{00000000-0005-0000-0000-00002F5D0000}"/>
    <cellStyle name="Hed Top - SECTION 2 2 3 6 9" xfId="21921" xr:uid="{00000000-0005-0000-0000-0000305D0000}"/>
    <cellStyle name="Hed Top - SECTION 2 2 3 6 9 2" xfId="21922" xr:uid="{00000000-0005-0000-0000-0000315D0000}"/>
    <cellStyle name="Hed Top - SECTION 2 2 3 7" xfId="21923" xr:uid="{00000000-0005-0000-0000-0000325D0000}"/>
    <cellStyle name="Hed Top - SECTION 2 2 3 7 10" xfId="21924" xr:uid="{00000000-0005-0000-0000-0000335D0000}"/>
    <cellStyle name="Hed Top - SECTION 2 2 3 7 2" xfId="21925" xr:uid="{00000000-0005-0000-0000-0000345D0000}"/>
    <cellStyle name="Hed Top - SECTION 2 2 3 7 2 2" xfId="21926" xr:uid="{00000000-0005-0000-0000-0000355D0000}"/>
    <cellStyle name="Hed Top - SECTION 2 2 3 7 3" xfId="21927" xr:uid="{00000000-0005-0000-0000-0000365D0000}"/>
    <cellStyle name="Hed Top - SECTION 2 2 3 7 3 2" xfId="21928" xr:uid="{00000000-0005-0000-0000-0000375D0000}"/>
    <cellStyle name="Hed Top - SECTION 2 2 3 7 4" xfId="21929" xr:uid="{00000000-0005-0000-0000-0000385D0000}"/>
    <cellStyle name="Hed Top - SECTION 2 2 3 7 4 2" xfId="21930" xr:uid="{00000000-0005-0000-0000-0000395D0000}"/>
    <cellStyle name="Hed Top - SECTION 2 2 3 7 5" xfId="21931" xr:uid="{00000000-0005-0000-0000-00003A5D0000}"/>
    <cellStyle name="Hed Top - SECTION 2 2 3 7 5 2" xfId="21932" xr:uid="{00000000-0005-0000-0000-00003B5D0000}"/>
    <cellStyle name="Hed Top - SECTION 2 2 3 7 6" xfId="21933" xr:uid="{00000000-0005-0000-0000-00003C5D0000}"/>
    <cellStyle name="Hed Top - SECTION 2 2 3 7 6 2" xfId="21934" xr:uid="{00000000-0005-0000-0000-00003D5D0000}"/>
    <cellStyle name="Hed Top - SECTION 2 2 3 7 7" xfId="21935" xr:uid="{00000000-0005-0000-0000-00003E5D0000}"/>
    <cellStyle name="Hed Top - SECTION 2 2 3 7 7 2" xfId="21936" xr:uid="{00000000-0005-0000-0000-00003F5D0000}"/>
    <cellStyle name="Hed Top - SECTION 2 2 3 7 8" xfId="21937" xr:uid="{00000000-0005-0000-0000-0000405D0000}"/>
    <cellStyle name="Hed Top - SECTION 2 2 3 7 8 2" xfId="21938" xr:uid="{00000000-0005-0000-0000-0000415D0000}"/>
    <cellStyle name="Hed Top - SECTION 2 2 3 7 9" xfId="21939" xr:uid="{00000000-0005-0000-0000-0000425D0000}"/>
    <cellStyle name="Hed Top - SECTION 2 2 3 7 9 2" xfId="21940" xr:uid="{00000000-0005-0000-0000-0000435D0000}"/>
    <cellStyle name="Hed Top - SECTION 2 2 3 8" xfId="21941" xr:uid="{00000000-0005-0000-0000-0000445D0000}"/>
    <cellStyle name="Hed Top - SECTION 2 2 3 8 10" xfId="21942" xr:uid="{00000000-0005-0000-0000-0000455D0000}"/>
    <cellStyle name="Hed Top - SECTION 2 2 3 8 2" xfId="21943" xr:uid="{00000000-0005-0000-0000-0000465D0000}"/>
    <cellStyle name="Hed Top - SECTION 2 2 3 8 2 2" xfId="21944" xr:uid="{00000000-0005-0000-0000-0000475D0000}"/>
    <cellStyle name="Hed Top - SECTION 2 2 3 8 3" xfId="21945" xr:uid="{00000000-0005-0000-0000-0000485D0000}"/>
    <cellStyle name="Hed Top - SECTION 2 2 3 8 3 2" xfId="21946" xr:uid="{00000000-0005-0000-0000-0000495D0000}"/>
    <cellStyle name="Hed Top - SECTION 2 2 3 8 4" xfId="21947" xr:uid="{00000000-0005-0000-0000-00004A5D0000}"/>
    <cellStyle name="Hed Top - SECTION 2 2 3 8 4 2" xfId="21948" xr:uid="{00000000-0005-0000-0000-00004B5D0000}"/>
    <cellStyle name="Hed Top - SECTION 2 2 3 8 5" xfId="21949" xr:uid="{00000000-0005-0000-0000-00004C5D0000}"/>
    <cellStyle name="Hed Top - SECTION 2 2 3 8 5 2" xfId="21950" xr:uid="{00000000-0005-0000-0000-00004D5D0000}"/>
    <cellStyle name="Hed Top - SECTION 2 2 3 8 6" xfId="21951" xr:uid="{00000000-0005-0000-0000-00004E5D0000}"/>
    <cellStyle name="Hed Top - SECTION 2 2 3 8 6 2" xfId="21952" xr:uid="{00000000-0005-0000-0000-00004F5D0000}"/>
    <cellStyle name="Hed Top - SECTION 2 2 3 8 7" xfId="21953" xr:uid="{00000000-0005-0000-0000-0000505D0000}"/>
    <cellStyle name="Hed Top - SECTION 2 2 3 8 7 2" xfId="21954" xr:uid="{00000000-0005-0000-0000-0000515D0000}"/>
    <cellStyle name="Hed Top - SECTION 2 2 3 8 8" xfId="21955" xr:uid="{00000000-0005-0000-0000-0000525D0000}"/>
    <cellStyle name="Hed Top - SECTION 2 2 3 8 8 2" xfId="21956" xr:uid="{00000000-0005-0000-0000-0000535D0000}"/>
    <cellStyle name="Hed Top - SECTION 2 2 3 8 9" xfId="21957" xr:uid="{00000000-0005-0000-0000-0000545D0000}"/>
    <cellStyle name="Hed Top - SECTION 2 2 3 8 9 2" xfId="21958" xr:uid="{00000000-0005-0000-0000-0000555D0000}"/>
    <cellStyle name="Hed Top - SECTION 2 2 3 9" xfId="21959" xr:uid="{00000000-0005-0000-0000-0000565D0000}"/>
    <cellStyle name="Hed Top - SECTION 2 2 3 9 10" xfId="21960" xr:uid="{00000000-0005-0000-0000-0000575D0000}"/>
    <cellStyle name="Hed Top - SECTION 2 2 3 9 2" xfId="21961" xr:uid="{00000000-0005-0000-0000-0000585D0000}"/>
    <cellStyle name="Hed Top - SECTION 2 2 3 9 2 2" xfId="21962" xr:uid="{00000000-0005-0000-0000-0000595D0000}"/>
    <cellStyle name="Hed Top - SECTION 2 2 3 9 3" xfId="21963" xr:uid="{00000000-0005-0000-0000-00005A5D0000}"/>
    <cellStyle name="Hed Top - SECTION 2 2 3 9 3 2" xfId="21964" xr:uid="{00000000-0005-0000-0000-00005B5D0000}"/>
    <cellStyle name="Hed Top - SECTION 2 2 3 9 4" xfId="21965" xr:uid="{00000000-0005-0000-0000-00005C5D0000}"/>
    <cellStyle name="Hed Top - SECTION 2 2 3 9 4 2" xfId="21966" xr:uid="{00000000-0005-0000-0000-00005D5D0000}"/>
    <cellStyle name="Hed Top - SECTION 2 2 3 9 5" xfId="21967" xr:uid="{00000000-0005-0000-0000-00005E5D0000}"/>
    <cellStyle name="Hed Top - SECTION 2 2 3 9 5 2" xfId="21968" xr:uid="{00000000-0005-0000-0000-00005F5D0000}"/>
    <cellStyle name="Hed Top - SECTION 2 2 3 9 6" xfId="21969" xr:uid="{00000000-0005-0000-0000-0000605D0000}"/>
    <cellStyle name="Hed Top - SECTION 2 2 3 9 6 2" xfId="21970" xr:uid="{00000000-0005-0000-0000-0000615D0000}"/>
    <cellStyle name="Hed Top - SECTION 2 2 3 9 7" xfId="21971" xr:uid="{00000000-0005-0000-0000-0000625D0000}"/>
    <cellStyle name="Hed Top - SECTION 2 2 3 9 7 2" xfId="21972" xr:uid="{00000000-0005-0000-0000-0000635D0000}"/>
    <cellStyle name="Hed Top - SECTION 2 2 3 9 8" xfId="21973" xr:uid="{00000000-0005-0000-0000-0000645D0000}"/>
    <cellStyle name="Hed Top - SECTION 2 2 3 9 8 2" xfId="21974" xr:uid="{00000000-0005-0000-0000-0000655D0000}"/>
    <cellStyle name="Hed Top - SECTION 2 2 3 9 9" xfId="21975" xr:uid="{00000000-0005-0000-0000-0000665D0000}"/>
    <cellStyle name="Hed Top - SECTION 2 2 3 9 9 2" xfId="21976" xr:uid="{00000000-0005-0000-0000-0000675D0000}"/>
    <cellStyle name="Hed Top - SECTION 2 2 4" xfId="21977" xr:uid="{00000000-0005-0000-0000-0000685D0000}"/>
    <cellStyle name="Hed Top - SECTION 2 2 4 10" xfId="21978" xr:uid="{00000000-0005-0000-0000-0000695D0000}"/>
    <cellStyle name="Hed Top - SECTION 2 2 4 10 2" xfId="21979" xr:uid="{00000000-0005-0000-0000-00006A5D0000}"/>
    <cellStyle name="Hed Top - SECTION 2 2 4 10 2 2" xfId="21980" xr:uid="{00000000-0005-0000-0000-00006B5D0000}"/>
    <cellStyle name="Hed Top - SECTION 2 2 4 10 3" xfId="21981" xr:uid="{00000000-0005-0000-0000-00006C5D0000}"/>
    <cellStyle name="Hed Top - SECTION 2 2 4 10 3 2" xfId="21982" xr:uid="{00000000-0005-0000-0000-00006D5D0000}"/>
    <cellStyle name="Hed Top - SECTION 2 2 4 10 4" xfId="21983" xr:uid="{00000000-0005-0000-0000-00006E5D0000}"/>
    <cellStyle name="Hed Top - SECTION 2 2 4 10 4 2" xfId="21984" xr:uid="{00000000-0005-0000-0000-00006F5D0000}"/>
    <cellStyle name="Hed Top - SECTION 2 2 4 10 5" xfId="21985" xr:uid="{00000000-0005-0000-0000-0000705D0000}"/>
    <cellStyle name="Hed Top - SECTION 2 2 4 10 5 2" xfId="21986" xr:uid="{00000000-0005-0000-0000-0000715D0000}"/>
    <cellStyle name="Hed Top - SECTION 2 2 4 10 6" xfId="21987" xr:uid="{00000000-0005-0000-0000-0000725D0000}"/>
    <cellStyle name="Hed Top - SECTION 2 2 4 10 6 2" xfId="21988" xr:uid="{00000000-0005-0000-0000-0000735D0000}"/>
    <cellStyle name="Hed Top - SECTION 2 2 4 10 7" xfId="21989" xr:uid="{00000000-0005-0000-0000-0000745D0000}"/>
    <cellStyle name="Hed Top - SECTION 2 2 4 10 7 2" xfId="21990" xr:uid="{00000000-0005-0000-0000-0000755D0000}"/>
    <cellStyle name="Hed Top - SECTION 2 2 4 10 8" xfId="21991" xr:uid="{00000000-0005-0000-0000-0000765D0000}"/>
    <cellStyle name="Hed Top - SECTION 2 2 4 10 8 2" xfId="21992" xr:uid="{00000000-0005-0000-0000-0000775D0000}"/>
    <cellStyle name="Hed Top - SECTION 2 2 4 10 9" xfId="21993" xr:uid="{00000000-0005-0000-0000-0000785D0000}"/>
    <cellStyle name="Hed Top - SECTION 2 2 4 11" xfId="21994" xr:uid="{00000000-0005-0000-0000-0000795D0000}"/>
    <cellStyle name="Hed Top - SECTION 2 2 4 11 2" xfId="21995" xr:uid="{00000000-0005-0000-0000-00007A5D0000}"/>
    <cellStyle name="Hed Top - SECTION 2 2 4 12" xfId="21996" xr:uid="{00000000-0005-0000-0000-00007B5D0000}"/>
    <cellStyle name="Hed Top - SECTION 2 2 4 12 2" xfId="21997" xr:uid="{00000000-0005-0000-0000-00007C5D0000}"/>
    <cellStyle name="Hed Top - SECTION 2 2 4 13" xfId="21998" xr:uid="{00000000-0005-0000-0000-00007D5D0000}"/>
    <cellStyle name="Hed Top - SECTION 2 2 4 13 2" xfId="21999" xr:uid="{00000000-0005-0000-0000-00007E5D0000}"/>
    <cellStyle name="Hed Top - SECTION 2 2 4 14" xfId="22000" xr:uid="{00000000-0005-0000-0000-00007F5D0000}"/>
    <cellStyle name="Hed Top - SECTION 2 2 4 14 2" xfId="22001" xr:uid="{00000000-0005-0000-0000-0000805D0000}"/>
    <cellStyle name="Hed Top - SECTION 2 2 4 15" xfId="22002" xr:uid="{00000000-0005-0000-0000-0000815D0000}"/>
    <cellStyle name="Hed Top - SECTION 2 2 4 15 2" xfId="22003" xr:uid="{00000000-0005-0000-0000-0000825D0000}"/>
    <cellStyle name="Hed Top - SECTION 2 2 4 16" xfId="22004" xr:uid="{00000000-0005-0000-0000-0000835D0000}"/>
    <cellStyle name="Hed Top - SECTION 2 2 4 16 2" xfId="22005" xr:uid="{00000000-0005-0000-0000-0000845D0000}"/>
    <cellStyle name="Hed Top - SECTION 2 2 4 17" xfId="22006" xr:uid="{00000000-0005-0000-0000-0000855D0000}"/>
    <cellStyle name="Hed Top - SECTION 2 2 4 17 2" xfId="22007" xr:uid="{00000000-0005-0000-0000-0000865D0000}"/>
    <cellStyle name="Hed Top - SECTION 2 2 4 18" xfId="22008" xr:uid="{00000000-0005-0000-0000-0000875D0000}"/>
    <cellStyle name="Hed Top - SECTION 2 2 4 2" xfId="22009" xr:uid="{00000000-0005-0000-0000-0000885D0000}"/>
    <cellStyle name="Hed Top - SECTION 2 2 4 2 10" xfId="22010" xr:uid="{00000000-0005-0000-0000-0000895D0000}"/>
    <cellStyle name="Hed Top - SECTION 2 2 4 2 2" xfId="22011" xr:uid="{00000000-0005-0000-0000-00008A5D0000}"/>
    <cellStyle name="Hed Top - SECTION 2 2 4 2 2 2" xfId="22012" xr:uid="{00000000-0005-0000-0000-00008B5D0000}"/>
    <cellStyle name="Hed Top - SECTION 2 2 4 2 3" xfId="22013" xr:uid="{00000000-0005-0000-0000-00008C5D0000}"/>
    <cellStyle name="Hed Top - SECTION 2 2 4 2 3 2" xfId="22014" xr:uid="{00000000-0005-0000-0000-00008D5D0000}"/>
    <cellStyle name="Hed Top - SECTION 2 2 4 2 4" xfId="22015" xr:uid="{00000000-0005-0000-0000-00008E5D0000}"/>
    <cellStyle name="Hed Top - SECTION 2 2 4 2 4 2" xfId="22016" xr:uid="{00000000-0005-0000-0000-00008F5D0000}"/>
    <cellStyle name="Hed Top - SECTION 2 2 4 2 5" xfId="22017" xr:uid="{00000000-0005-0000-0000-0000905D0000}"/>
    <cellStyle name="Hed Top - SECTION 2 2 4 2 5 2" xfId="22018" xr:uid="{00000000-0005-0000-0000-0000915D0000}"/>
    <cellStyle name="Hed Top - SECTION 2 2 4 2 6" xfId="22019" xr:uid="{00000000-0005-0000-0000-0000925D0000}"/>
    <cellStyle name="Hed Top - SECTION 2 2 4 2 6 2" xfId="22020" xr:uid="{00000000-0005-0000-0000-0000935D0000}"/>
    <cellStyle name="Hed Top - SECTION 2 2 4 2 7" xfId="22021" xr:uid="{00000000-0005-0000-0000-0000945D0000}"/>
    <cellStyle name="Hed Top - SECTION 2 2 4 2 7 2" xfId="22022" xr:uid="{00000000-0005-0000-0000-0000955D0000}"/>
    <cellStyle name="Hed Top - SECTION 2 2 4 2 8" xfId="22023" xr:uid="{00000000-0005-0000-0000-0000965D0000}"/>
    <cellStyle name="Hed Top - SECTION 2 2 4 2 8 2" xfId="22024" xr:uid="{00000000-0005-0000-0000-0000975D0000}"/>
    <cellStyle name="Hed Top - SECTION 2 2 4 2 9" xfId="22025" xr:uid="{00000000-0005-0000-0000-0000985D0000}"/>
    <cellStyle name="Hed Top - SECTION 2 2 4 2 9 2" xfId="22026" xr:uid="{00000000-0005-0000-0000-0000995D0000}"/>
    <cellStyle name="Hed Top - SECTION 2 2 4 3" xfId="22027" xr:uid="{00000000-0005-0000-0000-00009A5D0000}"/>
    <cellStyle name="Hed Top - SECTION 2 2 4 3 10" xfId="22028" xr:uid="{00000000-0005-0000-0000-00009B5D0000}"/>
    <cellStyle name="Hed Top - SECTION 2 2 4 3 2" xfId="22029" xr:uid="{00000000-0005-0000-0000-00009C5D0000}"/>
    <cellStyle name="Hed Top - SECTION 2 2 4 3 2 2" xfId="22030" xr:uid="{00000000-0005-0000-0000-00009D5D0000}"/>
    <cellStyle name="Hed Top - SECTION 2 2 4 3 3" xfId="22031" xr:uid="{00000000-0005-0000-0000-00009E5D0000}"/>
    <cellStyle name="Hed Top - SECTION 2 2 4 3 3 2" xfId="22032" xr:uid="{00000000-0005-0000-0000-00009F5D0000}"/>
    <cellStyle name="Hed Top - SECTION 2 2 4 3 4" xfId="22033" xr:uid="{00000000-0005-0000-0000-0000A05D0000}"/>
    <cellStyle name="Hed Top - SECTION 2 2 4 3 4 2" xfId="22034" xr:uid="{00000000-0005-0000-0000-0000A15D0000}"/>
    <cellStyle name="Hed Top - SECTION 2 2 4 3 5" xfId="22035" xr:uid="{00000000-0005-0000-0000-0000A25D0000}"/>
    <cellStyle name="Hed Top - SECTION 2 2 4 3 5 2" xfId="22036" xr:uid="{00000000-0005-0000-0000-0000A35D0000}"/>
    <cellStyle name="Hed Top - SECTION 2 2 4 3 6" xfId="22037" xr:uid="{00000000-0005-0000-0000-0000A45D0000}"/>
    <cellStyle name="Hed Top - SECTION 2 2 4 3 6 2" xfId="22038" xr:uid="{00000000-0005-0000-0000-0000A55D0000}"/>
    <cellStyle name="Hed Top - SECTION 2 2 4 3 7" xfId="22039" xr:uid="{00000000-0005-0000-0000-0000A65D0000}"/>
    <cellStyle name="Hed Top - SECTION 2 2 4 3 7 2" xfId="22040" xr:uid="{00000000-0005-0000-0000-0000A75D0000}"/>
    <cellStyle name="Hed Top - SECTION 2 2 4 3 8" xfId="22041" xr:uid="{00000000-0005-0000-0000-0000A85D0000}"/>
    <cellStyle name="Hed Top - SECTION 2 2 4 3 8 2" xfId="22042" xr:uid="{00000000-0005-0000-0000-0000A95D0000}"/>
    <cellStyle name="Hed Top - SECTION 2 2 4 3 9" xfId="22043" xr:uid="{00000000-0005-0000-0000-0000AA5D0000}"/>
    <cellStyle name="Hed Top - SECTION 2 2 4 3 9 2" xfId="22044" xr:uid="{00000000-0005-0000-0000-0000AB5D0000}"/>
    <cellStyle name="Hed Top - SECTION 2 2 4 4" xfId="22045" xr:uid="{00000000-0005-0000-0000-0000AC5D0000}"/>
    <cellStyle name="Hed Top - SECTION 2 2 4 4 10" xfId="22046" xr:uid="{00000000-0005-0000-0000-0000AD5D0000}"/>
    <cellStyle name="Hed Top - SECTION 2 2 4 4 2" xfId="22047" xr:uid="{00000000-0005-0000-0000-0000AE5D0000}"/>
    <cellStyle name="Hed Top - SECTION 2 2 4 4 2 2" xfId="22048" xr:uid="{00000000-0005-0000-0000-0000AF5D0000}"/>
    <cellStyle name="Hed Top - SECTION 2 2 4 4 3" xfId="22049" xr:uid="{00000000-0005-0000-0000-0000B05D0000}"/>
    <cellStyle name="Hed Top - SECTION 2 2 4 4 3 2" xfId="22050" xr:uid="{00000000-0005-0000-0000-0000B15D0000}"/>
    <cellStyle name="Hed Top - SECTION 2 2 4 4 4" xfId="22051" xr:uid="{00000000-0005-0000-0000-0000B25D0000}"/>
    <cellStyle name="Hed Top - SECTION 2 2 4 4 4 2" xfId="22052" xr:uid="{00000000-0005-0000-0000-0000B35D0000}"/>
    <cellStyle name="Hed Top - SECTION 2 2 4 4 5" xfId="22053" xr:uid="{00000000-0005-0000-0000-0000B45D0000}"/>
    <cellStyle name="Hed Top - SECTION 2 2 4 4 5 2" xfId="22054" xr:uid="{00000000-0005-0000-0000-0000B55D0000}"/>
    <cellStyle name="Hed Top - SECTION 2 2 4 4 6" xfId="22055" xr:uid="{00000000-0005-0000-0000-0000B65D0000}"/>
    <cellStyle name="Hed Top - SECTION 2 2 4 4 6 2" xfId="22056" xr:uid="{00000000-0005-0000-0000-0000B75D0000}"/>
    <cellStyle name="Hed Top - SECTION 2 2 4 4 7" xfId="22057" xr:uid="{00000000-0005-0000-0000-0000B85D0000}"/>
    <cellStyle name="Hed Top - SECTION 2 2 4 4 7 2" xfId="22058" xr:uid="{00000000-0005-0000-0000-0000B95D0000}"/>
    <cellStyle name="Hed Top - SECTION 2 2 4 4 8" xfId="22059" xr:uid="{00000000-0005-0000-0000-0000BA5D0000}"/>
    <cellStyle name="Hed Top - SECTION 2 2 4 4 8 2" xfId="22060" xr:uid="{00000000-0005-0000-0000-0000BB5D0000}"/>
    <cellStyle name="Hed Top - SECTION 2 2 4 4 9" xfId="22061" xr:uid="{00000000-0005-0000-0000-0000BC5D0000}"/>
    <cellStyle name="Hed Top - SECTION 2 2 4 4 9 2" xfId="22062" xr:uid="{00000000-0005-0000-0000-0000BD5D0000}"/>
    <cellStyle name="Hed Top - SECTION 2 2 4 5" xfId="22063" xr:uid="{00000000-0005-0000-0000-0000BE5D0000}"/>
    <cellStyle name="Hed Top - SECTION 2 2 4 5 10" xfId="22064" xr:uid="{00000000-0005-0000-0000-0000BF5D0000}"/>
    <cellStyle name="Hed Top - SECTION 2 2 4 5 2" xfId="22065" xr:uid="{00000000-0005-0000-0000-0000C05D0000}"/>
    <cellStyle name="Hed Top - SECTION 2 2 4 5 2 2" xfId="22066" xr:uid="{00000000-0005-0000-0000-0000C15D0000}"/>
    <cellStyle name="Hed Top - SECTION 2 2 4 5 3" xfId="22067" xr:uid="{00000000-0005-0000-0000-0000C25D0000}"/>
    <cellStyle name="Hed Top - SECTION 2 2 4 5 3 2" xfId="22068" xr:uid="{00000000-0005-0000-0000-0000C35D0000}"/>
    <cellStyle name="Hed Top - SECTION 2 2 4 5 4" xfId="22069" xr:uid="{00000000-0005-0000-0000-0000C45D0000}"/>
    <cellStyle name="Hed Top - SECTION 2 2 4 5 4 2" xfId="22070" xr:uid="{00000000-0005-0000-0000-0000C55D0000}"/>
    <cellStyle name="Hed Top - SECTION 2 2 4 5 5" xfId="22071" xr:uid="{00000000-0005-0000-0000-0000C65D0000}"/>
    <cellStyle name="Hed Top - SECTION 2 2 4 5 5 2" xfId="22072" xr:uid="{00000000-0005-0000-0000-0000C75D0000}"/>
    <cellStyle name="Hed Top - SECTION 2 2 4 5 6" xfId="22073" xr:uid="{00000000-0005-0000-0000-0000C85D0000}"/>
    <cellStyle name="Hed Top - SECTION 2 2 4 5 6 2" xfId="22074" xr:uid="{00000000-0005-0000-0000-0000C95D0000}"/>
    <cellStyle name="Hed Top - SECTION 2 2 4 5 7" xfId="22075" xr:uid="{00000000-0005-0000-0000-0000CA5D0000}"/>
    <cellStyle name="Hed Top - SECTION 2 2 4 5 7 2" xfId="22076" xr:uid="{00000000-0005-0000-0000-0000CB5D0000}"/>
    <cellStyle name="Hed Top - SECTION 2 2 4 5 8" xfId="22077" xr:uid="{00000000-0005-0000-0000-0000CC5D0000}"/>
    <cellStyle name="Hed Top - SECTION 2 2 4 5 8 2" xfId="22078" xr:uid="{00000000-0005-0000-0000-0000CD5D0000}"/>
    <cellStyle name="Hed Top - SECTION 2 2 4 5 9" xfId="22079" xr:uid="{00000000-0005-0000-0000-0000CE5D0000}"/>
    <cellStyle name="Hed Top - SECTION 2 2 4 5 9 2" xfId="22080" xr:uid="{00000000-0005-0000-0000-0000CF5D0000}"/>
    <cellStyle name="Hed Top - SECTION 2 2 4 6" xfId="22081" xr:uid="{00000000-0005-0000-0000-0000D05D0000}"/>
    <cellStyle name="Hed Top - SECTION 2 2 4 6 10" xfId="22082" xr:uid="{00000000-0005-0000-0000-0000D15D0000}"/>
    <cellStyle name="Hed Top - SECTION 2 2 4 6 2" xfId="22083" xr:uid="{00000000-0005-0000-0000-0000D25D0000}"/>
    <cellStyle name="Hed Top - SECTION 2 2 4 6 2 2" xfId="22084" xr:uid="{00000000-0005-0000-0000-0000D35D0000}"/>
    <cellStyle name="Hed Top - SECTION 2 2 4 6 3" xfId="22085" xr:uid="{00000000-0005-0000-0000-0000D45D0000}"/>
    <cellStyle name="Hed Top - SECTION 2 2 4 6 3 2" xfId="22086" xr:uid="{00000000-0005-0000-0000-0000D55D0000}"/>
    <cellStyle name="Hed Top - SECTION 2 2 4 6 4" xfId="22087" xr:uid="{00000000-0005-0000-0000-0000D65D0000}"/>
    <cellStyle name="Hed Top - SECTION 2 2 4 6 4 2" xfId="22088" xr:uid="{00000000-0005-0000-0000-0000D75D0000}"/>
    <cellStyle name="Hed Top - SECTION 2 2 4 6 5" xfId="22089" xr:uid="{00000000-0005-0000-0000-0000D85D0000}"/>
    <cellStyle name="Hed Top - SECTION 2 2 4 6 5 2" xfId="22090" xr:uid="{00000000-0005-0000-0000-0000D95D0000}"/>
    <cellStyle name="Hed Top - SECTION 2 2 4 6 6" xfId="22091" xr:uid="{00000000-0005-0000-0000-0000DA5D0000}"/>
    <cellStyle name="Hed Top - SECTION 2 2 4 6 6 2" xfId="22092" xr:uid="{00000000-0005-0000-0000-0000DB5D0000}"/>
    <cellStyle name="Hed Top - SECTION 2 2 4 6 7" xfId="22093" xr:uid="{00000000-0005-0000-0000-0000DC5D0000}"/>
    <cellStyle name="Hed Top - SECTION 2 2 4 6 7 2" xfId="22094" xr:uid="{00000000-0005-0000-0000-0000DD5D0000}"/>
    <cellStyle name="Hed Top - SECTION 2 2 4 6 8" xfId="22095" xr:uid="{00000000-0005-0000-0000-0000DE5D0000}"/>
    <cellStyle name="Hed Top - SECTION 2 2 4 6 8 2" xfId="22096" xr:uid="{00000000-0005-0000-0000-0000DF5D0000}"/>
    <cellStyle name="Hed Top - SECTION 2 2 4 6 9" xfId="22097" xr:uid="{00000000-0005-0000-0000-0000E05D0000}"/>
    <cellStyle name="Hed Top - SECTION 2 2 4 6 9 2" xfId="22098" xr:uid="{00000000-0005-0000-0000-0000E15D0000}"/>
    <cellStyle name="Hed Top - SECTION 2 2 4 7" xfId="22099" xr:uid="{00000000-0005-0000-0000-0000E25D0000}"/>
    <cellStyle name="Hed Top - SECTION 2 2 4 7 10" xfId="22100" xr:uid="{00000000-0005-0000-0000-0000E35D0000}"/>
    <cellStyle name="Hed Top - SECTION 2 2 4 7 2" xfId="22101" xr:uid="{00000000-0005-0000-0000-0000E45D0000}"/>
    <cellStyle name="Hed Top - SECTION 2 2 4 7 2 2" xfId="22102" xr:uid="{00000000-0005-0000-0000-0000E55D0000}"/>
    <cellStyle name="Hed Top - SECTION 2 2 4 7 3" xfId="22103" xr:uid="{00000000-0005-0000-0000-0000E65D0000}"/>
    <cellStyle name="Hed Top - SECTION 2 2 4 7 3 2" xfId="22104" xr:uid="{00000000-0005-0000-0000-0000E75D0000}"/>
    <cellStyle name="Hed Top - SECTION 2 2 4 7 4" xfId="22105" xr:uid="{00000000-0005-0000-0000-0000E85D0000}"/>
    <cellStyle name="Hed Top - SECTION 2 2 4 7 4 2" xfId="22106" xr:uid="{00000000-0005-0000-0000-0000E95D0000}"/>
    <cellStyle name="Hed Top - SECTION 2 2 4 7 5" xfId="22107" xr:uid="{00000000-0005-0000-0000-0000EA5D0000}"/>
    <cellStyle name="Hed Top - SECTION 2 2 4 7 5 2" xfId="22108" xr:uid="{00000000-0005-0000-0000-0000EB5D0000}"/>
    <cellStyle name="Hed Top - SECTION 2 2 4 7 6" xfId="22109" xr:uid="{00000000-0005-0000-0000-0000EC5D0000}"/>
    <cellStyle name="Hed Top - SECTION 2 2 4 7 6 2" xfId="22110" xr:uid="{00000000-0005-0000-0000-0000ED5D0000}"/>
    <cellStyle name="Hed Top - SECTION 2 2 4 7 7" xfId="22111" xr:uid="{00000000-0005-0000-0000-0000EE5D0000}"/>
    <cellStyle name="Hed Top - SECTION 2 2 4 7 7 2" xfId="22112" xr:uid="{00000000-0005-0000-0000-0000EF5D0000}"/>
    <cellStyle name="Hed Top - SECTION 2 2 4 7 8" xfId="22113" xr:uid="{00000000-0005-0000-0000-0000F05D0000}"/>
    <cellStyle name="Hed Top - SECTION 2 2 4 7 8 2" xfId="22114" xr:uid="{00000000-0005-0000-0000-0000F15D0000}"/>
    <cellStyle name="Hed Top - SECTION 2 2 4 7 9" xfId="22115" xr:uid="{00000000-0005-0000-0000-0000F25D0000}"/>
    <cellStyle name="Hed Top - SECTION 2 2 4 7 9 2" xfId="22116" xr:uid="{00000000-0005-0000-0000-0000F35D0000}"/>
    <cellStyle name="Hed Top - SECTION 2 2 4 8" xfId="22117" xr:uid="{00000000-0005-0000-0000-0000F45D0000}"/>
    <cellStyle name="Hed Top - SECTION 2 2 4 8 10" xfId="22118" xr:uid="{00000000-0005-0000-0000-0000F55D0000}"/>
    <cellStyle name="Hed Top - SECTION 2 2 4 8 2" xfId="22119" xr:uid="{00000000-0005-0000-0000-0000F65D0000}"/>
    <cellStyle name="Hed Top - SECTION 2 2 4 8 2 2" xfId="22120" xr:uid="{00000000-0005-0000-0000-0000F75D0000}"/>
    <cellStyle name="Hed Top - SECTION 2 2 4 8 3" xfId="22121" xr:uid="{00000000-0005-0000-0000-0000F85D0000}"/>
    <cellStyle name="Hed Top - SECTION 2 2 4 8 3 2" xfId="22122" xr:uid="{00000000-0005-0000-0000-0000F95D0000}"/>
    <cellStyle name="Hed Top - SECTION 2 2 4 8 4" xfId="22123" xr:uid="{00000000-0005-0000-0000-0000FA5D0000}"/>
    <cellStyle name="Hed Top - SECTION 2 2 4 8 4 2" xfId="22124" xr:uid="{00000000-0005-0000-0000-0000FB5D0000}"/>
    <cellStyle name="Hed Top - SECTION 2 2 4 8 5" xfId="22125" xr:uid="{00000000-0005-0000-0000-0000FC5D0000}"/>
    <cellStyle name="Hed Top - SECTION 2 2 4 8 5 2" xfId="22126" xr:uid="{00000000-0005-0000-0000-0000FD5D0000}"/>
    <cellStyle name="Hed Top - SECTION 2 2 4 8 6" xfId="22127" xr:uid="{00000000-0005-0000-0000-0000FE5D0000}"/>
    <cellStyle name="Hed Top - SECTION 2 2 4 8 6 2" xfId="22128" xr:uid="{00000000-0005-0000-0000-0000FF5D0000}"/>
    <cellStyle name="Hed Top - SECTION 2 2 4 8 7" xfId="22129" xr:uid="{00000000-0005-0000-0000-0000005E0000}"/>
    <cellStyle name="Hed Top - SECTION 2 2 4 8 7 2" xfId="22130" xr:uid="{00000000-0005-0000-0000-0000015E0000}"/>
    <cellStyle name="Hed Top - SECTION 2 2 4 8 8" xfId="22131" xr:uid="{00000000-0005-0000-0000-0000025E0000}"/>
    <cellStyle name="Hed Top - SECTION 2 2 4 8 8 2" xfId="22132" xr:uid="{00000000-0005-0000-0000-0000035E0000}"/>
    <cellStyle name="Hed Top - SECTION 2 2 4 8 9" xfId="22133" xr:uid="{00000000-0005-0000-0000-0000045E0000}"/>
    <cellStyle name="Hed Top - SECTION 2 2 4 8 9 2" xfId="22134" xr:uid="{00000000-0005-0000-0000-0000055E0000}"/>
    <cellStyle name="Hed Top - SECTION 2 2 4 9" xfId="22135" xr:uid="{00000000-0005-0000-0000-0000065E0000}"/>
    <cellStyle name="Hed Top - SECTION 2 2 4 9 10" xfId="22136" xr:uid="{00000000-0005-0000-0000-0000075E0000}"/>
    <cellStyle name="Hed Top - SECTION 2 2 4 9 2" xfId="22137" xr:uid="{00000000-0005-0000-0000-0000085E0000}"/>
    <cellStyle name="Hed Top - SECTION 2 2 4 9 2 2" xfId="22138" xr:uid="{00000000-0005-0000-0000-0000095E0000}"/>
    <cellStyle name="Hed Top - SECTION 2 2 4 9 3" xfId="22139" xr:uid="{00000000-0005-0000-0000-00000A5E0000}"/>
    <cellStyle name="Hed Top - SECTION 2 2 4 9 3 2" xfId="22140" xr:uid="{00000000-0005-0000-0000-00000B5E0000}"/>
    <cellStyle name="Hed Top - SECTION 2 2 4 9 4" xfId="22141" xr:uid="{00000000-0005-0000-0000-00000C5E0000}"/>
    <cellStyle name="Hed Top - SECTION 2 2 4 9 4 2" xfId="22142" xr:uid="{00000000-0005-0000-0000-00000D5E0000}"/>
    <cellStyle name="Hed Top - SECTION 2 2 4 9 5" xfId="22143" xr:uid="{00000000-0005-0000-0000-00000E5E0000}"/>
    <cellStyle name="Hed Top - SECTION 2 2 4 9 5 2" xfId="22144" xr:uid="{00000000-0005-0000-0000-00000F5E0000}"/>
    <cellStyle name="Hed Top - SECTION 2 2 4 9 6" xfId="22145" xr:uid="{00000000-0005-0000-0000-0000105E0000}"/>
    <cellStyle name="Hed Top - SECTION 2 2 4 9 6 2" xfId="22146" xr:uid="{00000000-0005-0000-0000-0000115E0000}"/>
    <cellStyle name="Hed Top - SECTION 2 2 4 9 7" xfId="22147" xr:uid="{00000000-0005-0000-0000-0000125E0000}"/>
    <cellStyle name="Hed Top - SECTION 2 2 4 9 7 2" xfId="22148" xr:uid="{00000000-0005-0000-0000-0000135E0000}"/>
    <cellStyle name="Hed Top - SECTION 2 2 4 9 8" xfId="22149" xr:uid="{00000000-0005-0000-0000-0000145E0000}"/>
    <cellStyle name="Hed Top - SECTION 2 2 4 9 8 2" xfId="22150" xr:uid="{00000000-0005-0000-0000-0000155E0000}"/>
    <cellStyle name="Hed Top - SECTION 2 2 4 9 9" xfId="22151" xr:uid="{00000000-0005-0000-0000-0000165E0000}"/>
    <cellStyle name="Hed Top - SECTION 2 2 4 9 9 2" xfId="22152" xr:uid="{00000000-0005-0000-0000-0000175E0000}"/>
    <cellStyle name="Hed Top - SECTION 2 2 5" xfId="22153" xr:uid="{00000000-0005-0000-0000-0000185E0000}"/>
    <cellStyle name="Hed Top - SECTION 2 2 5 10" xfId="22154" xr:uid="{00000000-0005-0000-0000-0000195E0000}"/>
    <cellStyle name="Hed Top - SECTION 2 2 5 10 2" xfId="22155" xr:uid="{00000000-0005-0000-0000-00001A5E0000}"/>
    <cellStyle name="Hed Top - SECTION 2 2 5 10 2 2" xfId="22156" xr:uid="{00000000-0005-0000-0000-00001B5E0000}"/>
    <cellStyle name="Hed Top - SECTION 2 2 5 10 3" xfId="22157" xr:uid="{00000000-0005-0000-0000-00001C5E0000}"/>
    <cellStyle name="Hed Top - SECTION 2 2 5 10 3 2" xfId="22158" xr:uid="{00000000-0005-0000-0000-00001D5E0000}"/>
    <cellStyle name="Hed Top - SECTION 2 2 5 10 4" xfId="22159" xr:uid="{00000000-0005-0000-0000-00001E5E0000}"/>
    <cellStyle name="Hed Top - SECTION 2 2 5 10 4 2" xfId="22160" xr:uid="{00000000-0005-0000-0000-00001F5E0000}"/>
    <cellStyle name="Hed Top - SECTION 2 2 5 10 5" xfId="22161" xr:uid="{00000000-0005-0000-0000-0000205E0000}"/>
    <cellStyle name="Hed Top - SECTION 2 2 5 10 5 2" xfId="22162" xr:uid="{00000000-0005-0000-0000-0000215E0000}"/>
    <cellStyle name="Hed Top - SECTION 2 2 5 10 6" xfId="22163" xr:uid="{00000000-0005-0000-0000-0000225E0000}"/>
    <cellStyle name="Hed Top - SECTION 2 2 5 10 6 2" xfId="22164" xr:uid="{00000000-0005-0000-0000-0000235E0000}"/>
    <cellStyle name="Hed Top - SECTION 2 2 5 10 7" xfId="22165" xr:uid="{00000000-0005-0000-0000-0000245E0000}"/>
    <cellStyle name="Hed Top - SECTION 2 2 5 10 7 2" xfId="22166" xr:uid="{00000000-0005-0000-0000-0000255E0000}"/>
    <cellStyle name="Hed Top - SECTION 2 2 5 10 8" xfId="22167" xr:uid="{00000000-0005-0000-0000-0000265E0000}"/>
    <cellStyle name="Hed Top - SECTION 2 2 5 10 8 2" xfId="22168" xr:uid="{00000000-0005-0000-0000-0000275E0000}"/>
    <cellStyle name="Hed Top - SECTION 2 2 5 10 9" xfId="22169" xr:uid="{00000000-0005-0000-0000-0000285E0000}"/>
    <cellStyle name="Hed Top - SECTION 2 2 5 11" xfId="22170" xr:uid="{00000000-0005-0000-0000-0000295E0000}"/>
    <cellStyle name="Hed Top - SECTION 2 2 5 11 2" xfId="22171" xr:uid="{00000000-0005-0000-0000-00002A5E0000}"/>
    <cellStyle name="Hed Top - SECTION 2 2 5 12" xfId="22172" xr:uid="{00000000-0005-0000-0000-00002B5E0000}"/>
    <cellStyle name="Hed Top - SECTION 2 2 5 12 2" xfId="22173" xr:uid="{00000000-0005-0000-0000-00002C5E0000}"/>
    <cellStyle name="Hed Top - SECTION 2 2 5 13" xfId="22174" xr:uid="{00000000-0005-0000-0000-00002D5E0000}"/>
    <cellStyle name="Hed Top - SECTION 2 2 5 13 2" xfId="22175" xr:uid="{00000000-0005-0000-0000-00002E5E0000}"/>
    <cellStyle name="Hed Top - SECTION 2 2 5 14" xfId="22176" xr:uid="{00000000-0005-0000-0000-00002F5E0000}"/>
    <cellStyle name="Hed Top - SECTION 2 2 5 14 2" xfId="22177" xr:uid="{00000000-0005-0000-0000-0000305E0000}"/>
    <cellStyle name="Hed Top - SECTION 2 2 5 15" xfId="22178" xr:uid="{00000000-0005-0000-0000-0000315E0000}"/>
    <cellStyle name="Hed Top - SECTION 2 2 5 15 2" xfId="22179" xr:uid="{00000000-0005-0000-0000-0000325E0000}"/>
    <cellStyle name="Hed Top - SECTION 2 2 5 16" xfId="22180" xr:uid="{00000000-0005-0000-0000-0000335E0000}"/>
    <cellStyle name="Hed Top - SECTION 2 2 5 16 2" xfId="22181" xr:uid="{00000000-0005-0000-0000-0000345E0000}"/>
    <cellStyle name="Hed Top - SECTION 2 2 5 17" xfId="22182" xr:uid="{00000000-0005-0000-0000-0000355E0000}"/>
    <cellStyle name="Hed Top - SECTION 2 2 5 17 2" xfId="22183" xr:uid="{00000000-0005-0000-0000-0000365E0000}"/>
    <cellStyle name="Hed Top - SECTION 2 2 5 18" xfId="22184" xr:uid="{00000000-0005-0000-0000-0000375E0000}"/>
    <cellStyle name="Hed Top - SECTION 2 2 5 2" xfId="22185" xr:uid="{00000000-0005-0000-0000-0000385E0000}"/>
    <cellStyle name="Hed Top - SECTION 2 2 5 2 10" xfId="22186" xr:uid="{00000000-0005-0000-0000-0000395E0000}"/>
    <cellStyle name="Hed Top - SECTION 2 2 5 2 2" xfId="22187" xr:uid="{00000000-0005-0000-0000-00003A5E0000}"/>
    <cellStyle name="Hed Top - SECTION 2 2 5 2 2 2" xfId="22188" xr:uid="{00000000-0005-0000-0000-00003B5E0000}"/>
    <cellStyle name="Hed Top - SECTION 2 2 5 2 3" xfId="22189" xr:uid="{00000000-0005-0000-0000-00003C5E0000}"/>
    <cellStyle name="Hed Top - SECTION 2 2 5 2 3 2" xfId="22190" xr:uid="{00000000-0005-0000-0000-00003D5E0000}"/>
    <cellStyle name="Hed Top - SECTION 2 2 5 2 4" xfId="22191" xr:uid="{00000000-0005-0000-0000-00003E5E0000}"/>
    <cellStyle name="Hed Top - SECTION 2 2 5 2 4 2" xfId="22192" xr:uid="{00000000-0005-0000-0000-00003F5E0000}"/>
    <cellStyle name="Hed Top - SECTION 2 2 5 2 5" xfId="22193" xr:uid="{00000000-0005-0000-0000-0000405E0000}"/>
    <cellStyle name="Hed Top - SECTION 2 2 5 2 5 2" xfId="22194" xr:uid="{00000000-0005-0000-0000-0000415E0000}"/>
    <cellStyle name="Hed Top - SECTION 2 2 5 2 6" xfId="22195" xr:uid="{00000000-0005-0000-0000-0000425E0000}"/>
    <cellStyle name="Hed Top - SECTION 2 2 5 2 6 2" xfId="22196" xr:uid="{00000000-0005-0000-0000-0000435E0000}"/>
    <cellStyle name="Hed Top - SECTION 2 2 5 2 7" xfId="22197" xr:uid="{00000000-0005-0000-0000-0000445E0000}"/>
    <cellStyle name="Hed Top - SECTION 2 2 5 2 7 2" xfId="22198" xr:uid="{00000000-0005-0000-0000-0000455E0000}"/>
    <cellStyle name="Hed Top - SECTION 2 2 5 2 8" xfId="22199" xr:uid="{00000000-0005-0000-0000-0000465E0000}"/>
    <cellStyle name="Hed Top - SECTION 2 2 5 2 8 2" xfId="22200" xr:uid="{00000000-0005-0000-0000-0000475E0000}"/>
    <cellStyle name="Hed Top - SECTION 2 2 5 2 9" xfId="22201" xr:uid="{00000000-0005-0000-0000-0000485E0000}"/>
    <cellStyle name="Hed Top - SECTION 2 2 5 2 9 2" xfId="22202" xr:uid="{00000000-0005-0000-0000-0000495E0000}"/>
    <cellStyle name="Hed Top - SECTION 2 2 5 3" xfId="22203" xr:uid="{00000000-0005-0000-0000-00004A5E0000}"/>
    <cellStyle name="Hed Top - SECTION 2 2 5 3 10" xfId="22204" xr:uid="{00000000-0005-0000-0000-00004B5E0000}"/>
    <cellStyle name="Hed Top - SECTION 2 2 5 3 2" xfId="22205" xr:uid="{00000000-0005-0000-0000-00004C5E0000}"/>
    <cellStyle name="Hed Top - SECTION 2 2 5 3 2 2" xfId="22206" xr:uid="{00000000-0005-0000-0000-00004D5E0000}"/>
    <cellStyle name="Hed Top - SECTION 2 2 5 3 3" xfId="22207" xr:uid="{00000000-0005-0000-0000-00004E5E0000}"/>
    <cellStyle name="Hed Top - SECTION 2 2 5 3 3 2" xfId="22208" xr:uid="{00000000-0005-0000-0000-00004F5E0000}"/>
    <cellStyle name="Hed Top - SECTION 2 2 5 3 4" xfId="22209" xr:uid="{00000000-0005-0000-0000-0000505E0000}"/>
    <cellStyle name="Hed Top - SECTION 2 2 5 3 4 2" xfId="22210" xr:uid="{00000000-0005-0000-0000-0000515E0000}"/>
    <cellStyle name="Hed Top - SECTION 2 2 5 3 5" xfId="22211" xr:uid="{00000000-0005-0000-0000-0000525E0000}"/>
    <cellStyle name="Hed Top - SECTION 2 2 5 3 5 2" xfId="22212" xr:uid="{00000000-0005-0000-0000-0000535E0000}"/>
    <cellStyle name="Hed Top - SECTION 2 2 5 3 6" xfId="22213" xr:uid="{00000000-0005-0000-0000-0000545E0000}"/>
    <cellStyle name="Hed Top - SECTION 2 2 5 3 6 2" xfId="22214" xr:uid="{00000000-0005-0000-0000-0000555E0000}"/>
    <cellStyle name="Hed Top - SECTION 2 2 5 3 7" xfId="22215" xr:uid="{00000000-0005-0000-0000-0000565E0000}"/>
    <cellStyle name="Hed Top - SECTION 2 2 5 3 7 2" xfId="22216" xr:uid="{00000000-0005-0000-0000-0000575E0000}"/>
    <cellStyle name="Hed Top - SECTION 2 2 5 3 8" xfId="22217" xr:uid="{00000000-0005-0000-0000-0000585E0000}"/>
    <cellStyle name="Hed Top - SECTION 2 2 5 3 8 2" xfId="22218" xr:uid="{00000000-0005-0000-0000-0000595E0000}"/>
    <cellStyle name="Hed Top - SECTION 2 2 5 3 9" xfId="22219" xr:uid="{00000000-0005-0000-0000-00005A5E0000}"/>
    <cellStyle name="Hed Top - SECTION 2 2 5 3 9 2" xfId="22220" xr:uid="{00000000-0005-0000-0000-00005B5E0000}"/>
    <cellStyle name="Hed Top - SECTION 2 2 5 4" xfId="22221" xr:uid="{00000000-0005-0000-0000-00005C5E0000}"/>
    <cellStyle name="Hed Top - SECTION 2 2 5 4 10" xfId="22222" xr:uid="{00000000-0005-0000-0000-00005D5E0000}"/>
    <cellStyle name="Hed Top - SECTION 2 2 5 4 2" xfId="22223" xr:uid="{00000000-0005-0000-0000-00005E5E0000}"/>
    <cellStyle name="Hed Top - SECTION 2 2 5 4 2 2" xfId="22224" xr:uid="{00000000-0005-0000-0000-00005F5E0000}"/>
    <cellStyle name="Hed Top - SECTION 2 2 5 4 3" xfId="22225" xr:uid="{00000000-0005-0000-0000-0000605E0000}"/>
    <cellStyle name="Hed Top - SECTION 2 2 5 4 3 2" xfId="22226" xr:uid="{00000000-0005-0000-0000-0000615E0000}"/>
    <cellStyle name="Hed Top - SECTION 2 2 5 4 4" xfId="22227" xr:uid="{00000000-0005-0000-0000-0000625E0000}"/>
    <cellStyle name="Hed Top - SECTION 2 2 5 4 4 2" xfId="22228" xr:uid="{00000000-0005-0000-0000-0000635E0000}"/>
    <cellStyle name="Hed Top - SECTION 2 2 5 4 5" xfId="22229" xr:uid="{00000000-0005-0000-0000-0000645E0000}"/>
    <cellStyle name="Hed Top - SECTION 2 2 5 4 5 2" xfId="22230" xr:uid="{00000000-0005-0000-0000-0000655E0000}"/>
    <cellStyle name="Hed Top - SECTION 2 2 5 4 6" xfId="22231" xr:uid="{00000000-0005-0000-0000-0000665E0000}"/>
    <cellStyle name="Hed Top - SECTION 2 2 5 4 6 2" xfId="22232" xr:uid="{00000000-0005-0000-0000-0000675E0000}"/>
    <cellStyle name="Hed Top - SECTION 2 2 5 4 7" xfId="22233" xr:uid="{00000000-0005-0000-0000-0000685E0000}"/>
    <cellStyle name="Hed Top - SECTION 2 2 5 4 7 2" xfId="22234" xr:uid="{00000000-0005-0000-0000-0000695E0000}"/>
    <cellStyle name="Hed Top - SECTION 2 2 5 4 8" xfId="22235" xr:uid="{00000000-0005-0000-0000-00006A5E0000}"/>
    <cellStyle name="Hed Top - SECTION 2 2 5 4 8 2" xfId="22236" xr:uid="{00000000-0005-0000-0000-00006B5E0000}"/>
    <cellStyle name="Hed Top - SECTION 2 2 5 4 9" xfId="22237" xr:uid="{00000000-0005-0000-0000-00006C5E0000}"/>
    <cellStyle name="Hed Top - SECTION 2 2 5 4 9 2" xfId="22238" xr:uid="{00000000-0005-0000-0000-00006D5E0000}"/>
    <cellStyle name="Hed Top - SECTION 2 2 5 5" xfId="22239" xr:uid="{00000000-0005-0000-0000-00006E5E0000}"/>
    <cellStyle name="Hed Top - SECTION 2 2 5 5 10" xfId="22240" xr:uid="{00000000-0005-0000-0000-00006F5E0000}"/>
    <cellStyle name="Hed Top - SECTION 2 2 5 5 2" xfId="22241" xr:uid="{00000000-0005-0000-0000-0000705E0000}"/>
    <cellStyle name="Hed Top - SECTION 2 2 5 5 2 2" xfId="22242" xr:uid="{00000000-0005-0000-0000-0000715E0000}"/>
    <cellStyle name="Hed Top - SECTION 2 2 5 5 3" xfId="22243" xr:uid="{00000000-0005-0000-0000-0000725E0000}"/>
    <cellStyle name="Hed Top - SECTION 2 2 5 5 3 2" xfId="22244" xr:uid="{00000000-0005-0000-0000-0000735E0000}"/>
    <cellStyle name="Hed Top - SECTION 2 2 5 5 4" xfId="22245" xr:uid="{00000000-0005-0000-0000-0000745E0000}"/>
    <cellStyle name="Hed Top - SECTION 2 2 5 5 4 2" xfId="22246" xr:uid="{00000000-0005-0000-0000-0000755E0000}"/>
    <cellStyle name="Hed Top - SECTION 2 2 5 5 5" xfId="22247" xr:uid="{00000000-0005-0000-0000-0000765E0000}"/>
    <cellStyle name="Hed Top - SECTION 2 2 5 5 5 2" xfId="22248" xr:uid="{00000000-0005-0000-0000-0000775E0000}"/>
    <cellStyle name="Hed Top - SECTION 2 2 5 5 6" xfId="22249" xr:uid="{00000000-0005-0000-0000-0000785E0000}"/>
    <cellStyle name="Hed Top - SECTION 2 2 5 5 6 2" xfId="22250" xr:uid="{00000000-0005-0000-0000-0000795E0000}"/>
    <cellStyle name="Hed Top - SECTION 2 2 5 5 7" xfId="22251" xr:uid="{00000000-0005-0000-0000-00007A5E0000}"/>
    <cellStyle name="Hed Top - SECTION 2 2 5 5 7 2" xfId="22252" xr:uid="{00000000-0005-0000-0000-00007B5E0000}"/>
    <cellStyle name="Hed Top - SECTION 2 2 5 5 8" xfId="22253" xr:uid="{00000000-0005-0000-0000-00007C5E0000}"/>
    <cellStyle name="Hed Top - SECTION 2 2 5 5 8 2" xfId="22254" xr:uid="{00000000-0005-0000-0000-00007D5E0000}"/>
    <cellStyle name="Hed Top - SECTION 2 2 5 5 9" xfId="22255" xr:uid="{00000000-0005-0000-0000-00007E5E0000}"/>
    <cellStyle name="Hed Top - SECTION 2 2 5 5 9 2" xfId="22256" xr:uid="{00000000-0005-0000-0000-00007F5E0000}"/>
    <cellStyle name="Hed Top - SECTION 2 2 5 6" xfId="22257" xr:uid="{00000000-0005-0000-0000-0000805E0000}"/>
    <cellStyle name="Hed Top - SECTION 2 2 5 6 10" xfId="22258" xr:uid="{00000000-0005-0000-0000-0000815E0000}"/>
    <cellStyle name="Hed Top - SECTION 2 2 5 6 2" xfId="22259" xr:uid="{00000000-0005-0000-0000-0000825E0000}"/>
    <cellStyle name="Hed Top - SECTION 2 2 5 6 2 2" xfId="22260" xr:uid="{00000000-0005-0000-0000-0000835E0000}"/>
    <cellStyle name="Hed Top - SECTION 2 2 5 6 3" xfId="22261" xr:uid="{00000000-0005-0000-0000-0000845E0000}"/>
    <cellStyle name="Hed Top - SECTION 2 2 5 6 3 2" xfId="22262" xr:uid="{00000000-0005-0000-0000-0000855E0000}"/>
    <cellStyle name="Hed Top - SECTION 2 2 5 6 4" xfId="22263" xr:uid="{00000000-0005-0000-0000-0000865E0000}"/>
    <cellStyle name="Hed Top - SECTION 2 2 5 6 4 2" xfId="22264" xr:uid="{00000000-0005-0000-0000-0000875E0000}"/>
    <cellStyle name="Hed Top - SECTION 2 2 5 6 5" xfId="22265" xr:uid="{00000000-0005-0000-0000-0000885E0000}"/>
    <cellStyle name="Hed Top - SECTION 2 2 5 6 5 2" xfId="22266" xr:uid="{00000000-0005-0000-0000-0000895E0000}"/>
    <cellStyle name="Hed Top - SECTION 2 2 5 6 6" xfId="22267" xr:uid="{00000000-0005-0000-0000-00008A5E0000}"/>
    <cellStyle name="Hed Top - SECTION 2 2 5 6 6 2" xfId="22268" xr:uid="{00000000-0005-0000-0000-00008B5E0000}"/>
    <cellStyle name="Hed Top - SECTION 2 2 5 6 7" xfId="22269" xr:uid="{00000000-0005-0000-0000-00008C5E0000}"/>
    <cellStyle name="Hed Top - SECTION 2 2 5 6 7 2" xfId="22270" xr:uid="{00000000-0005-0000-0000-00008D5E0000}"/>
    <cellStyle name="Hed Top - SECTION 2 2 5 6 8" xfId="22271" xr:uid="{00000000-0005-0000-0000-00008E5E0000}"/>
    <cellStyle name="Hed Top - SECTION 2 2 5 6 8 2" xfId="22272" xr:uid="{00000000-0005-0000-0000-00008F5E0000}"/>
    <cellStyle name="Hed Top - SECTION 2 2 5 6 9" xfId="22273" xr:uid="{00000000-0005-0000-0000-0000905E0000}"/>
    <cellStyle name="Hed Top - SECTION 2 2 5 6 9 2" xfId="22274" xr:uid="{00000000-0005-0000-0000-0000915E0000}"/>
    <cellStyle name="Hed Top - SECTION 2 2 5 7" xfId="22275" xr:uid="{00000000-0005-0000-0000-0000925E0000}"/>
    <cellStyle name="Hed Top - SECTION 2 2 5 7 10" xfId="22276" xr:uid="{00000000-0005-0000-0000-0000935E0000}"/>
    <cellStyle name="Hed Top - SECTION 2 2 5 7 2" xfId="22277" xr:uid="{00000000-0005-0000-0000-0000945E0000}"/>
    <cellStyle name="Hed Top - SECTION 2 2 5 7 2 2" xfId="22278" xr:uid="{00000000-0005-0000-0000-0000955E0000}"/>
    <cellStyle name="Hed Top - SECTION 2 2 5 7 3" xfId="22279" xr:uid="{00000000-0005-0000-0000-0000965E0000}"/>
    <cellStyle name="Hed Top - SECTION 2 2 5 7 3 2" xfId="22280" xr:uid="{00000000-0005-0000-0000-0000975E0000}"/>
    <cellStyle name="Hed Top - SECTION 2 2 5 7 4" xfId="22281" xr:uid="{00000000-0005-0000-0000-0000985E0000}"/>
    <cellStyle name="Hed Top - SECTION 2 2 5 7 4 2" xfId="22282" xr:uid="{00000000-0005-0000-0000-0000995E0000}"/>
    <cellStyle name="Hed Top - SECTION 2 2 5 7 5" xfId="22283" xr:uid="{00000000-0005-0000-0000-00009A5E0000}"/>
    <cellStyle name="Hed Top - SECTION 2 2 5 7 5 2" xfId="22284" xr:uid="{00000000-0005-0000-0000-00009B5E0000}"/>
    <cellStyle name="Hed Top - SECTION 2 2 5 7 6" xfId="22285" xr:uid="{00000000-0005-0000-0000-00009C5E0000}"/>
    <cellStyle name="Hed Top - SECTION 2 2 5 7 6 2" xfId="22286" xr:uid="{00000000-0005-0000-0000-00009D5E0000}"/>
    <cellStyle name="Hed Top - SECTION 2 2 5 7 7" xfId="22287" xr:uid="{00000000-0005-0000-0000-00009E5E0000}"/>
    <cellStyle name="Hed Top - SECTION 2 2 5 7 7 2" xfId="22288" xr:uid="{00000000-0005-0000-0000-00009F5E0000}"/>
    <cellStyle name="Hed Top - SECTION 2 2 5 7 8" xfId="22289" xr:uid="{00000000-0005-0000-0000-0000A05E0000}"/>
    <cellStyle name="Hed Top - SECTION 2 2 5 7 8 2" xfId="22290" xr:uid="{00000000-0005-0000-0000-0000A15E0000}"/>
    <cellStyle name="Hed Top - SECTION 2 2 5 7 9" xfId="22291" xr:uid="{00000000-0005-0000-0000-0000A25E0000}"/>
    <cellStyle name="Hed Top - SECTION 2 2 5 7 9 2" xfId="22292" xr:uid="{00000000-0005-0000-0000-0000A35E0000}"/>
    <cellStyle name="Hed Top - SECTION 2 2 5 8" xfId="22293" xr:uid="{00000000-0005-0000-0000-0000A45E0000}"/>
    <cellStyle name="Hed Top - SECTION 2 2 5 8 10" xfId="22294" xr:uid="{00000000-0005-0000-0000-0000A55E0000}"/>
    <cellStyle name="Hed Top - SECTION 2 2 5 8 2" xfId="22295" xr:uid="{00000000-0005-0000-0000-0000A65E0000}"/>
    <cellStyle name="Hed Top - SECTION 2 2 5 8 2 2" xfId="22296" xr:uid="{00000000-0005-0000-0000-0000A75E0000}"/>
    <cellStyle name="Hed Top - SECTION 2 2 5 8 3" xfId="22297" xr:uid="{00000000-0005-0000-0000-0000A85E0000}"/>
    <cellStyle name="Hed Top - SECTION 2 2 5 8 3 2" xfId="22298" xr:uid="{00000000-0005-0000-0000-0000A95E0000}"/>
    <cellStyle name="Hed Top - SECTION 2 2 5 8 4" xfId="22299" xr:uid="{00000000-0005-0000-0000-0000AA5E0000}"/>
    <cellStyle name="Hed Top - SECTION 2 2 5 8 4 2" xfId="22300" xr:uid="{00000000-0005-0000-0000-0000AB5E0000}"/>
    <cellStyle name="Hed Top - SECTION 2 2 5 8 5" xfId="22301" xr:uid="{00000000-0005-0000-0000-0000AC5E0000}"/>
    <cellStyle name="Hed Top - SECTION 2 2 5 8 5 2" xfId="22302" xr:uid="{00000000-0005-0000-0000-0000AD5E0000}"/>
    <cellStyle name="Hed Top - SECTION 2 2 5 8 6" xfId="22303" xr:uid="{00000000-0005-0000-0000-0000AE5E0000}"/>
    <cellStyle name="Hed Top - SECTION 2 2 5 8 6 2" xfId="22304" xr:uid="{00000000-0005-0000-0000-0000AF5E0000}"/>
    <cellStyle name="Hed Top - SECTION 2 2 5 8 7" xfId="22305" xr:uid="{00000000-0005-0000-0000-0000B05E0000}"/>
    <cellStyle name="Hed Top - SECTION 2 2 5 8 7 2" xfId="22306" xr:uid="{00000000-0005-0000-0000-0000B15E0000}"/>
    <cellStyle name="Hed Top - SECTION 2 2 5 8 8" xfId="22307" xr:uid="{00000000-0005-0000-0000-0000B25E0000}"/>
    <cellStyle name="Hed Top - SECTION 2 2 5 8 8 2" xfId="22308" xr:uid="{00000000-0005-0000-0000-0000B35E0000}"/>
    <cellStyle name="Hed Top - SECTION 2 2 5 8 9" xfId="22309" xr:uid="{00000000-0005-0000-0000-0000B45E0000}"/>
    <cellStyle name="Hed Top - SECTION 2 2 5 8 9 2" xfId="22310" xr:uid="{00000000-0005-0000-0000-0000B55E0000}"/>
    <cellStyle name="Hed Top - SECTION 2 2 5 9" xfId="22311" xr:uid="{00000000-0005-0000-0000-0000B65E0000}"/>
    <cellStyle name="Hed Top - SECTION 2 2 5 9 10" xfId="22312" xr:uid="{00000000-0005-0000-0000-0000B75E0000}"/>
    <cellStyle name="Hed Top - SECTION 2 2 5 9 2" xfId="22313" xr:uid="{00000000-0005-0000-0000-0000B85E0000}"/>
    <cellStyle name="Hed Top - SECTION 2 2 5 9 2 2" xfId="22314" xr:uid="{00000000-0005-0000-0000-0000B95E0000}"/>
    <cellStyle name="Hed Top - SECTION 2 2 5 9 3" xfId="22315" xr:uid="{00000000-0005-0000-0000-0000BA5E0000}"/>
    <cellStyle name="Hed Top - SECTION 2 2 5 9 3 2" xfId="22316" xr:uid="{00000000-0005-0000-0000-0000BB5E0000}"/>
    <cellStyle name="Hed Top - SECTION 2 2 5 9 4" xfId="22317" xr:uid="{00000000-0005-0000-0000-0000BC5E0000}"/>
    <cellStyle name="Hed Top - SECTION 2 2 5 9 4 2" xfId="22318" xr:uid="{00000000-0005-0000-0000-0000BD5E0000}"/>
    <cellStyle name="Hed Top - SECTION 2 2 5 9 5" xfId="22319" xr:uid="{00000000-0005-0000-0000-0000BE5E0000}"/>
    <cellStyle name="Hed Top - SECTION 2 2 5 9 5 2" xfId="22320" xr:uid="{00000000-0005-0000-0000-0000BF5E0000}"/>
    <cellStyle name="Hed Top - SECTION 2 2 5 9 6" xfId="22321" xr:uid="{00000000-0005-0000-0000-0000C05E0000}"/>
    <cellStyle name="Hed Top - SECTION 2 2 5 9 6 2" xfId="22322" xr:uid="{00000000-0005-0000-0000-0000C15E0000}"/>
    <cellStyle name="Hed Top - SECTION 2 2 5 9 7" xfId="22323" xr:uid="{00000000-0005-0000-0000-0000C25E0000}"/>
    <cellStyle name="Hed Top - SECTION 2 2 5 9 7 2" xfId="22324" xr:uid="{00000000-0005-0000-0000-0000C35E0000}"/>
    <cellStyle name="Hed Top - SECTION 2 2 5 9 8" xfId="22325" xr:uid="{00000000-0005-0000-0000-0000C45E0000}"/>
    <cellStyle name="Hed Top - SECTION 2 2 5 9 8 2" xfId="22326" xr:uid="{00000000-0005-0000-0000-0000C55E0000}"/>
    <cellStyle name="Hed Top - SECTION 2 2 5 9 9" xfId="22327" xr:uid="{00000000-0005-0000-0000-0000C65E0000}"/>
    <cellStyle name="Hed Top - SECTION 2 2 5 9 9 2" xfId="22328" xr:uid="{00000000-0005-0000-0000-0000C75E0000}"/>
    <cellStyle name="Hed Top - SECTION 2 2 6" xfId="22329" xr:uid="{00000000-0005-0000-0000-0000C85E0000}"/>
    <cellStyle name="Hed Top - SECTION 2 2 6 10" xfId="22330" xr:uid="{00000000-0005-0000-0000-0000C95E0000}"/>
    <cellStyle name="Hed Top - SECTION 2 2 6 10 2" xfId="22331" xr:uid="{00000000-0005-0000-0000-0000CA5E0000}"/>
    <cellStyle name="Hed Top - SECTION 2 2 6 10 2 2" xfId="22332" xr:uid="{00000000-0005-0000-0000-0000CB5E0000}"/>
    <cellStyle name="Hed Top - SECTION 2 2 6 10 3" xfId="22333" xr:uid="{00000000-0005-0000-0000-0000CC5E0000}"/>
    <cellStyle name="Hed Top - SECTION 2 2 6 10 3 2" xfId="22334" xr:uid="{00000000-0005-0000-0000-0000CD5E0000}"/>
    <cellStyle name="Hed Top - SECTION 2 2 6 10 4" xfId="22335" xr:uid="{00000000-0005-0000-0000-0000CE5E0000}"/>
    <cellStyle name="Hed Top - SECTION 2 2 6 10 4 2" xfId="22336" xr:uid="{00000000-0005-0000-0000-0000CF5E0000}"/>
    <cellStyle name="Hed Top - SECTION 2 2 6 10 5" xfId="22337" xr:uid="{00000000-0005-0000-0000-0000D05E0000}"/>
    <cellStyle name="Hed Top - SECTION 2 2 6 10 5 2" xfId="22338" xr:uid="{00000000-0005-0000-0000-0000D15E0000}"/>
    <cellStyle name="Hed Top - SECTION 2 2 6 10 6" xfId="22339" xr:uid="{00000000-0005-0000-0000-0000D25E0000}"/>
    <cellStyle name="Hed Top - SECTION 2 2 6 10 6 2" xfId="22340" xr:uid="{00000000-0005-0000-0000-0000D35E0000}"/>
    <cellStyle name="Hed Top - SECTION 2 2 6 10 7" xfId="22341" xr:uid="{00000000-0005-0000-0000-0000D45E0000}"/>
    <cellStyle name="Hed Top - SECTION 2 2 6 10 7 2" xfId="22342" xr:uid="{00000000-0005-0000-0000-0000D55E0000}"/>
    <cellStyle name="Hed Top - SECTION 2 2 6 10 8" xfId="22343" xr:uid="{00000000-0005-0000-0000-0000D65E0000}"/>
    <cellStyle name="Hed Top - SECTION 2 2 6 10 8 2" xfId="22344" xr:uid="{00000000-0005-0000-0000-0000D75E0000}"/>
    <cellStyle name="Hed Top - SECTION 2 2 6 10 9" xfId="22345" xr:uid="{00000000-0005-0000-0000-0000D85E0000}"/>
    <cellStyle name="Hed Top - SECTION 2 2 6 11" xfId="22346" xr:uid="{00000000-0005-0000-0000-0000D95E0000}"/>
    <cellStyle name="Hed Top - SECTION 2 2 6 11 2" xfId="22347" xr:uid="{00000000-0005-0000-0000-0000DA5E0000}"/>
    <cellStyle name="Hed Top - SECTION 2 2 6 12" xfId="22348" xr:uid="{00000000-0005-0000-0000-0000DB5E0000}"/>
    <cellStyle name="Hed Top - SECTION 2 2 6 12 2" xfId="22349" xr:uid="{00000000-0005-0000-0000-0000DC5E0000}"/>
    <cellStyle name="Hed Top - SECTION 2 2 6 13" xfId="22350" xr:uid="{00000000-0005-0000-0000-0000DD5E0000}"/>
    <cellStyle name="Hed Top - SECTION 2 2 6 13 2" xfId="22351" xr:uid="{00000000-0005-0000-0000-0000DE5E0000}"/>
    <cellStyle name="Hed Top - SECTION 2 2 6 14" xfId="22352" xr:uid="{00000000-0005-0000-0000-0000DF5E0000}"/>
    <cellStyle name="Hed Top - SECTION 2 2 6 14 2" xfId="22353" xr:uid="{00000000-0005-0000-0000-0000E05E0000}"/>
    <cellStyle name="Hed Top - SECTION 2 2 6 15" xfId="22354" xr:uid="{00000000-0005-0000-0000-0000E15E0000}"/>
    <cellStyle name="Hed Top - SECTION 2 2 6 15 2" xfId="22355" xr:uid="{00000000-0005-0000-0000-0000E25E0000}"/>
    <cellStyle name="Hed Top - SECTION 2 2 6 16" xfId="22356" xr:uid="{00000000-0005-0000-0000-0000E35E0000}"/>
    <cellStyle name="Hed Top - SECTION 2 2 6 16 2" xfId="22357" xr:uid="{00000000-0005-0000-0000-0000E45E0000}"/>
    <cellStyle name="Hed Top - SECTION 2 2 6 17" xfId="22358" xr:uid="{00000000-0005-0000-0000-0000E55E0000}"/>
    <cellStyle name="Hed Top - SECTION 2 2 6 17 2" xfId="22359" xr:uid="{00000000-0005-0000-0000-0000E65E0000}"/>
    <cellStyle name="Hed Top - SECTION 2 2 6 18" xfId="22360" xr:uid="{00000000-0005-0000-0000-0000E75E0000}"/>
    <cellStyle name="Hed Top - SECTION 2 2 6 2" xfId="22361" xr:uid="{00000000-0005-0000-0000-0000E85E0000}"/>
    <cellStyle name="Hed Top - SECTION 2 2 6 2 10" xfId="22362" xr:uid="{00000000-0005-0000-0000-0000E95E0000}"/>
    <cellStyle name="Hed Top - SECTION 2 2 6 2 2" xfId="22363" xr:uid="{00000000-0005-0000-0000-0000EA5E0000}"/>
    <cellStyle name="Hed Top - SECTION 2 2 6 2 2 2" xfId="22364" xr:uid="{00000000-0005-0000-0000-0000EB5E0000}"/>
    <cellStyle name="Hed Top - SECTION 2 2 6 2 3" xfId="22365" xr:uid="{00000000-0005-0000-0000-0000EC5E0000}"/>
    <cellStyle name="Hed Top - SECTION 2 2 6 2 3 2" xfId="22366" xr:uid="{00000000-0005-0000-0000-0000ED5E0000}"/>
    <cellStyle name="Hed Top - SECTION 2 2 6 2 4" xfId="22367" xr:uid="{00000000-0005-0000-0000-0000EE5E0000}"/>
    <cellStyle name="Hed Top - SECTION 2 2 6 2 4 2" xfId="22368" xr:uid="{00000000-0005-0000-0000-0000EF5E0000}"/>
    <cellStyle name="Hed Top - SECTION 2 2 6 2 5" xfId="22369" xr:uid="{00000000-0005-0000-0000-0000F05E0000}"/>
    <cellStyle name="Hed Top - SECTION 2 2 6 2 5 2" xfId="22370" xr:uid="{00000000-0005-0000-0000-0000F15E0000}"/>
    <cellStyle name="Hed Top - SECTION 2 2 6 2 6" xfId="22371" xr:uid="{00000000-0005-0000-0000-0000F25E0000}"/>
    <cellStyle name="Hed Top - SECTION 2 2 6 2 6 2" xfId="22372" xr:uid="{00000000-0005-0000-0000-0000F35E0000}"/>
    <cellStyle name="Hed Top - SECTION 2 2 6 2 7" xfId="22373" xr:uid="{00000000-0005-0000-0000-0000F45E0000}"/>
    <cellStyle name="Hed Top - SECTION 2 2 6 2 7 2" xfId="22374" xr:uid="{00000000-0005-0000-0000-0000F55E0000}"/>
    <cellStyle name="Hed Top - SECTION 2 2 6 2 8" xfId="22375" xr:uid="{00000000-0005-0000-0000-0000F65E0000}"/>
    <cellStyle name="Hed Top - SECTION 2 2 6 2 8 2" xfId="22376" xr:uid="{00000000-0005-0000-0000-0000F75E0000}"/>
    <cellStyle name="Hed Top - SECTION 2 2 6 2 9" xfId="22377" xr:uid="{00000000-0005-0000-0000-0000F85E0000}"/>
    <cellStyle name="Hed Top - SECTION 2 2 6 2 9 2" xfId="22378" xr:uid="{00000000-0005-0000-0000-0000F95E0000}"/>
    <cellStyle name="Hed Top - SECTION 2 2 6 3" xfId="22379" xr:uid="{00000000-0005-0000-0000-0000FA5E0000}"/>
    <cellStyle name="Hed Top - SECTION 2 2 6 3 10" xfId="22380" xr:uid="{00000000-0005-0000-0000-0000FB5E0000}"/>
    <cellStyle name="Hed Top - SECTION 2 2 6 3 2" xfId="22381" xr:uid="{00000000-0005-0000-0000-0000FC5E0000}"/>
    <cellStyle name="Hed Top - SECTION 2 2 6 3 2 2" xfId="22382" xr:uid="{00000000-0005-0000-0000-0000FD5E0000}"/>
    <cellStyle name="Hed Top - SECTION 2 2 6 3 3" xfId="22383" xr:uid="{00000000-0005-0000-0000-0000FE5E0000}"/>
    <cellStyle name="Hed Top - SECTION 2 2 6 3 3 2" xfId="22384" xr:uid="{00000000-0005-0000-0000-0000FF5E0000}"/>
    <cellStyle name="Hed Top - SECTION 2 2 6 3 4" xfId="22385" xr:uid="{00000000-0005-0000-0000-0000005F0000}"/>
    <cellStyle name="Hed Top - SECTION 2 2 6 3 4 2" xfId="22386" xr:uid="{00000000-0005-0000-0000-0000015F0000}"/>
    <cellStyle name="Hed Top - SECTION 2 2 6 3 5" xfId="22387" xr:uid="{00000000-0005-0000-0000-0000025F0000}"/>
    <cellStyle name="Hed Top - SECTION 2 2 6 3 5 2" xfId="22388" xr:uid="{00000000-0005-0000-0000-0000035F0000}"/>
    <cellStyle name="Hed Top - SECTION 2 2 6 3 6" xfId="22389" xr:uid="{00000000-0005-0000-0000-0000045F0000}"/>
    <cellStyle name="Hed Top - SECTION 2 2 6 3 6 2" xfId="22390" xr:uid="{00000000-0005-0000-0000-0000055F0000}"/>
    <cellStyle name="Hed Top - SECTION 2 2 6 3 7" xfId="22391" xr:uid="{00000000-0005-0000-0000-0000065F0000}"/>
    <cellStyle name="Hed Top - SECTION 2 2 6 3 7 2" xfId="22392" xr:uid="{00000000-0005-0000-0000-0000075F0000}"/>
    <cellStyle name="Hed Top - SECTION 2 2 6 3 8" xfId="22393" xr:uid="{00000000-0005-0000-0000-0000085F0000}"/>
    <cellStyle name="Hed Top - SECTION 2 2 6 3 8 2" xfId="22394" xr:uid="{00000000-0005-0000-0000-0000095F0000}"/>
    <cellStyle name="Hed Top - SECTION 2 2 6 3 9" xfId="22395" xr:uid="{00000000-0005-0000-0000-00000A5F0000}"/>
    <cellStyle name="Hed Top - SECTION 2 2 6 3 9 2" xfId="22396" xr:uid="{00000000-0005-0000-0000-00000B5F0000}"/>
    <cellStyle name="Hed Top - SECTION 2 2 6 4" xfId="22397" xr:uid="{00000000-0005-0000-0000-00000C5F0000}"/>
    <cellStyle name="Hed Top - SECTION 2 2 6 4 10" xfId="22398" xr:uid="{00000000-0005-0000-0000-00000D5F0000}"/>
    <cellStyle name="Hed Top - SECTION 2 2 6 4 2" xfId="22399" xr:uid="{00000000-0005-0000-0000-00000E5F0000}"/>
    <cellStyle name="Hed Top - SECTION 2 2 6 4 2 2" xfId="22400" xr:uid="{00000000-0005-0000-0000-00000F5F0000}"/>
    <cellStyle name="Hed Top - SECTION 2 2 6 4 3" xfId="22401" xr:uid="{00000000-0005-0000-0000-0000105F0000}"/>
    <cellStyle name="Hed Top - SECTION 2 2 6 4 3 2" xfId="22402" xr:uid="{00000000-0005-0000-0000-0000115F0000}"/>
    <cellStyle name="Hed Top - SECTION 2 2 6 4 4" xfId="22403" xr:uid="{00000000-0005-0000-0000-0000125F0000}"/>
    <cellStyle name="Hed Top - SECTION 2 2 6 4 4 2" xfId="22404" xr:uid="{00000000-0005-0000-0000-0000135F0000}"/>
    <cellStyle name="Hed Top - SECTION 2 2 6 4 5" xfId="22405" xr:uid="{00000000-0005-0000-0000-0000145F0000}"/>
    <cellStyle name="Hed Top - SECTION 2 2 6 4 5 2" xfId="22406" xr:uid="{00000000-0005-0000-0000-0000155F0000}"/>
    <cellStyle name="Hed Top - SECTION 2 2 6 4 6" xfId="22407" xr:uid="{00000000-0005-0000-0000-0000165F0000}"/>
    <cellStyle name="Hed Top - SECTION 2 2 6 4 6 2" xfId="22408" xr:uid="{00000000-0005-0000-0000-0000175F0000}"/>
    <cellStyle name="Hed Top - SECTION 2 2 6 4 7" xfId="22409" xr:uid="{00000000-0005-0000-0000-0000185F0000}"/>
    <cellStyle name="Hed Top - SECTION 2 2 6 4 7 2" xfId="22410" xr:uid="{00000000-0005-0000-0000-0000195F0000}"/>
    <cellStyle name="Hed Top - SECTION 2 2 6 4 8" xfId="22411" xr:uid="{00000000-0005-0000-0000-00001A5F0000}"/>
    <cellStyle name="Hed Top - SECTION 2 2 6 4 8 2" xfId="22412" xr:uid="{00000000-0005-0000-0000-00001B5F0000}"/>
    <cellStyle name="Hed Top - SECTION 2 2 6 4 9" xfId="22413" xr:uid="{00000000-0005-0000-0000-00001C5F0000}"/>
    <cellStyle name="Hed Top - SECTION 2 2 6 4 9 2" xfId="22414" xr:uid="{00000000-0005-0000-0000-00001D5F0000}"/>
    <cellStyle name="Hed Top - SECTION 2 2 6 5" xfId="22415" xr:uid="{00000000-0005-0000-0000-00001E5F0000}"/>
    <cellStyle name="Hed Top - SECTION 2 2 6 5 10" xfId="22416" xr:uid="{00000000-0005-0000-0000-00001F5F0000}"/>
    <cellStyle name="Hed Top - SECTION 2 2 6 5 2" xfId="22417" xr:uid="{00000000-0005-0000-0000-0000205F0000}"/>
    <cellStyle name="Hed Top - SECTION 2 2 6 5 2 2" xfId="22418" xr:uid="{00000000-0005-0000-0000-0000215F0000}"/>
    <cellStyle name="Hed Top - SECTION 2 2 6 5 3" xfId="22419" xr:uid="{00000000-0005-0000-0000-0000225F0000}"/>
    <cellStyle name="Hed Top - SECTION 2 2 6 5 3 2" xfId="22420" xr:uid="{00000000-0005-0000-0000-0000235F0000}"/>
    <cellStyle name="Hed Top - SECTION 2 2 6 5 4" xfId="22421" xr:uid="{00000000-0005-0000-0000-0000245F0000}"/>
    <cellStyle name="Hed Top - SECTION 2 2 6 5 4 2" xfId="22422" xr:uid="{00000000-0005-0000-0000-0000255F0000}"/>
    <cellStyle name="Hed Top - SECTION 2 2 6 5 5" xfId="22423" xr:uid="{00000000-0005-0000-0000-0000265F0000}"/>
    <cellStyle name="Hed Top - SECTION 2 2 6 5 5 2" xfId="22424" xr:uid="{00000000-0005-0000-0000-0000275F0000}"/>
    <cellStyle name="Hed Top - SECTION 2 2 6 5 6" xfId="22425" xr:uid="{00000000-0005-0000-0000-0000285F0000}"/>
    <cellStyle name="Hed Top - SECTION 2 2 6 5 6 2" xfId="22426" xr:uid="{00000000-0005-0000-0000-0000295F0000}"/>
    <cellStyle name="Hed Top - SECTION 2 2 6 5 7" xfId="22427" xr:uid="{00000000-0005-0000-0000-00002A5F0000}"/>
    <cellStyle name="Hed Top - SECTION 2 2 6 5 7 2" xfId="22428" xr:uid="{00000000-0005-0000-0000-00002B5F0000}"/>
    <cellStyle name="Hed Top - SECTION 2 2 6 5 8" xfId="22429" xr:uid="{00000000-0005-0000-0000-00002C5F0000}"/>
    <cellStyle name="Hed Top - SECTION 2 2 6 5 8 2" xfId="22430" xr:uid="{00000000-0005-0000-0000-00002D5F0000}"/>
    <cellStyle name="Hed Top - SECTION 2 2 6 5 9" xfId="22431" xr:uid="{00000000-0005-0000-0000-00002E5F0000}"/>
    <cellStyle name="Hed Top - SECTION 2 2 6 5 9 2" xfId="22432" xr:uid="{00000000-0005-0000-0000-00002F5F0000}"/>
    <cellStyle name="Hed Top - SECTION 2 2 6 6" xfId="22433" xr:uid="{00000000-0005-0000-0000-0000305F0000}"/>
    <cellStyle name="Hed Top - SECTION 2 2 6 6 10" xfId="22434" xr:uid="{00000000-0005-0000-0000-0000315F0000}"/>
    <cellStyle name="Hed Top - SECTION 2 2 6 6 2" xfId="22435" xr:uid="{00000000-0005-0000-0000-0000325F0000}"/>
    <cellStyle name="Hed Top - SECTION 2 2 6 6 2 2" xfId="22436" xr:uid="{00000000-0005-0000-0000-0000335F0000}"/>
    <cellStyle name="Hed Top - SECTION 2 2 6 6 3" xfId="22437" xr:uid="{00000000-0005-0000-0000-0000345F0000}"/>
    <cellStyle name="Hed Top - SECTION 2 2 6 6 3 2" xfId="22438" xr:uid="{00000000-0005-0000-0000-0000355F0000}"/>
    <cellStyle name="Hed Top - SECTION 2 2 6 6 4" xfId="22439" xr:uid="{00000000-0005-0000-0000-0000365F0000}"/>
    <cellStyle name="Hed Top - SECTION 2 2 6 6 4 2" xfId="22440" xr:uid="{00000000-0005-0000-0000-0000375F0000}"/>
    <cellStyle name="Hed Top - SECTION 2 2 6 6 5" xfId="22441" xr:uid="{00000000-0005-0000-0000-0000385F0000}"/>
    <cellStyle name="Hed Top - SECTION 2 2 6 6 5 2" xfId="22442" xr:uid="{00000000-0005-0000-0000-0000395F0000}"/>
    <cellStyle name="Hed Top - SECTION 2 2 6 6 6" xfId="22443" xr:uid="{00000000-0005-0000-0000-00003A5F0000}"/>
    <cellStyle name="Hed Top - SECTION 2 2 6 6 6 2" xfId="22444" xr:uid="{00000000-0005-0000-0000-00003B5F0000}"/>
    <cellStyle name="Hed Top - SECTION 2 2 6 6 7" xfId="22445" xr:uid="{00000000-0005-0000-0000-00003C5F0000}"/>
    <cellStyle name="Hed Top - SECTION 2 2 6 6 7 2" xfId="22446" xr:uid="{00000000-0005-0000-0000-00003D5F0000}"/>
    <cellStyle name="Hed Top - SECTION 2 2 6 6 8" xfId="22447" xr:uid="{00000000-0005-0000-0000-00003E5F0000}"/>
    <cellStyle name="Hed Top - SECTION 2 2 6 6 8 2" xfId="22448" xr:uid="{00000000-0005-0000-0000-00003F5F0000}"/>
    <cellStyle name="Hed Top - SECTION 2 2 6 6 9" xfId="22449" xr:uid="{00000000-0005-0000-0000-0000405F0000}"/>
    <cellStyle name="Hed Top - SECTION 2 2 6 6 9 2" xfId="22450" xr:uid="{00000000-0005-0000-0000-0000415F0000}"/>
    <cellStyle name="Hed Top - SECTION 2 2 6 7" xfId="22451" xr:uid="{00000000-0005-0000-0000-0000425F0000}"/>
    <cellStyle name="Hed Top - SECTION 2 2 6 7 10" xfId="22452" xr:uid="{00000000-0005-0000-0000-0000435F0000}"/>
    <cellStyle name="Hed Top - SECTION 2 2 6 7 2" xfId="22453" xr:uid="{00000000-0005-0000-0000-0000445F0000}"/>
    <cellStyle name="Hed Top - SECTION 2 2 6 7 2 2" xfId="22454" xr:uid="{00000000-0005-0000-0000-0000455F0000}"/>
    <cellStyle name="Hed Top - SECTION 2 2 6 7 3" xfId="22455" xr:uid="{00000000-0005-0000-0000-0000465F0000}"/>
    <cellStyle name="Hed Top - SECTION 2 2 6 7 3 2" xfId="22456" xr:uid="{00000000-0005-0000-0000-0000475F0000}"/>
    <cellStyle name="Hed Top - SECTION 2 2 6 7 4" xfId="22457" xr:uid="{00000000-0005-0000-0000-0000485F0000}"/>
    <cellStyle name="Hed Top - SECTION 2 2 6 7 4 2" xfId="22458" xr:uid="{00000000-0005-0000-0000-0000495F0000}"/>
    <cellStyle name="Hed Top - SECTION 2 2 6 7 5" xfId="22459" xr:uid="{00000000-0005-0000-0000-00004A5F0000}"/>
    <cellStyle name="Hed Top - SECTION 2 2 6 7 5 2" xfId="22460" xr:uid="{00000000-0005-0000-0000-00004B5F0000}"/>
    <cellStyle name="Hed Top - SECTION 2 2 6 7 6" xfId="22461" xr:uid="{00000000-0005-0000-0000-00004C5F0000}"/>
    <cellStyle name="Hed Top - SECTION 2 2 6 7 6 2" xfId="22462" xr:uid="{00000000-0005-0000-0000-00004D5F0000}"/>
    <cellStyle name="Hed Top - SECTION 2 2 6 7 7" xfId="22463" xr:uid="{00000000-0005-0000-0000-00004E5F0000}"/>
    <cellStyle name="Hed Top - SECTION 2 2 6 7 7 2" xfId="22464" xr:uid="{00000000-0005-0000-0000-00004F5F0000}"/>
    <cellStyle name="Hed Top - SECTION 2 2 6 7 8" xfId="22465" xr:uid="{00000000-0005-0000-0000-0000505F0000}"/>
    <cellStyle name="Hed Top - SECTION 2 2 6 7 8 2" xfId="22466" xr:uid="{00000000-0005-0000-0000-0000515F0000}"/>
    <cellStyle name="Hed Top - SECTION 2 2 6 7 9" xfId="22467" xr:uid="{00000000-0005-0000-0000-0000525F0000}"/>
    <cellStyle name="Hed Top - SECTION 2 2 6 7 9 2" xfId="22468" xr:uid="{00000000-0005-0000-0000-0000535F0000}"/>
    <cellStyle name="Hed Top - SECTION 2 2 6 8" xfId="22469" xr:uid="{00000000-0005-0000-0000-0000545F0000}"/>
    <cellStyle name="Hed Top - SECTION 2 2 6 8 10" xfId="22470" xr:uid="{00000000-0005-0000-0000-0000555F0000}"/>
    <cellStyle name="Hed Top - SECTION 2 2 6 8 2" xfId="22471" xr:uid="{00000000-0005-0000-0000-0000565F0000}"/>
    <cellStyle name="Hed Top - SECTION 2 2 6 8 2 2" xfId="22472" xr:uid="{00000000-0005-0000-0000-0000575F0000}"/>
    <cellStyle name="Hed Top - SECTION 2 2 6 8 3" xfId="22473" xr:uid="{00000000-0005-0000-0000-0000585F0000}"/>
    <cellStyle name="Hed Top - SECTION 2 2 6 8 3 2" xfId="22474" xr:uid="{00000000-0005-0000-0000-0000595F0000}"/>
    <cellStyle name="Hed Top - SECTION 2 2 6 8 4" xfId="22475" xr:uid="{00000000-0005-0000-0000-00005A5F0000}"/>
    <cellStyle name="Hed Top - SECTION 2 2 6 8 4 2" xfId="22476" xr:uid="{00000000-0005-0000-0000-00005B5F0000}"/>
    <cellStyle name="Hed Top - SECTION 2 2 6 8 5" xfId="22477" xr:uid="{00000000-0005-0000-0000-00005C5F0000}"/>
    <cellStyle name="Hed Top - SECTION 2 2 6 8 5 2" xfId="22478" xr:uid="{00000000-0005-0000-0000-00005D5F0000}"/>
    <cellStyle name="Hed Top - SECTION 2 2 6 8 6" xfId="22479" xr:uid="{00000000-0005-0000-0000-00005E5F0000}"/>
    <cellStyle name="Hed Top - SECTION 2 2 6 8 6 2" xfId="22480" xr:uid="{00000000-0005-0000-0000-00005F5F0000}"/>
    <cellStyle name="Hed Top - SECTION 2 2 6 8 7" xfId="22481" xr:uid="{00000000-0005-0000-0000-0000605F0000}"/>
    <cellStyle name="Hed Top - SECTION 2 2 6 8 7 2" xfId="22482" xr:uid="{00000000-0005-0000-0000-0000615F0000}"/>
    <cellStyle name="Hed Top - SECTION 2 2 6 8 8" xfId="22483" xr:uid="{00000000-0005-0000-0000-0000625F0000}"/>
    <cellStyle name="Hed Top - SECTION 2 2 6 8 8 2" xfId="22484" xr:uid="{00000000-0005-0000-0000-0000635F0000}"/>
    <cellStyle name="Hed Top - SECTION 2 2 6 8 9" xfId="22485" xr:uid="{00000000-0005-0000-0000-0000645F0000}"/>
    <cellStyle name="Hed Top - SECTION 2 2 6 8 9 2" xfId="22486" xr:uid="{00000000-0005-0000-0000-0000655F0000}"/>
    <cellStyle name="Hed Top - SECTION 2 2 6 9" xfId="22487" xr:uid="{00000000-0005-0000-0000-0000665F0000}"/>
    <cellStyle name="Hed Top - SECTION 2 2 6 9 10" xfId="22488" xr:uid="{00000000-0005-0000-0000-0000675F0000}"/>
    <cellStyle name="Hed Top - SECTION 2 2 6 9 2" xfId="22489" xr:uid="{00000000-0005-0000-0000-0000685F0000}"/>
    <cellStyle name="Hed Top - SECTION 2 2 6 9 2 2" xfId="22490" xr:uid="{00000000-0005-0000-0000-0000695F0000}"/>
    <cellStyle name="Hed Top - SECTION 2 2 6 9 3" xfId="22491" xr:uid="{00000000-0005-0000-0000-00006A5F0000}"/>
    <cellStyle name="Hed Top - SECTION 2 2 6 9 3 2" xfId="22492" xr:uid="{00000000-0005-0000-0000-00006B5F0000}"/>
    <cellStyle name="Hed Top - SECTION 2 2 6 9 4" xfId="22493" xr:uid="{00000000-0005-0000-0000-00006C5F0000}"/>
    <cellStyle name="Hed Top - SECTION 2 2 6 9 4 2" xfId="22494" xr:uid="{00000000-0005-0000-0000-00006D5F0000}"/>
    <cellStyle name="Hed Top - SECTION 2 2 6 9 5" xfId="22495" xr:uid="{00000000-0005-0000-0000-00006E5F0000}"/>
    <cellStyle name="Hed Top - SECTION 2 2 6 9 5 2" xfId="22496" xr:uid="{00000000-0005-0000-0000-00006F5F0000}"/>
    <cellStyle name="Hed Top - SECTION 2 2 6 9 6" xfId="22497" xr:uid="{00000000-0005-0000-0000-0000705F0000}"/>
    <cellStyle name="Hed Top - SECTION 2 2 6 9 6 2" xfId="22498" xr:uid="{00000000-0005-0000-0000-0000715F0000}"/>
    <cellStyle name="Hed Top - SECTION 2 2 6 9 7" xfId="22499" xr:uid="{00000000-0005-0000-0000-0000725F0000}"/>
    <cellStyle name="Hed Top - SECTION 2 2 6 9 7 2" xfId="22500" xr:uid="{00000000-0005-0000-0000-0000735F0000}"/>
    <cellStyle name="Hed Top - SECTION 2 2 6 9 8" xfId="22501" xr:uid="{00000000-0005-0000-0000-0000745F0000}"/>
    <cellStyle name="Hed Top - SECTION 2 2 6 9 8 2" xfId="22502" xr:uid="{00000000-0005-0000-0000-0000755F0000}"/>
    <cellStyle name="Hed Top - SECTION 2 2 6 9 9" xfId="22503" xr:uid="{00000000-0005-0000-0000-0000765F0000}"/>
    <cellStyle name="Hed Top - SECTION 2 2 6 9 9 2" xfId="22504" xr:uid="{00000000-0005-0000-0000-0000775F0000}"/>
    <cellStyle name="Hed Top - SECTION 2 2 7" xfId="22505" xr:uid="{00000000-0005-0000-0000-0000785F0000}"/>
    <cellStyle name="Hed Top - SECTION 2 2 7 10" xfId="22506" xr:uid="{00000000-0005-0000-0000-0000795F0000}"/>
    <cellStyle name="Hed Top - SECTION 2 2 7 10 2" xfId="22507" xr:uid="{00000000-0005-0000-0000-00007A5F0000}"/>
    <cellStyle name="Hed Top - SECTION 2 2 7 10 2 2" xfId="22508" xr:uid="{00000000-0005-0000-0000-00007B5F0000}"/>
    <cellStyle name="Hed Top - SECTION 2 2 7 10 3" xfId="22509" xr:uid="{00000000-0005-0000-0000-00007C5F0000}"/>
    <cellStyle name="Hed Top - SECTION 2 2 7 10 3 2" xfId="22510" xr:uid="{00000000-0005-0000-0000-00007D5F0000}"/>
    <cellStyle name="Hed Top - SECTION 2 2 7 10 4" xfId="22511" xr:uid="{00000000-0005-0000-0000-00007E5F0000}"/>
    <cellStyle name="Hed Top - SECTION 2 2 7 10 4 2" xfId="22512" xr:uid="{00000000-0005-0000-0000-00007F5F0000}"/>
    <cellStyle name="Hed Top - SECTION 2 2 7 10 5" xfId="22513" xr:uid="{00000000-0005-0000-0000-0000805F0000}"/>
    <cellStyle name="Hed Top - SECTION 2 2 7 10 5 2" xfId="22514" xr:uid="{00000000-0005-0000-0000-0000815F0000}"/>
    <cellStyle name="Hed Top - SECTION 2 2 7 10 6" xfId="22515" xr:uid="{00000000-0005-0000-0000-0000825F0000}"/>
    <cellStyle name="Hed Top - SECTION 2 2 7 10 6 2" xfId="22516" xr:uid="{00000000-0005-0000-0000-0000835F0000}"/>
    <cellStyle name="Hed Top - SECTION 2 2 7 10 7" xfId="22517" xr:uid="{00000000-0005-0000-0000-0000845F0000}"/>
    <cellStyle name="Hed Top - SECTION 2 2 7 10 7 2" xfId="22518" xr:uid="{00000000-0005-0000-0000-0000855F0000}"/>
    <cellStyle name="Hed Top - SECTION 2 2 7 10 8" xfId="22519" xr:uid="{00000000-0005-0000-0000-0000865F0000}"/>
    <cellStyle name="Hed Top - SECTION 2 2 7 10 8 2" xfId="22520" xr:uid="{00000000-0005-0000-0000-0000875F0000}"/>
    <cellStyle name="Hed Top - SECTION 2 2 7 10 9" xfId="22521" xr:uid="{00000000-0005-0000-0000-0000885F0000}"/>
    <cellStyle name="Hed Top - SECTION 2 2 7 11" xfId="22522" xr:uid="{00000000-0005-0000-0000-0000895F0000}"/>
    <cellStyle name="Hed Top - SECTION 2 2 7 11 2" xfId="22523" xr:uid="{00000000-0005-0000-0000-00008A5F0000}"/>
    <cellStyle name="Hed Top - SECTION 2 2 7 12" xfId="22524" xr:uid="{00000000-0005-0000-0000-00008B5F0000}"/>
    <cellStyle name="Hed Top - SECTION 2 2 7 12 2" xfId="22525" xr:uid="{00000000-0005-0000-0000-00008C5F0000}"/>
    <cellStyle name="Hed Top - SECTION 2 2 7 13" xfId="22526" xr:uid="{00000000-0005-0000-0000-00008D5F0000}"/>
    <cellStyle name="Hed Top - SECTION 2 2 7 13 2" xfId="22527" xr:uid="{00000000-0005-0000-0000-00008E5F0000}"/>
    <cellStyle name="Hed Top - SECTION 2 2 7 14" xfId="22528" xr:uid="{00000000-0005-0000-0000-00008F5F0000}"/>
    <cellStyle name="Hed Top - SECTION 2 2 7 14 2" xfId="22529" xr:uid="{00000000-0005-0000-0000-0000905F0000}"/>
    <cellStyle name="Hed Top - SECTION 2 2 7 15" xfId="22530" xr:uid="{00000000-0005-0000-0000-0000915F0000}"/>
    <cellStyle name="Hed Top - SECTION 2 2 7 15 2" xfId="22531" xr:uid="{00000000-0005-0000-0000-0000925F0000}"/>
    <cellStyle name="Hed Top - SECTION 2 2 7 16" xfId="22532" xr:uid="{00000000-0005-0000-0000-0000935F0000}"/>
    <cellStyle name="Hed Top - SECTION 2 2 7 16 2" xfId="22533" xr:uid="{00000000-0005-0000-0000-0000945F0000}"/>
    <cellStyle name="Hed Top - SECTION 2 2 7 17" xfId="22534" xr:uid="{00000000-0005-0000-0000-0000955F0000}"/>
    <cellStyle name="Hed Top - SECTION 2 2 7 17 2" xfId="22535" xr:uid="{00000000-0005-0000-0000-0000965F0000}"/>
    <cellStyle name="Hed Top - SECTION 2 2 7 18" xfId="22536" xr:uid="{00000000-0005-0000-0000-0000975F0000}"/>
    <cellStyle name="Hed Top - SECTION 2 2 7 2" xfId="22537" xr:uid="{00000000-0005-0000-0000-0000985F0000}"/>
    <cellStyle name="Hed Top - SECTION 2 2 7 2 10" xfId="22538" xr:uid="{00000000-0005-0000-0000-0000995F0000}"/>
    <cellStyle name="Hed Top - SECTION 2 2 7 2 2" xfId="22539" xr:uid="{00000000-0005-0000-0000-00009A5F0000}"/>
    <cellStyle name="Hed Top - SECTION 2 2 7 2 2 2" xfId="22540" xr:uid="{00000000-0005-0000-0000-00009B5F0000}"/>
    <cellStyle name="Hed Top - SECTION 2 2 7 2 3" xfId="22541" xr:uid="{00000000-0005-0000-0000-00009C5F0000}"/>
    <cellStyle name="Hed Top - SECTION 2 2 7 2 3 2" xfId="22542" xr:uid="{00000000-0005-0000-0000-00009D5F0000}"/>
    <cellStyle name="Hed Top - SECTION 2 2 7 2 4" xfId="22543" xr:uid="{00000000-0005-0000-0000-00009E5F0000}"/>
    <cellStyle name="Hed Top - SECTION 2 2 7 2 4 2" xfId="22544" xr:uid="{00000000-0005-0000-0000-00009F5F0000}"/>
    <cellStyle name="Hed Top - SECTION 2 2 7 2 5" xfId="22545" xr:uid="{00000000-0005-0000-0000-0000A05F0000}"/>
    <cellStyle name="Hed Top - SECTION 2 2 7 2 5 2" xfId="22546" xr:uid="{00000000-0005-0000-0000-0000A15F0000}"/>
    <cellStyle name="Hed Top - SECTION 2 2 7 2 6" xfId="22547" xr:uid="{00000000-0005-0000-0000-0000A25F0000}"/>
    <cellStyle name="Hed Top - SECTION 2 2 7 2 6 2" xfId="22548" xr:uid="{00000000-0005-0000-0000-0000A35F0000}"/>
    <cellStyle name="Hed Top - SECTION 2 2 7 2 7" xfId="22549" xr:uid="{00000000-0005-0000-0000-0000A45F0000}"/>
    <cellStyle name="Hed Top - SECTION 2 2 7 2 7 2" xfId="22550" xr:uid="{00000000-0005-0000-0000-0000A55F0000}"/>
    <cellStyle name="Hed Top - SECTION 2 2 7 2 8" xfId="22551" xr:uid="{00000000-0005-0000-0000-0000A65F0000}"/>
    <cellStyle name="Hed Top - SECTION 2 2 7 2 8 2" xfId="22552" xr:uid="{00000000-0005-0000-0000-0000A75F0000}"/>
    <cellStyle name="Hed Top - SECTION 2 2 7 2 9" xfId="22553" xr:uid="{00000000-0005-0000-0000-0000A85F0000}"/>
    <cellStyle name="Hed Top - SECTION 2 2 7 2 9 2" xfId="22554" xr:uid="{00000000-0005-0000-0000-0000A95F0000}"/>
    <cellStyle name="Hed Top - SECTION 2 2 7 3" xfId="22555" xr:uid="{00000000-0005-0000-0000-0000AA5F0000}"/>
    <cellStyle name="Hed Top - SECTION 2 2 7 3 10" xfId="22556" xr:uid="{00000000-0005-0000-0000-0000AB5F0000}"/>
    <cellStyle name="Hed Top - SECTION 2 2 7 3 2" xfId="22557" xr:uid="{00000000-0005-0000-0000-0000AC5F0000}"/>
    <cellStyle name="Hed Top - SECTION 2 2 7 3 2 2" xfId="22558" xr:uid="{00000000-0005-0000-0000-0000AD5F0000}"/>
    <cellStyle name="Hed Top - SECTION 2 2 7 3 3" xfId="22559" xr:uid="{00000000-0005-0000-0000-0000AE5F0000}"/>
    <cellStyle name="Hed Top - SECTION 2 2 7 3 3 2" xfId="22560" xr:uid="{00000000-0005-0000-0000-0000AF5F0000}"/>
    <cellStyle name="Hed Top - SECTION 2 2 7 3 4" xfId="22561" xr:uid="{00000000-0005-0000-0000-0000B05F0000}"/>
    <cellStyle name="Hed Top - SECTION 2 2 7 3 4 2" xfId="22562" xr:uid="{00000000-0005-0000-0000-0000B15F0000}"/>
    <cellStyle name="Hed Top - SECTION 2 2 7 3 5" xfId="22563" xr:uid="{00000000-0005-0000-0000-0000B25F0000}"/>
    <cellStyle name="Hed Top - SECTION 2 2 7 3 5 2" xfId="22564" xr:uid="{00000000-0005-0000-0000-0000B35F0000}"/>
    <cellStyle name="Hed Top - SECTION 2 2 7 3 6" xfId="22565" xr:uid="{00000000-0005-0000-0000-0000B45F0000}"/>
    <cellStyle name="Hed Top - SECTION 2 2 7 3 6 2" xfId="22566" xr:uid="{00000000-0005-0000-0000-0000B55F0000}"/>
    <cellStyle name="Hed Top - SECTION 2 2 7 3 7" xfId="22567" xr:uid="{00000000-0005-0000-0000-0000B65F0000}"/>
    <cellStyle name="Hed Top - SECTION 2 2 7 3 7 2" xfId="22568" xr:uid="{00000000-0005-0000-0000-0000B75F0000}"/>
    <cellStyle name="Hed Top - SECTION 2 2 7 3 8" xfId="22569" xr:uid="{00000000-0005-0000-0000-0000B85F0000}"/>
    <cellStyle name="Hed Top - SECTION 2 2 7 3 8 2" xfId="22570" xr:uid="{00000000-0005-0000-0000-0000B95F0000}"/>
    <cellStyle name="Hed Top - SECTION 2 2 7 3 9" xfId="22571" xr:uid="{00000000-0005-0000-0000-0000BA5F0000}"/>
    <cellStyle name="Hed Top - SECTION 2 2 7 3 9 2" xfId="22572" xr:uid="{00000000-0005-0000-0000-0000BB5F0000}"/>
    <cellStyle name="Hed Top - SECTION 2 2 7 4" xfId="22573" xr:uid="{00000000-0005-0000-0000-0000BC5F0000}"/>
    <cellStyle name="Hed Top - SECTION 2 2 7 4 10" xfId="22574" xr:uid="{00000000-0005-0000-0000-0000BD5F0000}"/>
    <cellStyle name="Hed Top - SECTION 2 2 7 4 2" xfId="22575" xr:uid="{00000000-0005-0000-0000-0000BE5F0000}"/>
    <cellStyle name="Hed Top - SECTION 2 2 7 4 2 2" xfId="22576" xr:uid="{00000000-0005-0000-0000-0000BF5F0000}"/>
    <cellStyle name="Hed Top - SECTION 2 2 7 4 3" xfId="22577" xr:uid="{00000000-0005-0000-0000-0000C05F0000}"/>
    <cellStyle name="Hed Top - SECTION 2 2 7 4 3 2" xfId="22578" xr:uid="{00000000-0005-0000-0000-0000C15F0000}"/>
    <cellStyle name="Hed Top - SECTION 2 2 7 4 4" xfId="22579" xr:uid="{00000000-0005-0000-0000-0000C25F0000}"/>
    <cellStyle name="Hed Top - SECTION 2 2 7 4 4 2" xfId="22580" xr:uid="{00000000-0005-0000-0000-0000C35F0000}"/>
    <cellStyle name="Hed Top - SECTION 2 2 7 4 5" xfId="22581" xr:uid="{00000000-0005-0000-0000-0000C45F0000}"/>
    <cellStyle name="Hed Top - SECTION 2 2 7 4 5 2" xfId="22582" xr:uid="{00000000-0005-0000-0000-0000C55F0000}"/>
    <cellStyle name="Hed Top - SECTION 2 2 7 4 6" xfId="22583" xr:uid="{00000000-0005-0000-0000-0000C65F0000}"/>
    <cellStyle name="Hed Top - SECTION 2 2 7 4 6 2" xfId="22584" xr:uid="{00000000-0005-0000-0000-0000C75F0000}"/>
    <cellStyle name="Hed Top - SECTION 2 2 7 4 7" xfId="22585" xr:uid="{00000000-0005-0000-0000-0000C85F0000}"/>
    <cellStyle name="Hed Top - SECTION 2 2 7 4 7 2" xfId="22586" xr:uid="{00000000-0005-0000-0000-0000C95F0000}"/>
    <cellStyle name="Hed Top - SECTION 2 2 7 4 8" xfId="22587" xr:uid="{00000000-0005-0000-0000-0000CA5F0000}"/>
    <cellStyle name="Hed Top - SECTION 2 2 7 4 8 2" xfId="22588" xr:uid="{00000000-0005-0000-0000-0000CB5F0000}"/>
    <cellStyle name="Hed Top - SECTION 2 2 7 4 9" xfId="22589" xr:uid="{00000000-0005-0000-0000-0000CC5F0000}"/>
    <cellStyle name="Hed Top - SECTION 2 2 7 4 9 2" xfId="22590" xr:uid="{00000000-0005-0000-0000-0000CD5F0000}"/>
    <cellStyle name="Hed Top - SECTION 2 2 7 5" xfId="22591" xr:uid="{00000000-0005-0000-0000-0000CE5F0000}"/>
    <cellStyle name="Hed Top - SECTION 2 2 7 5 10" xfId="22592" xr:uid="{00000000-0005-0000-0000-0000CF5F0000}"/>
    <cellStyle name="Hed Top - SECTION 2 2 7 5 2" xfId="22593" xr:uid="{00000000-0005-0000-0000-0000D05F0000}"/>
    <cellStyle name="Hed Top - SECTION 2 2 7 5 2 2" xfId="22594" xr:uid="{00000000-0005-0000-0000-0000D15F0000}"/>
    <cellStyle name="Hed Top - SECTION 2 2 7 5 3" xfId="22595" xr:uid="{00000000-0005-0000-0000-0000D25F0000}"/>
    <cellStyle name="Hed Top - SECTION 2 2 7 5 3 2" xfId="22596" xr:uid="{00000000-0005-0000-0000-0000D35F0000}"/>
    <cellStyle name="Hed Top - SECTION 2 2 7 5 4" xfId="22597" xr:uid="{00000000-0005-0000-0000-0000D45F0000}"/>
    <cellStyle name="Hed Top - SECTION 2 2 7 5 4 2" xfId="22598" xr:uid="{00000000-0005-0000-0000-0000D55F0000}"/>
    <cellStyle name="Hed Top - SECTION 2 2 7 5 5" xfId="22599" xr:uid="{00000000-0005-0000-0000-0000D65F0000}"/>
    <cellStyle name="Hed Top - SECTION 2 2 7 5 5 2" xfId="22600" xr:uid="{00000000-0005-0000-0000-0000D75F0000}"/>
    <cellStyle name="Hed Top - SECTION 2 2 7 5 6" xfId="22601" xr:uid="{00000000-0005-0000-0000-0000D85F0000}"/>
    <cellStyle name="Hed Top - SECTION 2 2 7 5 6 2" xfId="22602" xr:uid="{00000000-0005-0000-0000-0000D95F0000}"/>
    <cellStyle name="Hed Top - SECTION 2 2 7 5 7" xfId="22603" xr:uid="{00000000-0005-0000-0000-0000DA5F0000}"/>
    <cellStyle name="Hed Top - SECTION 2 2 7 5 7 2" xfId="22604" xr:uid="{00000000-0005-0000-0000-0000DB5F0000}"/>
    <cellStyle name="Hed Top - SECTION 2 2 7 5 8" xfId="22605" xr:uid="{00000000-0005-0000-0000-0000DC5F0000}"/>
    <cellStyle name="Hed Top - SECTION 2 2 7 5 8 2" xfId="22606" xr:uid="{00000000-0005-0000-0000-0000DD5F0000}"/>
    <cellStyle name="Hed Top - SECTION 2 2 7 5 9" xfId="22607" xr:uid="{00000000-0005-0000-0000-0000DE5F0000}"/>
    <cellStyle name="Hed Top - SECTION 2 2 7 5 9 2" xfId="22608" xr:uid="{00000000-0005-0000-0000-0000DF5F0000}"/>
    <cellStyle name="Hed Top - SECTION 2 2 7 6" xfId="22609" xr:uid="{00000000-0005-0000-0000-0000E05F0000}"/>
    <cellStyle name="Hed Top - SECTION 2 2 7 6 10" xfId="22610" xr:uid="{00000000-0005-0000-0000-0000E15F0000}"/>
    <cellStyle name="Hed Top - SECTION 2 2 7 6 2" xfId="22611" xr:uid="{00000000-0005-0000-0000-0000E25F0000}"/>
    <cellStyle name="Hed Top - SECTION 2 2 7 6 2 2" xfId="22612" xr:uid="{00000000-0005-0000-0000-0000E35F0000}"/>
    <cellStyle name="Hed Top - SECTION 2 2 7 6 3" xfId="22613" xr:uid="{00000000-0005-0000-0000-0000E45F0000}"/>
    <cellStyle name="Hed Top - SECTION 2 2 7 6 3 2" xfId="22614" xr:uid="{00000000-0005-0000-0000-0000E55F0000}"/>
    <cellStyle name="Hed Top - SECTION 2 2 7 6 4" xfId="22615" xr:uid="{00000000-0005-0000-0000-0000E65F0000}"/>
    <cellStyle name="Hed Top - SECTION 2 2 7 6 4 2" xfId="22616" xr:uid="{00000000-0005-0000-0000-0000E75F0000}"/>
    <cellStyle name="Hed Top - SECTION 2 2 7 6 5" xfId="22617" xr:uid="{00000000-0005-0000-0000-0000E85F0000}"/>
    <cellStyle name="Hed Top - SECTION 2 2 7 6 5 2" xfId="22618" xr:uid="{00000000-0005-0000-0000-0000E95F0000}"/>
    <cellStyle name="Hed Top - SECTION 2 2 7 6 6" xfId="22619" xr:uid="{00000000-0005-0000-0000-0000EA5F0000}"/>
    <cellStyle name="Hed Top - SECTION 2 2 7 6 6 2" xfId="22620" xr:uid="{00000000-0005-0000-0000-0000EB5F0000}"/>
    <cellStyle name="Hed Top - SECTION 2 2 7 6 7" xfId="22621" xr:uid="{00000000-0005-0000-0000-0000EC5F0000}"/>
    <cellStyle name="Hed Top - SECTION 2 2 7 6 7 2" xfId="22622" xr:uid="{00000000-0005-0000-0000-0000ED5F0000}"/>
    <cellStyle name="Hed Top - SECTION 2 2 7 6 8" xfId="22623" xr:uid="{00000000-0005-0000-0000-0000EE5F0000}"/>
    <cellStyle name="Hed Top - SECTION 2 2 7 6 8 2" xfId="22624" xr:uid="{00000000-0005-0000-0000-0000EF5F0000}"/>
    <cellStyle name="Hed Top - SECTION 2 2 7 6 9" xfId="22625" xr:uid="{00000000-0005-0000-0000-0000F05F0000}"/>
    <cellStyle name="Hed Top - SECTION 2 2 7 6 9 2" xfId="22626" xr:uid="{00000000-0005-0000-0000-0000F15F0000}"/>
    <cellStyle name="Hed Top - SECTION 2 2 7 7" xfId="22627" xr:uid="{00000000-0005-0000-0000-0000F25F0000}"/>
    <cellStyle name="Hed Top - SECTION 2 2 7 7 10" xfId="22628" xr:uid="{00000000-0005-0000-0000-0000F35F0000}"/>
    <cellStyle name="Hed Top - SECTION 2 2 7 7 2" xfId="22629" xr:uid="{00000000-0005-0000-0000-0000F45F0000}"/>
    <cellStyle name="Hed Top - SECTION 2 2 7 7 2 2" xfId="22630" xr:uid="{00000000-0005-0000-0000-0000F55F0000}"/>
    <cellStyle name="Hed Top - SECTION 2 2 7 7 3" xfId="22631" xr:uid="{00000000-0005-0000-0000-0000F65F0000}"/>
    <cellStyle name="Hed Top - SECTION 2 2 7 7 3 2" xfId="22632" xr:uid="{00000000-0005-0000-0000-0000F75F0000}"/>
    <cellStyle name="Hed Top - SECTION 2 2 7 7 4" xfId="22633" xr:uid="{00000000-0005-0000-0000-0000F85F0000}"/>
    <cellStyle name="Hed Top - SECTION 2 2 7 7 4 2" xfId="22634" xr:uid="{00000000-0005-0000-0000-0000F95F0000}"/>
    <cellStyle name="Hed Top - SECTION 2 2 7 7 5" xfId="22635" xr:uid="{00000000-0005-0000-0000-0000FA5F0000}"/>
    <cellStyle name="Hed Top - SECTION 2 2 7 7 5 2" xfId="22636" xr:uid="{00000000-0005-0000-0000-0000FB5F0000}"/>
    <cellStyle name="Hed Top - SECTION 2 2 7 7 6" xfId="22637" xr:uid="{00000000-0005-0000-0000-0000FC5F0000}"/>
    <cellStyle name="Hed Top - SECTION 2 2 7 7 6 2" xfId="22638" xr:uid="{00000000-0005-0000-0000-0000FD5F0000}"/>
    <cellStyle name="Hed Top - SECTION 2 2 7 7 7" xfId="22639" xr:uid="{00000000-0005-0000-0000-0000FE5F0000}"/>
    <cellStyle name="Hed Top - SECTION 2 2 7 7 7 2" xfId="22640" xr:uid="{00000000-0005-0000-0000-0000FF5F0000}"/>
    <cellStyle name="Hed Top - SECTION 2 2 7 7 8" xfId="22641" xr:uid="{00000000-0005-0000-0000-000000600000}"/>
    <cellStyle name="Hed Top - SECTION 2 2 7 7 8 2" xfId="22642" xr:uid="{00000000-0005-0000-0000-000001600000}"/>
    <cellStyle name="Hed Top - SECTION 2 2 7 7 9" xfId="22643" xr:uid="{00000000-0005-0000-0000-000002600000}"/>
    <cellStyle name="Hed Top - SECTION 2 2 7 7 9 2" xfId="22644" xr:uid="{00000000-0005-0000-0000-000003600000}"/>
    <cellStyle name="Hed Top - SECTION 2 2 7 8" xfId="22645" xr:uid="{00000000-0005-0000-0000-000004600000}"/>
    <cellStyle name="Hed Top - SECTION 2 2 7 8 10" xfId="22646" xr:uid="{00000000-0005-0000-0000-000005600000}"/>
    <cellStyle name="Hed Top - SECTION 2 2 7 8 2" xfId="22647" xr:uid="{00000000-0005-0000-0000-000006600000}"/>
    <cellStyle name="Hed Top - SECTION 2 2 7 8 2 2" xfId="22648" xr:uid="{00000000-0005-0000-0000-000007600000}"/>
    <cellStyle name="Hed Top - SECTION 2 2 7 8 3" xfId="22649" xr:uid="{00000000-0005-0000-0000-000008600000}"/>
    <cellStyle name="Hed Top - SECTION 2 2 7 8 3 2" xfId="22650" xr:uid="{00000000-0005-0000-0000-000009600000}"/>
    <cellStyle name="Hed Top - SECTION 2 2 7 8 4" xfId="22651" xr:uid="{00000000-0005-0000-0000-00000A600000}"/>
    <cellStyle name="Hed Top - SECTION 2 2 7 8 4 2" xfId="22652" xr:uid="{00000000-0005-0000-0000-00000B600000}"/>
    <cellStyle name="Hed Top - SECTION 2 2 7 8 5" xfId="22653" xr:uid="{00000000-0005-0000-0000-00000C600000}"/>
    <cellStyle name="Hed Top - SECTION 2 2 7 8 5 2" xfId="22654" xr:uid="{00000000-0005-0000-0000-00000D600000}"/>
    <cellStyle name="Hed Top - SECTION 2 2 7 8 6" xfId="22655" xr:uid="{00000000-0005-0000-0000-00000E600000}"/>
    <cellStyle name="Hed Top - SECTION 2 2 7 8 6 2" xfId="22656" xr:uid="{00000000-0005-0000-0000-00000F600000}"/>
    <cellStyle name="Hed Top - SECTION 2 2 7 8 7" xfId="22657" xr:uid="{00000000-0005-0000-0000-000010600000}"/>
    <cellStyle name="Hed Top - SECTION 2 2 7 8 7 2" xfId="22658" xr:uid="{00000000-0005-0000-0000-000011600000}"/>
    <cellStyle name="Hed Top - SECTION 2 2 7 8 8" xfId="22659" xr:uid="{00000000-0005-0000-0000-000012600000}"/>
    <cellStyle name="Hed Top - SECTION 2 2 7 8 8 2" xfId="22660" xr:uid="{00000000-0005-0000-0000-000013600000}"/>
    <cellStyle name="Hed Top - SECTION 2 2 7 8 9" xfId="22661" xr:uid="{00000000-0005-0000-0000-000014600000}"/>
    <cellStyle name="Hed Top - SECTION 2 2 7 8 9 2" xfId="22662" xr:uid="{00000000-0005-0000-0000-000015600000}"/>
    <cellStyle name="Hed Top - SECTION 2 2 7 9" xfId="22663" xr:uid="{00000000-0005-0000-0000-000016600000}"/>
    <cellStyle name="Hed Top - SECTION 2 2 7 9 10" xfId="22664" xr:uid="{00000000-0005-0000-0000-000017600000}"/>
    <cellStyle name="Hed Top - SECTION 2 2 7 9 2" xfId="22665" xr:uid="{00000000-0005-0000-0000-000018600000}"/>
    <cellStyle name="Hed Top - SECTION 2 2 7 9 2 2" xfId="22666" xr:uid="{00000000-0005-0000-0000-000019600000}"/>
    <cellStyle name="Hed Top - SECTION 2 2 7 9 3" xfId="22667" xr:uid="{00000000-0005-0000-0000-00001A600000}"/>
    <cellStyle name="Hed Top - SECTION 2 2 7 9 3 2" xfId="22668" xr:uid="{00000000-0005-0000-0000-00001B600000}"/>
    <cellStyle name="Hed Top - SECTION 2 2 7 9 4" xfId="22669" xr:uid="{00000000-0005-0000-0000-00001C600000}"/>
    <cellStyle name="Hed Top - SECTION 2 2 7 9 4 2" xfId="22670" xr:uid="{00000000-0005-0000-0000-00001D600000}"/>
    <cellStyle name="Hed Top - SECTION 2 2 7 9 5" xfId="22671" xr:uid="{00000000-0005-0000-0000-00001E600000}"/>
    <cellStyle name="Hed Top - SECTION 2 2 7 9 5 2" xfId="22672" xr:uid="{00000000-0005-0000-0000-00001F600000}"/>
    <cellStyle name="Hed Top - SECTION 2 2 7 9 6" xfId="22673" xr:uid="{00000000-0005-0000-0000-000020600000}"/>
    <cellStyle name="Hed Top - SECTION 2 2 7 9 6 2" xfId="22674" xr:uid="{00000000-0005-0000-0000-000021600000}"/>
    <cellStyle name="Hed Top - SECTION 2 2 7 9 7" xfId="22675" xr:uid="{00000000-0005-0000-0000-000022600000}"/>
    <cellStyle name="Hed Top - SECTION 2 2 7 9 7 2" xfId="22676" xr:uid="{00000000-0005-0000-0000-000023600000}"/>
    <cellStyle name="Hed Top - SECTION 2 2 7 9 8" xfId="22677" xr:uid="{00000000-0005-0000-0000-000024600000}"/>
    <cellStyle name="Hed Top - SECTION 2 2 7 9 8 2" xfId="22678" xr:uid="{00000000-0005-0000-0000-000025600000}"/>
    <cellStyle name="Hed Top - SECTION 2 2 7 9 9" xfId="22679" xr:uid="{00000000-0005-0000-0000-000026600000}"/>
    <cellStyle name="Hed Top - SECTION 2 2 7 9 9 2" xfId="22680" xr:uid="{00000000-0005-0000-0000-000027600000}"/>
    <cellStyle name="Hed Top - SECTION 2 3" xfId="176" xr:uid="{00000000-0005-0000-0000-000028600000}"/>
    <cellStyle name="Hed Top - SECTION 2 3 2" xfId="22681" xr:uid="{00000000-0005-0000-0000-000029600000}"/>
    <cellStyle name="Hed Top - SECTION 2 3 2 10" xfId="22682" xr:uid="{00000000-0005-0000-0000-00002A600000}"/>
    <cellStyle name="Hed Top - SECTION 2 3 2 10 10" xfId="22683" xr:uid="{00000000-0005-0000-0000-00002B600000}"/>
    <cellStyle name="Hed Top - SECTION 2 3 2 10 2" xfId="22684" xr:uid="{00000000-0005-0000-0000-00002C600000}"/>
    <cellStyle name="Hed Top - SECTION 2 3 2 10 2 2" xfId="22685" xr:uid="{00000000-0005-0000-0000-00002D600000}"/>
    <cellStyle name="Hed Top - SECTION 2 3 2 10 3" xfId="22686" xr:uid="{00000000-0005-0000-0000-00002E600000}"/>
    <cellStyle name="Hed Top - SECTION 2 3 2 10 3 2" xfId="22687" xr:uid="{00000000-0005-0000-0000-00002F600000}"/>
    <cellStyle name="Hed Top - SECTION 2 3 2 10 4" xfId="22688" xr:uid="{00000000-0005-0000-0000-000030600000}"/>
    <cellStyle name="Hed Top - SECTION 2 3 2 10 4 2" xfId="22689" xr:uid="{00000000-0005-0000-0000-000031600000}"/>
    <cellStyle name="Hed Top - SECTION 2 3 2 10 5" xfId="22690" xr:uid="{00000000-0005-0000-0000-000032600000}"/>
    <cellStyle name="Hed Top - SECTION 2 3 2 10 5 2" xfId="22691" xr:uid="{00000000-0005-0000-0000-000033600000}"/>
    <cellStyle name="Hed Top - SECTION 2 3 2 10 6" xfId="22692" xr:uid="{00000000-0005-0000-0000-000034600000}"/>
    <cellStyle name="Hed Top - SECTION 2 3 2 10 6 2" xfId="22693" xr:uid="{00000000-0005-0000-0000-000035600000}"/>
    <cellStyle name="Hed Top - SECTION 2 3 2 10 7" xfId="22694" xr:uid="{00000000-0005-0000-0000-000036600000}"/>
    <cellStyle name="Hed Top - SECTION 2 3 2 10 7 2" xfId="22695" xr:uid="{00000000-0005-0000-0000-000037600000}"/>
    <cellStyle name="Hed Top - SECTION 2 3 2 10 8" xfId="22696" xr:uid="{00000000-0005-0000-0000-000038600000}"/>
    <cellStyle name="Hed Top - SECTION 2 3 2 10 8 2" xfId="22697" xr:uid="{00000000-0005-0000-0000-000039600000}"/>
    <cellStyle name="Hed Top - SECTION 2 3 2 10 9" xfId="22698" xr:uid="{00000000-0005-0000-0000-00003A600000}"/>
    <cellStyle name="Hed Top - SECTION 2 3 2 10 9 2" xfId="22699" xr:uid="{00000000-0005-0000-0000-00003B600000}"/>
    <cellStyle name="Hed Top - SECTION 2 3 2 11" xfId="22700" xr:uid="{00000000-0005-0000-0000-00003C600000}"/>
    <cellStyle name="Hed Top - SECTION 2 3 2 11 2" xfId="22701" xr:uid="{00000000-0005-0000-0000-00003D600000}"/>
    <cellStyle name="Hed Top - SECTION 2 3 2 11 2 2" xfId="22702" xr:uid="{00000000-0005-0000-0000-00003E600000}"/>
    <cellStyle name="Hed Top - SECTION 2 3 2 11 3" xfId="22703" xr:uid="{00000000-0005-0000-0000-00003F600000}"/>
    <cellStyle name="Hed Top - SECTION 2 3 2 11 3 2" xfId="22704" xr:uid="{00000000-0005-0000-0000-000040600000}"/>
    <cellStyle name="Hed Top - SECTION 2 3 2 11 4" xfId="22705" xr:uid="{00000000-0005-0000-0000-000041600000}"/>
    <cellStyle name="Hed Top - SECTION 2 3 2 11 4 2" xfId="22706" xr:uid="{00000000-0005-0000-0000-000042600000}"/>
    <cellStyle name="Hed Top - SECTION 2 3 2 11 5" xfId="22707" xr:uid="{00000000-0005-0000-0000-000043600000}"/>
    <cellStyle name="Hed Top - SECTION 2 3 2 11 5 2" xfId="22708" xr:uid="{00000000-0005-0000-0000-000044600000}"/>
    <cellStyle name="Hed Top - SECTION 2 3 2 11 6" xfId="22709" xr:uid="{00000000-0005-0000-0000-000045600000}"/>
    <cellStyle name="Hed Top - SECTION 2 3 2 11 6 2" xfId="22710" xr:uid="{00000000-0005-0000-0000-000046600000}"/>
    <cellStyle name="Hed Top - SECTION 2 3 2 11 7" xfId="22711" xr:uid="{00000000-0005-0000-0000-000047600000}"/>
    <cellStyle name="Hed Top - SECTION 2 3 2 11 7 2" xfId="22712" xr:uid="{00000000-0005-0000-0000-000048600000}"/>
    <cellStyle name="Hed Top - SECTION 2 3 2 11 8" xfId="22713" xr:uid="{00000000-0005-0000-0000-000049600000}"/>
    <cellStyle name="Hed Top - SECTION 2 3 2 11 8 2" xfId="22714" xr:uid="{00000000-0005-0000-0000-00004A600000}"/>
    <cellStyle name="Hed Top - SECTION 2 3 2 11 9" xfId="22715" xr:uid="{00000000-0005-0000-0000-00004B600000}"/>
    <cellStyle name="Hed Top - SECTION 2 3 2 2" xfId="22716" xr:uid="{00000000-0005-0000-0000-00004C600000}"/>
    <cellStyle name="Hed Top - SECTION 2 3 2 2 10" xfId="22717" xr:uid="{00000000-0005-0000-0000-00004D600000}"/>
    <cellStyle name="Hed Top - SECTION 2 3 2 2 2" xfId="22718" xr:uid="{00000000-0005-0000-0000-00004E600000}"/>
    <cellStyle name="Hed Top - SECTION 2 3 2 2 2 2" xfId="22719" xr:uid="{00000000-0005-0000-0000-00004F600000}"/>
    <cellStyle name="Hed Top - SECTION 2 3 2 2 3" xfId="22720" xr:uid="{00000000-0005-0000-0000-000050600000}"/>
    <cellStyle name="Hed Top - SECTION 2 3 2 2 3 2" xfId="22721" xr:uid="{00000000-0005-0000-0000-000051600000}"/>
    <cellStyle name="Hed Top - SECTION 2 3 2 2 4" xfId="22722" xr:uid="{00000000-0005-0000-0000-000052600000}"/>
    <cellStyle name="Hed Top - SECTION 2 3 2 2 4 2" xfId="22723" xr:uid="{00000000-0005-0000-0000-000053600000}"/>
    <cellStyle name="Hed Top - SECTION 2 3 2 2 5" xfId="22724" xr:uid="{00000000-0005-0000-0000-000054600000}"/>
    <cellStyle name="Hed Top - SECTION 2 3 2 2 5 2" xfId="22725" xr:uid="{00000000-0005-0000-0000-000055600000}"/>
    <cellStyle name="Hed Top - SECTION 2 3 2 2 6" xfId="22726" xr:uid="{00000000-0005-0000-0000-000056600000}"/>
    <cellStyle name="Hed Top - SECTION 2 3 2 2 6 2" xfId="22727" xr:uid="{00000000-0005-0000-0000-000057600000}"/>
    <cellStyle name="Hed Top - SECTION 2 3 2 2 7" xfId="22728" xr:uid="{00000000-0005-0000-0000-000058600000}"/>
    <cellStyle name="Hed Top - SECTION 2 3 2 2 7 2" xfId="22729" xr:uid="{00000000-0005-0000-0000-000059600000}"/>
    <cellStyle name="Hed Top - SECTION 2 3 2 2 8" xfId="22730" xr:uid="{00000000-0005-0000-0000-00005A600000}"/>
    <cellStyle name="Hed Top - SECTION 2 3 2 2 8 2" xfId="22731" xr:uid="{00000000-0005-0000-0000-00005B600000}"/>
    <cellStyle name="Hed Top - SECTION 2 3 2 2 9" xfId="22732" xr:uid="{00000000-0005-0000-0000-00005C600000}"/>
    <cellStyle name="Hed Top - SECTION 2 3 2 2 9 2" xfId="22733" xr:uid="{00000000-0005-0000-0000-00005D600000}"/>
    <cellStyle name="Hed Top - SECTION 2 3 2 3" xfId="22734" xr:uid="{00000000-0005-0000-0000-00005E600000}"/>
    <cellStyle name="Hed Top - SECTION 2 3 2 3 10" xfId="22735" xr:uid="{00000000-0005-0000-0000-00005F600000}"/>
    <cellStyle name="Hed Top - SECTION 2 3 2 3 2" xfId="22736" xr:uid="{00000000-0005-0000-0000-000060600000}"/>
    <cellStyle name="Hed Top - SECTION 2 3 2 3 2 2" xfId="22737" xr:uid="{00000000-0005-0000-0000-000061600000}"/>
    <cellStyle name="Hed Top - SECTION 2 3 2 3 3" xfId="22738" xr:uid="{00000000-0005-0000-0000-000062600000}"/>
    <cellStyle name="Hed Top - SECTION 2 3 2 3 3 2" xfId="22739" xr:uid="{00000000-0005-0000-0000-000063600000}"/>
    <cellStyle name="Hed Top - SECTION 2 3 2 3 4" xfId="22740" xr:uid="{00000000-0005-0000-0000-000064600000}"/>
    <cellStyle name="Hed Top - SECTION 2 3 2 3 4 2" xfId="22741" xr:uid="{00000000-0005-0000-0000-000065600000}"/>
    <cellStyle name="Hed Top - SECTION 2 3 2 3 5" xfId="22742" xr:uid="{00000000-0005-0000-0000-000066600000}"/>
    <cellStyle name="Hed Top - SECTION 2 3 2 3 5 2" xfId="22743" xr:uid="{00000000-0005-0000-0000-000067600000}"/>
    <cellStyle name="Hed Top - SECTION 2 3 2 3 6" xfId="22744" xr:uid="{00000000-0005-0000-0000-000068600000}"/>
    <cellStyle name="Hed Top - SECTION 2 3 2 3 6 2" xfId="22745" xr:uid="{00000000-0005-0000-0000-000069600000}"/>
    <cellStyle name="Hed Top - SECTION 2 3 2 3 7" xfId="22746" xr:uid="{00000000-0005-0000-0000-00006A600000}"/>
    <cellStyle name="Hed Top - SECTION 2 3 2 3 7 2" xfId="22747" xr:uid="{00000000-0005-0000-0000-00006B600000}"/>
    <cellStyle name="Hed Top - SECTION 2 3 2 3 8" xfId="22748" xr:uid="{00000000-0005-0000-0000-00006C600000}"/>
    <cellStyle name="Hed Top - SECTION 2 3 2 3 8 2" xfId="22749" xr:uid="{00000000-0005-0000-0000-00006D600000}"/>
    <cellStyle name="Hed Top - SECTION 2 3 2 3 9" xfId="22750" xr:uid="{00000000-0005-0000-0000-00006E600000}"/>
    <cellStyle name="Hed Top - SECTION 2 3 2 3 9 2" xfId="22751" xr:uid="{00000000-0005-0000-0000-00006F600000}"/>
    <cellStyle name="Hed Top - SECTION 2 3 2 4" xfId="22752" xr:uid="{00000000-0005-0000-0000-000070600000}"/>
    <cellStyle name="Hed Top - SECTION 2 3 2 4 10" xfId="22753" xr:uid="{00000000-0005-0000-0000-000071600000}"/>
    <cellStyle name="Hed Top - SECTION 2 3 2 4 2" xfId="22754" xr:uid="{00000000-0005-0000-0000-000072600000}"/>
    <cellStyle name="Hed Top - SECTION 2 3 2 4 2 2" xfId="22755" xr:uid="{00000000-0005-0000-0000-000073600000}"/>
    <cellStyle name="Hed Top - SECTION 2 3 2 4 3" xfId="22756" xr:uid="{00000000-0005-0000-0000-000074600000}"/>
    <cellStyle name="Hed Top - SECTION 2 3 2 4 3 2" xfId="22757" xr:uid="{00000000-0005-0000-0000-000075600000}"/>
    <cellStyle name="Hed Top - SECTION 2 3 2 4 4" xfId="22758" xr:uid="{00000000-0005-0000-0000-000076600000}"/>
    <cellStyle name="Hed Top - SECTION 2 3 2 4 4 2" xfId="22759" xr:uid="{00000000-0005-0000-0000-000077600000}"/>
    <cellStyle name="Hed Top - SECTION 2 3 2 4 5" xfId="22760" xr:uid="{00000000-0005-0000-0000-000078600000}"/>
    <cellStyle name="Hed Top - SECTION 2 3 2 4 5 2" xfId="22761" xr:uid="{00000000-0005-0000-0000-000079600000}"/>
    <cellStyle name="Hed Top - SECTION 2 3 2 4 6" xfId="22762" xr:uid="{00000000-0005-0000-0000-00007A600000}"/>
    <cellStyle name="Hed Top - SECTION 2 3 2 4 6 2" xfId="22763" xr:uid="{00000000-0005-0000-0000-00007B600000}"/>
    <cellStyle name="Hed Top - SECTION 2 3 2 4 7" xfId="22764" xr:uid="{00000000-0005-0000-0000-00007C600000}"/>
    <cellStyle name="Hed Top - SECTION 2 3 2 4 7 2" xfId="22765" xr:uid="{00000000-0005-0000-0000-00007D600000}"/>
    <cellStyle name="Hed Top - SECTION 2 3 2 4 8" xfId="22766" xr:uid="{00000000-0005-0000-0000-00007E600000}"/>
    <cellStyle name="Hed Top - SECTION 2 3 2 4 8 2" xfId="22767" xr:uid="{00000000-0005-0000-0000-00007F600000}"/>
    <cellStyle name="Hed Top - SECTION 2 3 2 4 9" xfId="22768" xr:uid="{00000000-0005-0000-0000-000080600000}"/>
    <cellStyle name="Hed Top - SECTION 2 3 2 4 9 2" xfId="22769" xr:uid="{00000000-0005-0000-0000-000081600000}"/>
    <cellStyle name="Hed Top - SECTION 2 3 2 5" xfId="22770" xr:uid="{00000000-0005-0000-0000-000082600000}"/>
    <cellStyle name="Hed Top - SECTION 2 3 2 5 10" xfId="22771" xr:uid="{00000000-0005-0000-0000-000083600000}"/>
    <cellStyle name="Hed Top - SECTION 2 3 2 5 2" xfId="22772" xr:uid="{00000000-0005-0000-0000-000084600000}"/>
    <cellStyle name="Hed Top - SECTION 2 3 2 5 2 2" xfId="22773" xr:uid="{00000000-0005-0000-0000-000085600000}"/>
    <cellStyle name="Hed Top - SECTION 2 3 2 5 3" xfId="22774" xr:uid="{00000000-0005-0000-0000-000086600000}"/>
    <cellStyle name="Hed Top - SECTION 2 3 2 5 3 2" xfId="22775" xr:uid="{00000000-0005-0000-0000-000087600000}"/>
    <cellStyle name="Hed Top - SECTION 2 3 2 5 4" xfId="22776" xr:uid="{00000000-0005-0000-0000-000088600000}"/>
    <cellStyle name="Hed Top - SECTION 2 3 2 5 4 2" xfId="22777" xr:uid="{00000000-0005-0000-0000-000089600000}"/>
    <cellStyle name="Hed Top - SECTION 2 3 2 5 5" xfId="22778" xr:uid="{00000000-0005-0000-0000-00008A600000}"/>
    <cellStyle name="Hed Top - SECTION 2 3 2 5 5 2" xfId="22779" xr:uid="{00000000-0005-0000-0000-00008B600000}"/>
    <cellStyle name="Hed Top - SECTION 2 3 2 5 6" xfId="22780" xr:uid="{00000000-0005-0000-0000-00008C600000}"/>
    <cellStyle name="Hed Top - SECTION 2 3 2 5 6 2" xfId="22781" xr:uid="{00000000-0005-0000-0000-00008D600000}"/>
    <cellStyle name="Hed Top - SECTION 2 3 2 5 7" xfId="22782" xr:uid="{00000000-0005-0000-0000-00008E600000}"/>
    <cellStyle name="Hed Top - SECTION 2 3 2 5 7 2" xfId="22783" xr:uid="{00000000-0005-0000-0000-00008F600000}"/>
    <cellStyle name="Hed Top - SECTION 2 3 2 5 8" xfId="22784" xr:uid="{00000000-0005-0000-0000-000090600000}"/>
    <cellStyle name="Hed Top - SECTION 2 3 2 5 8 2" xfId="22785" xr:uid="{00000000-0005-0000-0000-000091600000}"/>
    <cellStyle name="Hed Top - SECTION 2 3 2 5 9" xfId="22786" xr:uid="{00000000-0005-0000-0000-000092600000}"/>
    <cellStyle name="Hed Top - SECTION 2 3 2 5 9 2" xfId="22787" xr:uid="{00000000-0005-0000-0000-000093600000}"/>
    <cellStyle name="Hed Top - SECTION 2 3 2 6" xfId="22788" xr:uid="{00000000-0005-0000-0000-000094600000}"/>
    <cellStyle name="Hed Top - SECTION 2 3 2 6 10" xfId="22789" xr:uid="{00000000-0005-0000-0000-000095600000}"/>
    <cellStyle name="Hed Top - SECTION 2 3 2 6 2" xfId="22790" xr:uid="{00000000-0005-0000-0000-000096600000}"/>
    <cellStyle name="Hed Top - SECTION 2 3 2 6 2 2" xfId="22791" xr:uid="{00000000-0005-0000-0000-000097600000}"/>
    <cellStyle name="Hed Top - SECTION 2 3 2 6 3" xfId="22792" xr:uid="{00000000-0005-0000-0000-000098600000}"/>
    <cellStyle name="Hed Top - SECTION 2 3 2 6 3 2" xfId="22793" xr:uid="{00000000-0005-0000-0000-000099600000}"/>
    <cellStyle name="Hed Top - SECTION 2 3 2 6 4" xfId="22794" xr:uid="{00000000-0005-0000-0000-00009A600000}"/>
    <cellStyle name="Hed Top - SECTION 2 3 2 6 4 2" xfId="22795" xr:uid="{00000000-0005-0000-0000-00009B600000}"/>
    <cellStyle name="Hed Top - SECTION 2 3 2 6 5" xfId="22796" xr:uid="{00000000-0005-0000-0000-00009C600000}"/>
    <cellStyle name="Hed Top - SECTION 2 3 2 6 5 2" xfId="22797" xr:uid="{00000000-0005-0000-0000-00009D600000}"/>
    <cellStyle name="Hed Top - SECTION 2 3 2 6 6" xfId="22798" xr:uid="{00000000-0005-0000-0000-00009E600000}"/>
    <cellStyle name="Hed Top - SECTION 2 3 2 6 6 2" xfId="22799" xr:uid="{00000000-0005-0000-0000-00009F600000}"/>
    <cellStyle name="Hed Top - SECTION 2 3 2 6 7" xfId="22800" xr:uid="{00000000-0005-0000-0000-0000A0600000}"/>
    <cellStyle name="Hed Top - SECTION 2 3 2 6 7 2" xfId="22801" xr:uid="{00000000-0005-0000-0000-0000A1600000}"/>
    <cellStyle name="Hed Top - SECTION 2 3 2 6 8" xfId="22802" xr:uid="{00000000-0005-0000-0000-0000A2600000}"/>
    <cellStyle name="Hed Top - SECTION 2 3 2 6 8 2" xfId="22803" xr:uid="{00000000-0005-0000-0000-0000A3600000}"/>
    <cellStyle name="Hed Top - SECTION 2 3 2 6 9" xfId="22804" xr:uid="{00000000-0005-0000-0000-0000A4600000}"/>
    <cellStyle name="Hed Top - SECTION 2 3 2 6 9 2" xfId="22805" xr:uid="{00000000-0005-0000-0000-0000A5600000}"/>
    <cellStyle name="Hed Top - SECTION 2 3 2 7" xfId="22806" xr:uid="{00000000-0005-0000-0000-0000A6600000}"/>
    <cellStyle name="Hed Top - SECTION 2 3 2 7 10" xfId="22807" xr:uid="{00000000-0005-0000-0000-0000A7600000}"/>
    <cellStyle name="Hed Top - SECTION 2 3 2 7 2" xfId="22808" xr:uid="{00000000-0005-0000-0000-0000A8600000}"/>
    <cellStyle name="Hed Top - SECTION 2 3 2 7 2 2" xfId="22809" xr:uid="{00000000-0005-0000-0000-0000A9600000}"/>
    <cellStyle name="Hed Top - SECTION 2 3 2 7 3" xfId="22810" xr:uid="{00000000-0005-0000-0000-0000AA600000}"/>
    <cellStyle name="Hed Top - SECTION 2 3 2 7 3 2" xfId="22811" xr:uid="{00000000-0005-0000-0000-0000AB600000}"/>
    <cellStyle name="Hed Top - SECTION 2 3 2 7 4" xfId="22812" xr:uid="{00000000-0005-0000-0000-0000AC600000}"/>
    <cellStyle name="Hed Top - SECTION 2 3 2 7 4 2" xfId="22813" xr:uid="{00000000-0005-0000-0000-0000AD600000}"/>
    <cellStyle name="Hed Top - SECTION 2 3 2 7 5" xfId="22814" xr:uid="{00000000-0005-0000-0000-0000AE600000}"/>
    <cellStyle name="Hed Top - SECTION 2 3 2 7 5 2" xfId="22815" xr:uid="{00000000-0005-0000-0000-0000AF600000}"/>
    <cellStyle name="Hed Top - SECTION 2 3 2 7 6" xfId="22816" xr:uid="{00000000-0005-0000-0000-0000B0600000}"/>
    <cellStyle name="Hed Top - SECTION 2 3 2 7 6 2" xfId="22817" xr:uid="{00000000-0005-0000-0000-0000B1600000}"/>
    <cellStyle name="Hed Top - SECTION 2 3 2 7 7" xfId="22818" xr:uid="{00000000-0005-0000-0000-0000B2600000}"/>
    <cellStyle name="Hed Top - SECTION 2 3 2 7 7 2" xfId="22819" xr:uid="{00000000-0005-0000-0000-0000B3600000}"/>
    <cellStyle name="Hed Top - SECTION 2 3 2 7 8" xfId="22820" xr:uid="{00000000-0005-0000-0000-0000B4600000}"/>
    <cellStyle name="Hed Top - SECTION 2 3 2 7 8 2" xfId="22821" xr:uid="{00000000-0005-0000-0000-0000B5600000}"/>
    <cellStyle name="Hed Top - SECTION 2 3 2 7 9" xfId="22822" xr:uid="{00000000-0005-0000-0000-0000B6600000}"/>
    <cellStyle name="Hed Top - SECTION 2 3 2 7 9 2" xfId="22823" xr:uid="{00000000-0005-0000-0000-0000B7600000}"/>
    <cellStyle name="Hed Top - SECTION 2 3 2 8" xfId="22824" xr:uid="{00000000-0005-0000-0000-0000B8600000}"/>
    <cellStyle name="Hed Top - SECTION 2 3 2 8 10" xfId="22825" xr:uid="{00000000-0005-0000-0000-0000B9600000}"/>
    <cellStyle name="Hed Top - SECTION 2 3 2 8 2" xfId="22826" xr:uid="{00000000-0005-0000-0000-0000BA600000}"/>
    <cellStyle name="Hed Top - SECTION 2 3 2 8 2 2" xfId="22827" xr:uid="{00000000-0005-0000-0000-0000BB600000}"/>
    <cellStyle name="Hed Top - SECTION 2 3 2 8 3" xfId="22828" xr:uid="{00000000-0005-0000-0000-0000BC600000}"/>
    <cellStyle name="Hed Top - SECTION 2 3 2 8 3 2" xfId="22829" xr:uid="{00000000-0005-0000-0000-0000BD600000}"/>
    <cellStyle name="Hed Top - SECTION 2 3 2 8 4" xfId="22830" xr:uid="{00000000-0005-0000-0000-0000BE600000}"/>
    <cellStyle name="Hed Top - SECTION 2 3 2 8 4 2" xfId="22831" xr:uid="{00000000-0005-0000-0000-0000BF600000}"/>
    <cellStyle name="Hed Top - SECTION 2 3 2 8 5" xfId="22832" xr:uid="{00000000-0005-0000-0000-0000C0600000}"/>
    <cellStyle name="Hed Top - SECTION 2 3 2 8 5 2" xfId="22833" xr:uid="{00000000-0005-0000-0000-0000C1600000}"/>
    <cellStyle name="Hed Top - SECTION 2 3 2 8 6" xfId="22834" xr:uid="{00000000-0005-0000-0000-0000C2600000}"/>
    <cellStyle name="Hed Top - SECTION 2 3 2 8 6 2" xfId="22835" xr:uid="{00000000-0005-0000-0000-0000C3600000}"/>
    <cellStyle name="Hed Top - SECTION 2 3 2 8 7" xfId="22836" xr:uid="{00000000-0005-0000-0000-0000C4600000}"/>
    <cellStyle name="Hed Top - SECTION 2 3 2 8 7 2" xfId="22837" xr:uid="{00000000-0005-0000-0000-0000C5600000}"/>
    <cellStyle name="Hed Top - SECTION 2 3 2 8 8" xfId="22838" xr:uid="{00000000-0005-0000-0000-0000C6600000}"/>
    <cellStyle name="Hed Top - SECTION 2 3 2 8 8 2" xfId="22839" xr:uid="{00000000-0005-0000-0000-0000C7600000}"/>
    <cellStyle name="Hed Top - SECTION 2 3 2 8 9" xfId="22840" xr:uid="{00000000-0005-0000-0000-0000C8600000}"/>
    <cellStyle name="Hed Top - SECTION 2 3 2 8 9 2" xfId="22841" xr:uid="{00000000-0005-0000-0000-0000C9600000}"/>
    <cellStyle name="Hed Top - SECTION 2 3 2 9" xfId="22842" xr:uid="{00000000-0005-0000-0000-0000CA600000}"/>
    <cellStyle name="Hed Top - SECTION 2 3 2 9 10" xfId="22843" xr:uid="{00000000-0005-0000-0000-0000CB600000}"/>
    <cellStyle name="Hed Top - SECTION 2 3 2 9 2" xfId="22844" xr:uid="{00000000-0005-0000-0000-0000CC600000}"/>
    <cellStyle name="Hed Top - SECTION 2 3 2 9 2 2" xfId="22845" xr:uid="{00000000-0005-0000-0000-0000CD600000}"/>
    <cellStyle name="Hed Top - SECTION 2 3 2 9 3" xfId="22846" xr:uid="{00000000-0005-0000-0000-0000CE600000}"/>
    <cellStyle name="Hed Top - SECTION 2 3 2 9 3 2" xfId="22847" xr:uid="{00000000-0005-0000-0000-0000CF600000}"/>
    <cellStyle name="Hed Top - SECTION 2 3 2 9 4" xfId="22848" xr:uid="{00000000-0005-0000-0000-0000D0600000}"/>
    <cellStyle name="Hed Top - SECTION 2 3 2 9 4 2" xfId="22849" xr:uid="{00000000-0005-0000-0000-0000D1600000}"/>
    <cellStyle name="Hed Top - SECTION 2 3 2 9 5" xfId="22850" xr:uid="{00000000-0005-0000-0000-0000D2600000}"/>
    <cellStyle name="Hed Top - SECTION 2 3 2 9 5 2" xfId="22851" xr:uid="{00000000-0005-0000-0000-0000D3600000}"/>
    <cellStyle name="Hed Top - SECTION 2 3 2 9 6" xfId="22852" xr:uid="{00000000-0005-0000-0000-0000D4600000}"/>
    <cellStyle name="Hed Top - SECTION 2 3 2 9 6 2" xfId="22853" xr:uid="{00000000-0005-0000-0000-0000D5600000}"/>
    <cellStyle name="Hed Top - SECTION 2 3 2 9 7" xfId="22854" xr:uid="{00000000-0005-0000-0000-0000D6600000}"/>
    <cellStyle name="Hed Top - SECTION 2 3 2 9 7 2" xfId="22855" xr:uid="{00000000-0005-0000-0000-0000D7600000}"/>
    <cellStyle name="Hed Top - SECTION 2 3 2 9 8" xfId="22856" xr:uid="{00000000-0005-0000-0000-0000D8600000}"/>
    <cellStyle name="Hed Top - SECTION 2 3 2 9 8 2" xfId="22857" xr:uid="{00000000-0005-0000-0000-0000D9600000}"/>
    <cellStyle name="Hed Top - SECTION 2 3 2 9 9" xfId="22858" xr:uid="{00000000-0005-0000-0000-0000DA600000}"/>
    <cellStyle name="Hed Top - SECTION 2 3 2 9 9 2" xfId="22859" xr:uid="{00000000-0005-0000-0000-0000DB600000}"/>
    <cellStyle name="Hed Top - SECTION 2 3 3" xfId="22860" xr:uid="{00000000-0005-0000-0000-0000DC600000}"/>
    <cellStyle name="Hed Top - SECTION 2 3 3 10" xfId="22861" xr:uid="{00000000-0005-0000-0000-0000DD600000}"/>
    <cellStyle name="Hed Top - SECTION 2 3 3 10 2" xfId="22862" xr:uid="{00000000-0005-0000-0000-0000DE600000}"/>
    <cellStyle name="Hed Top - SECTION 2 3 3 10 2 2" xfId="22863" xr:uid="{00000000-0005-0000-0000-0000DF600000}"/>
    <cellStyle name="Hed Top - SECTION 2 3 3 10 3" xfId="22864" xr:uid="{00000000-0005-0000-0000-0000E0600000}"/>
    <cellStyle name="Hed Top - SECTION 2 3 3 10 3 2" xfId="22865" xr:uid="{00000000-0005-0000-0000-0000E1600000}"/>
    <cellStyle name="Hed Top - SECTION 2 3 3 10 4" xfId="22866" xr:uid="{00000000-0005-0000-0000-0000E2600000}"/>
    <cellStyle name="Hed Top - SECTION 2 3 3 10 4 2" xfId="22867" xr:uid="{00000000-0005-0000-0000-0000E3600000}"/>
    <cellStyle name="Hed Top - SECTION 2 3 3 10 5" xfId="22868" xr:uid="{00000000-0005-0000-0000-0000E4600000}"/>
    <cellStyle name="Hed Top - SECTION 2 3 3 10 5 2" xfId="22869" xr:uid="{00000000-0005-0000-0000-0000E5600000}"/>
    <cellStyle name="Hed Top - SECTION 2 3 3 10 6" xfId="22870" xr:uid="{00000000-0005-0000-0000-0000E6600000}"/>
    <cellStyle name="Hed Top - SECTION 2 3 3 10 6 2" xfId="22871" xr:uid="{00000000-0005-0000-0000-0000E7600000}"/>
    <cellStyle name="Hed Top - SECTION 2 3 3 10 7" xfId="22872" xr:uid="{00000000-0005-0000-0000-0000E8600000}"/>
    <cellStyle name="Hed Top - SECTION 2 3 3 10 7 2" xfId="22873" xr:uid="{00000000-0005-0000-0000-0000E9600000}"/>
    <cellStyle name="Hed Top - SECTION 2 3 3 10 8" xfId="22874" xr:uid="{00000000-0005-0000-0000-0000EA600000}"/>
    <cellStyle name="Hed Top - SECTION 2 3 3 10 8 2" xfId="22875" xr:uid="{00000000-0005-0000-0000-0000EB600000}"/>
    <cellStyle name="Hed Top - SECTION 2 3 3 10 9" xfId="22876" xr:uid="{00000000-0005-0000-0000-0000EC600000}"/>
    <cellStyle name="Hed Top - SECTION 2 3 3 11" xfId="22877" xr:uid="{00000000-0005-0000-0000-0000ED600000}"/>
    <cellStyle name="Hed Top - SECTION 2 3 3 11 2" xfId="22878" xr:uid="{00000000-0005-0000-0000-0000EE600000}"/>
    <cellStyle name="Hed Top - SECTION 2 3 3 12" xfId="22879" xr:uid="{00000000-0005-0000-0000-0000EF600000}"/>
    <cellStyle name="Hed Top - SECTION 2 3 3 12 2" xfId="22880" xr:uid="{00000000-0005-0000-0000-0000F0600000}"/>
    <cellStyle name="Hed Top - SECTION 2 3 3 13" xfId="22881" xr:uid="{00000000-0005-0000-0000-0000F1600000}"/>
    <cellStyle name="Hed Top - SECTION 2 3 3 13 2" xfId="22882" xr:uid="{00000000-0005-0000-0000-0000F2600000}"/>
    <cellStyle name="Hed Top - SECTION 2 3 3 14" xfId="22883" xr:uid="{00000000-0005-0000-0000-0000F3600000}"/>
    <cellStyle name="Hed Top - SECTION 2 3 3 14 2" xfId="22884" xr:uid="{00000000-0005-0000-0000-0000F4600000}"/>
    <cellStyle name="Hed Top - SECTION 2 3 3 15" xfId="22885" xr:uid="{00000000-0005-0000-0000-0000F5600000}"/>
    <cellStyle name="Hed Top - SECTION 2 3 3 15 2" xfId="22886" xr:uid="{00000000-0005-0000-0000-0000F6600000}"/>
    <cellStyle name="Hed Top - SECTION 2 3 3 16" xfId="22887" xr:uid="{00000000-0005-0000-0000-0000F7600000}"/>
    <cellStyle name="Hed Top - SECTION 2 3 3 16 2" xfId="22888" xr:uid="{00000000-0005-0000-0000-0000F8600000}"/>
    <cellStyle name="Hed Top - SECTION 2 3 3 17" xfId="22889" xr:uid="{00000000-0005-0000-0000-0000F9600000}"/>
    <cellStyle name="Hed Top - SECTION 2 3 3 17 2" xfId="22890" xr:uid="{00000000-0005-0000-0000-0000FA600000}"/>
    <cellStyle name="Hed Top - SECTION 2 3 3 18" xfId="22891" xr:uid="{00000000-0005-0000-0000-0000FB600000}"/>
    <cellStyle name="Hed Top - SECTION 2 3 3 2" xfId="22892" xr:uid="{00000000-0005-0000-0000-0000FC600000}"/>
    <cellStyle name="Hed Top - SECTION 2 3 3 2 10" xfId="22893" xr:uid="{00000000-0005-0000-0000-0000FD600000}"/>
    <cellStyle name="Hed Top - SECTION 2 3 3 2 2" xfId="22894" xr:uid="{00000000-0005-0000-0000-0000FE600000}"/>
    <cellStyle name="Hed Top - SECTION 2 3 3 2 2 2" xfId="22895" xr:uid="{00000000-0005-0000-0000-0000FF600000}"/>
    <cellStyle name="Hed Top - SECTION 2 3 3 2 3" xfId="22896" xr:uid="{00000000-0005-0000-0000-000000610000}"/>
    <cellStyle name="Hed Top - SECTION 2 3 3 2 3 2" xfId="22897" xr:uid="{00000000-0005-0000-0000-000001610000}"/>
    <cellStyle name="Hed Top - SECTION 2 3 3 2 4" xfId="22898" xr:uid="{00000000-0005-0000-0000-000002610000}"/>
    <cellStyle name="Hed Top - SECTION 2 3 3 2 4 2" xfId="22899" xr:uid="{00000000-0005-0000-0000-000003610000}"/>
    <cellStyle name="Hed Top - SECTION 2 3 3 2 5" xfId="22900" xr:uid="{00000000-0005-0000-0000-000004610000}"/>
    <cellStyle name="Hed Top - SECTION 2 3 3 2 5 2" xfId="22901" xr:uid="{00000000-0005-0000-0000-000005610000}"/>
    <cellStyle name="Hed Top - SECTION 2 3 3 2 6" xfId="22902" xr:uid="{00000000-0005-0000-0000-000006610000}"/>
    <cellStyle name="Hed Top - SECTION 2 3 3 2 6 2" xfId="22903" xr:uid="{00000000-0005-0000-0000-000007610000}"/>
    <cellStyle name="Hed Top - SECTION 2 3 3 2 7" xfId="22904" xr:uid="{00000000-0005-0000-0000-000008610000}"/>
    <cellStyle name="Hed Top - SECTION 2 3 3 2 7 2" xfId="22905" xr:uid="{00000000-0005-0000-0000-000009610000}"/>
    <cellStyle name="Hed Top - SECTION 2 3 3 2 8" xfId="22906" xr:uid="{00000000-0005-0000-0000-00000A610000}"/>
    <cellStyle name="Hed Top - SECTION 2 3 3 2 8 2" xfId="22907" xr:uid="{00000000-0005-0000-0000-00000B610000}"/>
    <cellStyle name="Hed Top - SECTION 2 3 3 2 9" xfId="22908" xr:uid="{00000000-0005-0000-0000-00000C610000}"/>
    <cellStyle name="Hed Top - SECTION 2 3 3 2 9 2" xfId="22909" xr:uid="{00000000-0005-0000-0000-00000D610000}"/>
    <cellStyle name="Hed Top - SECTION 2 3 3 3" xfId="22910" xr:uid="{00000000-0005-0000-0000-00000E610000}"/>
    <cellStyle name="Hed Top - SECTION 2 3 3 3 10" xfId="22911" xr:uid="{00000000-0005-0000-0000-00000F610000}"/>
    <cellStyle name="Hed Top - SECTION 2 3 3 3 2" xfId="22912" xr:uid="{00000000-0005-0000-0000-000010610000}"/>
    <cellStyle name="Hed Top - SECTION 2 3 3 3 2 2" xfId="22913" xr:uid="{00000000-0005-0000-0000-000011610000}"/>
    <cellStyle name="Hed Top - SECTION 2 3 3 3 3" xfId="22914" xr:uid="{00000000-0005-0000-0000-000012610000}"/>
    <cellStyle name="Hed Top - SECTION 2 3 3 3 3 2" xfId="22915" xr:uid="{00000000-0005-0000-0000-000013610000}"/>
    <cellStyle name="Hed Top - SECTION 2 3 3 3 4" xfId="22916" xr:uid="{00000000-0005-0000-0000-000014610000}"/>
    <cellStyle name="Hed Top - SECTION 2 3 3 3 4 2" xfId="22917" xr:uid="{00000000-0005-0000-0000-000015610000}"/>
    <cellStyle name="Hed Top - SECTION 2 3 3 3 5" xfId="22918" xr:uid="{00000000-0005-0000-0000-000016610000}"/>
    <cellStyle name="Hed Top - SECTION 2 3 3 3 5 2" xfId="22919" xr:uid="{00000000-0005-0000-0000-000017610000}"/>
    <cellStyle name="Hed Top - SECTION 2 3 3 3 6" xfId="22920" xr:uid="{00000000-0005-0000-0000-000018610000}"/>
    <cellStyle name="Hed Top - SECTION 2 3 3 3 6 2" xfId="22921" xr:uid="{00000000-0005-0000-0000-000019610000}"/>
    <cellStyle name="Hed Top - SECTION 2 3 3 3 7" xfId="22922" xr:uid="{00000000-0005-0000-0000-00001A610000}"/>
    <cellStyle name="Hed Top - SECTION 2 3 3 3 7 2" xfId="22923" xr:uid="{00000000-0005-0000-0000-00001B610000}"/>
    <cellStyle name="Hed Top - SECTION 2 3 3 3 8" xfId="22924" xr:uid="{00000000-0005-0000-0000-00001C610000}"/>
    <cellStyle name="Hed Top - SECTION 2 3 3 3 8 2" xfId="22925" xr:uid="{00000000-0005-0000-0000-00001D610000}"/>
    <cellStyle name="Hed Top - SECTION 2 3 3 3 9" xfId="22926" xr:uid="{00000000-0005-0000-0000-00001E610000}"/>
    <cellStyle name="Hed Top - SECTION 2 3 3 3 9 2" xfId="22927" xr:uid="{00000000-0005-0000-0000-00001F610000}"/>
    <cellStyle name="Hed Top - SECTION 2 3 3 4" xfId="22928" xr:uid="{00000000-0005-0000-0000-000020610000}"/>
    <cellStyle name="Hed Top - SECTION 2 3 3 4 10" xfId="22929" xr:uid="{00000000-0005-0000-0000-000021610000}"/>
    <cellStyle name="Hed Top - SECTION 2 3 3 4 2" xfId="22930" xr:uid="{00000000-0005-0000-0000-000022610000}"/>
    <cellStyle name="Hed Top - SECTION 2 3 3 4 2 2" xfId="22931" xr:uid="{00000000-0005-0000-0000-000023610000}"/>
    <cellStyle name="Hed Top - SECTION 2 3 3 4 3" xfId="22932" xr:uid="{00000000-0005-0000-0000-000024610000}"/>
    <cellStyle name="Hed Top - SECTION 2 3 3 4 3 2" xfId="22933" xr:uid="{00000000-0005-0000-0000-000025610000}"/>
    <cellStyle name="Hed Top - SECTION 2 3 3 4 4" xfId="22934" xr:uid="{00000000-0005-0000-0000-000026610000}"/>
    <cellStyle name="Hed Top - SECTION 2 3 3 4 4 2" xfId="22935" xr:uid="{00000000-0005-0000-0000-000027610000}"/>
    <cellStyle name="Hed Top - SECTION 2 3 3 4 5" xfId="22936" xr:uid="{00000000-0005-0000-0000-000028610000}"/>
    <cellStyle name="Hed Top - SECTION 2 3 3 4 5 2" xfId="22937" xr:uid="{00000000-0005-0000-0000-000029610000}"/>
    <cellStyle name="Hed Top - SECTION 2 3 3 4 6" xfId="22938" xr:uid="{00000000-0005-0000-0000-00002A610000}"/>
    <cellStyle name="Hed Top - SECTION 2 3 3 4 6 2" xfId="22939" xr:uid="{00000000-0005-0000-0000-00002B610000}"/>
    <cellStyle name="Hed Top - SECTION 2 3 3 4 7" xfId="22940" xr:uid="{00000000-0005-0000-0000-00002C610000}"/>
    <cellStyle name="Hed Top - SECTION 2 3 3 4 7 2" xfId="22941" xr:uid="{00000000-0005-0000-0000-00002D610000}"/>
    <cellStyle name="Hed Top - SECTION 2 3 3 4 8" xfId="22942" xr:uid="{00000000-0005-0000-0000-00002E610000}"/>
    <cellStyle name="Hed Top - SECTION 2 3 3 4 8 2" xfId="22943" xr:uid="{00000000-0005-0000-0000-00002F610000}"/>
    <cellStyle name="Hed Top - SECTION 2 3 3 4 9" xfId="22944" xr:uid="{00000000-0005-0000-0000-000030610000}"/>
    <cellStyle name="Hed Top - SECTION 2 3 3 4 9 2" xfId="22945" xr:uid="{00000000-0005-0000-0000-000031610000}"/>
    <cellStyle name="Hed Top - SECTION 2 3 3 5" xfId="22946" xr:uid="{00000000-0005-0000-0000-000032610000}"/>
    <cellStyle name="Hed Top - SECTION 2 3 3 5 10" xfId="22947" xr:uid="{00000000-0005-0000-0000-000033610000}"/>
    <cellStyle name="Hed Top - SECTION 2 3 3 5 2" xfId="22948" xr:uid="{00000000-0005-0000-0000-000034610000}"/>
    <cellStyle name="Hed Top - SECTION 2 3 3 5 2 2" xfId="22949" xr:uid="{00000000-0005-0000-0000-000035610000}"/>
    <cellStyle name="Hed Top - SECTION 2 3 3 5 3" xfId="22950" xr:uid="{00000000-0005-0000-0000-000036610000}"/>
    <cellStyle name="Hed Top - SECTION 2 3 3 5 3 2" xfId="22951" xr:uid="{00000000-0005-0000-0000-000037610000}"/>
    <cellStyle name="Hed Top - SECTION 2 3 3 5 4" xfId="22952" xr:uid="{00000000-0005-0000-0000-000038610000}"/>
    <cellStyle name="Hed Top - SECTION 2 3 3 5 4 2" xfId="22953" xr:uid="{00000000-0005-0000-0000-000039610000}"/>
    <cellStyle name="Hed Top - SECTION 2 3 3 5 5" xfId="22954" xr:uid="{00000000-0005-0000-0000-00003A610000}"/>
    <cellStyle name="Hed Top - SECTION 2 3 3 5 5 2" xfId="22955" xr:uid="{00000000-0005-0000-0000-00003B610000}"/>
    <cellStyle name="Hed Top - SECTION 2 3 3 5 6" xfId="22956" xr:uid="{00000000-0005-0000-0000-00003C610000}"/>
    <cellStyle name="Hed Top - SECTION 2 3 3 5 6 2" xfId="22957" xr:uid="{00000000-0005-0000-0000-00003D610000}"/>
    <cellStyle name="Hed Top - SECTION 2 3 3 5 7" xfId="22958" xr:uid="{00000000-0005-0000-0000-00003E610000}"/>
    <cellStyle name="Hed Top - SECTION 2 3 3 5 7 2" xfId="22959" xr:uid="{00000000-0005-0000-0000-00003F610000}"/>
    <cellStyle name="Hed Top - SECTION 2 3 3 5 8" xfId="22960" xr:uid="{00000000-0005-0000-0000-000040610000}"/>
    <cellStyle name="Hed Top - SECTION 2 3 3 5 8 2" xfId="22961" xr:uid="{00000000-0005-0000-0000-000041610000}"/>
    <cellStyle name="Hed Top - SECTION 2 3 3 5 9" xfId="22962" xr:uid="{00000000-0005-0000-0000-000042610000}"/>
    <cellStyle name="Hed Top - SECTION 2 3 3 5 9 2" xfId="22963" xr:uid="{00000000-0005-0000-0000-000043610000}"/>
    <cellStyle name="Hed Top - SECTION 2 3 3 6" xfId="22964" xr:uid="{00000000-0005-0000-0000-000044610000}"/>
    <cellStyle name="Hed Top - SECTION 2 3 3 6 10" xfId="22965" xr:uid="{00000000-0005-0000-0000-000045610000}"/>
    <cellStyle name="Hed Top - SECTION 2 3 3 6 2" xfId="22966" xr:uid="{00000000-0005-0000-0000-000046610000}"/>
    <cellStyle name="Hed Top - SECTION 2 3 3 6 2 2" xfId="22967" xr:uid="{00000000-0005-0000-0000-000047610000}"/>
    <cellStyle name="Hed Top - SECTION 2 3 3 6 3" xfId="22968" xr:uid="{00000000-0005-0000-0000-000048610000}"/>
    <cellStyle name="Hed Top - SECTION 2 3 3 6 3 2" xfId="22969" xr:uid="{00000000-0005-0000-0000-000049610000}"/>
    <cellStyle name="Hed Top - SECTION 2 3 3 6 4" xfId="22970" xr:uid="{00000000-0005-0000-0000-00004A610000}"/>
    <cellStyle name="Hed Top - SECTION 2 3 3 6 4 2" xfId="22971" xr:uid="{00000000-0005-0000-0000-00004B610000}"/>
    <cellStyle name="Hed Top - SECTION 2 3 3 6 5" xfId="22972" xr:uid="{00000000-0005-0000-0000-00004C610000}"/>
    <cellStyle name="Hed Top - SECTION 2 3 3 6 5 2" xfId="22973" xr:uid="{00000000-0005-0000-0000-00004D610000}"/>
    <cellStyle name="Hed Top - SECTION 2 3 3 6 6" xfId="22974" xr:uid="{00000000-0005-0000-0000-00004E610000}"/>
    <cellStyle name="Hed Top - SECTION 2 3 3 6 6 2" xfId="22975" xr:uid="{00000000-0005-0000-0000-00004F610000}"/>
    <cellStyle name="Hed Top - SECTION 2 3 3 6 7" xfId="22976" xr:uid="{00000000-0005-0000-0000-000050610000}"/>
    <cellStyle name="Hed Top - SECTION 2 3 3 6 7 2" xfId="22977" xr:uid="{00000000-0005-0000-0000-000051610000}"/>
    <cellStyle name="Hed Top - SECTION 2 3 3 6 8" xfId="22978" xr:uid="{00000000-0005-0000-0000-000052610000}"/>
    <cellStyle name="Hed Top - SECTION 2 3 3 6 8 2" xfId="22979" xr:uid="{00000000-0005-0000-0000-000053610000}"/>
    <cellStyle name="Hed Top - SECTION 2 3 3 6 9" xfId="22980" xr:uid="{00000000-0005-0000-0000-000054610000}"/>
    <cellStyle name="Hed Top - SECTION 2 3 3 6 9 2" xfId="22981" xr:uid="{00000000-0005-0000-0000-000055610000}"/>
    <cellStyle name="Hed Top - SECTION 2 3 3 7" xfId="22982" xr:uid="{00000000-0005-0000-0000-000056610000}"/>
    <cellStyle name="Hed Top - SECTION 2 3 3 7 10" xfId="22983" xr:uid="{00000000-0005-0000-0000-000057610000}"/>
    <cellStyle name="Hed Top - SECTION 2 3 3 7 2" xfId="22984" xr:uid="{00000000-0005-0000-0000-000058610000}"/>
    <cellStyle name="Hed Top - SECTION 2 3 3 7 2 2" xfId="22985" xr:uid="{00000000-0005-0000-0000-000059610000}"/>
    <cellStyle name="Hed Top - SECTION 2 3 3 7 3" xfId="22986" xr:uid="{00000000-0005-0000-0000-00005A610000}"/>
    <cellStyle name="Hed Top - SECTION 2 3 3 7 3 2" xfId="22987" xr:uid="{00000000-0005-0000-0000-00005B610000}"/>
    <cellStyle name="Hed Top - SECTION 2 3 3 7 4" xfId="22988" xr:uid="{00000000-0005-0000-0000-00005C610000}"/>
    <cellStyle name="Hed Top - SECTION 2 3 3 7 4 2" xfId="22989" xr:uid="{00000000-0005-0000-0000-00005D610000}"/>
    <cellStyle name="Hed Top - SECTION 2 3 3 7 5" xfId="22990" xr:uid="{00000000-0005-0000-0000-00005E610000}"/>
    <cellStyle name="Hed Top - SECTION 2 3 3 7 5 2" xfId="22991" xr:uid="{00000000-0005-0000-0000-00005F610000}"/>
    <cellStyle name="Hed Top - SECTION 2 3 3 7 6" xfId="22992" xr:uid="{00000000-0005-0000-0000-000060610000}"/>
    <cellStyle name="Hed Top - SECTION 2 3 3 7 6 2" xfId="22993" xr:uid="{00000000-0005-0000-0000-000061610000}"/>
    <cellStyle name="Hed Top - SECTION 2 3 3 7 7" xfId="22994" xr:uid="{00000000-0005-0000-0000-000062610000}"/>
    <cellStyle name="Hed Top - SECTION 2 3 3 7 7 2" xfId="22995" xr:uid="{00000000-0005-0000-0000-000063610000}"/>
    <cellStyle name="Hed Top - SECTION 2 3 3 7 8" xfId="22996" xr:uid="{00000000-0005-0000-0000-000064610000}"/>
    <cellStyle name="Hed Top - SECTION 2 3 3 7 8 2" xfId="22997" xr:uid="{00000000-0005-0000-0000-000065610000}"/>
    <cellStyle name="Hed Top - SECTION 2 3 3 7 9" xfId="22998" xr:uid="{00000000-0005-0000-0000-000066610000}"/>
    <cellStyle name="Hed Top - SECTION 2 3 3 7 9 2" xfId="22999" xr:uid="{00000000-0005-0000-0000-000067610000}"/>
    <cellStyle name="Hed Top - SECTION 2 3 3 8" xfId="23000" xr:uid="{00000000-0005-0000-0000-000068610000}"/>
    <cellStyle name="Hed Top - SECTION 2 3 3 8 10" xfId="23001" xr:uid="{00000000-0005-0000-0000-000069610000}"/>
    <cellStyle name="Hed Top - SECTION 2 3 3 8 2" xfId="23002" xr:uid="{00000000-0005-0000-0000-00006A610000}"/>
    <cellStyle name="Hed Top - SECTION 2 3 3 8 2 2" xfId="23003" xr:uid="{00000000-0005-0000-0000-00006B610000}"/>
    <cellStyle name="Hed Top - SECTION 2 3 3 8 3" xfId="23004" xr:uid="{00000000-0005-0000-0000-00006C610000}"/>
    <cellStyle name="Hed Top - SECTION 2 3 3 8 3 2" xfId="23005" xr:uid="{00000000-0005-0000-0000-00006D610000}"/>
    <cellStyle name="Hed Top - SECTION 2 3 3 8 4" xfId="23006" xr:uid="{00000000-0005-0000-0000-00006E610000}"/>
    <cellStyle name="Hed Top - SECTION 2 3 3 8 4 2" xfId="23007" xr:uid="{00000000-0005-0000-0000-00006F610000}"/>
    <cellStyle name="Hed Top - SECTION 2 3 3 8 5" xfId="23008" xr:uid="{00000000-0005-0000-0000-000070610000}"/>
    <cellStyle name="Hed Top - SECTION 2 3 3 8 5 2" xfId="23009" xr:uid="{00000000-0005-0000-0000-000071610000}"/>
    <cellStyle name="Hed Top - SECTION 2 3 3 8 6" xfId="23010" xr:uid="{00000000-0005-0000-0000-000072610000}"/>
    <cellStyle name="Hed Top - SECTION 2 3 3 8 6 2" xfId="23011" xr:uid="{00000000-0005-0000-0000-000073610000}"/>
    <cellStyle name="Hed Top - SECTION 2 3 3 8 7" xfId="23012" xr:uid="{00000000-0005-0000-0000-000074610000}"/>
    <cellStyle name="Hed Top - SECTION 2 3 3 8 7 2" xfId="23013" xr:uid="{00000000-0005-0000-0000-000075610000}"/>
    <cellStyle name="Hed Top - SECTION 2 3 3 8 8" xfId="23014" xr:uid="{00000000-0005-0000-0000-000076610000}"/>
    <cellStyle name="Hed Top - SECTION 2 3 3 8 8 2" xfId="23015" xr:uid="{00000000-0005-0000-0000-000077610000}"/>
    <cellStyle name="Hed Top - SECTION 2 3 3 8 9" xfId="23016" xr:uid="{00000000-0005-0000-0000-000078610000}"/>
    <cellStyle name="Hed Top - SECTION 2 3 3 8 9 2" xfId="23017" xr:uid="{00000000-0005-0000-0000-000079610000}"/>
    <cellStyle name="Hed Top - SECTION 2 3 3 9" xfId="23018" xr:uid="{00000000-0005-0000-0000-00007A610000}"/>
    <cellStyle name="Hed Top - SECTION 2 3 3 9 10" xfId="23019" xr:uid="{00000000-0005-0000-0000-00007B610000}"/>
    <cellStyle name="Hed Top - SECTION 2 3 3 9 2" xfId="23020" xr:uid="{00000000-0005-0000-0000-00007C610000}"/>
    <cellStyle name="Hed Top - SECTION 2 3 3 9 2 2" xfId="23021" xr:uid="{00000000-0005-0000-0000-00007D610000}"/>
    <cellStyle name="Hed Top - SECTION 2 3 3 9 3" xfId="23022" xr:uid="{00000000-0005-0000-0000-00007E610000}"/>
    <cellStyle name="Hed Top - SECTION 2 3 3 9 3 2" xfId="23023" xr:uid="{00000000-0005-0000-0000-00007F610000}"/>
    <cellStyle name="Hed Top - SECTION 2 3 3 9 4" xfId="23024" xr:uid="{00000000-0005-0000-0000-000080610000}"/>
    <cellStyle name="Hed Top - SECTION 2 3 3 9 4 2" xfId="23025" xr:uid="{00000000-0005-0000-0000-000081610000}"/>
    <cellStyle name="Hed Top - SECTION 2 3 3 9 5" xfId="23026" xr:uid="{00000000-0005-0000-0000-000082610000}"/>
    <cellStyle name="Hed Top - SECTION 2 3 3 9 5 2" xfId="23027" xr:uid="{00000000-0005-0000-0000-000083610000}"/>
    <cellStyle name="Hed Top - SECTION 2 3 3 9 6" xfId="23028" xr:uid="{00000000-0005-0000-0000-000084610000}"/>
    <cellStyle name="Hed Top - SECTION 2 3 3 9 6 2" xfId="23029" xr:uid="{00000000-0005-0000-0000-000085610000}"/>
    <cellStyle name="Hed Top - SECTION 2 3 3 9 7" xfId="23030" xr:uid="{00000000-0005-0000-0000-000086610000}"/>
    <cellStyle name="Hed Top - SECTION 2 3 3 9 7 2" xfId="23031" xr:uid="{00000000-0005-0000-0000-000087610000}"/>
    <cellStyle name="Hed Top - SECTION 2 3 3 9 8" xfId="23032" xr:uid="{00000000-0005-0000-0000-000088610000}"/>
    <cellStyle name="Hed Top - SECTION 2 3 3 9 8 2" xfId="23033" xr:uid="{00000000-0005-0000-0000-000089610000}"/>
    <cellStyle name="Hed Top - SECTION 2 3 3 9 9" xfId="23034" xr:uid="{00000000-0005-0000-0000-00008A610000}"/>
    <cellStyle name="Hed Top - SECTION 2 3 3 9 9 2" xfId="23035" xr:uid="{00000000-0005-0000-0000-00008B610000}"/>
    <cellStyle name="Hed Top - SECTION 2 3 4" xfId="23036" xr:uid="{00000000-0005-0000-0000-00008C610000}"/>
    <cellStyle name="Hed Top - SECTION 2 3 4 10" xfId="23037" xr:uid="{00000000-0005-0000-0000-00008D610000}"/>
    <cellStyle name="Hed Top - SECTION 2 3 4 10 2" xfId="23038" xr:uid="{00000000-0005-0000-0000-00008E610000}"/>
    <cellStyle name="Hed Top - SECTION 2 3 4 10 2 2" xfId="23039" xr:uid="{00000000-0005-0000-0000-00008F610000}"/>
    <cellStyle name="Hed Top - SECTION 2 3 4 10 3" xfId="23040" xr:uid="{00000000-0005-0000-0000-000090610000}"/>
    <cellStyle name="Hed Top - SECTION 2 3 4 10 3 2" xfId="23041" xr:uid="{00000000-0005-0000-0000-000091610000}"/>
    <cellStyle name="Hed Top - SECTION 2 3 4 10 4" xfId="23042" xr:uid="{00000000-0005-0000-0000-000092610000}"/>
    <cellStyle name="Hed Top - SECTION 2 3 4 10 4 2" xfId="23043" xr:uid="{00000000-0005-0000-0000-000093610000}"/>
    <cellStyle name="Hed Top - SECTION 2 3 4 10 5" xfId="23044" xr:uid="{00000000-0005-0000-0000-000094610000}"/>
    <cellStyle name="Hed Top - SECTION 2 3 4 10 5 2" xfId="23045" xr:uid="{00000000-0005-0000-0000-000095610000}"/>
    <cellStyle name="Hed Top - SECTION 2 3 4 10 6" xfId="23046" xr:uid="{00000000-0005-0000-0000-000096610000}"/>
    <cellStyle name="Hed Top - SECTION 2 3 4 10 6 2" xfId="23047" xr:uid="{00000000-0005-0000-0000-000097610000}"/>
    <cellStyle name="Hed Top - SECTION 2 3 4 10 7" xfId="23048" xr:uid="{00000000-0005-0000-0000-000098610000}"/>
    <cellStyle name="Hed Top - SECTION 2 3 4 10 7 2" xfId="23049" xr:uid="{00000000-0005-0000-0000-000099610000}"/>
    <cellStyle name="Hed Top - SECTION 2 3 4 10 8" xfId="23050" xr:uid="{00000000-0005-0000-0000-00009A610000}"/>
    <cellStyle name="Hed Top - SECTION 2 3 4 10 8 2" xfId="23051" xr:uid="{00000000-0005-0000-0000-00009B610000}"/>
    <cellStyle name="Hed Top - SECTION 2 3 4 10 9" xfId="23052" xr:uid="{00000000-0005-0000-0000-00009C610000}"/>
    <cellStyle name="Hed Top - SECTION 2 3 4 11" xfId="23053" xr:uid="{00000000-0005-0000-0000-00009D610000}"/>
    <cellStyle name="Hed Top - SECTION 2 3 4 11 2" xfId="23054" xr:uid="{00000000-0005-0000-0000-00009E610000}"/>
    <cellStyle name="Hed Top - SECTION 2 3 4 12" xfId="23055" xr:uid="{00000000-0005-0000-0000-00009F610000}"/>
    <cellStyle name="Hed Top - SECTION 2 3 4 12 2" xfId="23056" xr:uid="{00000000-0005-0000-0000-0000A0610000}"/>
    <cellStyle name="Hed Top - SECTION 2 3 4 13" xfId="23057" xr:uid="{00000000-0005-0000-0000-0000A1610000}"/>
    <cellStyle name="Hed Top - SECTION 2 3 4 13 2" xfId="23058" xr:uid="{00000000-0005-0000-0000-0000A2610000}"/>
    <cellStyle name="Hed Top - SECTION 2 3 4 14" xfId="23059" xr:uid="{00000000-0005-0000-0000-0000A3610000}"/>
    <cellStyle name="Hed Top - SECTION 2 3 4 14 2" xfId="23060" xr:uid="{00000000-0005-0000-0000-0000A4610000}"/>
    <cellStyle name="Hed Top - SECTION 2 3 4 15" xfId="23061" xr:uid="{00000000-0005-0000-0000-0000A5610000}"/>
    <cellStyle name="Hed Top - SECTION 2 3 4 15 2" xfId="23062" xr:uid="{00000000-0005-0000-0000-0000A6610000}"/>
    <cellStyle name="Hed Top - SECTION 2 3 4 16" xfId="23063" xr:uid="{00000000-0005-0000-0000-0000A7610000}"/>
    <cellStyle name="Hed Top - SECTION 2 3 4 16 2" xfId="23064" xr:uid="{00000000-0005-0000-0000-0000A8610000}"/>
    <cellStyle name="Hed Top - SECTION 2 3 4 17" xfId="23065" xr:uid="{00000000-0005-0000-0000-0000A9610000}"/>
    <cellStyle name="Hed Top - SECTION 2 3 4 17 2" xfId="23066" xr:uid="{00000000-0005-0000-0000-0000AA610000}"/>
    <cellStyle name="Hed Top - SECTION 2 3 4 18" xfId="23067" xr:uid="{00000000-0005-0000-0000-0000AB610000}"/>
    <cellStyle name="Hed Top - SECTION 2 3 4 2" xfId="23068" xr:uid="{00000000-0005-0000-0000-0000AC610000}"/>
    <cellStyle name="Hed Top - SECTION 2 3 4 2 10" xfId="23069" xr:uid="{00000000-0005-0000-0000-0000AD610000}"/>
    <cellStyle name="Hed Top - SECTION 2 3 4 2 2" xfId="23070" xr:uid="{00000000-0005-0000-0000-0000AE610000}"/>
    <cellStyle name="Hed Top - SECTION 2 3 4 2 2 2" xfId="23071" xr:uid="{00000000-0005-0000-0000-0000AF610000}"/>
    <cellStyle name="Hed Top - SECTION 2 3 4 2 3" xfId="23072" xr:uid="{00000000-0005-0000-0000-0000B0610000}"/>
    <cellStyle name="Hed Top - SECTION 2 3 4 2 3 2" xfId="23073" xr:uid="{00000000-0005-0000-0000-0000B1610000}"/>
    <cellStyle name="Hed Top - SECTION 2 3 4 2 4" xfId="23074" xr:uid="{00000000-0005-0000-0000-0000B2610000}"/>
    <cellStyle name="Hed Top - SECTION 2 3 4 2 4 2" xfId="23075" xr:uid="{00000000-0005-0000-0000-0000B3610000}"/>
    <cellStyle name="Hed Top - SECTION 2 3 4 2 5" xfId="23076" xr:uid="{00000000-0005-0000-0000-0000B4610000}"/>
    <cellStyle name="Hed Top - SECTION 2 3 4 2 5 2" xfId="23077" xr:uid="{00000000-0005-0000-0000-0000B5610000}"/>
    <cellStyle name="Hed Top - SECTION 2 3 4 2 6" xfId="23078" xr:uid="{00000000-0005-0000-0000-0000B6610000}"/>
    <cellStyle name="Hed Top - SECTION 2 3 4 2 6 2" xfId="23079" xr:uid="{00000000-0005-0000-0000-0000B7610000}"/>
    <cellStyle name="Hed Top - SECTION 2 3 4 2 7" xfId="23080" xr:uid="{00000000-0005-0000-0000-0000B8610000}"/>
    <cellStyle name="Hed Top - SECTION 2 3 4 2 7 2" xfId="23081" xr:uid="{00000000-0005-0000-0000-0000B9610000}"/>
    <cellStyle name="Hed Top - SECTION 2 3 4 2 8" xfId="23082" xr:uid="{00000000-0005-0000-0000-0000BA610000}"/>
    <cellStyle name="Hed Top - SECTION 2 3 4 2 8 2" xfId="23083" xr:uid="{00000000-0005-0000-0000-0000BB610000}"/>
    <cellStyle name="Hed Top - SECTION 2 3 4 2 9" xfId="23084" xr:uid="{00000000-0005-0000-0000-0000BC610000}"/>
    <cellStyle name="Hed Top - SECTION 2 3 4 2 9 2" xfId="23085" xr:uid="{00000000-0005-0000-0000-0000BD610000}"/>
    <cellStyle name="Hed Top - SECTION 2 3 4 3" xfId="23086" xr:uid="{00000000-0005-0000-0000-0000BE610000}"/>
    <cellStyle name="Hed Top - SECTION 2 3 4 3 10" xfId="23087" xr:uid="{00000000-0005-0000-0000-0000BF610000}"/>
    <cellStyle name="Hed Top - SECTION 2 3 4 3 2" xfId="23088" xr:uid="{00000000-0005-0000-0000-0000C0610000}"/>
    <cellStyle name="Hed Top - SECTION 2 3 4 3 2 2" xfId="23089" xr:uid="{00000000-0005-0000-0000-0000C1610000}"/>
    <cellStyle name="Hed Top - SECTION 2 3 4 3 3" xfId="23090" xr:uid="{00000000-0005-0000-0000-0000C2610000}"/>
    <cellStyle name="Hed Top - SECTION 2 3 4 3 3 2" xfId="23091" xr:uid="{00000000-0005-0000-0000-0000C3610000}"/>
    <cellStyle name="Hed Top - SECTION 2 3 4 3 4" xfId="23092" xr:uid="{00000000-0005-0000-0000-0000C4610000}"/>
    <cellStyle name="Hed Top - SECTION 2 3 4 3 4 2" xfId="23093" xr:uid="{00000000-0005-0000-0000-0000C5610000}"/>
    <cellStyle name="Hed Top - SECTION 2 3 4 3 5" xfId="23094" xr:uid="{00000000-0005-0000-0000-0000C6610000}"/>
    <cellStyle name="Hed Top - SECTION 2 3 4 3 5 2" xfId="23095" xr:uid="{00000000-0005-0000-0000-0000C7610000}"/>
    <cellStyle name="Hed Top - SECTION 2 3 4 3 6" xfId="23096" xr:uid="{00000000-0005-0000-0000-0000C8610000}"/>
    <cellStyle name="Hed Top - SECTION 2 3 4 3 6 2" xfId="23097" xr:uid="{00000000-0005-0000-0000-0000C9610000}"/>
    <cellStyle name="Hed Top - SECTION 2 3 4 3 7" xfId="23098" xr:uid="{00000000-0005-0000-0000-0000CA610000}"/>
    <cellStyle name="Hed Top - SECTION 2 3 4 3 7 2" xfId="23099" xr:uid="{00000000-0005-0000-0000-0000CB610000}"/>
    <cellStyle name="Hed Top - SECTION 2 3 4 3 8" xfId="23100" xr:uid="{00000000-0005-0000-0000-0000CC610000}"/>
    <cellStyle name="Hed Top - SECTION 2 3 4 3 8 2" xfId="23101" xr:uid="{00000000-0005-0000-0000-0000CD610000}"/>
    <cellStyle name="Hed Top - SECTION 2 3 4 3 9" xfId="23102" xr:uid="{00000000-0005-0000-0000-0000CE610000}"/>
    <cellStyle name="Hed Top - SECTION 2 3 4 3 9 2" xfId="23103" xr:uid="{00000000-0005-0000-0000-0000CF610000}"/>
    <cellStyle name="Hed Top - SECTION 2 3 4 4" xfId="23104" xr:uid="{00000000-0005-0000-0000-0000D0610000}"/>
    <cellStyle name="Hed Top - SECTION 2 3 4 4 10" xfId="23105" xr:uid="{00000000-0005-0000-0000-0000D1610000}"/>
    <cellStyle name="Hed Top - SECTION 2 3 4 4 2" xfId="23106" xr:uid="{00000000-0005-0000-0000-0000D2610000}"/>
    <cellStyle name="Hed Top - SECTION 2 3 4 4 2 2" xfId="23107" xr:uid="{00000000-0005-0000-0000-0000D3610000}"/>
    <cellStyle name="Hed Top - SECTION 2 3 4 4 3" xfId="23108" xr:uid="{00000000-0005-0000-0000-0000D4610000}"/>
    <cellStyle name="Hed Top - SECTION 2 3 4 4 3 2" xfId="23109" xr:uid="{00000000-0005-0000-0000-0000D5610000}"/>
    <cellStyle name="Hed Top - SECTION 2 3 4 4 4" xfId="23110" xr:uid="{00000000-0005-0000-0000-0000D6610000}"/>
    <cellStyle name="Hed Top - SECTION 2 3 4 4 4 2" xfId="23111" xr:uid="{00000000-0005-0000-0000-0000D7610000}"/>
    <cellStyle name="Hed Top - SECTION 2 3 4 4 5" xfId="23112" xr:uid="{00000000-0005-0000-0000-0000D8610000}"/>
    <cellStyle name="Hed Top - SECTION 2 3 4 4 5 2" xfId="23113" xr:uid="{00000000-0005-0000-0000-0000D9610000}"/>
    <cellStyle name="Hed Top - SECTION 2 3 4 4 6" xfId="23114" xr:uid="{00000000-0005-0000-0000-0000DA610000}"/>
    <cellStyle name="Hed Top - SECTION 2 3 4 4 6 2" xfId="23115" xr:uid="{00000000-0005-0000-0000-0000DB610000}"/>
    <cellStyle name="Hed Top - SECTION 2 3 4 4 7" xfId="23116" xr:uid="{00000000-0005-0000-0000-0000DC610000}"/>
    <cellStyle name="Hed Top - SECTION 2 3 4 4 7 2" xfId="23117" xr:uid="{00000000-0005-0000-0000-0000DD610000}"/>
    <cellStyle name="Hed Top - SECTION 2 3 4 4 8" xfId="23118" xr:uid="{00000000-0005-0000-0000-0000DE610000}"/>
    <cellStyle name="Hed Top - SECTION 2 3 4 4 8 2" xfId="23119" xr:uid="{00000000-0005-0000-0000-0000DF610000}"/>
    <cellStyle name="Hed Top - SECTION 2 3 4 4 9" xfId="23120" xr:uid="{00000000-0005-0000-0000-0000E0610000}"/>
    <cellStyle name="Hed Top - SECTION 2 3 4 4 9 2" xfId="23121" xr:uid="{00000000-0005-0000-0000-0000E1610000}"/>
    <cellStyle name="Hed Top - SECTION 2 3 4 5" xfId="23122" xr:uid="{00000000-0005-0000-0000-0000E2610000}"/>
    <cellStyle name="Hed Top - SECTION 2 3 4 5 10" xfId="23123" xr:uid="{00000000-0005-0000-0000-0000E3610000}"/>
    <cellStyle name="Hed Top - SECTION 2 3 4 5 2" xfId="23124" xr:uid="{00000000-0005-0000-0000-0000E4610000}"/>
    <cellStyle name="Hed Top - SECTION 2 3 4 5 2 2" xfId="23125" xr:uid="{00000000-0005-0000-0000-0000E5610000}"/>
    <cellStyle name="Hed Top - SECTION 2 3 4 5 3" xfId="23126" xr:uid="{00000000-0005-0000-0000-0000E6610000}"/>
    <cellStyle name="Hed Top - SECTION 2 3 4 5 3 2" xfId="23127" xr:uid="{00000000-0005-0000-0000-0000E7610000}"/>
    <cellStyle name="Hed Top - SECTION 2 3 4 5 4" xfId="23128" xr:uid="{00000000-0005-0000-0000-0000E8610000}"/>
    <cellStyle name="Hed Top - SECTION 2 3 4 5 4 2" xfId="23129" xr:uid="{00000000-0005-0000-0000-0000E9610000}"/>
    <cellStyle name="Hed Top - SECTION 2 3 4 5 5" xfId="23130" xr:uid="{00000000-0005-0000-0000-0000EA610000}"/>
    <cellStyle name="Hed Top - SECTION 2 3 4 5 5 2" xfId="23131" xr:uid="{00000000-0005-0000-0000-0000EB610000}"/>
    <cellStyle name="Hed Top - SECTION 2 3 4 5 6" xfId="23132" xr:uid="{00000000-0005-0000-0000-0000EC610000}"/>
    <cellStyle name="Hed Top - SECTION 2 3 4 5 6 2" xfId="23133" xr:uid="{00000000-0005-0000-0000-0000ED610000}"/>
    <cellStyle name="Hed Top - SECTION 2 3 4 5 7" xfId="23134" xr:uid="{00000000-0005-0000-0000-0000EE610000}"/>
    <cellStyle name="Hed Top - SECTION 2 3 4 5 7 2" xfId="23135" xr:uid="{00000000-0005-0000-0000-0000EF610000}"/>
    <cellStyle name="Hed Top - SECTION 2 3 4 5 8" xfId="23136" xr:uid="{00000000-0005-0000-0000-0000F0610000}"/>
    <cellStyle name="Hed Top - SECTION 2 3 4 5 8 2" xfId="23137" xr:uid="{00000000-0005-0000-0000-0000F1610000}"/>
    <cellStyle name="Hed Top - SECTION 2 3 4 5 9" xfId="23138" xr:uid="{00000000-0005-0000-0000-0000F2610000}"/>
    <cellStyle name="Hed Top - SECTION 2 3 4 5 9 2" xfId="23139" xr:uid="{00000000-0005-0000-0000-0000F3610000}"/>
    <cellStyle name="Hed Top - SECTION 2 3 4 6" xfId="23140" xr:uid="{00000000-0005-0000-0000-0000F4610000}"/>
    <cellStyle name="Hed Top - SECTION 2 3 4 6 10" xfId="23141" xr:uid="{00000000-0005-0000-0000-0000F5610000}"/>
    <cellStyle name="Hed Top - SECTION 2 3 4 6 2" xfId="23142" xr:uid="{00000000-0005-0000-0000-0000F6610000}"/>
    <cellStyle name="Hed Top - SECTION 2 3 4 6 2 2" xfId="23143" xr:uid="{00000000-0005-0000-0000-0000F7610000}"/>
    <cellStyle name="Hed Top - SECTION 2 3 4 6 3" xfId="23144" xr:uid="{00000000-0005-0000-0000-0000F8610000}"/>
    <cellStyle name="Hed Top - SECTION 2 3 4 6 3 2" xfId="23145" xr:uid="{00000000-0005-0000-0000-0000F9610000}"/>
    <cellStyle name="Hed Top - SECTION 2 3 4 6 4" xfId="23146" xr:uid="{00000000-0005-0000-0000-0000FA610000}"/>
    <cellStyle name="Hed Top - SECTION 2 3 4 6 4 2" xfId="23147" xr:uid="{00000000-0005-0000-0000-0000FB610000}"/>
    <cellStyle name="Hed Top - SECTION 2 3 4 6 5" xfId="23148" xr:uid="{00000000-0005-0000-0000-0000FC610000}"/>
    <cellStyle name="Hed Top - SECTION 2 3 4 6 5 2" xfId="23149" xr:uid="{00000000-0005-0000-0000-0000FD610000}"/>
    <cellStyle name="Hed Top - SECTION 2 3 4 6 6" xfId="23150" xr:uid="{00000000-0005-0000-0000-0000FE610000}"/>
    <cellStyle name="Hed Top - SECTION 2 3 4 6 6 2" xfId="23151" xr:uid="{00000000-0005-0000-0000-0000FF610000}"/>
    <cellStyle name="Hed Top - SECTION 2 3 4 6 7" xfId="23152" xr:uid="{00000000-0005-0000-0000-000000620000}"/>
    <cellStyle name="Hed Top - SECTION 2 3 4 6 7 2" xfId="23153" xr:uid="{00000000-0005-0000-0000-000001620000}"/>
    <cellStyle name="Hed Top - SECTION 2 3 4 6 8" xfId="23154" xr:uid="{00000000-0005-0000-0000-000002620000}"/>
    <cellStyle name="Hed Top - SECTION 2 3 4 6 8 2" xfId="23155" xr:uid="{00000000-0005-0000-0000-000003620000}"/>
    <cellStyle name="Hed Top - SECTION 2 3 4 6 9" xfId="23156" xr:uid="{00000000-0005-0000-0000-000004620000}"/>
    <cellStyle name="Hed Top - SECTION 2 3 4 6 9 2" xfId="23157" xr:uid="{00000000-0005-0000-0000-000005620000}"/>
    <cellStyle name="Hed Top - SECTION 2 3 4 7" xfId="23158" xr:uid="{00000000-0005-0000-0000-000006620000}"/>
    <cellStyle name="Hed Top - SECTION 2 3 4 7 10" xfId="23159" xr:uid="{00000000-0005-0000-0000-000007620000}"/>
    <cellStyle name="Hed Top - SECTION 2 3 4 7 2" xfId="23160" xr:uid="{00000000-0005-0000-0000-000008620000}"/>
    <cellStyle name="Hed Top - SECTION 2 3 4 7 2 2" xfId="23161" xr:uid="{00000000-0005-0000-0000-000009620000}"/>
    <cellStyle name="Hed Top - SECTION 2 3 4 7 3" xfId="23162" xr:uid="{00000000-0005-0000-0000-00000A620000}"/>
    <cellStyle name="Hed Top - SECTION 2 3 4 7 3 2" xfId="23163" xr:uid="{00000000-0005-0000-0000-00000B620000}"/>
    <cellStyle name="Hed Top - SECTION 2 3 4 7 4" xfId="23164" xr:uid="{00000000-0005-0000-0000-00000C620000}"/>
    <cellStyle name="Hed Top - SECTION 2 3 4 7 4 2" xfId="23165" xr:uid="{00000000-0005-0000-0000-00000D620000}"/>
    <cellStyle name="Hed Top - SECTION 2 3 4 7 5" xfId="23166" xr:uid="{00000000-0005-0000-0000-00000E620000}"/>
    <cellStyle name="Hed Top - SECTION 2 3 4 7 5 2" xfId="23167" xr:uid="{00000000-0005-0000-0000-00000F620000}"/>
    <cellStyle name="Hed Top - SECTION 2 3 4 7 6" xfId="23168" xr:uid="{00000000-0005-0000-0000-000010620000}"/>
    <cellStyle name="Hed Top - SECTION 2 3 4 7 6 2" xfId="23169" xr:uid="{00000000-0005-0000-0000-000011620000}"/>
    <cellStyle name="Hed Top - SECTION 2 3 4 7 7" xfId="23170" xr:uid="{00000000-0005-0000-0000-000012620000}"/>
    <cellStyle name="Hed Top - SECTION 2 3 4 7 7 2" xfId="23171" xr:uid="{00000000-0005-0000-0000-000013620000}"/>
    <cellStyle name="Hed Top - SECTION 2 3 4 7 8" xfId="23172" xr:uid="{00000000-0005-0000-0000-000014620000}"/>
    <cellStyle name="Hed Top - SECTION 2 3 4 7 8 2" xfId="23173" xr:uid="{00000000-0005-0000-0000-000015620000}"/>
    <cellStyle name="Hed Top - SECTION 2 3 4 7 9" xfId="23174" xr:uid="{00000000-0005-0000-0000-000016620000}"/>
    <cellStyle name="Hed Top - SECTION 2 3 4 7 9 2" xfId="23175" xr:uid="{00000000-0005-0000-0000-000017620000}"/>
    <cellStyle name="Hed Top - SECTION 2 3 4 8" xfId="23176" xr:uid="{00000000-0005-0000-0000-000018620000}"/>
    <cellStyle name="Hed Top - SECTION 2 3 4 8 10" xfId="23177" xr:uid="{00000000-0005-0000-0000-000019620000}"/>
    <cellStyle name="Hed Top - SECTION 2 3 4 8 2" xfId="23178" xr:uid="{00000000-0005-0000-0000-00001A620000}"/>
    <cellStyle name="Hed Top - SECTION 2 3 4 8 2 2" xfId="23179" xr:uid="{00000000-0005-0000-0000-00001B620000}"/>
    <cellStyle name="Hed Top - SECTION 2 3 4 8 3" xfId="23180" xr:uid="{00000000-0005-0000-0000-00001C620000}"/>
    <cellStyle name="Hed Top - SECTION 2 3 4 8 3 2" xfId="23181" xr:uid="{00000000-0005-0000-0000-00001D620000}"/>
    <cellStyle name="Hed Top - SECTION 2 3 4 8 4" xfId="23182" xr:uid="{00000000-0005-0000-0000-00001E620000}"/>
    <cellStyle name="Hed Top - SECTION 2 3 4 8 4 2" xfId="23183" xr:uid="{00000000-0005-0000-0000-00001F620000}"/>
    <cellStyle name="Hed Top - SECTION 2 3 4 8 5" xfId="23184" xr:uid="{00000000-0005-0000-0000-000020620000}"/>
    <cellStyle name="Hed Top - SECTION 2 3 4 8 5 2" xfId="23185" xr:uid="{00000000-0005-0000-0000-000021620000}"/>
    <cellStyle name="Hed Top - SECTION 2 3 4 8 6" xfId="23186" xr:uid="{00000000-0005-0000-0000-000022620000}"/>
    <cellStyle name="Hed Top - SECTION 2 3 4 8 6 2" xfId="23187" xr:uid="{00000000-0005-0000-0000-000023620000}"/>
    <cellStyle name="Hed Top - SECTION 2 3 4 8 7" xfId="23188" xr:uid="{00000000-0005-0000-0000-000024620000}"/>
    <cellStyle name="Hed Top - SECTION 2 3 4 8 7 2" xfId="23189" xr:uid="{00000000-0005-0000-0000-000025620000}"/>
    <cellStyle name="Hed Top - SECTION 2 3 4 8 8" xfId="23190" xr:uid="{00000000-0005-0000-0000-000026620000}"/>
    <cellStyle name="Hed Top - SECTION 2 3 4 8 8 2" xfId="23191" xr:uid="{00000000-0005-0000-0000-000027620000}"/>
    <cellStyle name="Hed Top - SECTION 2 3 4 8 9" xfId="23192" xr:uid="{00000000-0005-0000-0000-000028620000}"/>
    <cellStyle name="Hed Top - SECTION 2 3 4 8 9 2" xfId="23193" xr:uid="{00000000-0005-0000-0000-000029620000}"/>
    <cellStyle name="Hed Top - SECTION 2 3 4 9" xfId="23194" xr:uid="{00000000-0005-0000-0000-00002A620000}"/>
    <cellStyle name="Hed Top - SECTION 2 3 4 9 10" xfId="23195" xr:uid="{00000000-0005-0000-0000-00002B620000}"/>
    <cellStyle name="Hed Top - SECTION 2 3 4 9 2" xfId="23196" xr:uid="{00000000-0005-0000-0000-00002C620000}"/>
    <cellStyle name="Hed Top - SECTION 2 3 4 9 2 2" xfId="23197" xr:uid="{00000000-0005-0000-0000-00002D620000}"/>
    <cellStyle name="Hed Top - SECTION 2 3 4 9 3" xfId="23198" xr:uid="{00000000-0005-0000-0000-00002E620000}"/>
    <cellStyle name="Hed Top - SECTION 2 3 4 9 3 2" xfId="23199" xr:uid="{00000000-0005-0000-0000-00002F620000}"/>
    <cellStyle name="Hed Top - SECTION 2 3 4 9 4" xfId="23200" xr:uid="{00000000-0005-0000-0000-000030620000}"/>
    <cellStyle name="Hed Top - SECTION 2 3 4 9 4 2" xfId="23201" xr:uid="{00000000-0005-0000-0000-000031620000}"/>
    <cellStyle name="Hed Top - SECTION 2 3 4 9 5" xfId="23202" xr:uid="{00000000-0005-0000-0000-000032620000}"/>
    <cellStyle name="Hed Top - SECTION 2 3 4 9 5 2" xfId="23203" xr:uid="{00000000-0005-0000-0000-000033620000}"/>
    <cellStyle name="Hed Top - SECTION 2 3 4 9 6" xfId="23204" xr:uid="{00000000-0005-0000-0000-000034620000}"/>
    <cellStyle name="Hed Top - SECTION 2 3 4 9 6 2" xfId="23205" xr:uid="{00000000-0005-0000-0000-000035620000}"/>
    <cellStyle name="Hed Top - SECTION 2 3 4 9 7" xfId="23206" xr:uid="{00000000-0005-0000-0000-000036620000}"/>
    <cellStyle name="Hed Top - SECTION 2 3 4 9 7 2" xfId="23207" xr:uid="{00000000-0005-0000-0000-000037620000}"/>
    <cellStyle name="Hed Top - SECTION 2 3 4 9 8" xfId="23208" xr:uid="{00000000-0005-0000-0000-000038620000}"/>
    <cellStyle name="Hed Top - SECTION 2 3 4 9 8 2" xfId="23209" xr:uid="{00000000-0005-0000-0000-000039620000}"/>
    <cellStyle name="Hed Top - SECTION 2 3 4 9 9" xfId="23210" xr:uid="{00000000-0005-0000-0000-00003A620000}"/>
    <cellStyle name="Hed Top - SECTION 2 3 4 9 9 2" xfId="23211" xr:uid="{00000000-0005-0000-0000-00003B620000}"/>
    <cellStyle name="Hed Top - SECTION 2 3 5" xfId="23212" xr:uid="{00000000-0005-0000-0000-00003C620000}"/>
    <cellStyle name="Hed Top - SECTION 2 3 5 10" xfId="23213" xr:uid="{00000000-0005-0000-0000-00003D620000}"/>
    <cellStyle name="Hed Top - SECTION 2 3 5 10 2" xfId="23214" xr:uid="{00000000-0005-0000-0000-00003E620000}"/>
    <cellStyle name="Hed Top - SECTION 2 3 5 10 2 2" xfId="23215" xr:uid="{00000000-0005-0000-0000-00003F620000}"/>
    <cellStyle name="Hed Top - SECTION 2 3 5 10 3" xfId="23216" xr:uid="{00000000-0005-0000-0000-000040620000}"/>
    <cellStyle name="Hed Top - SECTION 2 3 5 10 3 2" xfId="23217" xr:uid="{00000000-0005-0000-0000-000041620000}"/>
    <cellStyle name="Hed Top - SECTION 2 3 5 10 4" xfId="23218" xr:uid="{00000000-0005-0000-0000-000042620000}"/>
    <cellStyle name="Hed Top - SECTION 2 3 5 10 4 2" xfId="23219" xr:uid="{00000000-0005-0000-0000-000043620000}"/>
    <cellStyle name="Hed Top - SECTION 2 3 5 10 5" xfId="23220" xr:uid="{00000000-0005-0000-0000-000044620000}"/>
    <cellStyle name="Hed Top - SECTION 2 3 5 10 5 2" xfId="23221" xr:uid="{00000000-0005-0000-0000-000045620000}"/>
    <cellStyle name="Hed Top - SECTION 2 3 5 10 6" xfId="23222" xr:uid="{00000000-0005-0000-0000-000046620000}"/>
    <cellStyle name="Hed Top - SECTION 2 3 5 10 6 2" xfId="23223" xr:uid="{00000000-0005-0000-0000-000047620000}"/>
    <cellStyle name="Hed Top - SECTION 2 3 5 10 7" xfId="23224" xr:uid="{00000000-0005-0000-0000-000048620000}"/>
    <cellStyle name="Hed Top - SECTION 2 3 5 10 7 2" xfId="23225" xr:uid="{00000000-0005-0000-0000-000049620000}"/>
    <cellStyle name="Hed Top - SECTION 2 3 5 10 8" xfId="23226" xr:uid="{00000000-0005-0000-0000-00004A620000}"/>
    <cellStyle name="Hed Top - SECTION 2 3 5 10 8 2" xfId="23227" xr:uid="{00000000-0005-0000-0000-00004B620000}"/>
    <cellStyle name="Hed Top - SECTION 2 3 5 10 9" xfId="23228" xr:uid="{00000000-0005-0000-0000-00004C620000}"/>
    <cellStyle name="Hed Top - SECTION 2 3 5 11" xfId="23229" xr:uid="{00000000-0005-0000-0000-00004D620000}"/>
    <cellStyle name="Hed Top - SECTION 2 3 5 11 2" xfId="23230" xr:uid="{00000000-0005-0000-0000-00004E620000}"/>
    <cellStyle name="Hed Top - SECTION 2 3 5 12" xfId="23231" xr:uid="{00000000-0005-0000-0000-00004F620000}"/>
    <cellStyle name="Hed Top - SECTION 2 3 5 12 2" xfId="23232" xr:uid="{00000000-0005-0000-0000-000050620000}"/>
    <cellStyle name="Hed Top - SECTION 2 3 5 13" xfId="23233" xr:uid="{00000000-0005-0000-0000-000051620000}"/>
    <cellStyle name="Hed Top - SECTION 2 3 5 13 2" xfId="23234" xr:uid="{00000000-0005-0000-0000-000052620000}"/>
    <cellStyle name="Hed Top - SECTION 2 3 5 14" xfId="23235" xr:uid="{00000000-0005-0000-0000-000053620000}"/>
    <cellStyle name="Hed Top - SECTION 2 3 5 14 2" xfId="23236" xr:uid="{00000000-0005-0000-0000-000054620000}"/>
    <cellStyle name="Hed Top - SECTION 2 3 5 15" xfId="23237" xr:uid="{00000000-0005-0000-0000-000055620000}"/>
    <cellStyle name="Hed Top - SECTION 2 3 5 15 2" xfId="23238" xr:uid="{00000000-0005-0000-0000-000056620000}"/>
    <cellStyle name="Hed Top - SECTION 2 3 5 16" xfId="23239" xr:uid="{00000000-0005-0000-0000-000057620000}"/>
    <cellStyle name="Hed Top - SECTION 2 3 5 16 2" xfId="23240" xr:uid="{00000000-0005-0000-0000-000058620000}"/>
    <cellStyle name="Hed Top - SECTION 2 3 5 17" xfId="23241" xr:uid="{00000000-0005-0000-0000-000059620000}"/>
    <cellStyle name="Hed Top - SECTION 2 3 5 17 2" xfId="23242" xr:uid="{00000000-0005-0000-0000-00005A620000}"/>
    <cellStyle name="Hed Top - SECTION 2 3 5 18" xfId="23243" xr:uid="{00000000-0005-0000-0000-00005B620000}"/>
    <cellStyle name="Hed Top - SECTION 2 3 5 2" xfId="23244" xr:uid="{00000000-0005-0000-0000-00005C620000}"/>
    <cellStyle name="Hed Top - SECTION 2 3 5 2 10" xfId="23245" xr:uid="{00000000-0005-0000-0000-00005D620000}"/>
    <cellStyle name="Hed Top - SECTION 2 3 5 2 2" xfId="23246" xr:uid="{00000000-0005-0000-0000-00005E620000}"/>
    <cellStyle name="Hed Top - SECTION 2 3 5 2 2 2" xfId="23247" xr:uid="{00000000-0005-0000-0000-00005F620000}"/>
    <cellStyle name="Hed Top - SECTION 2 3 5 2 3" xfId="23248" xr:uid="{00000000-0005-0000-0000-000060620000}"/>
    <cellStyle name="Hed Top - SECTION 2 3 5 2 3 2" xfId="23249" xr:uid="{00000000-0005-0000-0000-000061620000}"/>
    <cellStyle name="Hed Top - SECTION 2 3 5 2 4" xfId="23250" xr:uid="{00000000-0005-0000-0000-000062620000}"/>
    <cellStyle name="Hed Top - SECTION 2 3 5 2 4 2" xfId="23251" xr:uid="{00000000-0005-0000-0000-000063620000}"/>
    <cellStyle name="Hed Top - SECTION 2 3 5 2 5" xfId="23252" xr:uid="{00000000-0005-0000-0000-000064620000}"/>
    <cellStyle name="Hed Top - SECTION 2 3 5 2 5 2" xfId="23253" xr:uid="{00000000-0005-0000-0000-000065620000}"/>
    <cellStyle name="Hed Top - SECTION 2 3 5 2 6" xfId="23254" xr:uid="{00000000-0005-0000-0000-000066620000}"/>
    <cellStyle name="Hed Top - SECTION 2 3 5 2 6 2" xfId="23255" xr:uid="{00000000-0005-0000-0000-000067620000}"/>
    <cellStyle name="Hed Top - SECTION 2 3 5 2 7" xfId="23256" xr:uid="{00000000-0005-0000-0000-000068620000}"/>
    <cellStyle name="Hed Top - SECTION 2 3 5 2 7 2" xfId="23257" xr:uid="{00000000-0005-0000-0000-000069620000}"/>
    <cellStyle name="Hed Top - SECTION 2 3 5 2 8" xfId="23258" xr:uid="{00000000-0005-0000-0000-00006A620000}"/>
    <cellStyle name="Hed Top - SECTION 2 3 5 2 8 2" xfId="23259" xr:uid="{00000000-0005-0000-0000-00006B620000}"/>
    <cellStyle name="Hed Top - SECTION 2 3 5 2 9" xfId="23260" xr:uid="{00000000-0005-0000-0000-00006C620000}"/>
    <cellStyle name="Hed Top - SECTION 2 3 5 2 9 2" xfId="23261" xr:uid="{00000000-0005-0000-0000-00006D620000}"/>
    <cellStyle name="Hed Top - SECTION 2 3 5 3" xfId="23262" xr:uid="{00000000-0005-0000-0000-00006E620000}"/>
    <cellStyle name="Hed Top - SECTION 2 3 5 3 10" xfId="23263" xr:uid="{00000000-0005-0000-0000-00006F620000}"/>
    <cellStyle name="Hed Top - SECTION 2 3 5 3 2" xfId="23264" xr:uid="{00000000-0005-0000-0000-000070620000}"/>
    <cellStyle name="Hed Top - SECTION 2 3 5 3 2 2" xfId="23265" xr:uid="{00000000-0005-0000-0000-000071620000}"/>
    <cellStyle name="Hed Top - SECTION 2 3 5 3 3" xfId="23266" xr:uid="{00000000-0005-0000-0000-000072620000}"/>
    <cellStyle name="Hed Top - SECTION 2 3 5 3 3 2" xfId="23267" xr:uid="{00000000-0005-0000-0000-000073620000}"/>
    <cellStyle name="Hed Top - SECTION 2 3 5 3 4" xfId="23268" xr:uid="{00000000-0005-0000-0000-000074620000}"/>
    <cellStyle name="Hed Top - SECTION 2 3 5 3 4 2" xfId="23269" xr:uid="{00000000-0005-0000-0000-000075620000}"/>
    <cellStyle name="Hed Top - SECTION 2 3 5 3 5" xfId="23270" xr:uid="{00000000-0005-0000-0000-000076620000}"/>
    <cellStyle name="Hed Top - SECTION 2 3 5 3 5 2" xfId="23271" xr:uid="{00000000-0005-0000-0000-000077620000}"/>
    <cellStyle name="Hed Top - SECTION 2 3 5 3 6" xfId="23272" xr:uid="{00000000-0005-0000-0000-000078620000}"/>
    <cellStyle name="Hed Top - SECTION 2 3 5 3 6 2" xfId="23273" xr:uid="{00000000-0005-0000-0000-000079620000}"/>
    <cellStyle name="Hed Top - SECTION 2 3 5 3 7" xfId="23274" xr:uid="{00000000-0005-0000-0000-00007A620000}"/>
    <cellStyle name="Hed Top - SECTION 2 3 5 3 7 2" xfId="23275" xr:uid="{00000000-0005-0000-0000-00007B620000}"/>
    <cellStyle name="Hed Top - SECTION 2 3 5 3 8" xfId="23276" xr:uid="{00000000-0005-0000-0000-00007C620000}"/>
    <cellStyle name="Hed Top - SECTION 2 3 5 3 8 2" xfId="23277" xr:uid="{00000000-0005-0000-0000-00007D620000}"/>
    <cellStyle name="Hed Top - SECTION 2 3 5 3 9" xfId="23278" xr:uid="{00000000-0005-0000-0000-00007E620000}"/>
    <cellStyle name="Hed Top - SECTION 2 3 5 3 9 2" xfId="23279" xr:uid="{00000000-0005-0000-0000-00007F620000}"/>
    <cellStyle name="Hed Top - SECTION 2 3 5 4" xfId="23280" xr:uid="{00000000-0005-0000-0000-000080620000}"/>
    <cellStyle name="Hed Top - SECTION 2 3 5 4 10" xfId="23281" xr:uid="{00000000-0005-0000-0000-000081620000}"/>
    <cellStyle name="Hed Top - SECTION 2 3 5 4 2" xfId="23282" xr:uid="{00000000-0005-0000-0000-000082620000}"/>
    <cellStyle name="Hed Top - SECTION 2 3 5 4 2 2" xfId="23283" xr:uid="{00000000-0005-0000-0000-000083620000}"/>
    <cellStyle name="Hed Top - SECTION 2 3 5 4 3" xfId="23284" xr:uid="{00000000-0005-0000-0000-000084620000}"/>
    <cellStyle name="Hed Top - SECTION 2 3 5 4 3 2" xfId="23285" xr:uid="{00000000-0005-0000-0000-000085620000}"/>
    <cellStyle name="Hed Top - SECTION 2 3 5 4 4" xfId="23286" xr:uid="{00000000-0005-0000-0000-000086620000}"/>
    <cellStyle name="Hed Top - SECTION 2 3 5 4 4 2" xfId="23287" xr:uid="{00000000-0005-0000-0000-000087620000}"/>
    <cellStyle name="Hed Top - SECTION 2 3 5 4 5" xfId="23288" xr:uid="{00000000-0005-0000-0000-000088620000}"/>
    <cellStyle name="Hed Top - SECTION 2 3 5 4 5 2" xfId="23289" xr:uid="{00000000-0005-0000-0000-000089620000}"/>
    <cellStyle name="Hed Top - SECTION 2 3 5 4 6" xfId="23290" xr:uid="{00000000-0005-0000-0000-00008A620000}"/>
    <cellStyle name="Hed Top - SECTION 2 3 5 4 6 2" xfId="23291" xr:uid="{00000000-0005-0000-0000-00008B620000}"/>
    <cellStyle name="Hed Top - SECTION 2 3 5 4 7" xfId="23292" xr:uid="{00000000-0005-0000-0000-00008C620000}"/>
    <cellStyle name="Hed Top - SECTION 2 3 5 4 7 2" xfId="23293" xr:uid="{00000000-0005-0000-0000-00008D620000}"/>
    <cellStyle name="Hed Top - SECTION 2 3 5 4 8" xfId="23294" xr:uid="{00000000-0005-0000-0000-00008E620000}"/>
    <cellStyle name="Hed Top - SECTION 2 3 5 4 8 2" xfId="23295" xr:uid="{00000000-0005-0000-0000-00008F620000}"/>
    <cellStyle name="Hed Top - SECTION 2 3 5 4 9" xfId="23296" xr:uid="{00000000-0005-0000-0000-000090620000}"/>
    <cellStyle name="Hed Top - SECTION 2 3 5 4 9 2" xfId="23297" xr:uid="{00000000-0005-0000-0000-000091620000}"/>
    <cellStyle name="Hed Top - SECTION 2 3 5 5" xfId="23298" xr:uid="{00000000-0005-0000-0000-000092620000}"/>
    <cellStyle name="Hed Top - SECTION 2 3 5 5 10" xfId="23299" xr:uid="{00000000-0005-0000-0000-000093620000}"/>
    <cellStyle name="Hed Top - SECTION 2 3 5 5 2" xfId="23300" xr:uid="{00000000-0005-0000-0000-000094620000}"/>
    <cellStyle name="Hed Top - SECTION 2 3 5 5 2 2" xfId="23301" xr:uid="{00000000-0005-0000-0000-000095620000}"/>
    <cellStyle name="Hed Top - SECTION 2 3 5 5 3" xfId="23302" xr:uid="{00000000-0005-0000-0000-000096620000}"/>
    <cellStyle name="Hed Top - SECTION 2 3 5 5 3 2" xfId="23303" xr:uid="{00000000-0005-0000-0000-000097620000}"/>
    <cellStyle name="Hed Top - SECTION 2 3 5 5 4" xfId="23304" xr:uid="{00000000-0005-0000-0000-000098620000}"/>
    <cellStyle name="Hed Top - SECTION 2 3 5 5 4 2" xfId="23305" xr:uid="{00000000-0005-0000-0000-000099620000}"/>
    <cellStyle name="Hed Top - SECTION 2 3 5 5 5" xfId="23306" xr:uid="{00000000-0005-0000-0000-00009A620000}"/>
    <cellStyle name="Hed Top - SECTION 2 3 5 5 5 2" xfId="23307" xr:uid="{00000000-0005-0000-0000-00009B620000}"/>
    <cellStyle name="Hed Top - SECTION 2 3 5 5 6" xfId="23308" xr:uid="{00000000-0005-0000-0000-00009C620000}"/>
    <cellStyle name="Hed Top - SECTION 2 3 5 5 6 2" xfId="23309" xr:uid="{00000000-0005-0000-0000-00009D620000}"/>
    <cellStyle name="Hed Top - SECTION 2 3 5 5 7" xfId="23310" xr:uid="{00000000-0005-0000-0000-00009E620000}"/>
    <cellStyle name="Hed Top - SECTION 2 3 5 5 7 2" xfId="23311" xr:uid="{00000000-0005-0000-0000-00009F620000}"/>
    <cellStyle name="Hed Top - SECTION 2 3 5 5 8" xfId="23312" xr:uid="{00000000-0005-0000-0000-0000A0620000}"/>
    <cellStyle name="Hed Top - SECTION 2 3 5 5 8 2" xfId="23313" xr:uid="{00000000-0005-0000-0000-0000A1620000}"/>
    <cellStyle name="Hed Top - SECTION 2 3 5 5 9" xfId="23314" xr:uid="{00000000-0005-0000-0000-0000A2620000}"/>
    <cellStyle name="Hed Top - SECTION 2 3 5 5 9 2" xfId="23315" xr:uid="{00000000-0005-0000-0000-0000A3620000}"/>
    <cellStyle name="Hed Top - SECTION 2 3 5 6" xfId="23316" xr:uid="{00000000-0005-0000-0000-0000A4620000}"/>
    <cellStyle name="Hed Top - SECTION 2 3 5 6 10" xfId="23317" xr:uid="{00000000-0005-0000-0000-0000A5620000}"/>
    <cellStyle name="Hed Top - SECTION 2 3 5 6 2" xfId="23318" xr:uid="{00000000-0005-0000-0000-0000A6620000}"/>
    <cellStyle name="Hed Top - SECTION 2 3 5 6 2 2" xfId="23319" xr:uid="{00000000-0005-0000-0000-0000A7620000}"/>
    <cellStyle name="Hed Top - SECTION 2 3 5 6 3" xfId="23320" xr:uid="{00000000-0005-0000-0000-0000A8620000}"/>
    <cellStyle name="Hed Top - SECTION 2 3 5 6 3 2" xfId="23321" xr:uid="{00000000-0005-0000-0000-0000A9620000}"/>
    <cellStyle name="Hed Top - SECTION 2 3 5 6 4" xfId="23322" xr:uid="{00000000-0005-0000-0000-0000AA620000}"/>
    <cellStyle name="Hed Top - SECTION 2 3 5 6 4 2" xfId="23323" xr:uid="{00000000-0005-0000-0000-0000AB620000}"/>
    <cellStyle name="Hed Top - SECTION 2 3 5 6 5" xfId="23324" xr:uid="{00000000-0005-0000-0000-0000AC620000}"/>
    <cellStyle name="Hed Top - SECTION 2 3 5 6 5 2" xfId="23325" xr:uid="{00000000-0005-0000-0000-0000AD620000}"/>
    <cellStyle name="Hed Top - SECTION 2 3 5 6 6" xfId="23326" xr:uid="{00000000-0005-0000-0000-0000AE620000}"/>
    <cellStyle name="Hed Top - SECTION 2 3 5 6 6 2" xfId="23327" xr:uid="{00000000-0005-0000-0000-0000AF620000}"/>
    <cellStyle name="Hed Top - SECTION 2 3 5 6 7" xfId="23328" xr:uid="{00000000-0005-0000-0000-0000B0620000}"/>
    <cellStyle name="Hed Top - SECTION 2 3 5 6 7 2" xfId="23329" xr:uid="{00000000-0005-0000-0000-0000B1620000}"/>
    <cellStyle name="Hed Top - SECTION 2 3 5 6 8" xfId="23330" xr:uid="{00000000-0005-0000-0000-0000B2620000}"/>
    <cellStyle name="Hed Top - SECTION 2 3 5 6 8 2" xfId="23331" xr:uid="{00000000-0005-0000-0000-0000B3620000}"/>
    <cellStyle name="Hed Top - SECTION 2 3 5 6 9" xfId="23332" xr:uid="{00000000-0005-0000-0000-0000B4620000}"/>
    <cellStyle name="Hed Top - SECTION 2 3 5 6 9 2" xfId="23333" xr:uid="{00000000-0005-0000-0000-0000B5620000}"/>
    <cellStyle name="Hed Top - SECTION 2 3 5 7" xfId="23334" xr:uid="{00000000-0005-0000-0000-0000B6620000}"/>
    <cellStyle name="Hed Top - SECTION 2 3 5 7 10" xfId="23335" xr:uid="{00000000-0005-0000-0000-0000B7620000}"/>
    <cellStyle name="Hed Top - SECTION 2 3 5 7 2" xfId="23336" xr:uid="{00000000-0005-0000-0000-0000B8620000}"/>
    <cellStyle name="Hed Top - SECTION 2 3 5 7 2 2" xfId="23337" xr:uid="{00000000-0005-0000-0000-0000B9620000}"/>
    <cellStyle name="Hed Top - SECTION 2 3 5 7 3" xfId="23338" xr:uid="{00000000-0005-0000-0000-0000BA620000}"/>
    <cellStyle name="Hed Top - SECTION 2 3 5 7 3 2" xfId="23339" xr:uid="{00000000-0005-0000-0000-0000BB620000}"/>
    <cellStyle name="Hed Top - SECTION 2 3 5 7 4" xfId="23340" xr:uid="{00000000-0005-0000-0000-0000BC620000}"/>
    <cellStyle name="Hed Top - SECTION 2 3 5 7 4 2" xfId="23341" xr:uid="{00000000-0005-0000-0000-0000BD620000}"/>
    <cellStyle name="Hed Top - SECTION 2 3 5 7 5" xfId="23342" xr:uid="{00000000-0005-0000-0000-0000BE620000}"/>
    <cellStyle name="Hed Top - SECTION 2 3 5 7 5 2" xfId="23343" xr:uid="{00000000-0005-0000-0000-0000BF620000}"/>
    <cellStyle name="Hed Top - SECTION 2 3 5 7 6" xfId="23344" xr:uid="{00000000-0005-0000-0000-0000C0620000}"/>
    <cellStyle name="Hed Top - SECTION 2 3 5 7 6 2" xfId="23345" xr:uid="{00000000-0005-0000-0000-0000C1620000}"/>
    <cellStyle name="Hed Top - SECTION 2 3 5 7 7" xfId="23346" xr:uid="{00000000-0005-0000-0000-0000C2620000}"/>
    <cellStyle name="Hed Top - SECTION 2 3 5 7 7 2" xfId="23347" xr:uid="{00000000-0005-0000-0000-0000C3620000}"/>
    <cellStyle name="Hed Top - SECTION 2 3 5 7 8" xfId="23348" xr:uid="{00000000-0005-0000-0000-0000C4620000}"/>
    <cellStyle name="Hed Top - SECTION 2 3 5 7 8 2" xfId="23349" xr:uid="{00000000-0005-0000-0000-0000C5620000}"/>
    <cellStyle name="Hed Top - SECTION 2 3 5 7 9" xfId="23350" xr:uid="{00000000-0005-0000-0000-0000C6620000}"/>
    <cellStyle name="Hed Top - SECTION 2 3 5 7 9 2" xfId="23351" xr:uid="{00000000-0005-0000-0000-0000C7620000}"/>
    <cellStyle name="Hed Top - SECTION 2 3 5 8" xfId="23352" xr:uid="{00000000-0005-0000-0000-0000C8620000}"/>
    <cellStyle name="Hed Top - SECTION 2 3 5 8 10" xfId="23353" xr:uid="{00000000-0005-0000-0000-0000C9620000}"/>
    <cellStyle name="Hed Top - SECTION 2 3 5 8 2" xfId="23354" xr:uid="{00000000-0005-0000-0000-0000CA620000}"/>
    <cellStyle name="Hed Top - SECTION 2 3 5 8 2 2" xfId="23355" xr:uid="{00000000-0005-0000-0000-0000CB620000}"/>
    <cellStyle name="Hed Top - SECTION 2 3 5 8 3" xfId="23356" xr:uid="{00000000-0005-0000-0000-0000CC620000}"/>
    <cellStyle name="Hed Top - SECTION 2 3 5 8 3 2" xfId="23357" xr:uid="{00000000-0005-0000-0000-0000CD620000}"/>
    <cellStyle name="Hed Top - SECTION 2 3 5 8 4" xfId="23358" xr:uid="{00000000-0005-0000-0000-0000CE620000}"/>
    <cellStyle name="Hed Top - SECTION 2 3 5 8 4 2" xfId="23359" xr:uid="{00000000-0005-0000-0000-0000CF620000}"/>
    <cellStyle name="Hed Top - SECTION 2 3 5 8 5" xfId="23360" xr:uid="{00000000-0005-0000-0000-0000D0620000}"/>
    <cellStyle name="Hed Top - SECTION 2 3 5 8 5 2" xfId="23361" xr:uid="{00000000-0005-0000-0000-0000D1620000}"/>
    <cellStyle name="Hed Top - SECTION 2 3 5 8 6" xfId="23362" xr:uid="{00000000-0005-0000-0000-0000D2620000}"/>
    <cellStyle name="Hed Top - SECTION 2 3 5 8 6 2" xfId="23363" xr:uid="{00000000-0005-0000-0000-0000D3620000}"/>
    <cellStyle name="Hed Top - SECTION 2 3 5 8 7" xfId="23364" xr:uid="{00000000-0005-0000-0000-0000D4620000}"/>
    <cellStyle name="Hed Top - SECTION 2 3 5 8 7 2" xfId="23365" xr:uid="{00000000-0005-0000-0000-0000D5620000}"/>
    <cellStyle name="Hed Top - SECTION 2 3 5 8 8" xfId="23366" xr:uid="{00000000-0005-0000-0000-0000D6620000}"/>
    <cellStyle name="Hed Top - SECTION 2 3 5 8 8 2" xfId="23367" xr:uid="{00000000-0005-0000-0000-0000D7620000}"/>
    <cellStyle name="Hed Top - SECTION 2 3 5 8 9" xfId="23368" xr:uid="{00000000-0005-0000-0000-0000D8620000}"/>
    <cellStyle name="Hed Top - SECTION 2 3 5 8 9 2" xfId="23369" xr:uid="{00000000-0005-0000-0000-0000D9620000}"/>
    <cellStyle name="Hed Top - SECTION 2 3 5 9" xfId="23370" xr:uid="{00000000-0005-0000-0000-0000DA620000}"/>
    <cellStyle name="Hed Top - SECTION 2 3 5 9 10" xfId="23371" xr:uid="{00000000-0005-0000-0000-0000DB620000}"/>
    <cellStyle name="Hed Top - SECTION 2 3 5 9 2" xfId="23372" xr:uid="{00000000-0005-0000-0000-0000DC620000}"/>
    <cellStyle name="Hed Top - SECTION 2 3 5 9 2 2" xfId="23373" xr:uid="{00000000-0005-0000-0000-0000DD620000}"/>
    <cellStyle name="Hed Top - SECTION 2 3 5 9 3" xfId="23374" xr:uid="{00000000-0005-0000-0000-0000DE620000}"/>
    <cellStyle name="Hed Top - SECTION 2 3 5 9 3 2" xfId="23375" xr:uid="{00000000-0005-0000-0000-0000DF620000}"/>
    <cellStyle name="Hed Top - SECTION 2 3 5 9 4" xfId="23376" xr:uid="{00000000-0005-0000-0000-0000E0620000}"/>
    <cellStyle name="Hed Top - SECTION 2 3 5 9 4 2" xfId="23377" xr:uid="{00000000-0005-0000-0000-0000E1620000}"/>
    <cellStyle name="Hed Top - SECTION 2 3 5 9 5" xfId="23378" xr:uid="{00000000-0005-0000-0000-0000E2620000}"/>
    <cellStyle name="Hed Top - SECTION 2 3 5 9 5 2" xfId="23379" xr:uid="{00000000-0005-0000-0000-0000E3620000}"/>
    <cellStyle name="Hed Top - SECTION 2 3 5 9 6" xfId="23380" xr:uid="{00000000-0005-0000-0000-0000E4620000}"/>
    <cellStyle name="Hed Top - SECTION 2 3 5 9 6 2" xfId="23381" xr:uid="{00000000-0005-0000-0000-0000E5620000}"/>
    <cellStyle name="Hed Top - SECTION 2 3 5 9 7" xfId="23382" xr:uid="{00000000-0005-0000-0000-0000E6620000}"/>
    <cellStyle name="Hed Top - SECTION 2 3 5 9 7 2" xfId="23383" xr:uid="{00000000-0005-0000-0000-0000E7620000}"/>
    <cellStyle name="Hed Top - SECTION 2 3 5 9 8" xfId="23384" xr:uid="{00000000-0005-0000-0000-0000E8620000}"/>
    <cellStyle name="Hed Top - SECTION 2 3 5 9 8 2" xfId="23385" xr:uid="{00000000-0005-0000-0000-0000E9620000}"/>
    <cellStyle name="Hed Top - SECTION 2 3 5 9 9" xfId="23386" xr:uid="{00000000-0005-0000-0000-0000EA620000}"/>
    <cellStyle name="Hed Top - SECTION 2 3 5 9 9 2" xfId="23387" xr:uid="{00000000-0005-0000-0000-0000EB620000}"/>
    <cellStyle name="Hed Top - SECTION 2 3 6" xfId="23388" xr:uid="{00000000-0005-0000-0000-0000EC620000}"/>
    <cellStyle name="Hed Top - SECTION 2 3 6 10" xfId="23389" xr:uid="{00000000-0005-0000-0000-0000ED620000}"/>
    <cellStyle name="Hed Top - SECTION 2 3 6 10 2" xfId="23390" xr:uid="{00000000-0005-0000-0000-0000EE620000}"/>
    <cellStyle name="Hed Top - SECTION 2 3 6 10 2 2" xfId="23391" xr:uid="{00000000-0005-0000-0000-0000EF620000}"/>
    <cellStyle name="Hed Top - SECTION 2 3 6 10 3" xfId="23392" xr:uid="{00000000-0005-0000-0000-0000F0620000}"/>
    <cellStyle name="Hed Top - SECTION 2 3 6 10 3 2" xfId="23393" xr:uid="{00000000-0005-0000-0000-0000F1620000}"/>
    <cellStyle name="Hed Top - SECTION 2 3 6 10 4" xfId="23394" xr:uid="{00000000-0005-0000-0000-0000F2620000}"/>
    <cellStyle name="Hed Top - SECTION 2 3 6 10 4 2" xfId="23395" xr:uid="{00000000-0005-0000-0000-0000F3620000}"/>
    <cellStyle name="Hed Top - SECTION 2 3 6 10 5" xfId="23396" xr:uid="{00000000-0005-0000-0000-0000F4620000}"/>
    <cellStyle name="Hed Top - SECTION 2 3 6 10 5 2" xfId="23397" xr:uid="{00000000-0005-0000-0000-0000F5620000}"/>
    <cellStyle name="Hed Top - SECTION 2 3 6 10 6" xfId="23398" xr:uid="{00000000-0005-0000-0000-0000F6620000}"/>
    <cellStyle name="Hed Top - SECTION 2 3 6 10 6 2" xfId="23399" xr:uid="{00000000-0005-0000-0000-0000F7620000}"/>
    <cellStyle name="Hed Top - SECTION 2 3 6 10 7" xfId="23400" xr:uid="{00000000-0005-0000-0000-0000F8620000}"/>
    <cellStyle name="Hed Top - SECTION 2 3 6 10 7 2" xfId="23401" xr:uid="{00000000-0005-0000-0000-0000F9620000}"/>
    <cellStyle name="Hed Top - SECTION 2 3 6 10 8" xfId="23402" xr:uid="{00000000-0005-0000-0000-0000FA620000}"/>
    <cellStyle name="Hed Top - SECTION 2 3 6 10 8 2" xfId="23403" xr:uid="{00000000-0005-0000-0000-0000FB620000}"/>
    <cellStyle name="Hed Top - SECTION 2 3 6 10 9" xfId="23404" xr:uid="{00000000-0005-0000-0000-0000FC620000}"/>
    <cellStyle name="Hed Top - SECTION 2 3 6 11" xfId="23405" xr:uid="{00000000-0005-0000-0000-0000FD620000}"/>
    <cellStyle name="Hed Top - SECTION 2 3 6 11 2" xfId="23406" xr:uid="{00000000-0005-0000-0000-0000FE620000}"/>
    <cellStyle name="Hed Top - SECTION 2 3 6 12" xfId="23407" xr:uid="{00000000-0005-0000-0000-0000FF620000}"/>
    <cellStyle name="Hed Top - SECTION 2 3 6 12 2" xfId="23408" xr:uid="{00000000-0005-0000-0000-000000630000}"/>
    <cellStyle name="Hed Top - SECTION 2 3 6 13" xfId="23409" xr:uid="{00000000-0005-0000-0000-000001630000}"/>
    <cellStyle name="Hed Top - SECTION 2 3 6 13 2" xfId="23410" xr:uid="{00000000-0005-0000-0000-000002630000}"/>
    <cellStyle name="Hed Top - SECTION 2 3 6 14" xfId="23411" xr:uid="{00000000-0005-0000-0000-000003630000}"/>
    <cellStyle name="Hed Top - SECTION 2 3 6 14 2" xfId="23412" xr:uid="{00000000-0005-0000-0000-000004630000}"/>
    <cellStyle name="Hed Top - SECTION 2 3 6 15" xfId="23413" xr:uid="{00000000-0005-0000-0000-000005630000}"/>
    <cellStyle name="Hed Top - SECTION 2 3 6 15 2" xfId="23414" xr:uid="{00000000-0005-0000-0000-000006630000}"/>
    <cellStyle name="Hed Top - SECTION 2 3 6 16" xfId="23415" xr:uid="{00000000-0005-0000-0000-000007630000}"/>
    <cellStyle name="Hed Top - SECTION 2 3 6 16 2" xfId="23416" xr:uid="{00000000-0005-0000-0000-000008630000}"/>
    <cellStyle name="Hed Top - SECTION 2 3 6 17" xfId="23417" xr:uid="{00000000-0005-0000-0000-000009630000}"/>
    <cellStyle name="Hed Top - SECTION 2 3 6 17 2" xfId="23418" xr:uid="{00000000-0005-0000-0000-00000A630000}"/>
    <cellStyle name="Hed Top - SECTION 2 3 6 18" xfId="23419" xr:uid="{00000000-0005-0000-0000-00000B630000}"/>
    <cellStyle name="Hed Top - SECTION 2 3 6 2" xfId="23420" xr:uid="{00000000-0005-0000-0000-00000C630000}"/>
    <cellStyle name="Hed Top - SECTION 2 3 6 2 10" xfId="23421" xr:uid="{00000000-0005-0000-0000-00000D630000}"/>
    <cellStyle name="Hed Top - SECTION 2 3 6 2 2" xfId="23422" xr:uid="{00000000-0005-0000-0000-00000E630000}"/>
    <cellStyle name="Hed Top - SECTION 2 3 6 2 2 2" xfId="23423" xr:uid="{00000000-0005-0000-0000-00000F630000}"/>
    <cellStyle name="Hed Top - SECTION 2 3 6 2 3" xfId="23424" xr:uid="{00000000-0005-0000-0000-000010630000}"/>
    <cellStyle name="Hed Top - SECTION 2 3 6 2 3 2" xfId="23425" xr:uid="{00000000-0005-0000-0000-000011630000}"/>
    <cellStyle name="Hed Top - SECTION 2 3 6 2 4" xfId="23426" xr:uid="{00000000-0005-0000-0000-000012630000}"/>
    <cellStyle name="Hed Top - SECTION 2 3 6 2 4 2" xfId="23427" xr:uid="{00000000-0005-0000-0000-000013630000}"/>
    <cellStyle name="Hed Top - SECTION 2 3 6 2 5" xfId="23428" xr:uid="{00000000-0005-0000-0000-000014630000}"/>
    <cellStyle name="Hed Top - SECTION 2 3 6 2 5 2" xfId="23429" xr:uid="{00000000-0005-0000-0000-000015630000}"/>
    <cellStyle name="Hed Top - SECTION 2 3 6 2 6" xfId="23430" xr:uid="{00000000-0005-0000-0000-000016630000}"/>
    <cellStyle name="Hed Top - SECTION 2 3 6 2 6 2" xfId="23431" xr:uid="{00000000-0005-0000-0000-000017630000}"/>
    <cellStyle name="Hed Top - SECTION 2 3 6 2 7" xfId="23432" xr:uid="{00000000-0005-0000-0000-000018630000}"/>
    <cellStyle name="Hed Top - SECTION 2 3 6 2 7 2" xfId="23433" xr:uid="{00000000-0005-0000-0000-000019630000}"/>
    <cellStyle name="Hed Top - SECTION 2 3 6 2 8" xfId="23434" xr:uid="{00000000-0005-0000-0000-00001A630000}"/>
    <cellStyle name="Hed Top - SECTION 2 3 6 2 8 2" xfId="23435" xr:uid="{00000000-0005-0000-0000-00001B630000}"/>
    <cellStyle name="Hed Top - SECTION 2 3 6 2 9" xfId="23436" xr:uid="{00000000-0005-0000-0000-00001C630000}"/>
    <cellStyle name="Hed Top - SECTION 2 3 6 2 9 2" xfId="23437" xr:uid="{00000000-0005-0000-0000-00001D630000}"/>
    <cellStyle name="Hed Top - SECTION 2 3 6 3" xfId="23438" xr:uid="{00000000-0005-0000-0000-00001E630000}"/>
    <cellStyle name="Hed Top - SECTION 2 3 6 3 10" xfId="23439" xr:uid="{00000000-0005-0000-0000-00001F630000}"/>
    <cellStyle name="Hed Top - SECTION 2 3 6 3 2" xfId="23440" xr:uid="{00000000-0005-0000-0000-000020630000}"/>
    <cellStyle name="Hed Top - SECTION 2 3 6 3 2 2" xfId="23441" xr:uid="{00000000-0005-0000-0000-000021630000}"/>
    <cellStyle name="Hed Top - SECTION 2 3 6 3 3" xfId="23442" xr:uid="{00000000-0005-0000-0000-000022630000}"/>
    <cellStyle name="Hed Top - SECTION 2 3 6 3 3 2" xfId="23443" xr:uid="{00000000-0005-0000-0000-000023630000}"/>
    <cellStyle name="Hed Top - SECTION 2 3 6 3 4" xfId="23444" xr:uid="{00000000-0005-0000-0000-000024630000}"/>
    <cellStyle name="Hed Top - SECTION 2 3 6 3 4 2" xfId="23445" xr:uid="{00000000-0005-0000-0000-000025630000}"/>
    <cellStyle name="Hed Top - SECTION 2 3 6 3 5" xfId="23446" xr:uid="{00000000-0005-0000-0000-000026630000}"/>
    <cellStyle name="Hed Top - SECTION 2 3 6 3 5 2" xfId="23447" xr:uid="{00000000-0005-0000-0000-000027630000}"/>
    <cellStyle name="Hed Top - SECTION 2 3 6 3 6" xfId="23448" xr:uid="{00000000-0005-0000-0000-000028630000}"/>
    <cellStyle name="Hed Top - SECTION 2 3 6 3 6 2" xfId="23449" xr:uid="{00000000-0005-0000-0000-000029630000}"/>
    <cellStyle name="Hed Top - SECTION 2 3 6 3 7" xfId="23450" xr:uid="{00000000-0005-0000-0000-00002A630000}"/>
    <cellStyle name="Hed Top - SECTION 2 3 6 3 7 2" xfId="23451" xr:uid="{00000000-0005-0000-0000-00002B630000}"/>
    <cellStyle name="Hed Top - SECTION 2 3 6 3 8" xfId="23452" xr:uid="{00000000-0005-0000-0000-00002C630000}"/>
    <cellStyle name="Hed Top - SECTION 2 3 6 3 8 2" xfId="23453" xr:uid="{00000000-0005-0000-0000-00002D630000}"/>
    <cellStyle name="Hed Top - SECTION 2 3 6 3 9" xfId="23454" xr:uid="{00000000-0005-0000-0000-00002E630000}"/>
    <cellStyle name="Hed Top - SECTION 2 3 6 3 9 2" xfId="23455" xr:uid="{00000000-0005-0000-0000-00002F630000}"/>
    <cellStyle name="Hed Top - SECTION 2 3 6 4" xfId="23456" xr:uid="{00000000-0005-0000-0000-000030630000}"/>
    <cellStyle name="Hed Top - SECTION 2 3 6 4 10" xfId="23457" xr:uid="{00000000-0005-0000-0000-000031630000}"/>
    <cellStyle name="Hed Top - SECTION 2 3 6 4 2" xfId="23458" xr:uid="{00000000-0005-0000-0000-000032630000}"/>
    <cellStyle name="Hed Top - SECTION 2 3 6 4 2 2" xfId="23459" xr:uid="{00000000-0005-0000-0000-000033630000}"/>
    <cellStyle name="Hed Top - SECTION 2 3 6 4 3" xfId="23460" xr:uid="{00000000-0005-0000-0000-000034630000}"/>
    <cellStyle name="Hed Top - SECTION 2 3 6 4 3 2" xfId="23461" xr:uid="{00000000-0005-0000-0000-000035630000}"/>
    <cellStyle name="Hed Top - SECTION 2 3 6 4 4" xfId="23462" xr:uid="{00000000-0005-0000-0000-000036630000}"/>
    <cellStyle name="Hed Top - SECTION 2 3 6 4 4 2" xfId="23463" xr:uid="{00000000-0005-0000-0000-000037630000}"/>
    <cellStyle name="Hed Top - SECTION 2 3 6 4 5" xfId="23464" xr:uid="{00000000-0005-0000-0000-000038630000}"/>
    <cellStyle name="Hed Top - SECTION 2 3 6 4 5 2" xfId="23465" xr:uid="{00000000-0005-0000-0000-000039630000}"/>
    <cellStyle name="Hed Top - SECTION 2 3 6 4 6" xfId="23466" xr:uid="{00000000-0005-0000-0000-00003A630000}"/>
    <cellStyle name="Hed Top - SECTION 2 3 6 4 6 2" xfId="23467" xr:uid="{00000000-0005-0000-0000-00003B630000}"/>
    <cellStyle name="Hed Top - SECTION 2 3 6 4 7" xfId="23468" xr:uid="{00000000-0005-0000-0000-00003C630000}"/>
    <cellStyle name="Hed Top - SECTION 2 3 6 4 7 2" xfId="23469" xr:uid="{00000000-0005-0000-0000-00003D630000}"/>
    <cellStyle name="Hed Top - SECTION 2 3 6 4 8" xfId="23470" xr:uid="{00000000-0005-0000-0000-00003E630000}"/>
    <cellStyle name="Hed Top - SECTION 2 3 6 4 8 2" xfId="23471" xr:uid="{00000000-0005-0000-0000-00003F630000}"/>
    <cellStyle name="Hed Top - SECTION 2 3 6 4 9" xfId="23472" xr:uid="{00000000-0005-0000-0000-000040630000}"/>
    <cellStyle name="Hed Top - SECTION 2 3 6 4 9 2" xfId="23473" xr:uid="{00000000-0005-0000-0000-000041630000}"/>
    <cellStyle name="Hed Top - SECTION 2 3 6 5" xfId="23474" xr:uid="{00000000-0005-0000-0000-000042630000}"/>
    <cellStyle name="Hed Top - SECTION 2 3 6 5 10" xfId="23475" xr:uid="{00000000-0005-0000-0000-000043630000}"/>
    <cellStyle name="Hed Top - SECTION 2 3 6 5 2" xfId="23476" xr:uid="{00000000-0005-0000-0000-000044630000}"/>
    <cellStyle name="Hed Top - SECTION 2 3 6 5 2 2" xfId="23477" xr:uid="{00000000-0005-0000-0000-000045630000}"/>
    <cellStyle name="Hed Top - SECTION 2 3 6 5 3" xfId="23478" xr:uid="{00000000-0005-0000-0000-000046630000}"/>
    <cellStyle name="Hed Top - SECTION 2 3 6 5 3 2" xfId="23479" xr:uid="{00000000-0005-0000-0000-000047630000}"/>
    <cellStyle name="Hed Top - SECTION 2 3 6 5 4" xfId="23480" xr:uid="{00000000-0005-0000-0000-000048630000}"/>
    <cellStyle name="Hed Top - SECTION 2 3 6 5 4 2" xfId="23481" xr:uid="{00000000-0005-0000-0000-000049630000}"/>
    <cellStyle name="Hed Top - SECTION 2 3 6 5 5" xfId="23482" xr:uid="{00000000-0005-0000-0000-00004A630000}"/>
    <cellStyle name="Hed Top - SECTION 2 3 6 5 5 2" xfId="23483" xr:uid="{00000000-0005-0000-0000-00004B630000}"/>
    <cellStyle name="Hed Top - SECTION 2 3 6 5 6" xfId="23484" xr:uid="{00000000-0005-0000-0000-00004C630000}"/>
    <cellStyle name="Hed Top - SECTION 2 3 6 5 6 2" xfId="23485" xr:uid="{00000000-0005-0000-0000-00004D630000}"/>
    <cellStyle name="Hed Top - SECTION 2 3 6 5 7" xfId="23486" xr:uid="{00000000-0005-0000-0000-00004E630000}"/>
    <cellStyle name="Hed Top - SECTION 2 3 6 5 7 2" xfId="23487" xr:uid="{00000000-0005-0000-0000-00004F630000}"/>
    <cellStyle name="Hed Top - SECTION 2 3 6 5 8" xfId="23488" xr:uid="{00000000-0005-0000-0000-000050630000}"/>
    <cellStyle name="Hed Top - SECTION 2 3 6 5 8 2" xfId="23489" xr:uid="{00000000-0005-0000-0000-000051630000}"/>
    <cellStyle name="Hed Top - SECTION 2 3 6 5 9" xfId="23490" xr:uid="{00000000-0005-0000-0000-000052630000}"/>
    <cellStyle name="Hed Top - SECTION 2 3 6 5 9 2" xfId="23491" xr:uid="{00000000-0005-0000-0000-000053630000}"/>
    <cellStyle name="Hed Top - SECTION 2 3 6 6" xfId="23492" xr:uid="{00000000-0005-0000-0000-000054630000}"/>
    <cellStyle name="Hed Top - SECTION 2 3 6 6 10" xfId="23493" xr:uid="{00000000-0005-0000-0000-000055630000}"/>
    <cellStyle name="Hed Top - SECTION 2 3 6 6 2" xfId="23494" xr:uid="{00000000-0005-0000-0000-000056630000}"/>
    <cellStyle name="Hed Top - SECTION 2 3 6 6 2 2" xfId="23495" xr:uid="{00000000-0005-0000-0000-000057630000}"/>
    <cellStyle name="Hed Top - SECTION 2 3 6 6 3" xfId="23496" xr:uid="{00000000-0005-0000-0000-000058630000}"/>
    <cellStyle name="Hed Top - SECTION 2 3 6 6 3 2" xfId="23497" xr:uid="{00000000-0005-0000-0000-000059630000}"/>
    <cellStyle name="Hed Top - SECTION 2 3 6 6 4" xfId="23498" xr:uid="{00000000-0005-0000-0000-00005A630000}"/>
    <cellStyle name="Hed Top - SECTION 2 3 6 6 4 2" xfId="23499" xr:uid="{00000000-0005-0000-0000-00005B630000}"/>
    <cellStyle name="Hed Top - SECTION 2 3 6 6 5" xfId="23500" xr:uid="{00000000-0005-0000-0000-00005C630000}"/>
    <cellStyle name="Hed Top - SECTION 2 3 6 6 5 2" xfId="23501" xr:uid="{00000000-0005-0000-0000-00005D630000}"/>
    <cellStyle name="Hed Top - SECTION 2 3 6 6 6" xfId="23502" xr:uid="{00000000-0005-0000-0000-00005E630000}"/>
    <cellStyle name="Hed Top - SECTION 2 3 6 6 6 2" xfId="23503" xr:uid="{00000000-0005-0000-0000-00005F630000}"/>
    <cellStyle name="Hed Top - SECTION 2 3 6 6 7" xfId="23504" xr:uid="{00000000-0005-0000-0000-000060630000}"/>
    <cellStyle name="Hed Top - SECTION 2 3 6 6 7 2" xfId="23505" xr:uid="{00000000-0005-0000-0000-000061630000}"/>
    <cellStyle name="Hed Top - SECTION 2 3 6 6 8" xfId="23506" xr:uid="{00000000-0005-0000-0000-000062630000}"/>
    <cellStyle name="Hed Top - SECTION 2 3 6 6 8 2" xfId="23507" xr:uid="{00000000-0005-0000-0000-000063630000}"/>
    <cellStyle name="Hed Top - SECTION 2 3 6 6 9" xfId="23508" xr:uid="{00000000-0005-0000-0000-000064630000}"/>
    <cellStyle name="Hed Top - SECTION 2 3 6 6 9 2" xfId="23509" xr:uid="{00000000-0005-0000-0000-000065630000}"/>
    <cellStyle name="Hed Top - SECTION 2 3 6 7" xfId="23510" xr:uid="{00000000-0005-0000-0000-000066630000}"/>
    <cellStyle name="Hed Top - SECTION 2 3 6 7 10" xfId="23511" xr:uid="{00000000-0005-0000-0000-000067630000}"/>
    <cellStyle name="Hed Top - SECTION 2 3 6 7 2" xfId="23512" xr:uid="{00000000-0005-0000-0000-000068630000}"/>
    <cellStyle name="Hed Top - SECTION 2 3 6 7 2 2" xfId="23513" xr:uid="{00000000-0005-0000-0000-000069630000}"/>
    <cellStyle name="Hed Top - SECTION 2 3 6 7 3" xfId="23514" xr:uid="{00000000-0005-0000-0000-00006A630000}"/>
    <cellStyle name="Hed Top - SECTION 2 3 6 7 3 2" xfId="23515" xr:uid="{00000000-0005-0000-0000-00006B630000}"/>
    <cellStyle name="Hed Top - SECTION 2 3 6 7 4" xfId="23516" xr:uid="{00000000-0005-0000-0000-00006C630000}"/>
    <cellStyle name="Hed Top - SECTION 2 3 6 7 4 2" xfId="23517" xr:uid="{00000000-0005-0000-0000-00006D630000}"/>
    <cellStyle name="Hed Top - SECTION 2 3 6 7 5" xfId="23518" xr:uid="{00000000-0005-0000-0000-00006E630000}"/>
    <cellStyle name="Hed Top - SECTION 2 3 6 7 5 2" xfId="23519" xr:uid="{00000000-0005-0000-0000-00006F630000}"/>
    <cellStyle name="Hed Top - SECTION 2 3 6 7 6" xfId="23520" xr:uid="{00000000-0005-0000-0000-000070630000}"/>
    <cellStyle name="Hed Top - SECTION 2 3 6 7 6 2" xfId="23521" xr:uid="{00000000-0005-0000-0000-000071630000}"/>
    <cellStyle name="Hed Top - SECTION 2 3 6 7 7" xfId="23522" xr:uid="{00000000-0005-0000-0000-000072630000}"/>
    <cellStyle name="Hed Top - SECTION 2 3 6 7 7 2" xfId="23523" xr:uid="{00000000-0005-0000-0000-000073630000}"/>
    <cellStyle name="Hed Top - SECTION 2 3 6 7 8" xfId="23524" xr:uid="{00000000-0005-0000-0000-000074630000}"/>
    <cellStyle name="Hed Top - SECTION 2 3 6 7 8 2" xfId="23525" xr:uid="{00000000-0005-0000-0000-000075630000}"/>
    <cellStyle name="Hed Top - SECTION 2 3 6 7 9" xfId="23526" xr:uid="{00000000-0005-0000-0000-000076630000}"/>
    <cellStyle name="Hed Top - SECTION 2 3 6 7 9 2" xfId="23527" xr:uid="{00000000-0005-0000-0000-000077630000}"/>
    <cellStyle name="Hed Top - SECTION 2 3 6 8" xfId="23528" xr:uid="{00000000-0005-0000-0000-000078630000}"/>
    <cellStyle name="Hed Top - SECTION 2 3 6 8 10" xfId="23529" xr:uid="{00000000-0005-0000-0000-000079630000}"/>
    <cellStyle name="Hed Top - SECTION 2 3 6 8 2" xfId="23530" xr:uid="{00000000-0005-0000-0000-00007A630000}"/>
    <cellStyle name="Hed Top - SECTION 2 3 6 8 2 2" xfId="23531" xr:uid="{00000000-0005-0000-0000-00007B630000}"/>
    <cellStyle name="Hed Top - SECTION 2 3 6 8 3" xfId="23532" xr:uid="{00000000-0005-0000-0000-00007C630000}"/>
    <cellStyle name="Hed Top - SECTION 2 3 6 8 3 2" xfId="23533" xr:uid="{00000000-0005-0000-0000-00007D630000}"/>
    <cellStyle name="Hed Top - SECTION 2 3 6 8 4" xfId="23534" xr:uid="{00000000-0005-0000-0000-00007E630000}"/>
    <cellStyle name="Hed Top - SECTION 2 3 6 8 4 2" xfId="23535" xr:uid="{00000000-0005-0000-0000-00007F630000}"/>
    <cellStyle name="Hed Top - SECTION 2 3 6 8 5" xfId="23536" xr:uid="{00000000-0005-0000-0000-000080630000}"/>
    <cellStyle name="Hed Top - SECTION 2 3 6 8 5 2" xfId="23537" xr:uid="{00000000-0005-0000-0000-000081630000}"/>
    <cellStyle name="Hed Top - SECTION 2 3 6 8 6" xfId="23538" xr:uid="{00000000-0005-0000-0000-000082630000}"/>
    <cellStyle name="Hed Top - SECTION 2 3 6 8 6 2" xfId="23539" xr:uid="{00000000-0005-0000-0000-000083630000}"/>
    <cellStyle name="Hed Top - SECTION 2 3 6 8 7" xfId="23540" xr:uid="{00000000-0005-0000-0000-000084630000}"/>
    <cellStyle name="Hed Top - SECTION 2 3 6 8 7 2" xfId="23541" xr:uid="{00000000-0005-0000-0000-000085630000}"/>
    <cellStyle name="Hed Top - SECTION 2 3 6 8 8" xfId="23542" xr:uid="{00000000-0005-0000-0000-000086630000}"/>
    <cellStyle name="Hed Top - SECTION 2 3 6 8 8 2" xfId="23543" xr:uid="{00000000-0005-0000-0000-000087630000}"/>
    <cellStyle name="Hed Top - SECTION 2 3 6 8 9" xfId="23544" xr:uid="{00000000-0005-0000-0000-000088630000}"/>
    <cellStyle name="Hed Top - SECTION 2 3 6 8 9 2" xfId="23545" xr:uid="{00000000-0005-0000-0000-000089630000}"/>
    <cellStyle name="Hed Top - SECTION 2 3 6 9" xfId="23546" xr:uid="{00000000-0005-0000-0000-00008A630000}"/>
    <cellStyle name="Hed Top - SECTION 2 3 6 9 10" xfId="23547" xr:uid="{00000000-0005-0000-0000-00008B630000}"/>
    <cellStyle name="Hed Top - SECTION 2 3 6 9 2" xfId="23548" xr:uid="{00000000-0005-0000-0000-00008C630000}"/>
    <cellStyle name="Hed Top - SECTION 2 3 6 9 2 2" xfId="23549" xr:uid="{00000000-0005-0000-0000-00008D630000}"/>
    <cellStyle name="Hed Top - SECTION 2 3 6 9 3" xfId="23550" xr:uid="{00000000-0005-0000-0000-00008E630000}"/>
    <cellStyle name="Hed Top - SECTION 2 3 6 9 3 2" xfId="23551" xr:uid="{00000000-0005-0000-0000-00008F630000}"/>
    <cellStyle name="Hed Top - SECTION 2 3 6 9 4" xfId="23552" xr:uid="{00000000-0005-0000-0000-000090630000}"/>
    <cellStyle name="Hed Top - SECTION 2 3 6 9 4 2" xfId="23553" xr:uid="{00000000-0005-0000-0000-000091630000}"/>
    <cellStyle name="Hed Top - SECTION 2 3 6 9 5" xfId="23554" xr:uid="{00000000-0005-0000-0000-000092630000}"/>
    <cellStyle name="Hed Top - SECTION 2 3 6 9 5 2" xfId="23555" xr:uid="{00000000-0005-0000-0000-000093630000}"/>
    <cellStyle name="Hed Top - SECTION 2 3 6 9 6" xfId="23556" xr:uid="{00000000-0005-0000-0000-000094630000}"/>
    <cellStyle name="Hed Top - SECTION 2 3 6 9 6 2" xfId="23557" xr:uid="{00000000-0005-0000-0000-000095630000}"/>
    <cellStyle name="Hed Top - SECTION 2 3 6 9 7" xfId="23558" xr:uid="{00000000-0005-0000-0000-000096630000}"/>
    <cellStyle name="Hed Top - SECTION 2 3 6 9 7 2" xfId="23559" xr:uid="{00000000-0005-0000-0000-000097630000}"/>
    <cellStyle name="Hed Top - SECTION 2 3 6 9 8" xfId="23560" xr:uid="{00000000-0005-0000-0000-000098630000}"/>
    <cellStyle name="Hed Top - SECTION 2 3 6 9 8 2" xfId="23561" xr:uid="{00000000-0005-0000-0000-000099630000}"/>
    <cellStyle name="Hed Top - SECTION 2 3 6 9 9" xfId="23562" xr:uid="{00000000-0005-0000-0000-00009A630000}"/>
    <cellStyle name="Hed Top - SECTION 2 3 6 9 9 2" xfId="23563" xr:uid="{00000000-0005-0000-0000-00009B630000}"/>
    <cellStyle name="Hed Top - SECTION 2 3 7" xfId="23564" xr:uid="{00000000-0005-0000-0000-00009C630000}"/>
    <cellStyle name="Hed Top - SECTION 2 3 7 10" xfId="23565" xr:uid="{00000000-0005-0000-0000-00009D630000}"/>
    <cellStyle name="Hed Top - SECTION 2 3 7 10 2" xfId="23566" xr:uid="{00000000-0005-0000-0000-00009E630000}"/>
    <cellStyle name="Hed Top - SECTION 2 3 7 10 2 2" xfId="23567" xr:uid="{00000000-0005-0000-0000-00009F630000}"/>
    <cellStyle name="Hed Top - SECTION 2 3 7 10 3" xfId="23568" xr:uid="{00000000-0005-0000-0000-0000A0630000}"/>
    <cellStyle name="Hed Top - SECTION 2 3 7 10 3 2" xfId="23569" xr:uid="{00000000-0005-0000-0000-0000A1630000}"/>
    <cellStyle name="Hed Top - SECTION 2 3 7 10 4" xfId="23570" xr:uid="{00000000-0005-0000-0000-0000A2630000}"/>
    <cellStyle name="Hed Top - SECTION 2 3 7 10 4 2" xfId="23571" xr:uid="{00000000-0005-0000-0000-0000A3630000}"/>
    <cellStyle name="Hed Top - SECTION 2 3 7 10 5" xfId="23572" xr:uid="{00000000-0005-0000-0000-0000A4630000}"/>
    <cellStyle name="Hed Top - SECTION 2 3 7 10 5 2" xfId="23573" xr:uid="{00000000-0005-0000-0000-0000A5630000}"/>
    <cellStyle name="Hed Top - SECTION 2 3 7 10 6" xfId="23574" xr:uid="{00000000-0005-0000-0000-0000A6630000}"/>
    <cellStyle name="Hed Top - SECTION 2 3 7 10 6 2" xfId="23575" xr:uid="{00000000-0005-0000-0000-0000A7630000}"/>
    <cellStyle name="Hed Top - SECTION 2 3 7 10 7" xfId="23576" xr:uid="{00000000-0005-0000-0000-0000A8630000}"/>
    <cellStyle name="Hed Top - SECTION 2 3 7 10 7 2" xfId="23577" xr:uid="{00000000-0005-0000-0000-0000A9630000}"/>
    <cellStyle name="Hed Top - SECTION 2 3 7 10 8" xfId="23578" xr:uid="{00000000-0005-0000-0000-0000AA630000}"/>
    <cellStyle name="Hed Top - SECTION 2 3 7 10 8 2" xfId="23579" xr:uid="{00000000-0005-0000-0000-0000AB630000}"/>
    <cellStyle name="Hed Top - SECTION 2 3 7 10 9" xfId="23580" xr:uid="{00000000-0005-0000-0000-0000AC630000}"/>
    <cellStyle name="Hed Top - SECTION 2 3 7 11" xfId="23581" xr:uid="{00000000-0005-0000-0000-0000AD630000}"/>
    <cellStyle name="Hed Top - SECTION 2 3 7 11 2" xfId="23582" xr:uid="{00000000-0005-0000-0000-0000AE630000}"/>
    <cellStyle name="Hed Top - SECTION 2 3 7 12" xfId="23583" xr:uid="{00000000-0005-0000-0000-0000AF630000}"/>
    <cellStyle name="Hed Top - SECTION 2 3 7 12 2" xfId="23584" xr:uid="{00000000-0005-0000-0000-0000B0630000}"/>
    <cellStyle name="Hed Top - SECTION 2 3 7 13" xfId="23585" xr:uid="{00000000-0005-0000-0000-0000B1630000}"/>
    <cellStyle name="Hed Top - SECTION 2 3 7 13 2" xfId="23586" xr:uid="{00000000-0005-0000-0000-0000B2630000}"/>
    <cellStyle name="Hed Top - SECTION 2 3 7 14" xfId="23587" xr:uid="{00000000-0005-0000-0000-0000B3630000}"/>
    <cellStyle name="Hed Top - SECTION 2 3 7 14 2" xfId="23588" xr:uid="{00000000-0005-0000-0000-0000B4630000}"/>
    <cellStyle name="Hed Top - SECTION 2 3 7 15" xfId="23589" xr:uid="{00000000-0005-0000-0000-0000B5630000}"/>
    <cellStyle name="Hed Top - SECTION 2 3 7 15 2" xfId="23590" xr:uid="{00000000-0005-0000-0000-0000B6630000}"/>
    <cellStyle name="Hed Top - SECTION 2 3 7 16" xfId="23591" xr:uid="{00000000-0005-0000-0000-0000B7630000}"/>
    <cellStyle name="Hed Top - SECTION 2 3 7 16 2" xfId="23592" xr:uid="{00000000-0005-0000-0000-0000B8630000}"/>
    <cellStyle name="Hed Top - SECTION 2 3 7 17" xfId="23593" xr:uid="{00000000-0005-0000-0000-0000B9630000}"/>
    <cellStyle name="Hed Top - SECTION 2 3 7 17 2" xfId="23594" xr:uid="{00000000-0005-0000-0000-0000BA630000}"/>
    <cellStyle name="Hed Top - SECTION 2 3 7 18" xfId="23595" xr:uid="{00000000-0005-0000-0000-0000BB630000}"/>
    <cellStyle name="Hed Top - SECTION 2 3 7 2" xfId="23596" xr:uid="{00000000-0005-0000-0000-0000BC630000}"/>
    <cellStyle name="Hed Top - SECTION 2 3 7 2 10" xfId="23597" xr:uid="{00000000-0005-0000-0000-0000BD630000}"/>
    <cellStyle name="Hed Top - SECTION 2 3 7 2 2" xfId="23598" xr:uid="{00000000-0005-0000-0000-0000BE630000}"/>
    <cellStyle name="Hed Top - SECTION 2 3 7 2 2 2" xfId="23599" xr:uid="{00000000-0005-0000-0000-0000BF630000}"/>
    <cellStyle name="Hed Top - SECTION 2 3 7 2 3" xfId="23600" xr:uid="{00000000-0005-0000-0000-0000C0630000}"/>
    <cellStyle name="Hed Top - SECTION 2 3 7 2 3 2" xfId="23601" xr:uid="{00000000-0005-0000-0000-0000C1630000}"/>
    <cellStyle name="Hed Top - SECTION 2 3 7 2 4" xfId="23602" xr:uid="{00000000-0005-0000-0000-0000C2630000}"/>
    <cellStyle name="Hed Top - SECTION 2 3 7 2 4 2" xfId="23603" xr:uid="{00000000-0005-0000-0000-0000C3630000}"/>
    <cellStyle name="Hed Top - SECTION 2 3 7 2 5" xfId="23604" xr:uid="{00000000-0005-0000-0000-0000C4630000}"/>
    <cellStyle name="Hed Top - SECTION 2 3 7 2 5 2" xfId="23605" xr:uid="{00000000-0005-0000-0000-0000C5630000}"/>
    <cellStyle name="Hed Top - SECTION 2 3 7 2 6" xfId="23606" xr:uid="{00000000-0005-0000-0000-0000C6630000}"/>
    <cellStyle name="Hed Top - SECTION 2 3 7 2 6 2" xfId="23607" xr:uid="{00000000-0005-0000-0000-0000C7630000}"/>
    <cellStyle name="Hed Top - SECTION 2 3 7 2 7" xfId="23608" xr:uid="{00000000-0005-0000-0000-0000C8630000}"/>
    <cellStyle name="Hed Top - SECTION 2 3 7 2 7 2" xfId="23609" xr:uid="{00000000-0005-0000-0000-0000C9630000}"/>
    <cellStyle name="Hed Top - SECTION 2 3 7 2 8" xfId="23610" xr:uid="{00000000-0005-0000-0000-0000CA630000}"/>
    <cellStyle name="Hed Top - SECTION 2 3 7 2 8 2" xfId="23611" xr:uid="{00000000-0005-0000-0000-0000CB630000}"/>
    <cellStyle name="Hed Top - SECTION 2 3 7 2 9" xfId="23612" xr:uid="{00000000-0005-0000-0000-0000CC630000}"/>
    <cellStyle name="Hed Top - SECTION 2 3 7 2 9 2" xfId="23613" xr:uid="{00000000-0005-0000-0000-0000CD630000}"/>
    <cellStyle name="Hed Top - SECTION 2 3 7 3" xfId="23614" xr:uid="{00000000-0005-0000-0000-0000CE630000}"/>
    <cellStyle name="Hed Top - SECTION 2 3 7 3 10" xfId="23615" xr:uid="{00000000-0005-0000-0000-0000CF630000}"/>
    <cellStyle name="Hed Top - SECTION 2 3 7 3 2" xfId="23616" xr:uid="{00000000-0005-0000-0000-0000D0630000}"/>
    <cellStyle name="Hed Top - SECTION 2 3 7 3 2 2" xfId="23617" xr:uid="{00000000-0005-0000-0000-0000D1630000}"/>
    <cellStyle name="Hed Top - SECTION 2 3 7 3 3" xfId="23618" xr:uid="{00000000-0005-0000-0000-0000D2630000}"/>
    <cellStyle name="Hed Top - SECTION 2 3 7 3 3 2" xfId="23619" xr:uid="{00000000-0005-0000-0000-0000D3630000}"/>
    <cellStyle name="Hed Top - SECTION 2 3 7 3 4" xfId="23620" xr:uid="{00000000-0005-0000-0000-0000D4630000}"/>
    <cellStyle name="Hed Top - SECTION 2 3 7 3 4 2" xfId="23621" xr:uid="{00000000-0005-0000-0000-0000D5630000}"/>
    <cellStyle name="Hed Top - SECTION 2 3 7 3 5" xfId="23622" xr:uid="{00000000-0005-0000-0000-0000D6630000}"/>
    <cellStyle name="Hed Top - SECTION 2 3 7 3 5 2" xfId="23623" xr:uid="{00000000-0005-0000-0000-0000D7630000}"/>
    <cellStyle name="Hed Top - SECTION 2 3 7 3 6" xfId="23624" xr:uid="{00000000-0005-0000-0000-0000D8630000}"/>
    <cellStyle name="Hed Top - SECTION 2 3 7 3 6 2" xfId="23625" xr:uid="{00000000-0005-0000-0000-0000D9630000}"/>
    <cellStyle name="Hed Top - SECTION 2 3 7 3 7" xfId="23626" xr:uid="{00000000-0005-0000-0000-0000DA630000}"/>
    <cellStyle name="Hed Top - SECTION 2 3 7 3 7 2" xfId="23627" xr:uid="{00000000-0005-0000-0000-0000DB630000}"/>
    <cellStyle name="Hed Top - SECTION 2 3 7 3 8" xfId="23628" xr:uid="{00000000-0005-0000-0000-0000DC630000}"/>
    <cellStyle name="Hed Top - SECTION 2 3 7 3 8 2" xfId="23629" xr:uid="{00000000-0005-0000-0000-0000DD630000}"/>
    <cellStyle name="Hed Top - SECTION 2 3 7 3 9" xfId="23630" xr:uid="{00000000-0005-0000-0000-0000DE630000}"/>
    <cellStyle name="Hed Top - SECTION 2 3 7 3 9 2" xfId="23631" xr:uid="{00000000-0005-0000-0000-0000DF630000}"/>
    <cellStyle name="Hed Top - SECTION 2 3 7 4" xfId="23632" xr:uid="{00000000-0005-0000-0000-0000E0630000}"/>
    <cellStyle name="Hed Top - SECTION 2 3 7 4 10" xfId="23633" xr:uid="{00000000-0005-0000-0000-0000E1630000}"/>
    <cellStyle name="Hed Top - SECTION 2 3 7 4 2" xfId="23634" xr:uid="{00000000-0005-0000-0000-0000E2630000}"/>
    <cellStyle name="Hed Top - SECTION 2 3 7 4 2 2" xfId="23635" xr:uid="{00000000-0005-0000-0000-0000E3630000}"/>
    <cellStyle name="Hed Top - SECTION 2 3 7 4 3" xfId="23636" xr:uid="{00000000-0005-0000-0000-0000E4630000}"/>
    <cellStyle name="Hed Top - SECTION 2 3 7 4 3 2" xfId="23637" xr:uid="{00000000-0005-0000-0000-0000E5630000}"/>
    <cellStyle name="Hed Top - SECTION 2 3 7 4 4" xfId="23638" xr:uid="{00000000-0005-0000-0000-0000E6630000}"/>
    <cellStyle name="Hed Top - SECTION 2 3 7 4 4 2" xfId="23639" xr:uid="{00000000-0005-0000-0000-0000E7630000}"/>
    <cellStyle name="Hed Top - SECTION 2 3 7 4 5" xfId="23640" xr:uid="{00000000-0005-0000-0000-0000E8630000}"/>
    <cellStyle name="Hed Top - SECTION 2 3 7 4 5 2" xfId="23641" xr:uid="{00000000-0005-0000-0000-0000E9630000}"/>
    <cellStyle name="Hed Top - SECTION 2 3 7 4 6" xfId="23642" xr:uid="{00000000-0005-0000-0000-0000EA630000}"/>
    <cellStyle name="Hed Top - SECTION 2 3 7 4 6 2" xfId="23643" xr:uid="{00000000-0005-0000-0000-0000EB630000}"/>
    <cellStyle name="Hed Top - SECTION 2 3 7 4 7" xfId="23644" xr:uid="{00000000-0005-0000-0000-0000EC630000}"/>
    <cellStyle name="Hed Top - SECTION 2 3 7 4 7 2" xfId="23645" xr:uid="{00000000-0005-0000-0000-0000ED630000}"/>
    <cellStyle name="Hed Top - SECTION 2 3 7 4 8" xfId="23646" xr:uid="{00000000-0005-0000-0000-0000EE630000}"/>
    <cellStyle name="Hed Top - SECTION 2 3 7 4 8 2" xfId="23647" xr:uid="{00000000-0005-0000-0000-0000EF630000}"/>
    <cellStyle name="Hed Top - SECTION 2 3 7 4 9" xfId="23648" xr:uid="{00000000-0005-0000-0000-0000F0630000}"/>
    <cellStyle name="Hed Top - SECTION 2 3 7 4 9 2" xfId="23649" xr:uid="{00000000-0005-0000-0000-0000F1630000}"/>
    <cellStyle name="Hed Top - SECTION 2 3 7 5" xfId="23650" xr:uid="{00000000-0005-0000-0000-0000F2630000}"/>
    <cellStyle name="Hed Top - SECTION 2 3 7 5 10" xfId="23651" xr:uid="{00000000-0005-0000-0000-0000F3630000}"/>
    <cellStyle name="Hed Top - SECTION 2 3 7 5 2" xfId="23652" xr:uid="{00000000-0005-0000-0000-0000F4630000}"/>
    <cellStyle name="Hed Top - SECTION 2 3 7 5 2 2" xfId="23653" xr:uid="{00000000-0005-0000-0000-0000F5630000}"/>
    <cellStyle name="Hed Top - SECTION 2 3 7 5 3" xfId="23654" xr:uid="{00000000-0005-0000-0000-0000F6630000}"/>
    <cellStyle name="Hed Top - SECTION 2 3 7 5 3 2" xfId="23655" xr:uid="{00000000-0005-0000-0000-0000F7630000}"/>
    <cellStyle name="Hed Top - SECTION 2 3 7 5 4" xfId="23656" xr:uid="{00000000-0005-0000-0000-0000F8630000}"/>
    <cellStyle name="Hed Top - SECTION 2 3 7 5 4 2" xfId="23657" xr:uid="{00000000-0005-0000-0000-0000F9630000}"/>
    <cellStyle name="Hed Top - SECTION 2 3 7 5 5" xfId="23658" xr:uid="{00000000-0005-0000-0000-0000FA630000}"/>
    <cellStyle name="Hed Top - SECTION 2 3 7 5 5 2" xfId="23659" xr:uid="{00000000-0005-0000-0000-0000FB630000}"/>
    <cellStyle name="Hed Top - SECTION 2 3 7 5 6" xfId="23660" xr:uid="{00000000-0005-0000-0000-0000FC630000}"/>
    <cellStyle name="Hed Top - SECTION 2 3 7 5 6 2" xfId="23661" xr:uid="{00000000-0005-0000-0000-0000FD630000}"/>
    <cellStyle name="Hed Top - SECTION 2 3 7 5 7" xfId="23662" xr:uid="{00000000-0005-0000-0000-0000FE630000}"/>
    <cellStyle name="Hed Top - SECTION 2 3 7 5 7 2" xfId="23663" xr:uid="{00000000-0005-0000-0000-0000FF630000}"/>
    <cellStyle name="Hed Top - SECTION 2 3 7 5 8" xfId="23664" xr:uid="{00000000-0005-0000-0000-000000640000}"/>
    <cellStyle name="Hed Top - SECTION 2 3 7 5 8 2" xfId="23665" xr:uid="{00000000-0005-0000-0000-000001640000}"/>
    <cellStyle name="Hed Top - SECTION 2 3 7 5 9" xfId="23666" xr:uid="{00000000-0005-0000-0000-000002640000}"/>
    <cellStyle name="Hed Top - SECTION 2 3 7 5 9 2" xfId="23667" xr:uid="{00000000-0005-0000-0000-000003640000}"/>
    <cellStyle name="Hed Top - SECTION 2 3 7 6" xfId="23668" xr:uid="{00000000-0005-0000-0000-000004640000}"/>
    <cellStyle name="Hed Top - SECTION 2 3 7 6 10" xfId="23669" xr:uid="{00000000-0005-0000-0000-000005640000}"/>
    <cellStyle name="Hed Top - SECTION 2 3 7 6 2" xfId="23670" xr:uid="{00000000-0005-0000-0000-000006640000}"/>
    <cellStyle name="Hed Top - SECTION 2 3 7 6 2 2" xfId="23671" xr:uid="{00000000-0005-0000-0000-000007640000}"/>
    <cellStyle name="Hed Top - SECTION 2 3 7 6 3" xfId="23672" xr:uid="{00000000-0005-0000-0000-000008640000}"/>
    <cellStyle name="Hed Top - SECTION 2 3 7 6 3 2" xfId="23673" xr:uid="{00000000-0005-0000-0000-000009640000}"/>
    <cellStyle name="Hed Top - SECTION 2 3 7 6 4" xfId="23674" xr:uid="{00000000-0005-0000-0000-00000A640000}"/>
    <cellStyle name="Hed Top - SECTION 2 3 7 6 4 2" xfId="23675" xr:uid="{00000000-0005-0000-0000-00000B640000}"/>
    <cellStyle name="Hed Top - SECTION 2 3 7 6 5" xfId="23676" xr:uid="{00000000-0005-0000-0000-00000C640000}"/>
    <cellStyle name="Hed Top - SECTION 2 3 7 6 5 2" xfId="23677" xr:uid="{00000000-0005-0000-0000-00000D640000}"/>
    <cellStyle name="Hed Top - SECTION 2 3 7 6 6" xfId="23678" xr:uid="{00000000-0005-0000-0000-00000E640000}"/>
    <cellStyle name="Hed Top - SECTION 2 3 7 6 6 2" xfId="23679" xr:uid="{00000000-0005-0000-0000-00000F640000}"/>
    <cellStyle name="Hed Top - SECTION 2 3 7 6 7" xfId="23680" xr:uid="{00000000-0005-0000-0000-000010640000}"/>
    <cellStyle name="Hed Top - SECTION 2 3 7 6 7 2" xfId="23681" xr:uid="{00000000-0005-0000-0000-000011640000}"/>
    <cellStyle name="Hed Top - SECTION 2 3 7 6 8" xfId="23682" xr:uid="{00000000-0005-0000-0000-000012640000}"/>
    <cellStyle name="Hed Top - SECTION 2 3 7 6 8 2" xfId="23683" xr:uid="{00000000-0005-0000-0000-000013640000}"/>
    <cellStyle name="Hed Top - SECTION 2 3 7 6 9" xfId="23684" xr:uid="{00000000-0005-0000-0000-000014640000}"/>
    <cellStyle name="Hed Top - SECTION 2 3 7 6 9 2" xfId="23685" xr:uid="{00000000-0005-0000-0000-000015640000}"/>
    <cellStyle name="Hed Top - SECTION 2 3 7 7" xfId="23686" xr:uid="{00000000-0005-0000-0000-000016640000}"/>
    <cellStyle name="Hed Top - SECTION 2 3 7 7 10" xfId="23687" xr:uid="{00000000-0005-0000-0000-000017640000}"/>
    <cellStyle name="Hed Top - SECTION 2 3 7 7 2" xfId="23688" xr:uid="{00000000-0005-0000-0000-000018640000}"/>
    <cellStyle name="Hed Top - SECTION 2 3 7 7 2 2" xfId="23689" xr:uid="{00000000-0005-0000-0000-000019640000}"/>
    <cellStyle name="Hed Top - SECTION 2 3 7 7 3" xfId="23690" xr:uid="{00000000-0005-0000-0000-00001A640000}"/>
    <cellStyle name="Hed Top - SECTION 2 3 7 7 3 2" xfId="23691" xr:uid="{00000000-0005-0000-0000-00001B640000}"/>
    <cellStyle name="Hed Top - SECTION 2 3 7 7 4" xfId="23692" xr:uid="{00000000-0005-0000-0000-00001C640000}"/>
    <cellStyle name="Hed Top - SECTION 2 3 7 7 4 2" xfId="23693" xr:uid="{00000000-0005-0000-0000-00001D640000}"/>
    <cellStyle name="Hed Top - SECTION 2 3 7 7 5" xfId="23694" xr:uid="{00000000-0005-0000-0000-00001E640000}"/>
    <cellStyle name="Hed Top - SECTION 2 3 7 7 5 2" xfId="23695" xr:uid="{00000000-0005-0000-0000-00001F640000}"/>
    <cellStyle name="Hed Top - SECTION 2 3 7 7 6" xfId="23696" xr:uid="{00000000-0005-0000-0000-000020640000}"/>
    <cellStyle name="Hed Top - SECTION 2 3 7 7 6 2" xfId="23697" xr:uid="{00000000-0005-0000-0000-000021640000}"/>
    <cellStyle name="Hed Top - SECTION 2 3 7 7 7" xfId="23698" xr:uid="{00000000-0005-0000-0000-000022640000}"/>
    <cellStyle name="Hed Top - SECTION 2 3 7 7 7 2" xfId="23699" xr:uid="{00000000-0005-0000-0000-000023640000}"/>
    <cellStyle name="Hed Top - SECTION 2 3 7 7 8" xfId="23700" xr:uid="{00000000-0005-0000-0000-000024640000}"/>
    <cellStyle name="Hed Top - SECTION 2 3 7 7 8 2" xfId="23701" xr:uid="{00000000-0005-0000-0000-000025640000}"/>
    <cellStyle name="Hed Top - SECTION 2 3 7 7 9" xfId="23702" xr:uid="{00000000-0005-0000-0000-000026640000}"/>
    <cellStyle name="Hed Top - SECTION 2 3 7 7 9 2" xfId="23703" xr:uid="{00000000-0005-0000-0000-000027640000}"/>
    <cellStyle name="Hed Top - SECTION 2 3 7 8" xfId="23704" xr:uid="{00000000-0005-0000-0000-000028640000}"/>
    <cellStyle name="Hed Top - SECTION 2 3 7 8 10" xfId="23705" xr:uid="{00000000-0005-0000-0000-000029640000}"/>
    <cellStyle name="Hed Top - SECTION 2 3 7 8 2" xfId="23706" xr:uid="{00000000-0005-0000-0000-00002A640000}"/>
    <cellStyle name="Hed Top - SECTION 2 3 7 8 2 2" xfId="23707" xr:uid="{00000000-0005-0000-0000-00002B640000}"/>
    <cellStyle name="Hed Top - SECTION 2 3 7 8 3" xfId="23708" xr:uid="{00000000-0005-0000-0000-00002C640000}"/>
    <cellStyle name="Hed Top - SECTION 2 3 7 8 3 2" xfId="23709" xr:uid="{00000000-0005-0000-0000-00002D640000}"/>
    <cellStyle name="Hed Top - SECTION 2 3 7 8 4" xfId="23710" xr:uid="{00000000-0005-0000-0000-00002E640000}"/>
    <cellStyle name="Hed Top - SECTION 2 3 7 8 4 2" xfId="23711" xr:uid="{00000000-0005-0000-0000-00002F640000}"/>
    <cellStyle name="Hed Top - SECTION 2 3 7 8 5" xfId="23712" xr:uid="{00000000-0005-0000-0000-000030640000}"/>
    <cellStyle name="Hed Top - SECTION 2 3 7 8 5 2" xfId="23713" xr:uid="{00000000-0005-0000-0000-000031640000}"/>
    <cellStyle name="Hed Top - SECTION 2 3 7 8 6" xfId="23714" xr:uid="{00000000-0005-0000-0000-000032640000}"/>
    <cellStyle name="Hed Top - SECTION 2 3 7 8 6 2" xfId="23715" xr:uid="{00000000-0005-0000-0000-000033640000}"/>
    <cellStyle name="Hed Top - SECTION 2 3 7 8 7" xfId="23716" xr:uid="{00000000-0005-0000-0000-000034640000}"/>
    <cellStyle name="Hed Top - SECTION 2 3 7 8 7 2" xfId="23717" xr:uid="{00000000-0005-0000-0000-000035640000}"/>
    <cellStyle name="Hed Top - SECTION 2 3 7 8 8" xfId="23718" xr:uid="{00000000-0005-0000-0000-000036640000}"/>
    <cellStyle name="Hed Top - SECTION 2 3 7 8 8 2" xfId="23719" xr:uid="{00000000-0005-0000-0000-000037640000}"/>
    <cellStyle name="Hed Top - SECTION 2 3 7 8 9" xfId="23720" xr:uid="{00000000-0005-0000-0000-000038640000}"/>
    <cellStyle name="Hed Top - SECTION 2 3 7 8 9 2" xfId="23721" xr:uid="{00000000-0005-0000-0000-000039640000}"/>
    <cellStyle name="Hed Top - SECTION 2 3 7 9" xfId="23722" xr:uid="{00000000-0005-0000-0000-00003A640000}"/>
    <cellStyle name="Hed Top - SECTION 2 3 7 9 10" xfId="23723" xr:uid="{00000000-0005-0000-0000-00003B640000}"/>
    <cellStyle name="Hed Top - SECTION 2 3 7 9 2" xfId="23724" xr:uid="{00000000-0005-0000-0000-00003C640000}"/>
    <cellStyle name="Hed Top - SECTION 2 3 7 9 2 2" xfId="23725" xr:uid="{00000000-0005-0000-0000-00003D640000}"/>
    <cellStyle name="Hed Top - SECTION 2 3 7 9 3" xfId="23726" xr:uid="{00000000-0005-0000-0000-00003E640000}"/>
    <cellStyle name="Hed Top - SECTION 2 3 7 9 3 2" xfId="23727" xr:uid="{00000000-0005-0000-0000-00003F640000}"/>
    <cellStyle name="Hed Top - SECTION 2 3 7 9 4" xfId="23728" xr:uid="{00000000-0005-0000-0000-000040640000}"/>
    <cellStyle name="Hed Top - SECTION 2 3 7 9 4 2" xfId="23729" xr:uid="{00000000-0005-0000-0000-000041640000}"/>
    <cellStyle name="Hed Top - SECTION 2 3 7 9 5" xfId="23730" xr:uid="{00000000-0005-0000-0000-000042640000}"/>
    <cellStyle name="Hed Top - SECTION 2 3 7 9 5 2" xfId="23731" xr:uid="{00000000-0005-0000-0000-000043640000}"/>
    <cellStyle name="Hed Top - SECTION 2 3 7 9 6" xfId="23732" xr:uid="{00000000-0005-0000-0000-000044640000}"/>
    <cellStyle name="Hed Top - SECTION 2 3 7 9 6 2" xfId="23733" xr:uid="{00000000-0005-0000-0000-000045640000}"/>
    <cellStyle name="Hed Top - SECTION 2 3 7 9 7" xfId="23734" xr:uid="{00000000-0005-0000-0000-000046640000}"/>
    <cellStyle name="Hed Top - SECTION 2 3 7 9 7 2" xfId="23735" xr:uid="{00000000-0005-0000-0000-000047640000}"/>
    <cellStyle name="Hed Top - SECTION 2 3 7 9 8" xfId="23736" xr:uid="{00000000-0005-0000-0000-000048640000}"/>
    <cellStyle name="Hed Top - SECTION 2 3 7 9 8 2" xfId="23737" xr:uid="{00000000-0005-0000-0000-000049640000}"/>
    <cellStyle name="Hed Top - SECTION 2 3 7 9 9" xfId="23738" xr:uid="{00000000-0005-0000-0000-00004A640000}"/>
    <cellStyle name="Hed Top - SECTION 2 3 7 9 9 2" xfId="23739" xr:uid="{00000000-0005-0000-0000-00004B640000}"/>
    <cellStyle name="Hed Top - SECTION 2 4" xfId="23740" xr:uid="{00000000-0005-0000-0000-00004C640000}"/>
    <cellStyle name="Hed Top - SECTION 2 4 10" xfId="23741" xr:uid="{00000000-0005-0000-0000-00004D640000}"/>
    <cellStyle name="Hed Top - SECTION 2 4 10 10" xfId="23742" xr:uid="{00000000-0005-0000-0000-00004E640000}"/>
    <cellStyle name="Hed Top - SECTION 2 4 10 2" xfId="23743" xr:uid="{00000000-0005-0000-0000-00004F640000}"/>
    <cellStyle name="Hed Top - SECTION 2 4 10 2 2" xfId="23744" xr:uid="{00000000-0005-0000-0000-000050640000}"/>
    <cellStyle name="Hed Top - SECTION 2 4 10 3" xfId="23745" xr:uid="{00000000-0005-0000-0000-000051640000}"/>
    <cellStyle name="Hed Top - SECTION 2 4 10 3 2" xfId="23746" xr:uid="{00000000-0005-0000-0000-000052640000}"/>
    <cellStyle name="Hed Top - SECTION 2 4 10 4" xfId="23747" xr:uid="{00000000-0005-0000-0000-000053640000}"/>
    <cellStyle name="Hed Top - SECTION 2 4 10 4 2" xfId="23748" xr:uid="{00000000-0005-0000-0000-000054640000}"/>
    <cellStyle name="Hed Top - SECTION 2 4 10 5" xfId="23749" xr:uid="{00000000-0005-0000-0000-000055640000}"/>
    <cellStyle name="Hed Top - SECTION 2 4 10 5 2" xfId="23750" xr:uid="{00000000-0005-0000-0000-000056640000}"/>
    <cellStyle name="Hed Top - SECTION 2 4 10 6" xfId="23751" xr:uid="{00000000-0005-0000-0000-000057640000}"/>
    <cellStyle name="Hed Top - SECTION 2 4 10 6 2" xfId="23752" xr:uid="{00000000-0005-0000-0000-000058640000}"/>
    <cellStyle name="Hed Top - SECTION 2 4 10 7" xfId="23753" xr:uid="{00000000-0005-0000-0000-000059640000}"/>
    <cellStyle name="Hed Top - SECTION 2 4 10 7 2" xfId="23754" xr:uid="{00000000-0005-0000-0000-00005A640000}"/>
    <cellStyle name="Hed Top - SECTION 2 4 10 8" xfId="23755" xr:uid="{00000000-0005-0000-0000-00005B640000}"/>
    <cellStyle name="Hed Top - SECTION 2 4 10 8 2" xfId="23756" xr:uid="{00000000-0005-0000-0000-00005C640000}"/>
    <cellStyle name="Hed Top - SECTION 2 4 10 9" xfId="23757" xr:uid="{00000000-0005-0000-0000-00005D640000}"/>
    <cellStyle name="Hed Top - SECTION 2 4 10 9 2" xfId="23758" xr:uid="{00000000-0005-0000-0000-00005E640000}"/>
    <cellStyle name="Hed Top - SECTION 2 4 11" xfId="23759" xr:uid="{00000000-0005-0000-0000-00005F640000}"/>
    <cellStyle name="Hed Top - SECTION 2 4 11 2" xfId="23760" xr:uid="{00000000-0005-0000-0000-000060640000}"/>
    <cellStyle name="Hed Top - SECTION 2 4 11 2 2" xfId="23761" xr:uid="{00000000-0005-0000-0000-000061640000}"/>
    <cellStyle name="Hed Top - SECTION 2 4 11 3" xfId="23762" xr:uid="{00000000-0005-0000-0000-000062640000}"/>
    <cellStyle name="Hed Top - SECTION 2 4 11 3 2" xfId="23763" xr:uid="{00000000-0005-0000-0000-000063640000}"/>
    <cellStyle name="Hed Top - SECTION 2 4 11 4" xfId="23764" xr:uid="{00000000-0005-0000-0000-000064640000}"/>
    <cellStyle name="Hed Top - SECTION 2 4 11 4 2" xfId="23765" xr:uid="{00000000-0005-0000-0000-000065640000}"/>
    <cellStyle name="Hed Top - SECTION 2 4 11 5" xfId="23766" xr:uid="{00000000-0005-0000-0000-000066640000}"/>
    <cellStyle name="Hed Top - SECTION 2 4 11 5 2" xfId="23767" xr:uid="{00000000-0005-0000-0000-000067640000}"/>
    <cellStyle name="Hed Top - SECTION 2 4 11 6" xfId="23768" xr:uid="{00000000-0005-0000-0000-000068640000}"/>
    <cellStyle name="Hed Top - SECTION 2 4 11 6 2" xfId="23769" xr:uid="{00000000-0005-0000-0000-000069640000}"/>
    <cellStyle name="Hed Top - SECTION 2 4 11 7" xfId="23770" xr:uid="{00000000-0005-0000-0000-00006A640000}"/>
    <cellStyle name="Hed Top - SECTION 2 4 11 7 2" xfId="23771" xr:uid="{00000000-0005-0000-0000-00006B640000}"/>
    <cellStyle name="Hed Top - SECTION 2 4 11 8" xfId="23772" xr:uid="{00000000-0005-0000-0000-00006C640000}"/>
    <cellStyle name="Hed Top - SECTION 2 4 11 8 2" xfId="23773" xr:uid="{00000000-0005-0000-0000-00006D640000}"/>
    <cellStyle name="Hed Top - SECTION 2 4 11 9" xfId="23774" xr:uid="{00000000-0005-0000-0000-00006E640000}"/>
    <cellStyle name="Hed Top - SECTION 2 4 2" xfId="23775" xr:uid="{00000000-0005-0000-0000-00006F640000}"/>
    <cellStyle name="Hed Top - SECTION 2 4 2 10" xfId="23776" xr:uid="{00000000-0005-0000-0000-000070640000}"/>
    <cellStyle name="Hed Top - SECTION 2 4 2 2" xfId="23777" xr:uid="{00000000-0005-0000-0000-000071640000}"/>
    <cellStyle name="Hed Top - SECTION 2 4 2 2 2" xfId="23778" xr:uid="{00000000-0005-0000-0000-000072640000}"/>
    <cellStyle name="Hed Top - SECTION 2 4 2 3" xfId="23779" xr:uid="{00000000-0005-0000-0000-000073640000}"/>
    <cellStyle name="Hed Top - SECTION 2 4 2 3 2" xfId="23780" xr:uid="{00000000-0005-0000-0000-000074640000}"/>
    <cellStyle name="Hed Top - SECTION 2 4 2 4" xfId="23781" xr:uid="{00000000-0005-0000-0000-000075640000}"/>
    <cellStyle name="Hed Top - SECTION 2 4 2 4 2" xfId="23782" xr:uid="{00000000-0005-0000-0000-000076640000}"/>
    <cellStyle name="Hed Top - SECTION 2 4 2 5" xfId="23783" xr:uid="{00000000-0005-0000-0000-000077640000}"/>
    <cellStyle name="Hed Top - SECTION 2 4 2 5 2" xfId="23784" xr:uid="{00000000-0005-0000-0000-000078640000}"/>
    <cellStyle name="Hed Top - SECTION 2 4 2 6" xfId="23785" xr:uid="{00000000-0005-0000-0000-000079640000}"/>
    <cellStyle name="Hed Top - SECTION 2 4 2 6 2" xfId="23786" xr:uid="{00000000-0005-0000-0000-00007A640000}"/>
    <cellStyle name="Hed Top - SECTION 2 4 2 7" xfId="23787" xr:uid="{00000000-0005-0000-0000-00007B640000}"/>
    <cellStyle name="Hed Top - SECTION 2 4 2 7 2" xfId="23788" xr:uid="{00000000-0005-0000-0000-00007C640000}"/>
    <cellStyle name="Hed Top - SECTION 2 4 2 8" xfId="23789" xr:uid="{00000000-0005-0000-0000-00007D640000}"/>
    <cellStyle name="Hed Top - SECTION 2 4 2 8 2" xfId="23790" xr:uid="{00000000-0005-0000-0000-00007E640000}"/>
    <cellStyle name="Hed Top - SECTION 2 4 2 9" xfId="23791" xr:uid="{00000000-0005-0000-0000-00007F640000}"/>
    <cellStyle name="Hed Top - SECTION 2 4 2 9 2" xfId="23792" xr:uid="{00000000-0005-0000-0000-000080640000}"/>
    <cellStyle name="Hed Top - SECTION 2 4 3" xfId="23793" xr:uid="{00000000-0005-0000-0000-000081640000}"/>
    <cellStyle name="Hed Top - SECTION 2 4 3 10" xfId="23794" xr:uid="{00000000-0005-0000-0000-000082640000}"/>
    <cellStyle name="Hed Top - SECTION 2 4 3 2" xfId="23795" xr:uid="{00000000-0005-0000-0000-000083640000}"/>
    <cellStyle name="Hed Top - SECTION 2 4 3 2 2" xfId="23796" xr:uid="{00000000-0005-0000-0000-000084640000}"/>
    <cellStyle name="Hed Top - SECTION 2 4 3 3" xfId="23797" xr:uid="{00000000-0005-0000-0000-000085640000}"/>
    <cellStyle name="Hed Top - SECTION 2 4 3 3 2" xfId="23798" xr:uid="{00000000-0005-0000-0000-000086640000}"/>
    <cellStyle name="Hed Top - SECTION 2 4 3 4" xfId="23799" xr:uid="{00000000-0005-0000-0000-000087640000}"/>
    <cellStyle name="Hed Top - SECTION 2 4 3 4 2" xfId="23800" xr:uid="{00000000-0005-0000-0000-000088640000}"/>
    <cellStyle name="Hed Top - SECTION 2 4 3 5" xfId="23801" xr:uid="{00000000-0005-0000-0000-000089640000}"/>
    <cellStyle name="Hed Top - SECTION 2 4 3 5 2" xfId="23802" xr:uid="{00000000-0005-0000-0000-00008A640000}"/>
    <cellStyle name="Hed Top - SECTION 2 4 3 6" xfId="23803" xr:uid="{00000000-0005-0000-0000-00008B640000}"/>
    <cellStyle name="Hed Top - SECTION 2 4 3 6 2" xfId="23804" xr:uid="{00000000-0005-0000-0000-00008C640000}"/>
    <cellStyle name="Hed Top - SECTION 2 4 3 7" xfId="23805" xr:uid="{00000000-0005-0000-0000-00008D640000}"/>
    <cellStyle name="Hed Top - SECTION 2 4 3 7 2" xfId="23806" xr:uid="{00000000-0005-0000-0000-00008E640000}"/>
    <cellStyle name="Hed Top - SECTION 2 4 3 8" xfId="23807" xr:uid="{00000000-0005-0000-0000-00008F640000}"/>
    <cellStyle name="Hed Top - SECTION 2 4 3 8 2" xfId="23808" xr:uid="{00000000-0005-0000-0000-000090640000}"/>
    <cellStyle name="Hed Top - SECTION 2 4 3 9" xfId="23809" xr:uid="{00000000-0005-0000-0000-000091640000}"/>
    <cellStyle name="Hed Top - SECTION 2 4 3 9 2" xfId="23810" xr:uid="{00000000-0005-0000-0000-000092640000}"/>
    <cellStyle name="Hed Top - SECTION 2 4 4" xfId="23811" xr:uid="{00000000-0005-0000-0000-000093640000}"/>
    <cellStyle name="Hed Top - SECTION 2 4 4 10" xfId="23812" xr:uid="{00000000-0005-0000-0000-000094640000}"/>
    <cellStyle name="Hed Top - SECTION 2 4 4 2" xfId="23813" xr:uid="{00000000-0005-0000-0000-000095640000}"/>
    <cellStyle name="Hed Top - SECTION 2 4 4 2 2" xfId="23814" xr:uid="{00000000-0005-0000-0000-000096640000}"/>
    <cellStyle name="Hed Top - SECTION 2 4 4 3" xfId="23815" xr:uid="{00000000-0005-0000-0000-000097640000}"/>
    <cellStyle name="Hed Top - SECTION 2 4 4 3 2" xfId="23816" xr:uid="{00000000-0005-0000-0000-000098640000}"/>
    <cellStyle name="Hed Top - SECTION 2 4 4 4" xfId="23817" xr:uid="{00000000-0005-0000-0000-000099640000}"/>
    <cellStyle name="Hed Top - SECTION 2 4 4 4 2" xfId="23818" xr:uid="{00000000-0005-0000-0000-00009A640000}"/>
    <cellStyle name="Hed Top - SECTION 2 4 4 5" xfId="23819" xr:uid="{00000000-0005-0000-0000-00009B640000}"/>
    <cellStyle name="Hed Top - SECTION 2 4 4 5 2" xfId="23820" xr:uid="{00000000-0005-0000-0000-00009C640000}"/>
    <cellStyle name="Hed Top - SECTION 2 4 4 6" xfId="23821" xr:uid="{00000000-0005-0000-0000-00009D640000}"/>
    <cellStyle name="Hed Top - SECTION 2 4 4 6 2" xfId="23822" xr:uid="{00000000-0005-0000-0000-00009E640000}"/>
    <cellStyle name="Hed Top - SECTION 2 4 4 7" xfId="23823" xr:uid="{00000000-0005-0000-0000-00009F640000}"/>
    <cellStyle name="Hed Top - SECTION 2 4 4 7 2" xfId="23824" xr:uid="{00000000-0005-0000-0000-0000A0640000}"/>
    <cellStyle name="Hed Top - SECTION 2 4 4 8" xfId="23825" xr:uid="{00000000-0005-0000-0000-0000A1640000}"/>
    <cellStyle name="Hed Top - SECTION 2 4 4 8 2" xfId="23826" xr:uid="{00000000-0005-0000-0000-0000A2640000}"/>
    <cellStyle name="Hed Top - SECTION 2 4 4 9" xfId="23827" xr:uid="{00000000-0005-0000-0000-0000A3640000}"/>
    <cellStyle name="Hed Top - SECTION 2 4 4 9 2" xfId="23828" xr:uid="{00000000-0005-0000-0000-0000A4640000}"/>
    <cellStyle name="Hed Top - SECTION 2 4 5" xfId="23829" xr:uid="{00000000-0005-0000-0000-0000A5640000}"/>
    <cellStyle name="Hed Top - SECTION 2 4 5 10" xfId="23830" xr:uid="{00000000-0005-0000-0000-0000A6640000}"/>
    <cellStyle name="Hed Top - SECTION 2 4 5 2" xfId="23831" xr:uid="{00000000-0005-0000-0000-0000A7640000}"/>
    <cellStyle name="Hed Top - SECTION 2 4 5 2 2" xfId="23832" xr:uid="{00000000-0005-0000-0000-0000A8640000}"/>
    <cellStyle name="Hed Top - SECTION 2 4 5 3" xfId="23833" xr:uid="{00000000-0005-0000-0000-0000A9640000}"/>
    <cellStyle name="Hed Top - SECTION 2 4 5 3 2" xfId="23834" xr:uid="{00000000-0005-0000-0000-0000AA640000}"/>
    <cellStyle name="Hed Top - SECTION 2 4 5 4" xfId="23835" xr:uid="{00000000-0005-0000-0000-0000AB640000}"/>
    <cellStyle name="Hed Top - SECTION 2 4 5 4 2" xfId="23836" xr:uid="{00000000-0005-0000-0000-0000AC640000}"/>
    <cellStyle name="Hed Top - SECTION 2 4 5 5" xfId="23837" xr:uid="{00000000-0005-0000-0000-0000AD640000}"/>
    <cellStyle name="Hed Top - SECTION 2 4 5 5 2" xfId="23838" xr:uid="{00000000-0005-0000-0000-0000AE640000}"/>
    <cellStyle name="Hed Top - SECTION 2 4 5 6" xfId="23839" xr:uid="{00000000-0005-0000-0000-0000AF640000}"/>
    <cellStyle name="Hed Top - SECTION 2 4 5 6 2" xfId="23840" xr:uid="{00000000-0005-0000-0000-0000B0640000}"/>
    <cellStyle name="Hed Top - SECTION 2 4 5 7" xfId="23841" xr:uid="{00000000-0005-0000-0000-0000B1640000}"/>
    <cellStyle name="Hed Top - SECTION 2 4 5 7 2" xfId="23842" xr:uid="{00000000-0005-0000-0000-0000B2640000}"/>
    <cellStyle name="Hed Top - SECTION 2 4 5 8" xfId="23843" xr:uid="{00000000-0005-0000-0000-0000B3640000}"/>
    <cellStyle name="Hed Top - SECTION 2 4 5 8 2" xfId="23844" xr:uid="{00000000-0005-0000-0000-0000B4640000}"/>
    <cellStyle name="Hed Top - SECTION 2 4 5 9" xfId="23845" xr:uid="{00000000-0005-0000-0000-0000B5640000}"/>
    <cellStyle name="Hed Top - SECTION 2 4 5 9 2" xfId="23846" xr:uid="{00000000-0005-0000-0000-0000B6640000}"/>
    <cellStyle name="Hed Top - SECTION 2 4 6" xfId="23847" xr:uid="{00000000-0005-0000-0000-0000B7640000}"/>
    <cellStyle name="Hed Top - SECTION 2 4 6 10" xfId="23848" xr:uid="{00000000-0005-0000-0000-0000B8640000}"/>
    <cellStyle name="Hed Top - SECTION 2 4 6 2" xfId="23849" xr:uid="{00000000-0005-0000-0000-0000B9640000}"/>
    <cellStyle name="Hed Top - SECTION 2 4 6 2 2" xfId="23850" xr:uid="{00000000-0005-0000-0000-0000BA640000}"/>
    <cellStyle name="Hed Top - SECTION 2 4 6 3" xfId="23851" xr:uid="{00000000-0005-0000-0000-0000BB640000}"/>
    <cellStyle name="Hed Top - SECTION 2 4 6 3 2" xfId="23852" xr:uid="{00000000-0005-0000-0000-0000BC640000}"/>
    <cellStyle name="Hed Top - SECTION 2 4 6 4" xfId="23853" xr:uid="{00000000-0005-0000-0000-0000BD640000}"/>
    <cellStyle name="Hed Top - SECTION 2 4 6 4 2" xfId="23854" xr:uid="{00000000-0005-0000-0000-0000BE640000}"/>
    <cellStyle name="Hed Top - SECTION 2 4 6 5" xfId="23855" xr:uid="{00000000-0005-0000-0000-0000BF640000}"/>
    <cellStyle name="Hed Top - SECTION 2 4 6 5 2" xfId="23856" xr:uid="{00000000-0005-0000-0000-0000C0640000}"/>
    <cellStyle name="Hed Top - SECTION 2 4 6 6" xfId="23857" xr:uid="{00000000-0005-0000-0000-0000C1640000}"/>
    <cellStyle name="Hed Top - SECTION 2 4 6 6 2" xfId="23858" xr:uid="{00000000-0005-0000-0000-0000C2640000}"/>
    <cellStyle name="Hed Top - SECTION 2 4 6 7" xfId="23859" xr:uid="{00000000-0005-0000-0000-0000C3640000}"/>
    <cellStyle name="Hed Top - SECTION 2 4 6 7 2" xfId="23860" xr:uid="{00000000-0005-0000-0000-0000C4640000}"/>
    <cellStyle name="Hed Top - SECTION 2 4 6 8" xfId="23861" xr:uid="{00000000-0005-0000-0000-0000C5640000}"/>
    <cellStyle name="Hed Top - SECTION 2 4 6 8 2" xfId="23862" xr:uid="{00000000-0005-0000-0000-0000C6640000}"/>
    <cellStyle name="Hed Top - SECTION 2 4 6 9" xfId="23863" xr:uid="{00000000-0005-0000-0000-0000C7640000}"/>
    <cellStyle name="Hed Top - SECTION 2 4 6 9 2" xfId="23864" xr:uid="{00000000-0005-0000-0000-0000C8640000}"/>
    <cellStyle name="Hed Top - SECTION 2 4 7" xfId="23865" xr:uid="{00000000-0005-0000-0000-0000C9640000}"/>
    <cellStyle name="Hed Top - SECTION 2 4 7 10" xfId="23866" xr:uid="{00000000-0005-0000-0000-0000CA640000}"/>
    <cellStyle name="Hed Top - SECTION 2 4 7 2" xfId="23867" xr:uid="{00000000-0005-0000-0000-0000CB640000}"/>
    <cellStyle name="Hed Top - SECTION 2 4 7 2 2" xfId="23868" xr:uid="{00000000-0005-0000-0000-0000CC640000}"/>
    <cellStyle name="Hed Top - SECTION 2 4 7 3" xfId="23869" xr:uid="{00000000-0005-0000-0000-0000CD640000}"/>
    <cellStyle name="Hed Top - SECTION 2 4 7 3 2" xfId="23870" xr:uid="{00000000-0005-0000-0000-0000CE640000}"/>
    <cellStyle name="Hed Top - SECTION 2 4 7 4" xfId="23871" xr:uid="{00000000-0005-0000-0000-0000CF640000}"/>
    <cellStyle name="Hed Top - SECTION 2 4 7 4 2" xfId="23872" xr:uid="{00000000-0005-0000-0000-0000D0640000}"/>
    <cellStyle name="Hed Top - SECTION 2 4 7 5" xfId="23873" xr:uid="{00000000-0005-0000-0000-0000D1640000}"/>
    <cellStyle name="Hed Top - SECTION 2 4 7 5 2" xfId="23874" xr:uid="{00000000-0005-0000-0000-0000D2640000}"/>
    <cellStyle name="Hed Top - SECTION 2 4 7 6" xfId="23875" xr:uid="{00000000-0005-0000-0000-0000D3640000}"/>
    <cellStyle name="Hed Top - SECTION 2 4 7 6 2" xfId="23876" xr:uid="{00000000-0005-0000-0000-0000D4640000}"/>
    <cellStyle name="Hed Top - SECTION 2 4 7 7" xfId="23877" xr:uid="{00000000-0005-0000-0000-0000D5640000}"/>
    <cellStyle name="Hed Top - SECTION 2 4 7 7 2" xfId="23878" xr:uid="{00000000-0005-0000-0000-0000D6640000}"/>
    <cellStyle name="Hed Top - SECTION 2 4 7 8" xfId="23879" xr:uid="{00000000-0005-0000-0000-0000D7640000}"/>
    <cellStyle name="Hed Top - SECTION 2 4 7 8 2" xfId="23880" xr:uid="{00000000-0005-0000-0000-0000D8640000}"/>
    <cellStyle name="Hed Top - SECTION 2 4 7 9" xfId="23881" xr:uid="{00000000-0005-0000-0000-0000D9640000}"/>
    <cellStyle name="Hed Top - SECTION 2 4 7 9 2" xfId="23882" xr:uid="{00000000-0005-0000-0000-0000DA640000}"/>
    <cellStyle name="Hed Top - SECTION 2 4 8" xfId="23883" xr:uid="{00000000-0005-0000-0000-0000DB640000}"/>
    <cellStyle name="Hed Top - SECTION 2 4 8 10" xfId="23884" xr:uid="{00000000-0005-0000-0000-0000DC640000}"/>
    <cellStyle name="Hed Top - SECTION 2 4 8 2" xfId="23885" xr:uid="{00000000-0005-0000-0000-0000DD640000}"/>
    <cellStyle name="Hed Top - SECTION 2 4 8 2 2" xfId="23886" xr:uid="{00000000-0005-0000-0000-0000DE640000}"/>
    <cellStyle name="Hed Top - SECTION 2 4 8 3" xfId="23887" xr:uid="{00000000-0005-0000-0000-0000DF640000}"/>
    <cellStyle name="Hed Top - SECTION 2 4 8 3 2" xfId="23888" xr:uid="{00000000-0005-0000-0000-0000E0640000}"/>
    <cellStyle name="Hed Top - SECTION 2 4 8 4" xfId="23889" xr:uid="{00000000-0005-0000-0000-0000E1640000}"/>
    <cellStyle name="Hed Top - SECTION 2 4 8 4 2" xfId="23890" xr:uid="{00000000-0005-0000-0000-0000E2640000}"/>
    <cellStyle name="Hed Top - SECTION 2 4 8 5" xfId="23891" xr:uid="{00000000-0005-0000-0000-0000E3640000}"/>
    <cellStyle name="Hed Top - SECTION 2 4 8 5 2" xfId="23892" xr:uid="{00000000-0005-0000-0000-0000E4640000}"/>
    <cellStyle name="Hed Top - SECTION 2 4 8 6" xfId="23893" xr:uid="{00000000-0005-0000-0000-0000E5640000}"/>
    <cellStyle name="Hed Top - SECTION 2 4 8 6 2" xfId="23894" xr:uid="{00000000-0005-0000-0000-0000E6640000}"/>
    <cellStyle name="Hed Top - SECTION 2 4 8 7" xfId="23895" xr:uid="{00000000-0005-0000-0000-0000E7640000}"/>
    <cellStyle name="Hed Top - SECTION 2 4 8 7 2" xfId="23896" xr:uid="{00000000-0005-0000-0000-0000E8640000}"/>
    <cellStyle name="Hed Top - SECTION 2 4 8 8" xfId="23897" xr:uid="{00000000-0005-0000-0000-0000E9640000}"/>
    <cellStyle name="Hed Top - SECTION 2 4 8 8 2" xfId="23898" xr:uid="{00000000-0005-0000-0000-0000EA640000}"/>
    <cellStyle name="Hed Top - SECTION 2 4 8 9" xfId="23899" xr:uid="{00000000-0005-0000-0000-0000EB640000}"/>
    <cellStyle name="Hed Top - SECTION 2 4 8 9 2" xfId="23900" xr:uid="{00000000-0005-0000-0000-0000EC640000}"/>
    <cellStyle name="Hed Top - SECTION 2 4 9" xfId="23901" xr:uid="{00000000-0005-0000-0000-0000ED640000}"/>
    <cellStyle name="Hed Top - SECTION 2 4 9 10" xfId="23902" xr:uid="{00000000-0005-0000-0000-0000EE640000}"/>
    <cellStyle name="Hed Top - SECTION 2 4 9 2" xfId="23903" xr:uid="{00000000-0005-0000-0000-0000EF640000}"/>
    <cellStyle name="Hed Top - SECTION 2 4 9 2 2" xfId="23904" xr:uid="{00000000-0005-0000-0000-0000F0640000}"/>
    <cellStyle name="Hed Top - SECTION 2 4 9 3" xfId="23905" xr:uid="{00000000-0005-0000-0000-0000F1640000}"/>
    <cellStyle name="Hed Top - SECTION 2 4 9 3 2" xfId="23906" xr:uid="{00000000-0005-0000-0000-0000F2640000}"/>
    <cellStyle name="Hed Top - SECTION 2 4 9 4" xfId="23907" xr:uid="{00000000-0005-0000-0000-0000F3640000}"/>
    <cellStyle name="Hed Top - SECTION 2 4 9 4 2" xfId="23908" xr:uid="{00000000-0005-0000-0000-0000F4640000}"/>
    <cellStyle name="Hed Top - SECTION 2 4 9 5" xfId="23909" xr:uid="{00000000-0005-0000-0000-0000F5640000}"/>
    <cellStyle name="Hed Top - SECTION 2 4 9 5 2" xfId="23910" xr:uid="{00000000-0005-0000-0000-0000F6640000}"/>
    <cellStyle name="Hed Top - SECTION 2 4 9 6" xfId="23911" xr:uid="{00000000-0005-0000-0000-0000F7640000}"/>
    <cellStyle name="Hed Top - SECTION 2 4 9 6 2" xfId="23912" xr:uid="{00000000-0005-0000-0000-0000F8640000}"/>
    <cellStyle name="Hed Top - SECTION 2 4 9 7" xfId="23913" xr:uid="{00000000-0005-0000-0000-0000F9640000}"/>
    <cellStyle name="Hed Top - SECTION 2 4 9 7 2" xfId="23914" xr:uid="{00000000-0005-0000-0000-0000FA640000}"/>
    <cellStyle name="Hed Top - SECTION 2 4 9 8" xfId="23915" xr:uid="{00000000-0005-0000-0000-0000FB640000}"/>
    <cellStyle name="Hed Top - SECTION 2 4 9 8 2" xfId="23916" xr:uid="{00000000-0005-0000-0000-0000FC640000}"/>
    <cellStyle name="Hed Top - SECTION 2 4 9 9" xfId="23917" xr:uid="{00000000-0005-0000-0000-0000FD640000}"/>
    <cellStyle name="Hed Top - SECTION 2 4 9 9 2" xfId="23918" xr:uid="{00000000-0005-0000-0000-0000FE640000}"/>
    <cellStyle name="Hed Top - SECTION 2 5" xfId="23919" xr:uid="{00000000-0005-0000-0000-0000FF640000}"/>
    <cellStyle name="Hed Top - SECTION 2 5 10" xfId="23920" xr:uid="{00000000-0005-0000-0000-000000650000}"/>
    <cellStyle name="Hed Top - SECTION 2 5 10 2" xfId="23921" xr:uid="{00000000-0005-0000-0000-000001650000}"/>
    <cellStyle name="Hed Top - SECTION 2 5 10 2 2" xfId="23922" xr:uid="{00000000-0005-0000-0000-000002650000}"/>
    <cellStyle name="Hed Top - SECTION 2 5 10 3" xfId="23923" xr:uid="{00000000-0005-0000-0000-000003650000}"/>
    <cellStyle name="Hed Top - SECTION 2 5 10 3 2" xfId="23924" xr:uid="{00000000-0005-0000-0000-000004650000}"/>
    <cellStyle name="Hed Top - SECTION 2 5 10 4" xfId="23925" xr:uid="{00000000-0005-0000-0000-000005650000}"/>
    <cellStyle name="Hed Top - SECTION 2 5 10 4 2" xfId="23926" xr:uid="{00000000-0005-0000-0000-000006650000}"/>
    <cellStyle name="Hed Top - SECTION 2 5 10 5" xfId="23927" xr:uid="{00000000-0005-0000-0000-000007650000}"/>
    <cellStyle name="Hed Top - SECTION 2 5 10 5 2" xfId="23928" xr:uid="{00000000-0005-0000-0000-000008650000}"/>
    <cellStyle name="Hed Top - SECTION 2 5 10 6" xfId="23929" xr:uid="{00000000-0005-0000-0000-000009650000}"/>
    <cellStyle name="Hed Top - SECTION 2 5 10 6 2" xfId="23930" xr:uid="{00000000-0005-0000-0000-00000A650000}"/>
    <cellStyle name="Hed Top - SECTION 2 5 10 7" xfId="23931" xr:uid="{00000000-0005-0000-0000-00000B650000}"/>
    <cellStyle name="Hed Top - SECTION 2 5 10 7 2" xfId="23932" xr:uid="{00000000-0005-0000-0000-00000C650000}"/>
    <cellStyle name="Hed Top - SECTION 2 5 10 8" xfId="23933" xr:uid="{00000000-0005-0000-0000-00000D650000}"/>
    <cellStyle name="Hed Top - SECTION 2 5 10 8 2" xfId="23934" xr:uid="{00000000-0005-0000-0000-00000E650000}"/>
    <cellStyle name="Hed Top - SECTION 2 5 10 9" xfId="23935" xr:uid="{00000000-0005-0000-0000-00000F650000}"/>
    <cellStyle name="Hed Top - SECTION 2 5 11" xfId="23936" xr:uid="{00000000-0005-0000-0000-000010650000}"/>
    <cellStyle name="Hed Top - SECTION 2 5 11 2" xfId="23937" xr:uid="{00000000-0005-0000-0000-000011650000}"/>
    <cellStyle name="Hed Top - SECTION 2 5 12" xfId="23938" xr:uid="{00000000-0005-0000-0000-000012650000}"/>
    <cellStyle name="Hed Top - SECTION 2 5 12 2" xfId="23939" xr:uid="{00000000-0005-0000-0000-000013650000}"/>
    <cellStyle name="Hed Top - SECTION 2 5 13" xfId="23940" xr:uid="{00000000-0005-0000-0000-000014650000}"/>
    <cellStyle name="Hed Top - SECTION 2 5 13 2" xfId="23941" xr:uid="{00000000-0005-0000-0000-000015650000}"/>
    <cellStyle name="Hed Top - SECTION 2 5 14" xfId="23942" xr:uid="{00000000-0005-0000-0000-000016650000}"/>
    <cellStyle name="Hed Top - SECTION 2 5 14 2" xfId="23943" xr:uid="{00000000-0005-0000-0000-000017650000}"/>
    <cellStyle name="Hed Top - SECTION 2 5 15" xfId="23944" xr:uid="{00000000-0005-0000-0000-000018650000}"/>
    <cellStyle name="Hed Top - SECTION 2 5 15 2" xfId="23945" xr:uid="{00000000-0005-0000-0000-000019650000}"/>
    <cellStyle name="Hed Top - SECTION 2 5 16" xfId="23946" xr:uid="{00000000-0005-0000-0000-00001A650000}"/>
    <cellStyle name="Hed Top - SECTION 2 5 16 2" xfId="23947" xr:uid="{00000000-0005-0000-0000-00001B650000}"/>
    <cellStyle name="Hed Top - SECTION 2 5 17" xfId="23948" xr:uid="{00000000-0005-0000-0000-00001C650000}"/>
    <cellStyle name="Hed Top - SECTION 2 5 17 2" xfId="23949" xr:uid="{00000000-0005-0000-0000-00001D650000}"/>
    <cellStyle name="Hed Top - SECTION 2 5 18" xfId="23950" xr:uid="{00000000-0005-0000-0000-00001E650000}"/>
    <cellStyle name="Hed Top - SECTION 2 5 2" xfId="23951" xr:uid="{00000000-0005-0000-0000-00001F650000}"/>
    <cellStyle name="Hed Top - SECTION 2 5 2 10" xfId="23952" xr:uid="{00000000-0005-0000-0000-000020650000}"/>
    <cellStyle name="Hed Top - SECTION 2 5 2 2" xfId="23953" xr:uid="{00000000-0005-0000-0000-000021650000}"/>
    <cellStyle name="Hed Top - SECTION 2 5 2 2 2" xfId="23954" xr:uid="{00000000-0005-0000-0000-000022650000}"/>
    <cellStyle name="Hed Top - SECTION 2 5 2 3" xfId="23955" xr:uid="{00000000-0005-0000-0000-000023650000}"/>
    <cellStyle name="Hed Top - SECTION 2 5 2 3 2" xfId="23956" xr:uid="{00000000-0005-0000-0000-000024650000}"/>
    <cellStyle name="Hed Top - SECTION 2 5 2 4" xfId="23957" xr:uid="{00000000-0005-0000-0000-000025650000}"/>
    <cellStyle name="Hed Top - SECTION 2 5 2 4 2" xfId="23958" xr:uid="{00000000-0005-0000-0000-000026650000}"/>
    <cellStyle name="Hed Top - SECTION 2 5 2 5" xfId="23959" xr:uid="{00000000-0005-0000-0000-000027650000}"/>
    <cellStyle name="Hed Top - SECTION 2 5 2 5 2" xfId="23960" xr:uid="{00000000-0005-0000-0000-000028650000}"/>
    <cellStyle name="Hed Top - SECTION 2 5 2 6" xfId="23961" xr:uid="{00000000-0005-0000-0000-000029650000}"/>
    <cellStyle name="Hed Top - SECTION 2 5 2 6 2" xfId="23962" xr:uid="{00000000-0005-0000-0000-00002A650000}"/>
    <cellStyle name="Hed Top - SECTION 2 5 2 7" xfId="23963" xr:uid="{00000000-0005-0000-0000-00002B650000}"/>
    <cellStyle name="Hed Top - SECTION 2 5 2 7 2" xfId="23964" xr:uid="{00000000-0005-0000-0000-00002C650000}"/>
    <cellStyle name="Hed Top - SECTION 2 5 2 8" xfId="23965" xr:uid="{00000000-0005-0000-0000-00002D650000}"/>
    <cellStyle name="Hed Top - SECTION 2 5 2 8 2" xfId="23966" xr:uid="{00000000-0005-0000-0000-00002E650000}"/>
    <cellStyle name="Hed Top - SECTION 2 5 2 9" xfId="23967" xr:uid="{00000000-0005-0000-0000-00002F650000}"/>
    <cellStyle name="Hed Top - SECTION 2 5 2 9 2" xfId="23968" xr:uid="{00000000-0005-0000-0000-000030650000}"/>
    <cellStyle name="Hed Top - SECTION 2 5 3" xfId="23969" xr:uid="{00000000-0005-0000-0000-000031650000}"/>
    <cellStyle name="Hed Top - SECTION 2 5 3 10" xfId="23970" xr:uid="{00000000-0005-0000-0000-000032650000}"/>
    <cellStyle name="Hed Top - SECTION 2 5 3 2" xfId="23971" xr:uid="{00000000-0005-0000-0000-000033650000}"/>
    <cellStyle name="Hed Top - SECTION 2 5 3 2 2" xfId="23972" xr:uid="{00000000-0005-0000-0000-000034650000}"/>
    <cellStyle name="Hed Top - SECTION 2 5 3 3" xfId="23973" xr:uid="{00000000-0005-0000-0000-000035650000}"/>
    <cellStyle name="Hed Top - SECTION 2 5 3 3 2" xfId="23974" xr:uid="{00000000-0005-0000-0000-000036650000}"/>
    <cellStyle name="Hed Top - SECTION 2 5 3 4" xfId="23975" xr:uid="{00000000-0005-0000-0000-000037650000}"/>
    <cellStyle name="Hed Top - SECTION 2 5 3 4 2" xfId="23976" xr:uid="{00000000-0005-0000-0000-000038650000}"/>
    <cellStyle name="Hed Top - SECTION 2 5 3 5" xfId="23977" xr:uid="{00000000-0005-0000-0000-000039650000}"/>
    <cellStyle name="Hed Top - SECTION 2 5 3 5 2" xfId="23978" xr:uid="{00000000-0005-0000-0000-00003A650000}"/>
    <cellStyle name="Hed Top - SECTION 2 5 3 6" xfId="23979" xr:uid="{00000000-0005-0000-0000-00003B650000}"/>
    <cellStyle name="Hed Top - SECTION 2 5 3 6 2" xfId="23980" xr:uid="{00000000-0005-0000-0000-00003C650000}"/>
    <cellStyle name="Hed Top - SECTION 2 5 3 7" xfId="23981" xr:uid="{00000000-0005-0000-0000-00003D650000}"/>
    <cellStyle name="Hed Top - SECTION 2 5 3 7 2" xfId="23982" xr:uid="{00000000-0005-0000-0000-00003E650000}"/>
    <cellStyle name="Hed Top - SECTION 2 5 3 8" xfId="23983" xr:uid="{00000000-0005-0000-0000-00003F650000}"/>
    <cellStyle name="Hed Top - SECTION 2 5 3 8 2" xfId="23984" xr:uid="{00000000-0005-0000-0000-000040650000}"/>
    <cellStyle name="Hed Top - SECTION 2 5 3 9" xfId="23985" xr:uid="{00000000-0005-0000-0000-000041650000}"/>
    <cellStyle name="Hed Top - SECTION 2 5 3 9 2" xfId="23986" xr:uid="{00000000-0005-0000-0000-000042650000}"/>
    <cellStyle name="Hed Top - SECTION 2 5 4" xfId="23987" xr:uid="{00000000-0005-0000-0000-000043650000}"/>
    <cellStyle name="Hed Top - SECTION 2 5 4 10" xfId="23988" xr:uid="{00000000-0005-0000-0000-000044650000}"/>
    <cellStyle name="Hed Top - SECTION 2 5 4 2" xfId="23989" xr:uid="{00000000-0005-0000-0000-000045650000}"/>
    <cellStyle name="Hed Top - SECTION 2 5 4 2 2" xfId="23990" xr:uid="{00000000-0005-0000-0000-000046650000}"/>
    <cellStyle name="Hed Top - SECTION 2 5 4 3" xfId="23991" xr:uid="{00000000-0005-0000-0000-000047650000}"/>
    <cellStyle name="Hed Top - SECTION 2 5 4 3 2" xfId="23992" xr:uid="{00000000-0005-0000-0000-000048650000}"/>
    <cellStyle name="Hed Top - SECTION 2 5 4 4" xfId="23993" xr:uid="{00000000-0005-0000-0000-000049650000}"/>
    <cellStyle name="Hed Top - SECTION 2 5 4 4 2" xfId="23994" xr:uid="{00000000-0005-0000-0000-00004A650000}"/>
    <cellStyle name="Hed Top - SECTION 2 5 4 5" xfId="23995" xr:uid="{00000000-0005-0000-0000-00004B650000}"/>
    <cellStyle name="Hed Top - SECTION 2 5 4 5 2" xfId="23996" xr:uid="{00000000-0005-0000-0000-00004C650000}"/>
    <cellStyle name="Hed Top - SECTION 2 5 4 6" xfId="23997" xr:uid="{00000000-0005-0000-0000-00004D650000}"/>
    <cellStyle name="Hed Top - SECTION 2 5 4 6 2" xfId="23998" xr:uid="{00000000-0005-0000-0000-00004E650000}"/>
    <cellStyle name="Hed Top - SECTION 2 5 4 7" xfId="23999" xr:uid="{00000000-0005-0000-0000-00004F650000}"/>
    <cellStyle name="Hed Top - SECTION 2 5 4 7 2" xfId="24000" xr:uid="{00000000-0005-0000-0000-000050650000}"/>
    <cellStyle name="Hed Top - SECTION 2 5 4 8" xfId="24001" xr:uid="{00000000-0005-0000-0000-000051650000}"/>
    <cellStyle name="Hed Top - SECTION 2 5 4 8 2" xfId="24002" xr:uid="{00000000-0005-0000-0000-000052650000}"/>
    <cellStyle name="Hed Top - SECTION 2 5 4 9" xfId="24003" xr:uid="{00000000-0005-0000-0000-000053650000}"/>
    <cellStyle name="Hed Top - SECTION 2 5 4 9 2" xfId="24004" xr:uid="{00000000-0005-0000-0000-000054650000}"/>
    <cellStyle name="Hed Top - SECTION 2 5 5" xfId="24005" xr:uid="{00000000-0005-0000-0000-000055650000}"/>
    <cellStyle name="Hed Top - SECTION 2 5 5 10" xfId="24006" xr:uid="{00000000-0005-0000-0000-000056650000}"/>
    <cellStyle name="Hed Top - SECTION 2 5 5 2" xfId="24007" xr:uid="{00000000-0005-0000-0000-000057650000}"/>
    <cellStyle name="Hed Top - SECTION 2 5 5 2 2" xfId="24008" xr:uid="{00000000-0005-0000-0000-000058650000}"/>
    <cellStyle name="Hed Top - SECTION 2 5 5 3" xfId="24009" xr:uid="{00000000-0005-0000-0000-000059650000}"/>
    <cellStyle name="Hed Top - SECTION 2 5 5 3 2" xfId="24010" xr:uid="{00000000-0005-0000-0000-00005A650000}"/>
    <cellStyle name="Hed Top - SECTION 2 5 5 4" xfId="24011" xr:uid="{00000000-0005-0000-0000-00005B650000}"/>
    <cellStyle name="Hed Top - SECTION 2 5 5 4 2" xfId="24012" xr:uid="{00000000-0005-0000-0000-00005C650000}"/>
    <cellStyle name="Hed Top - SECTION 2 5 5 5" xfId="24013" xr:uid="{00000000-0005-0000-0000-00005D650000}"/>
    <cellStyle name="Hed Top - SECTION 2 5 5 5 2" xfId="24014" xr:uid="{00000000-0005-0000-0000-00005E650000}"/>
    <cellStyle name="Hed Top - SECTION 2 5 5 6" xfId="24015" xr:uid="{00000000-0005-0000-0000-00005F650000}"/>
    <cellStyle name="Hed Top - SECTION 2 5 5 6 2" xfId="24016" xr:uid="{00000000-0005-0000-0000-000060650000}"/>
    <cellStyle name="Hed Top - SECTION 2 5 5 7" xfId="24017" xr:uid="{00000000-0005-0000-0000-000061650000}"/>
    <cellStyle name="Hed Top - SECTION 2 5 5 7 2" xfId="24018" xr:uid="{00000000-0005-0000-0000-000062650000}"/>
    <cellStyle name="Hed Top - SECTION 2 5 5 8" xfId="24019" xr:uid="{00000000-0005-0000-0000-000063650000}"/>
    <cellStyle name="Hed Top - SECTION 2 5 5 8 2" xfId="24020" xr:uid="{00000000-0005-0000-0000-000064650000}"/>
    <cellStyle name="Hed Top - SECTION 2 5 5 9" xfId="24021" xr:uid="{00000000-0005-0000-0000-000065650000}"/>
    <cellStyle name="Hed Top - SECTION 2 5 5 9 2" xfId="24022" xr:uid="{00000000-0005-0000-0000-000066650000}"/>
    <cellStyle name="Hed Top - SECTION 2 5 6" xfId="24023" xr:uid="{00000000-0005-0000-0000-000067650000}"/>
    <cellStyle name="Hed Top - SECTION 2 5 6 10" xfId="24024" xr:uid="{00000000-0005-0000-0000-000068650000}"/>
    <cellStyle name="Hed Top - SECTION 2 5 6 2" xfId="24025" xr:uid="{00000000-0005-0000-0000-000069650000}"/>
    <cellStyle name="Hed Top - SECTION 2 5 6 2 2" xfId="24026" xr:uid="{00000000-0005-0000-0000-00006A650000}"/>
    <cellStyle name="Hed Top - SECTION 2 5 6 3" xfId="24027" xr:uid="{00000000-0005-0000-0000-00006B650000}"/>
    <cellStyle name="Hed Top - SECTION 2 5 6 3 2" xfId="24028" xr:uid="{00000000-0005-0000-0000-00006C650000}"/>
    <cellStyle name="Hed Top - SECTION 2 5 6 4" xfId="24029" xr:uid="{00000000-0005-0000-0000-00006D650000}"/>
    <cellStyle name="Hed Top - SECTION 2 5 6 4 2" xfId="24030" xr:uid="{00000000-0005-0000-0000-00006E650000}"/>
    <cellStyle name="Hed Top - SECTION 2 5 6 5" xfId="24031" xr:uid="{00000000-0005-0000-0000-00006F650000}"/>
    <cellStyle name="Hed Top - SECTION 2 5 6 5 2" xfId="24032" xr:uid="{00000000-0005-0000-0000-000070650000}"/>
    <cellStyle name="Hed Top - SECTION 2 5 6 6" xfId="24033" xr:uid="{00000000-0005-0000-0000-000071650000}"/>
    <cellStyle name="Hed Top - SECTION 2 5 6 6 2" xfId="24034" xr:uid="{00000000-0005-0000-0000-000072650000}"/>
    <cellStyle name="Hed Top - SECTION 2 5 6 7" xfId="24035" xr:uid="{00000000-0005-0000-0000-000073650000}"/>
    <cellStyle name="Hed Top - SECTION 2 5 6 7 2" xfId="24036" xr:uid="{00000000-0005-0000-0000-000074650000}"/>
    <cellStyle name="Hed Top - SECTION 2 5 6 8" xfId="24037" xr:uid="{00000000-0005-0000-0000-000075650000}"/>
    <cellStyle name="Hed Top - SECTION 2 5 6 8 2" xfId="24038" xr:uid="{00000000-0005-0000-0000-000076650000}"/>
    <cellStyle name="Hed Top - SECTION 2 5 6 9" xfId="24039" xr:uid="{00000000-0005-0000-0000-000077650000}"/>
    <cellStyle name="Hed Top - SECTION 2 5 6 9 2" xfId="24040" xr:uid="{00000000-0005-0000-0000-000078650000}"/>
    <cellStyle name="Hed Top - SECTION 2 5 7" xfId="24041" xr:uid="{00000000-0005-0000-0000-000079650000}"/>
    <cellStyle name="Hed Top - SECTION 2 5 7 10" xfId="24042" xr:uid="{00000000-0005-0000-0000-00007A650000}"/>
    <cellStyle name="Hed Top - SECTION 2 5 7 2" xfId="24043" xr:uid="{00000000-0005-0000-0000-00007B650000}"/>
    <cellStyle name="Hed Top - SECTION 2 5 7 2 2" xfId="24044" xr:uid="{00000000-0005-0000-0000-00007C650000}"/>
    <cellStyle name="Hed Top - SECTION 2 5 7 3" xfId="24045" xr:uid="{00000000-0005-0000-0000-00007D650000}"/>
    <cellStyle name="Hed Top - SECTION 2 5 7 3 2" xfId="24046" xr:uid="{00000000-0005-0000-0000-00007E650000}"/>
    <cellStyle name="Hed Top - SECTION 2 5 7 4" xfId="24047" xr:uid="{00000000-0005-0000-0000-00007F650000}"/>
    <cellStyle name="Hed Top - SECTION 2 5 7 4 2" xfId="24048" xr:uid="{00000000-0005-0000-0000-000080650000}"/>
    <cellStyle name="Hed Top - SECTION 2 5 7 5" xfId="24049" xr:uid="{00000000-0005-0000-0000-000081650000}"/>
    <cellStyle name="Hed Top - SECTION 2 5 7 5 2" xfId="24050" xr:uid="{00000000-0005-0000-0000-000082650000}"/>
    <cellStyle name="Hed Top - SECTION 2 5 7 6" xfId="24051" xr:uid="{00000000-0005-0000-0000-000083650000}"/>
    <cellStyle name="Hed Top - SECTION 2 5 7 6 2" xfId="24052" xr:uid="{00000000-0005-0000-0000-000084650000}"/>
    <cellStyle name="Hed Top - SECTION 2 5 7 7" xfId="24053" xr:uid="{00000000-0005-0000-0000-000085650000}"/>
    <cellStyle name="Hed Top - SECTION 2 5 7 7 2" xfId="24054" xr:uid="{00000000-0005-0000-0000-000086650000}"/>
    <cellStyle name="Hed Top - SECTION 2 5 7 8" xfId="24055" xr:uid="{00000000-0005-0000-0000-000087650000}"/>
    <cellStyle name="Hed Top - SECTION 2 5 7 8 2" xfId="24056" xr:uid="{00000000-0005-0000-0000-000088650000}"/>
    <cellStyle name="Hed Top - SECTION 2 5 7 9" xfId="24057" xr:uid="{00000000-0005-0000-0000-000089650000}"/>
    <cellStyle name="Hed Top - SECTION 2 5 7 9 2" xfId="24058" xr:uid="{00000000-0005-0000-0000-00008A650000}"/>
    <cellStyle name="Hed Top - SECTION 2 5 8" xfId="24059" xr:uid="{00000000-0005-0000-0000-00008B650000}"/>
    <cellStyle name="Hed Top - SECTION 2 5 8 10" xfId="24060" xr:uid="{00000000-0005-0000-0000-00008C650000}"/>
    <cellStyle name="Hed Top - SECTION 2 5 8 2" xfId="24061" xr:uid="{00000000-0005-0000-0000-00008D650000}"/>
    <cellStyle name="Hed Top - SECTION 2 5 8 2 2" xfId="24062" xr:uid="{00000000-0005-0000-0000-00008E650000}"/>
    <cellStyle name="Hed Top - SECTION 2 5 8 3" xfId="24063" xr:uid="{00000000-0005-0000-0000-00008F650000}"/>
    <cellStyle name="Hed Top - SECTION 2 5 8 3 2" xfId="24064" xr:uid="{00000000-0005-0000-0000-000090650000}"/>
    <cellStyle name="Hed Top - SECTION 2 5 8 4" xfId="24065" xr:uid="{00000000-0005-0000-0000-000091650000}"/>
    <cellStyle name="Hed Top - SECTION 2 5 8 4 2" xfId="24066" xr:uid="{00000000-0005-0000-0000-000092650000}"/>
    <cellStyle name="Hed Top - SECTION 2 5 8 5" xfId="24067" xr:uid="{00000000-0005-0000-0000-000093650000}"/>
    <cellStyle name="Hed Top - SECTION 2 5 8 5 2" xfId="24068" xr:uid="{00000000-0005-0000-0000-000094650000}"/>
    <cellStyle name="Hed Top - SECTION 2 5 8 6" xfId="24069" xr:uid="{00000000-0005-0000-0000-000095650000}"/>
    <cellStyle name="Hed Top - SECTION 2 5 8 6 2" xfId="24070" xr:uid="{00000000-0005-0000-0000-000096650000}"/>
    <cellStyle name="Hed Top - SECTION 2 5 8 7" xfId="24071" xr:uid="{00000000-0005-0000-0000-000097650000}"/>
    <cellStyle name="Hed Top - SECTION 2 5 8 7 2" xfId="24072" xr:uid="{00000000-0005-0000-0000-000098650000}"/>
    <cellStyle name="Hed Top - SECTION 2 5 8 8" xfId="24073" xr:uid="{00000000-0005-0000-0000-000099650000}"/>
    <cellStyle name="Hed Top - SECTION 2 5 8 8 2" xfId="24074" xr:uid="{00000000-0005-0000-0000-00009A650000}"/>
    <cellStyle name="Hed Top - SECTION 2 5 8 9" xfId="24075" xr:uid="{00000000-0005-0000-0000-00009B650000}"/>
    <cellStyle name="Hed Top - SECTION 2 5 8 9 2" xfId="24076" xr:uid="{00000000-0005-0000-0000-00009C650000}"/>
    <cellStyle name="Hed Top - SECTION 2 5 9" xfId="24077" xr:uid="{00000000-0005-0000-0000-00009D650000}"/>
    <cellStyle name="Hed Top - SECTION 2 5 9 10" xfId="24078" xr:uid="{00000000-0005-0000-0000-00009E650000}"/>
    <cellStyle name="Hed Top - SECTION 2 5 9 2" xfId="24079" xr:uid="{00000000-0005-0000-0000-00009F650000}"/>
    <cellStyle name="Hed Top - SECTION 2 5 9 2 2" xfId="24080" xr:uid="{00000000-0005-0000-0000-0000A0650000}"/>
    <cellStyle name="Hed Top - SECTION 2 5 9 3" xfId="24081" xr:uid="{00000000-0005-0000-0000-0000A1650000}"/>
    <cellStyle name="Hed Top - SECTION 2 5 9 3 2" xfId="24082" xr:uid="{00000000-0005-0000-0000-0000A2650000}"/>
    <cellStyle name="Hed Top - SECTION 2 5 9 4" xfId="24083" xr:uid="{00000000-0005-0000-0000-0000A3650000}"/>
    <cellStyle name="Hed Top - SECTION 2 5 9 4 2" xfId="24084" xr:uid="{00000000-0005-0000-0000-0000A4650000}"/>
    <cellStyle name="Hed Top - SECTION 2 5 9 5" xfId="24085" xr:uid="{00000000-0005-0000-0000-0000A5650000}"/>
    <cellStyle name="Hed Top - SECTION 2 5 9 5 2" xfId="24086" xr:uid="{00000000-0005-0000-0000-0000A6650000}"/>
    <cellStyle name="Hed Top - SECTION 2 5 9 6" xfId="24087" xr:uid="{00000000-0005-0000-0000-0000A7650000}"/>
    <cellStyle name="Hed Top - SECTION 2 5 9 6 2" xfId="24088" xr:uid="{00000000-0005-0000-0000-0000A8650000}"/>
    <cellStyle name="Hed Top - SECTION 2 5 9 7" xfId="24089" xr:uid="{00000000-0005-0000-0000-0000A9650000}"/>
    <cellStyle name="Hed Top - SECTION 2 5 9 7 2" xfId="24090" xr:uid="{00000000-0005-0000-0000-0000AA650000}"/>
    <cellStyle name="Hed Top - SECTION 2 5 9 8" xfId="24091" xr:uid="{00000000-0005-0000-0000-0000AB650000}"/>
    <cellStyle name="Hed Top - SECTION 2 5 9 8 2" xfId="24092" xr:uid="{00000000-0005-0000-0000-0000AC650000}"/>
    <cellStyle name="Hed Top - SECTION 2 5 9 9" xfId="24093" xr:uid="{00000000-0005-0000-0000-0000AD650000}"/>
    <cellStyle name="Hed Top - SECTION 2 5 9 9 2" xfId="24094" xr:uid="{00000000-0005-0000-0000-0000AE650000}"/>
    <cellStyle name="Hed Top - SECTION 2 6" xfId="24095" xr:uid="{00000000-0005-0000-0000-0000AF650000}"/>
    <cellStyle name="Hed Top - SECTION 2 6 10" xfId="24096" xr:uid="{00000000-0005-0000-0000-0000B0650000}"/>
    <cellStyle name="Hed Top - SECTION 2 6 10 2" xfId="24097" xr:uid="{00000000-0005-0000-0000-0000B1650000}"/>
    <cellStyle name="Hed Top - SECTION 2 6 10 2 2" xfId="24098" xr:uid="{00000000-0005-0000-0000-0000B2650000}"/>
    <cellStyle name="Hed Top - SECTION 2 6 10 3" xfId="24099" xr:uid="{00000000-0005-0000-0000-0000B3650000}"/>
    <cellStyle name="Hed Top - SECTION 2 6 10 3 2" xfId="24100" xr:uid="{00000000-0005-0000-0000-0000B4650000}"/>
    <cellStyle name="Hed Top - SECTION 2 6 10 4" xfId="24101" xr:uid="{00000000-0005-0000-0000-0000B5650000}"/>
    <cellStyle name="Hed Top - SECTION 2 6 10 4 2" xfId="24102" xr:uid="{00000000-0005-0000-0000-0000B6650000}"/>
    <cellStyle name="Hed Top - SECTION 2 6 10 5" xfId="24103" xr:uid="{00000000-0005-0000-0000-0000B7650000}"/>
    <cellStyle name="Hed Top - SECTION 2 6 10 5 2" xfId="24104" xr:uid="{00000000-0005-0000-0000-0000B8650000}"/>
    <cellStyle name="Hed Top - SECTION 2 6 10 6" xfId="24105" xr:uid="{00000000-0005-0000-0000-0000B9650000}"/>
    <cellStyle name="Hed Top - SECTION 2 6 10 6 2" xfId="24106" xr:uid="{00000000-0005-0000-0000-0000BA650000}"/>
    <cellStyle name="Hed Top - SECTION 2 6 10 7" xfId="24107" xr:uid="{00000000-0005-0000-0000-0000BB650000}"/>
    <cellStyle name="Hed Top - SECTION 2 6 10 7 2" xfId="24108" xr:uid="{00000000-0005-0000-0000-0000BC650000}"/>
    <cellStyle name="Hed Top - SECTION 2 6 10 8" xfId="24109" xr:uid="{00000000-0005-0000-0000-0000BD650000}"/>
    <cellStyle name="Hed Top - SECTION 2 6 10 8 2" xfId="24110" xr:uid="{00000000-0005-0000-0000-0000BE650000}"/>
    <cellStyle name="Hed Top - SECTION 2 6 10 9" xfId="24111" xr:uid="{00000000-0005-0000-0000-0000BF650000}"/>
    <cellStyle name="Hed Top - SECTION 2 6 11" xfId="24112" xr:uid="{00000000-0005-0000-0000-0000C0650000}"/>
    <cellStyle name="Hed Top - SECTION 2 6 11 2" xfId="24113" xr:uid="{00000000-0005-0000-0000-0000C1650000}"/>
    <cellStyle name="Hed Top - SECTION 2 6 12" xfId="24114" xr:uid="{00000000-0005-0000-0000-0000C2650000}"/>
    <cellStyle name="Hed Top - SECTION 2 6 12 2" xfId="24115" xr:uid="{00000000-0005-0000-0000-0000C3650000}"/>
    <cellStyle name="Hed Top - SECTION 2 6 13" xfId="24116" xr:uid="{00000000-0005-0000-0000-0000C4650000}"/>
    <cellStyle name="Hed Top - SECTION 2 6 13 2" xfId="24117" xr:uid="{00000000-0005-0000-0000-0000C5650000}"/>
    <cellStyle name="Hed Top - SECTION 2 6 14" xfId="24118" xr:uid="{00000000-0005-0000-0000-0000C6650000}"/>
    <cellStyle name="Hed Top - SECTION 2 6 14 2" xfId="24119" xr:uid="{00000000-0005-0000-0000-0000C7650000}"/>
    <cellStyle name="Hed Top - SECTION 2 6 15" xfId="24120" xr:uid="{00000000-0005-0000-0000-0000C8650000}"/>
    <cellStyle name="Hed Top - SECTION 2 6 15 2" xfId="24121" xr:uid="{00000000-0005-0000-0000-0000C9650000}"/>
    <cellStyle name="Hed Top - SECTION 2 6 16" xfId="24122" xr:uid="{00000000-0005-0000-0000-0000CA650000}"/>
    <cellStyle name="Hed Top - SECTION 2 6 16 2" xfId="24123" xr:uid="{00000000-0005-0000-0000-0000CB650000}"/>
    <cellStyle name="Hed Top - SECTION 2 6 17" xfId="24124" xr:uid="{00000000-0005-0000-0000-0000CC650000}"/>
    <cellStyle name="Hed Top - SECTION 2 6 17 2" xfId="24125" xr:uid="{00000000-0005-0000-0000-0000CD650000}"/>
    <cellStyle name="Hed Top - SECTION 2 6 18" xfId="24126" xr:uid="{00000000-0005-0000-0000-0000CE650000}"/>
    <cellStyle name="Hed Top - SECTION 2 6 2" xfId="24127" xr:uid="{00000000-0005-0000-0000-0000CF650000}"/>
    <cellStyle name="Hed Top - SECTION 2 6 2 10" xfId="24128" xr:uid="{00000000-0005-0000-0000-0000D0650000}"/>
    <cellStyle name="Hed Top - SECTION 2 6 2 2" xfId="24129" xr:uid="{00000000-0005-0000-0000-0000D1650000}"/>
    <cellStyle name="Hed Top - SECTION 2 6 2 2 2" xfId="24130" xr:uid="{00000000-0005-0000-0000-0000D2650000}"/>
    <cellStyle name="Hed Top - SECTION 2 6 2 3" xfId="24131" xr:uid="{00000000-0005-0000-0000-0000D3650000}"/>
    <cellStyle name="Hed Top - SECTION 2 6 2 3 2" xfId="24132" xr:uid="{00000000-0005-0000-0000-0000D4650000}"/>
    <cellStyle name="Hed Top - SECTION 2 6 2 4" xfId="24133" xr:uid="{00000000-0005-0000-0000-0000D5650000}"/>
    <cellStyle name="Hed Top - SECTION 2 6 2 4 2" xfId="24134" xr:uid="{00000000-0005-0000-0000-0000D6650000}"/>
    <cellStyle name="Hed Top - SECTION 2 6 2 5" xfId="24135" xr:uid="{00000000-0005-0000-0000-0000D7650000}"/>
    <cellStyle name="Hed Top - SECTION 2 6 2 5 2" xfId="24136" xr:uid="{00000000-0005-0000-0000-0000D8650000}"/>
    <cellStyle name="Hed Top - SECTION 2 6 2 6" xfId="24137" xr:uid="{00000000-0005-0000-0000-0000D9650000}"/>
    <cellStyle name="Hed Top - SECTION 2 6 2 6 2" xfId="24138" xr:uid="{00000000-0005-0000-0000-0000DA650000}"/>
    <cellStyle name="Hed Top - SECTION 2 6 2 7" xfId="24139" xr:uid="{00000000-0005-0000-0000-0000DB650000}"/>
    <cellStyle name="Hed Top - SECTION 2 6 2 7 2" xfId="24140" xr:uid="{00000000-0005-0000-0000-0000DC650000}"/>
    <cellStyle name="Hed Top - SECTION 2 6 2 8" xfId="24141" xr:uid="{00000000-0005-0000-0000-0000DD650000}"/>
    <cellStyle name="Hed Top - SECTION 2 6 2 8 2" xfId="24142" xr:uid="{00000000-0005-0000-0000-0000DE650000}"/>
    <cellStyle name="Hed Top - SECTION 2 6 2 9" xfId="24143" xr:uid="{00000000-0005-0000-0000-0000DF650000}"/>
    <cellStyle name="Hed Top - SECTION 2 6 2 9 2" xfId="24144" xr:uid="{00000000-0005-0000-0000-0000E0650000}"/>
    <cellStyle name="Hed Top - SECTION 2 6 3" xfId="24145" xr:uid="{00000000-0005-0000-0000-0000E1650000}"/>
    <cellStyle name="Hed Top - SECTION 2 6 3 10" xfId="24146" xr:uid="{00000000-0005-0000-0000-0000E2650000}"/>
    <cellStyle name="Hed Top - SECTION 2 6 3 2" xfId="24147" xr:uid="{00000000-0005-0000-0000-0000E3650000}"/>
    <cellStyle name="Hed Top - SECTION 2 6 3 2 2" xfId="24148" xr:uid="{00000000-0005-0000-0000-0000E4650000}"/>
    <cellStyle name="Hed Top - SECTION 2 6 3 3" xfId="24149" xr:uid="{00000000-0005-0000-0000-0000E5650000}"/>
    <cellStyle name="Hed Top - SECTION 2 6 3 3 2" xfId="24150" xr:uid="{00000000-0005-0000-0000-0000E6650000}"/>
    <cellStyle name="Hed Top - SECTION 2 6 3 4" xfId="24151" xr:uid="{00000000-0005-0000-0000-0000E7650000}"/>
    <cellStyle name="Hed Top - SECTION 2 6 3 4 2" xfId="24152" xr:uid="{00000000-0005-0000-0000-0000E8650000}"/>
    <cellStyle name="Hed Top - SECTION 2 6 3 5" xfId="24153" xr:uid="{00000000-0005-0000-0000-0000E9650000}"/>
    <cellStyle name="Hed Top - SECTION 2 6 3 5 2" xfId="24154" xr:uid="{00000000-0005-0000-0000-0000EA650000}"/>
    <cellStyle name="Hed Top - SECTION 2 6 3 6" xfId="24155" xr:uid="{00000000-0005-0000-0000-0000EB650000}"/>
    <cellStyle name="Hed Top - SECTION 2 6 3 6 2" xfId="24156" xr:uid="{00000000-0005-0000-0000-0000EC650000}"/>
    <cellStyle name="Hed Top - SECTION 2 6 3 7" xfId="24157" xr:uid="{00000000-0005-0000-0000-0000ED650000}"/>
    <cellStyle name="Hed Top - SECTION 2 6 3 7 2" xfId="24158" xr:uid="{00000000-0005-0000-0000-0000EE650000}"/>
    <cellStyle name="Hed Top - SECTION 2 6 3 8" xfId="24159" xr:uid="{00000000-0005-0000-0000-0000EF650000}"/>
    <cellStyle name="Hed Top - SECTION 2 6 3 8 2" xfId="24160" xr:uid="{00000000-0005-0000-0000-0000F0650000}"/>
    <cellStyle name="Hed Top - SECTION 2 6 3 9" xfId="24161" xr:uid="{00000000-0005-0000-0000-0000F1650000}"/>
    <cellStyle name="Hed Top - SECTION 2 6 3 9 2" xfId="24162" xr:uid="{00000000-0005-0000-0000-0000F2650000}"/>
    <cellStyle name="Hed Top - SECTION 2 6 4" xfId="24163" xr:uid="{00000000-0005-0000-0000-0000F3650000}"/>
    <cellStyle name="Hed Top - SECTION 2 6 4 10" xfId="24164" xr:uid="{00000000-0005-0000-0000-0000F4650000}"/>
    <cellStyle name="Hed Top - SECTION 2 6 4 2" xfId="24165" xr:uid="{00000000-0005-0000-0000-0000F5650000}"/>
    <cellStyle name="Hed Top - SECTION 2 6 4 2 2" xfId="24166" xr:uid="{00000000-0005-0000-0000-0000F6650000}"/>
    <cellStyle name="Hed Top - SECTION 2 6 4 3" xfId="24167" xr:uid="{00000000-0005-0000-0000-0000F7650000}"/>
    <cellStyle name="Hed Top - SECTION 2 6 4 3 2" xfId="24168" xr:uid="{00000000-0005-0000-0000-0000F8650000}"/>
    <cellStyle name="Hed Top - SECTION 2 6 4 4" xfId="24169" xr:uid="{00000000-0005-0000-0000-0000F9650000}"/>
    <cellStyle name="Hed Top - SECTION 2 6 4 4 2" xfId="24170" xr:uid="{00000000-0005-0000-0000-0000FA650000}"/>
    <cellStyle name="Hed Top - SECTION 2 6 4 5" xfId="24171" xr:uid="{00000000-0005-0000-0000-0000FB650000}"/>
    <cellStyle name="Hed Top - SECTION 2 6 4 5 2" xfId="24172" xr:uid="{00000000-0005-0000-0000-0000FC650000}"/>
    <cellStyle name="Hed Top - SECTION 2 6 4 6" xfId="24173" xr:uid="{00000000-0005-0000-0000-0000FD650000}"/>
    <cellStyle name="Hed Top - SECTION 2 6 4 6 2" xfId="24174" xr:uid="{00000000-0005-0000-0000-0000FE650000}"/>
    <cellStyle name="Hed Top - SECTION 2 6 4 7" xfId="24175" xr:uid="{00000000-0005-0000-0000-0000FF650000}"/>
    <cellStyle name="Hed Top - SECTION 2 6 4 7 2" xfId="24176" xr:uid="{00000000-0005-0000-0000-000000660000}"/>
    <cellStyle name="Hed Top - SECTION 2 6 4 8" xfId="24177" xr:uid="{00000000-0005-0000-0000-000001660000}"/>
    <cellStyle name="Hed Top - SECTION 2 6 4 8 2" xfId="24178" xr:uid="{00000000-0005-0000-0000-000002660000}"/>
    <cellStyle name="Hed Top - SECTION 2 6 4 9" xfId="24179" xr:uid="{00000000-0005-0000-0000-000003660000}"/>
    <cellStyle name="Hed Top - SECTION 2 6 4 9 2" xfId="24180" xr:uid="{00000000-0005-0000-0000-000004660000}"/>
    <cellStyle name="Hed Top - SECTION 2 6 5" xfId="24181" xr:uid="{00000000-0005-0000-0000-000005660000}"/>
    <cellStyle name="Hed Top - SECTION 2 6 5 10" xfId="24182" xr:uid="{00000000-0005-0000-0000-000006660000}"/>
    <cellStyle name="Hed Top - SECTION 2 6 5 2" xfId="24183" xr:uid="{00000000-0005-0000-0000-000007660000}"/>
    <cellStyle name="Hed Top - SECTION 2 6 5 2 2" xfId="24184" xr:uid="{00000000-0005-0000-0000-000008660000}"/>
    <cellStyle name="Hed Top - SECTION 2 6 5 3" xfId="24185" xr:uid="{00000000-0005-0000-0000-000009660000}"/>
    <cellStyle name="Hed Top - SECTION 2 6 5 3 2" xfId="24186" xr:uid="{00000000-0005-0000-0000-00000A660000}"/>
    <cellStyle name="Hed Top - SECTION 2 6 5 4" xfId="24187" xr:uid="{00000000-0005-0000-0000-00000B660000}"/>
    <cellStyle name="Hed Top - SECTION 2 6 5 4 2" xfId="24188" xr:uid="{00000000-0005-0000-0000-00000C660000}"/>
    <cellStyle name="Hed Top - SECTION 2 6 5 5" xfId="24189" xr:uid="{00000000-0005-0000-0000-00000D660000}"/>
    <cellStyle name="Hed Top - SECTION 2 6 5 5 2" xfId="24190" xr:uid="{00000000-0005-0000-0000-00000E660000}"/>
    <cellStyle name="Hed Top - SECTION 2 6 5 6" xfId="24191" xr:uid="{00000000-0005-0000-0000-00000F660000}"/>
    <cellStyle name="Hed Top - SECTION 2 6 5 6 2" xfId="24192" xr:uid="{00000000-0005-0000-0000-000010660000}"/>
    <cellStyle name="Hed Top - SECTION 2 6 5 7" xfId="24193" xr:uid="{00000000-0005-0000-0000-000011660000}"/>
    <cellStyle name="Hed Top - SECTION 2 6 5 7 2" xfId="24194" xr:uid="{00000000-0005-0000-0000-000012660000}"/>
    <cellStyle name="Hed Top - SECTION 2 6 5 8" xfId="24195" xr:uid="{00000000-0005-0000-0000-000013660000}"/>
    <cellStyle name="Hed Top - SECTION 2 6 5 8 2" xfId="24196" xr:uid="{00000000-0005-0000-0000-000014660000}"/>
    <cellStyle name="Hed Top - SECTION 2 6 5 9" xfId="24197" xr:uid="{00000000-0005-0000-0000-000015660000}"/>
    <cellStyle name="Hed Top - SECTION 2 6 5 9 2" xfId="24198" xr:uid="{00000000-0005-0000-0000-000016660000}"/>
    <cellStyle name="Hed Top - SECTION 2 6 6" xfId="24199" xr:uid="{00000000-0005-0000-0000-000017660000}"/>
    <cellStyle name="Hed Top - SECTION 2 6 6 10" xfId="24200" xr:uid="{00000000-0005-0000-0000-000018660000}"/>
    <cellStyle name="Hed Top - SECTION 2 6 6 2" xfId="24201" xr:uid="{00000000-0005-0000-0000-000019660000}"/>
    <cellStyle name="Hed Top - SECTION 2 6 6 2 2" xfId="24202" xr:uid="{00000000-0005-0000-0000-00001A660000}"/>
    <cellStyle name="Hed Top - SECTION 2 6 6 3" xfId="24203" xr:uid="{00000000-0005-0000-0000-00001B660000}"/>
    <cellStyle name="Hed Top - SECTION 2 6 6 3 2" xfId="24204" xr:uid="{00000000-0005-0000-0000-00001C660000}"/>
    <cellStyle name="Hed Top - SECTION 2 6 6 4" xfId="24205" xr:uid="{00000000-0005-0000-0000-00001D660000}"/>
    <cellStyle name="Hed Top - SECTION 2 6 6 4 2" xfId="24206" xr:uid="{00000000-0005-0000-0000-00001E660000}"/>
    <cellStyle name="Hed Top - SECTION 2 6 6 5" xfId="24207" xr:uid="{00000000-0005-0000-0000-00001F660000}"/>
    <cellStyle name="Hed Top - SECTION 2 6 6 5 2" xfId="24208" xr:uid="{00000000-0005-0000-0000-000020660000}"/>
    <cellStyle name="Hed Top - SECTION 2 6 6 6" xfId="24209" xr:uid="{00000000-0005-0000-0000-000021660000}"/>
    <cellStyle name="Hed Top - SECTION 2 6 6 6 2" xfId="24210" xr:uid="{00000000-0005-0000-0000-000022660000}"/>
    <cellStyle name="Hed Top - SECTION 2 6 6 7" xfId="24211" xr:uid="{00000000-0005-0000-0000-000023660000}"/>
    <cellStyle name="Hed Top - SECTION 2 6 6 7 2" xfId="24212" xr:uid="{00000000-0005-0000-0000-000024660000}"/>
    <cellStyle name="Hed Top - SECTION 2 6 6 8" xfId="24213" xr:uid="{00000000-0005-0000-0000-000025660000}"/>
    <cellStyle name="Hed Top - SECTION 2 6 6 8 2" xfId="24214" xr:uid="{00000000-0005-0000-0000-000026660000}"/>
    <cellStyle name="Hed Top - SECTION 2 6 6 9" xfId="24215" xr:uid="{00000000-0005-0000-0000-000027660000}"/>
    <cellStyle name="Hed Top - SECTION 2 6 6 9 2" xfId="24216" xr:uid="{00000000-0005-0000-0000-000028660000}"/>
    <cellStyle name="Hed Top - SECTION 2 6 7" xfId="24217" xr:uid="{00000000-0005-0000-0000-000029660000}"/>
    <cellStyle name="Hed Top - SECTION 2 6 7 10" xfId="24218" xr:uid="{00000000-0005-0000-0000-00002A660000}"/>
    <cellStyle name="Hed Top - SECTION 2 6 7 2" xfId="24219" xr:uid="{00000000-0005-0000-0000-00002B660000}"/>
    <cellStyle name="Hed Top - SECTION 2 6 7 2 2" xfId="24220" xr:uid="{00000000-0005-0000-0000-00002C660000}"/>
    <cellStyle name="Hed Top - SECTION 2 6 7 3" xfId="24221" xr:uid="{00000000-0005-0000-0000-00002D660000}"/>
    <cellStyle name="Hed Top - SECTION 2 6 7 3 2" xfId="24222" xr:uid="{00000000-0005-0000-0000-00002E660000}"/>
    <cellStyle name="Hed Top - SECTION 2 6 7 4" xfId="24223" xr:uid="{00000000-0005-0000-0000-00002F660000}"/>
    <cellStyle name="Hed Top - SECTION 2 6 7 4 2" xfId="24224" xr:uid="{00000000-0005-0000-0000-000030660000}"/>
    <cellStyle name="Hed Top - SECTION 2 6 7 5" xfId="24225" xr:uid="{00000000-0005-0000-0000-000031660000}"/>
    <cellStyle name="Hed Top - SECTION 2 6 7 5 2" xfId="24226" xr:uid="{00000000-0005-0000-0000-000032660000}"/>
    <cellStyle name="Hed Top - SECTION 2 6 7 6" xfId="24227" xr:uid="{00000000-0005-0000-0000-000033660000}"/>
    <cellStyle name="Hed Top - SECTION 2 6 7 6 2" xfId="24228" xr:uid="{00000000-0005-0000-0000-000034660000}"/>
    <cellStyle name="Hed Top - SECTION 2 6 7 7" xfId="24229" xr:uid="{00000000-0005-0000-0000-000035660000}"/>
    <cellStyle name="Hed Top - SECTION 2 6 7 7 2" xfId="24230" xr:uid="{00000000-0005-0000-0000-000036660000}"/>
    <cellStyle name="Hed Top - SECTION 2 6 7 8" xfId="24231" xr:uid="{00000000-0005-0000-0000-000037660000}"/>
    <cellStyle name="Hed Top - SECTION 2 6 7 8 2" xfId="24232" xr:uid="{00000000-0005-0000-0000-000038660000}"/>
    <cellStyle name="Hed Top - SECTION 2 6 7 9" xfId="24233" xr:uid="{00000000-0005-0000-0000-000039660000}"/>
    <cellStyle name="Hed Top - SECTION 2 6 7 9 2" xfId="24234" xr:uid="{00000000-0005-0000-0000-00003A660000}"/>
    <cellStyle name="Hed Top - SECTION 2 6 8" xfId="24235" xr:uid="{00000000-0005-0000-0000-00003B660000}"/>
    <cellStyle name="Hed Top - SECTION 2 6 8 10" xfId="24236" xr:uid="{00000000-0005-0000-0000-00003C660000}"/>
    <cellStyle name="Hed Top - SECTION 2 6 8 2" xfId="24237" xr:uid="{00000000-0005-0000-0000-00003D660000}"/>
    <cellStyle name="Hed Top - SECTION 2 6 8 2 2" xfId="24238" xr:uid="{00000000-0005-0000-0000-00003E660000}"/>
    <cellStyle name="Hed Top - SECTION 2 6 8 3" xfId="24239" xr:uid="{00000000-0005-0000-0000-00003F660000}"/>
    <cellStyle name="Hed Top - SECTION 2 6 8 3 2" xfId="24240" xr:uid="{00000000-0005-0000-0000-000040660000}"/>
    <cellStyle name="Hed Top - SECTION 2 6 8 4" xfId="24241" xr:uid="{00000000-0005-0000-0000-000041660000}"/>
    <cellStyle name="Hed Top - SECTION 2 6 8 4 2" xfId="24242" xr:uid="{00000000-0005-0000-0000-000042660000}"/>
    <cellStyle name="Hed Top - SECTION 2 6 8 5" xfId="24243" xr:uid="{00000000-0005-0000-0000-000043660000}"/>
    <cellStyle name="Hed Top - SECTION 2 6 8 5 2" xfId="24244" xr:uid="{00000000-0005-0000-0000-000044660000}"/>
    <cellStyle name="Hed Top - SECTION 2 6 8 6" xfId="24245" xr:uid="{00000000-0005-0000-0000-000045660000}"/>
    <cellStyle name="Hed Top - SECTION 2 6 8 6 2" xfId="24246" xr:uid="{00000000-0005-0000-0000-000046660000}"/>
    <cellStyle name="Hed Top - SECTION 2 6 8 7" xfId="24247" xr:uid="{00000000-0005-0000-0000-000047660000}"/>
    <cellStyle name="Hed Top - SECTION 2 6 8 7 2" xfId="24248" xr:uid="{00000000-0005-0000-0000-000048660000}"/>
    <cellStyle name="Hed Top - SECTION 2 6 8 8" xfId="24249" xr:uid="{00000000-0005-0000-0000-000049660000}"/>
    <cellStyle name="Hed Top - SECTION 2 6 8 8 2" xfId="24250" xr:uid="{00000000-0005-0000-0000-00004A660000}"/>
    <cellStyle name="Hed Top - SECTION 2 6 8 9" xfId="24251" xr:uid="{00000000-0005-0000-0000-00004B660000}"/>
    <cellStyle name="Hed Top - SECTION 2 6 8 9 2" xfId="24252" xr:uid="{00000000-0005-0000-0000-00004C660000}"/>
    <cellStyle name="Hed Top - SECTION 2 6 9" xfId="24253" xr:uid="{00000000-0005-0000-0000-00004D660000}"/>
    <cellStyle name="Hed Top - SECTION 2 6 9 10" xfId="24254" xr:uid="{00000000-0005-0000-0000-00004E660000}"/>
    <cellStyle name="Hed Top - SECTION 2 6 9 2" xfId="24255" xr:uid="{00000000-0005-0000-0000-00004F660000}"/>
    <cellStyle name="Hed Top - SECTION 2 6 9 2 2" xfId="24256" xr:uid="{00000000-0005-0000-0000-000050660000}"/>
    <cellStyle name="Hed Top - SECTION 2 6 9 3" xfId="24257" xr:uid="{00000000-0005-0000-0000-000051660000}"/>
    <cellStyle name="Hed Top - SECTION 2 6 9 3 2" xfId="24258" xr:uid="{00000000-0005-0000-0000-000052660000}"/>
    <cellStyle name="Hed Top - SECTION 2 6 9 4" xfId="24259" xr:uid="{00000000-0005-0000-0000-000053660000}"/>
    <cellStyle name="Hed Top - SECTION 2 6 9 4 2" xfId="24260" xr:uid="{00000000-0005-0000-0000-000054660000}"/>
    <cellStyle name="Hed Top - SECTION 2 6 9 5" xfId="24261" xr:uid="{00000000-0005-0000-0000-000055660000}"/>
    <cellStyle name="Hed Top - SECTION 2 6 9 5 2" xfId="24262" xr:uid="{00000000-0005-0000-0000-000056660000}"/>
    <cellStyle name="Hed Top - SECTION 2 6 9 6" xfId="24263" xr:uid="{00000000-0005-0000-0000-000057660000}"/>
    <cellStyle name="Hed Top - SECTION 2 6 9 6 2" xfId="24264" xr:uid="{00000000-0005-0000-0000-000058660000}"/>
    <cellStyle name="Hed Top - SECTION 2 6 9 7" xfId="24265" xr:uid="{00000000-0005-0000-0000-000059660000}"/>
    <cellStyle name="Hed Top - SECTION 2 6 9 7 2" xfId="24266" xr:uid="{00000000-0005-0000-0000-00005A660000}"/>
    <cellStyle name="Hed Top - SECTION 2 6 9 8" xfId="24267" xr:uid="{00000000-0005-0000-0000-00005B660000}"/>
    <cellStyle name="Hed Top - SECTION 2 6 9 8 2" xfId="24268" xr:uid="{00000000-0005-0000-0000-00005C660000}"/>
    <cellStyle name="Hed Top - SECTION 2 6 9 9" xfId="24269" xr:uid="{00000000-0005-0000-0000-00005D660000}"/>
    <cellStyle name="Hed Top - SECTION 2 6 9 9 2" xfId="24270" xr:uid="{00000000-0005-0000-0000-00005E660000}"/>
    <cellStyle name="Hed Top - SECTION 2 7" xfId="24271" xr:uid="{00000000-0005-0000-0000-00005F660000}"/>
    <cellStyle name="Hed Top - SECTION 2 7 10" xfId="24272" xr:uid="{00000000-0005-0000-0000-000060660000}"/>
    <cellStyle name="Hed Top - SECTION 2 7 10 2" xfId="24273" xr:uid="{00000000-0005-0000-0000-000061660000}"/>
    <cellStyle name="Hed Top - SECTION 2 7 10 2 2" xfId="24274" xr:uid="{00000000-0005-0000-0000-000062660000}"/>
    <cellStyle name="Hed Top - SECTION 2 7 10 3" xfId="24275" xr:uid="{00000000-0005-0000-0000-000063660000}"/>
    <cellStyle name="Hed Top - SECTION 2 7 10 3 2" xfId="24276" xr:uid="{00000000-0005-0000-0000-000064660000}"/>
    <cellStyle name="Hed Top - SECTION 2 7 10 4" xfId="24277" xr:uid="{00000000-0005-0000-0000-000065660000}"/>
    <cellStyle name="Hed Top - SECTION 2 7 10 4 2" xfId="24278" xr:uid="{00000000-0005-0000-0000-000066660000}"/>
    <cellStyle name="Hed Top - SECTION 2 7 10 5" xfId="24279" xr:uid="{00000000-0005-0000-0000-000067660000}"/>
    <cellStyle name="Hed Top - SECTION 2 7 10 5 2" xfId="24280" xr:uid="{00000000-0005-0000-0000-000068660000}"/>
    <cellStyle name="Hed Top - SECTION 2 7 10 6" xfId="24281" xr:uid="{00000000-0005-0000-0000-000069660000}"/>
    <cellStyle name="Hed Top - SECTION 2 7 10 6 2" xfId="24282" xr:uid="{00000000-0005-0000-0000-00006A660000}"/>
    <cellStyle name="Hed Top - SECTION 2 7 10 7" xfId="24283" xr:uid="{00000000-0005-0000-0000-00006B660000}"/>
    <cellStyle name="Hed Top - SECTION 2 7 10 7 2" xfId="24284" xr:uid="{00000000-0005-0000-0000-00006C660000}"/>
    <cellStyle name="Hed Top - SECTION 2 7 10 8" xfId="24285" xr:uid="{00000000-0005-0000-0000-00006D660000}"/>
    <cellStyle name="Hed Top - SECTION 2 7 10 8 2" xfId="24286" xr:uid="{00000000-0005-0000-0000-00006E660000}"/>
    <cellStyle name="Hed Top - SECTION 2 7 10 9" xfId="24287" xr:uid="{00000000-0005-0000-0000-00006F660000}"/>
    <cellStyle name="Hed Top - SECTION 2 7 11" xfId="24288" xr:uid="{00000000-0005-0000-0000-000070660000}"/>
    <cellStyle name="Hed Top - SECTION 2 7 11 2" xfId="24289" xr:uid="{00000000-0005-0000-0000-000071660000}"/>
    <cellStyle name="Hed Top - SECTION 2 7 12" xfId="24290" xr:uid="{00000000-0005-0000-0000-000072660000}"/>
    <cellStyle name="Hed Top - SECTION 2 7 12 2" xfId="24291" xr:uid="{00000000-0005-0000-0000-000073660000}"/>
    <cellStyle name="Hed Top - SECTION 2 7 13" xfId="24292" xr:uid="{00000000-0005-0000-0000-000074660000}"/>
    <cellStyle name="Hed Top - SECTION 2 7 13 2" xfId="24293" xr:uid="{00000000-0005-0000-0000-000075660000}"/>
    <cellStyle name="Hed Top - SECTION 2 7 14" xfId="24294" xr:uid="{00000000-0005-0000-0000-000076660000}"/>
    <cellStyle name="Hed Top - SECTION 2 7 14 2" xfId="24295" xr:uid="{00000000-0005-0000-0000-000077660000}"/>
    <cellStyle name="Hed Top - SECTION 2 7 15" xfId="24296" xr:uid="{00000000-0005-0000-0000-000078660000}"/>
    <cellStyle name="Hed Top - SECTION 2 7 15 2" xfId="24297" xr:uid="{00000000-0005-0000-0000-000079660000}"/>
    <cellStyle name="Hed Top - SECTION 2 7 16" xfId="24298" xr:uid="{00000000-0005-0000-0000-00007A660000}"/>
    <cellStyle name="Hed Top - SECTION 2 7 16 2" xfId="24299" xr:uid="{00000000-0005-0000-0000-00007B660000}"/>
    <cellStyle name="Hed Top - SECTION 2 7 17" xfId="24300" xr:uid="{00000000-0005-0000-0000-00007C660000}"/>
    <cellStyle name="Hed Top - SECTION 2 7 17 2" xfId="24301" xr:uid="{00000000-0005-0000-0000-00007D660000}"/>
    <cellStyle name="Hed Top - SECTION 2 7 18" xfId="24302" xr:uid="{00000000-0005-0000-0000-00007E660000}"/>
    <cellStyle name="Hed Top - SECTION 2 7 2" xfId="24303" xr:uid="{00000000-0005-0000-0000-00007F660000}"/>
    <cellStyle name="Hed Top - SECTION 2 7 2 10" xfId="24304" xr:uid="{00000000-0005-0000-0000-000080660000}"/>
    <cellStyle name="Hed Top - SECTION 2 7 2 2" xfId="24305" xr:uid="{00000000-0005-0000-0000-000081660000}"/>
    <cellStyle name="Hed Top - SECTION 2 7 2 2 2" xfId="24306" xr:uid="{00000000-0005-0000-0000-000082660000}"/>
    <cellStyle name="Hed Top - SECTION 2 7 2 3" xfId="24307" xr:uid="{00000000-0005-0000-0000-000083660000}"/>
    <cellStyle name="Hed Top - SECTION 2 7 2 3 2" xfId="24308" xr:uid="{00000000-0005-0000-0000-000084660000}"/>
    <cellStyle name="Hed Top - SECTION 2 7 2 4" xfId="24309" xr:uid="{00000000-0005-0000-0000-000085660000}"/>
    <cellStyle name="Hed Top - SECTION 2 7 2 4 2" xfId="24310" xr:uid="{00000000-0005-0000-0000-000086660000}"/>
    <cellStyle name="Hed Top - SECTION 2 7 2 5" xfId="24311" xr:uid="{00000000-0005-0000-0000-000087660000}"/>
    <cellStyle name="Hed Top - SECTION 2 7 2 5 2" xfId="24312" xr:uid="{00000000-0005-0000-0000-000088660000}"/>
    <cellStyle name="Hed Top - SECTION 2 7 2 6" xfId="24313" xr:uid="{00000000-0005-0000-0000-000089660000}"/>
    <cellStyle name="Hed Top - SECTION 2 7 2 6 2" xfId="24314" xr:uid="{00000000-0005-0000-0000-00008A660000}"/>
    <cellStyle name="Hed Top - SECTION 2 7 2 7" xfId="24315" xr:uid="{00000000-0005-0000-0000-00008B660000}"/>
    <cellStyle name="Hed Top - SECTION 2 7 2 7 2" xfId="24316" xr:uid="{00000000-0005-0000-0000-00008C660000}"/>
    <cellStyle name="Hed Top - SECTION 2 7 2 8" xfId="24317" xr:uid="{00000000-0005-0000-0000-00008D660000}"/>
    <cellStyle name="Hed Top - SECTION 2 7 2 8 2" xfId="24318" xr:uid="{00000000-0005-0000-0000-00008E660000}"/>
    <cellStyle name="Hed Top - SECTION 2 7 2 9" xfId="24319" xr:uid="{00000000-0005-0000-0000-00008F660000}"/>
    <cellStyle name="Hed Top - SECTION 2 7 2 9 2" xfId="24320" xr:uid="{00000000-0005-0000-0000-000090660000}"/>
    <cellStyle name="Hed Top - SECTION 2 7 3" xfId="24321" xr:uid="{00000000-0005-0000-0000-000091660000}"/>
    <cellStyle name="Hed Top - SECTION 2 7 3 10" xfId="24322" xr:uid="{00000000-0005-0000-0000-000092660000}"/>
    <cellStyle name="Hed Top - SECTION 2 7 3 2" xfId="24323" xr:uid="{00000000-0005-0000-0000-000093660000}"/>
    <cellStyle name="Hed Top - SECTION 2 7 3 2 2" xfId="24324" xr:uid="{00000000-0005-0000-0000-000094660000}"/>
    <cellStyle name="Hed Top - SECTION 2 7 3 3" xfId="24325" xr:uid="{00000000-0005-0000-0000-000095660000}"/>
    <cellStyle name="Hed Top - SECTION 2 7 3 3 2" xfId="24326" xr:uid="{00000000-0005-0000-0000-000096660000}"/>
    <cellStyle name="Hed Top - SECTION 2 7 3 4" xfId="24327" xr:uid="{00000000-0005-0000-0000-000097660000}"/>
    <cellStyle name="Hed Top - SECTION 2 7 3 4 2" xfId="24328" xr:uid="{00000000-0005-0000-0000-000098660000}"/>
    <cellStyle name="Hed Top - SECTION 2 7 3 5" xfId="24329" xr:uid="{00000000-0005-0000-0000-000099660000}"/>
    <cellStyle name="Hed Top - SECTION 2 7 3 5 2" xfId="24330" xr:uid="{00000000-0005-0000-0000-00009A660000}"/>
    <cellStyle name="Hed Top - SECTION 2 7 3 6" xfId="24331" xr:uid="{00000000-0005-0000-0000-00009B660000}"/>
    <cellStyle name="Hed Top - SECTION 2 7 3 6 2" xfId="24332" xr:uid="{00000000-0005-0000-0000-00009C660000}"/>
    <cellStyle name="Hed Top - SECTION 2 7 3 7" xfId="24333" xr:uid="{00000000-0005-0000-0000-00009D660000}"/>
    <cellStyle name="Hed Top - SECTION 2 7 3 7 2" xfId="24334" xr:uid="{00000000-0005-0000-0000-00009E660000}"/>
    <cellStyle name="Hed Top - SECTION 2 7 3 8" xfId="24335" xr:uid="{00000000-0005-0000-0000-00009F660000}"/>
    <cellStyle name="Hed Top - SECTION 2 7 3 8 2" xfId="24336" xr:uid="{00000000-0005-0000-0000-0000A0660000}"/>
    <cellStyle name="Hed Top - SECTION 2 7 3 9" xfId="24337" xr:uid="{00000000-0005-0000-0000-0000A1660000}"/>
    <cellStyle name="Hed Top - SECTION 2 7 3 9 2" xfId="24338" xr:uid="{00000000-0005-0000-0000-0000A2660000}"/>
    <cellStyle name="Hed Top - SECTION 2 7 4" xfId="24339" xr:uid="{00000000-0005-0000-0000-0000A3660000}"/>
    <cellStyle name="Hed Top - SECTION 2 7 4 10" xfId="24340" xr:uid="{00000000-0005-0000-0000-0000A4660000}"/>
    <cellStyle name="Hed Top - SECTION 2 7 4 2" xfId="24341" xr:uid="{00000000-0005-0000-0000-0000A5660000}"/>
    <cellStyle name="Hed Top - SECTION 2 7 4 2 2" xfId="24342" xr:uid="{00000000-0005-0000-0000-0000A6660000}"/>
    <cellStyle name="Hed Top - SECTION 2 7 4 3" xfId="24343" xr:uid="{00000000-0005-0000-0000-0000A7660000}"/>
    <cellStyle name="Hed Top - SECTION 2 7 4 3 2" xfId="24344" xr:uid="{00000000-0005-0000-0000-0000A8660000}"/>
    <cellStyle name="Hed Top - SECTION 2 7 4 4" xfId="24345" xr:uid="{00000000-0005-0000-0000-0000A9660000}"/>
    <cellStyle name="Hed Top - SECTION 2 7 4 4 2" xfId="24346" xr:uid="{00000000-0005-0000-0000-0000AA660000}"/>
    <cellStyle name="Hed Top - SECTION 2 7 4 5" xfId="24347" xr:uid="{00000000-0005-0000-0000-0000AB660000}"/>
    <cellStyle name="Hed Top - SECTION 2 7 4 5 2" xfId="24348" xr:uid="{00000000-0005-0000-0000-0000AC660000}"/>
    <cellStyle name="Hed Top - SECTION 2 7 4 6" xfId="24349" xr:uid="{00000000-0005-0000-0000-0000AD660000}"/>
    <cellStyle name="Hed Top - SECTION 2 7 4 6 2" xfId="24350" xr:uid="{00000000-0005-0000-0000-0000AE660000}"/>
    <cellStyle name="Hed Top - SECTION 2 7 4 7" xfId="24351" xr:uid="{00000000-0005-0000-0000-0000AF660000}"/>
    <cellStyle name="Hed Top - SECTION 2 7 4 7 2" xfId="24352" xr:uid="{00000000-0005-0000-0000-0000B0660000}"/>
    <cellStyle name="Hed Top - SECTION 2 7 4 8" xfId="24353" xr:uid="{00000000-0005-0000-0000-0000B1660000}"/>
    <cellStyle name="Hed Top - SECTION 2 7 4 8 2" xfId="24354" xr:uid="{00000000-0005-0000-0000-0000B2660000}"/>
    <cellStyle name="Hed Top - SECTION 2 7 4 9" xfId="24355" xr:uid="{00000000-0005-0000-0000-0000B3660000}"/>
    <cellStyle name="Hed Top - SECTION 2 7 4 9 2" xfId="24356" xr:uid="{00000000-0005-0000-0000-0000B4660000}"/>
    <cellStyle name="Hed Top - SECTION 2 7 5" xfId="24357" xr:uid="{00000000-0005-0000-0000-0000B5660000}"/>
    <cellStyle name="Hed Top - SECTION 2 7 5 10" xfId="24358" xr:uid="{00000000-0005-0000-0000-0000B6660000}"/>
    <cellStyle name="Hed Top - SECTION 2 7 5 2" xfId="24359" xr:uid="{00000000-0005-0000-0000-0000B7660000}"/>
    <cellStyle name="Hed Top - SECTION 2 7 5 2 2" xfId="24360" xr:uid="{00000000-0005-0000-0000-0000B8660000}"/>
    <cellStyle name="Hed Top - SECTION 2 7 5 3" xfId="24361" xr:uid="{00000000-0005-0000-0000-0000B9660000}"/>
    <cellStyle name="Hed Top - SECTION 2 7 5 3 2" xfId="24362" xr:uid="{00000000-0005-0000-0000-0000BA660000}"/>
    <cellStyle name="Hed Top - SECTION 2 7 5 4" xfId="24363" xr:uid="{00000000-0005-0000-0000-0000BB660000}"/>
    <cellStyle name="Hed Top - SECTION 2 7 5 4 2" xfId="24364" xr:uid="{00000000-0005-0000-0000-0000BC660000}"/>
    <cellStyle name="Hed Top - SECTION 2 7 5 5" xfId="24365" xr:uid="{00000000-0005-0000-0000-0000BD660000}"/>
    <cellStyle name="Hed Top - SECTION 2 7 5 5 2" xfId="24366" xr:uid="{00000000-0005-0000-0000-0000BE660000}"/>
    <cellStyle name="Hed Top - SECTION 2 7 5 6" xfId="24367" xr:uid="{00000000-0005-0000-0000-0000BF660000}"/>
    <cellStyle name="Hed Top - SECTION 2 7 5 6 2" xfId="24368" xr:uid="{00000000-0005-0000-0000-0000C0660000}"/>
    <cellStyle name="Hed Top - SECTION 2 7 5 7" xfId="24369" xr:uid="{00000000-0005-0000-0000-0000C1660000}"/>
    <cellStyle name="Hed Top - SECTION 2 7 5 7 2" xfId="24370" xr:uid="{00000000-0005-0000-0000-0000C2660000}"/>
    <cellStyle name="Hed Top - SECTION 2 7 5 8" xfId="24371" xr:uid="{00000000-0005-0000-0000-0000C3660000}"/>
    <cellStyle name="Hed Top - SECTION 2 7 5 8 2" xfId="24372" xr:uid="{00000000-0005-0000-0000-0000C4660000}"/>
    <cellStyle name="Hed Top - SECTION 2 7 5 9" xfId="24373" xr:uid="{00000000-0005-0000-0000-0000C5660000}"/>
    <cellStyle name="Hed Top - SECTION 2 7 5 9 2" xfId="24374" xr:uid="{00000000-0005-0000-0000-0000C6660000}"/>
    <cellStyle name="Hed Top - SECTION 2 7 6" xfId="24375" xr:uid="{00000000-0005-0000-0000-0000C7660000}"/>
    <cellStyle name="Hed Top - SECTION 2 7 6 10" xfId="24376" xr:uid="{00000000-0005-0000-0000-0000C8660000}"/>
    <cellStyle name="Hed Top - SECTION 2 7 6 2" xfId="24377" xr:uid="{00000000-0005-0000-0000-0000C9660000}"/>
    <cellStyle name="Hed Top - SECTION 2 7 6 2 2" xfId="24378" xr:uid="{00000000-0005-0000-0000-0000CA660000}"/>
    <cellStyle name="Hed Top - SECTION 2 7 6 3" xfId="24379" xr:uid="{00000000-0005-0000-0000-0000CB660000}"/>
    <cellStyle name="Hed Top - SECTION 2 7 6 3 2" xfId="24380" xr:uid="{00000000-0005-0000-0000-0000CC660000}"/>
    <cellStyle name="Hed Top - SECTION 2 7 6 4" xfId="24381" xr:uid="{00000000-0005-0000-0000-0000CD660000}"/>
    <cellStyle name="Hed Top - SECTION 2 7 6 4 2" xfId="24382" xr:uid="{00000000-0005-0000-0000-0000CE660000}"/>
    <cellStyle name="Hed Top - SECTION 2 7 6 5" xfId="24383" xr:uid="{00000000-0005-0000-0000-0000CF660000}"/>
    <cellStyle name="Hed Top - SECTION 2 7 6 5 2" xfId="24384" xr:uid="{00000000-0005-0000-0000-0000D0660000}"/>
    <cellStyle name="Hed Top - SECTION 2 7 6 6" xfId="24385" xr:uid="{00000000-0005-0000-0000-0000D1660000}"/>
    <cellStyle name="Hed Top - SECTION 2 7 6 6 2" xfId="24386" xr:uid="{00000000-0005-0000-0000-0000D2660000}"/>
    <cellStyle name="Hed Top - SECTION 2 7 6 7" xfId="24387" xr:uid="{00000000-0005-0000-0000-0000D3660000}"/>
    <cellStyle name="Hed Top - SECTION 2 7 6 7 2" xfId="24388" xr:uid="{00000000-0005-0000-0000-0000D4660000}"/>
    <cellStyle name="Hed Top - SECTION 2 7 6 8" xfId="24389" xr:uid="{00000000-0005-0000-0000-0000D5660000}"/>
    <cellStyle name="Hed Top - SECTION 2 7 6 8 2" xfId="24390" xr:uid="{00000000-0005-0000-0000-0000D6660000}"/>
    <cellStyle name="Hed Top - SECTION 2 7 6 9" xfId="24391" xr:uid="{00000000-0005-0000-0000-0000D7660000}"/>
    <cellStyle name="Hed Top - SECTION 2 7 6 9 2" xfId="24392" xr:uid="{00000000-0005-0000-0000-0000D8660000}"/>
    <cellStyle name="Hed Top - SECTION 2 7 7" xfId="24393" xr:uid="{00000000-0005-0000-0000-0000D9660000}"/>
    <cellStyle name="Hed Top - SECTION 2 7 7 10" xfId="24394" xr:uid="{00000000-0005-0000-0000-0000DA660000}"/>
    <cellStyle name="Hed Top - SECTION 2 7 7 2" xfId="24395" xr:uid="{00000000-0005-0000-0000-0000DB660000}"/>
    <cellStyle name="Hed Top - SECTION 2 7 7 2 2" xfId="24396" xr:uid="{00000000-0005-0000-0000-0000DC660000}"/>
    <cellStyle name="Hed Top - SECTION 2 7 7 3" xfId="24397" xr:uid="{00000000-0005-0000-0000-0000DD660000}"/>
    <cellStyle name="Hed Top - SECTION 2 7 7 3 2" xfId="24398" xr:uid="{00000000-0005-0000-0000-0000DE660000}"/>
    <cellStyle name="Hed Top - SECTION 2 7 7 4" xfId="24399" xr:uid="{00000000-0005-0000-0000-0000DF660000}"/>
    <cellStyle name="Hed Top - SECTION 2 7 7 4 2" xfId="24400" xr:uid="{00000000-0005-0000-0000-0000E0660000}"/>
    <cellStyle name="Hed Top - SECTION 2 7 7 5" xfId="24401" xr:uid="{00000000-0005-0000-0000-0000E1660000}"/>
    <cellStyle name="Hed Top - SECTION 2 7 7 5 2" xfId="24402" xr:uid="{00000000-0005-0000-0000-0000E2660000}"/>
    <cellStyle name="Hed Top - SECTION 2 7 7 6" xfId="24403" xr:uid="{00000000-0005-0000-0000-0000E3660000}"/>
    <cellStyle name="Hed Top - SECTION 2 7 7 6 2" xfId="24404" xr:uid="{00000000-0005-0000-0000-0000E4660000}"/>
    <cellStyle name="Hed Top - SECTION 2 7 7 7" xfId="24405" xr:uid="{00000000-0005-0000-0000-0000E5660000}"/>
    <cellStyle name="Hed Top - SECTION 2 7 7 7 2" xfId="24406" xr:uid="{00000000-0005-0000-0000-0000E6660000}"/>
    <cellStyle name="Hed Top - SECTION 2 7 7 8" xfId="24407" xr:uid="{00000000-0005-0000-0000-0000E7660000}"/>
    <cellStyle name="Hed Top - SECTION 2 7 7 8 2" xfId="24408" xr:uid="{00000000-0005-0000-0000-0000E8660000}"/>
    <cellStyle name="Hed Top - SECTION 2 7 7 9" xfId="24409" xr:uid="{00000000-0005-0000-0000-0000E9660000}"/>
    <cellStyle name="Hed Top - SECTION 2 7 7 9 2" xfId="24410" xr:uid="{00000000-0005-0000-0000-0000EA660000}"/>
    <cellStyle name="Hed Top - SECTION 2 7 8" xfId="24411" xr:uid="{00000000-0005-0000-0000-0000EB660000}"/>
    <cellStyle name="Hed Top - SECTION 2 7 8 10" xfId="24412" xr:uid="{00000000-0005-0000-0000-0000EC660000}"/>
    <cellStyle name="Hed Top - SECTION 2 7 8 2" xfId="24413" xr:uid="{00000000-0005-0000-0000-0000ED660000}"/>
    <cellStyle name="Hed Top - SECTION 2 7 8 2 2" xfId="24414" xr:uid="{00000000-0005-0000-0000-0000EE660000}"/>
    <cellStyle name="Hed Top - SECTION 2 7 8 3" xfId="24415" xr:uid="{00000000-0005-0000-0000-0000EF660000}"/>
    <cellStyle name="Hed Top - SECTION 2 7 8 3 2" xfId="24416" xr:uid="{00000000-0005-0000-0000-0000F0660000}"/>
    <cellStyle name="Hed Top - SECTION 2 7 8 4" xfId="24417" xr:uid="{00000000-0005-0000-0000-0000F1660000}"/>
    <cellStyle name="Hed Top - SECTION 2 7 8 4 2" xfId="24418" xr:uid="{00000000-0005-0000-0000-0000F2660000}"/>
    <cellStyle name="Hed Top - SECTION 2 7 8 5" xfId="24419" xr:uid="{00000000-0005-0000-0000-0000F3660000}"/>
    <cellStyle name="Hed Top - SECTION 2 7 8 5 2" xfId="24420" xr:uid="{00000000-0005-0000-0000-0000F4660000}"/>
    <cellStyle name="Hed Top - SECTION 2 7 8 6" xfId="24421" xr:uid="{00000000-0005-0000-0000-0000F5660000}"/>
    <cellStyle name="Hed Top - SECTION 2 7 8 6 2" xfId="24422" xr:uid="{00000000-0005-0000-0000-0000F6660000}"/>
    <cellStyle name="Hed Top - SECTION 2 7 8 7" xfId="24423" xr:uid="{00000000-0005-0000-0000-0000F7660000}"/>
    <cellStyle name="Hed Top - SECTION 2 7 8 7 2" xfId="24424" xr:uid="{00000000-0005-0000-0000-0000F8660000}"/>
    <cellStyle name="Hed Top - SECTION 2 7 8 8" xfId="24425" xr:uid="{00000000-0005-0000-0000-0000F9660000}"/>
    <cellStyle name="Hed Top - SECTION 2 7 8 8 2" xfId="24426" xr:uid="{00000000-0005-0000-0000-0000FA660000}"/>
    <cellStyle name="Hed Top - SECTION 2 7 8 9" xfId="24427" xr:uid="{00000000-0005-0000-0000-0000FB660000}"/>
    <cellStyle name="Hed Top - SECTION 2 7 8 9 2" xfId="24428" xr:uid="{00000000-0005-0000-0000-0000FC660000}"/>
    <cellStyle name="Hed Top - SECTION 2 7 9" xfId="24429" xr:uid="{00000000-0005-0000-0000-0000FD660000}"/>
    <cellStyle name="Hed Top - SECTION 2 7 9 10" xfId="24430" xr:uid="{00000000-0005-0000-0000-0000FE660000}"/>
    <cellStyle name="Hed Top - SECTION 2 7 9 2" xfId="24431" xr:uid="{00000000-0005-0000-0000-0000FF660000}"/>
    <cellStyle name="Hed Top - SECTION 2 7 9 2 2" xfId="24432" xr:uid="{00000000-0005-0000-0000-000000670000}"/>
    <cellStyle name="Hed Top - SECTION 2 7 9 3" xfId="24433" xr:uid="{00000000-0005-0000-0000-000001670000}"/>
    <cellStyle name="Hed Top - SECTION 2 7 9 3 2" xfId="24434" xr:uid="{00000000-0005-0000-0000-000002670000}"/>
    <cellStyle name="Hed Top - SECTION 2 7 9 4" xfId="24435" xr:uid="{00000000-0005-0000-0000-000003670000}"/>
    <cellStyle name="Hed Top - SECTION 2 7 9 4 2" xfId="24436" xr:uid="{00000000-0005-0000-0000-000004670000}"/>
    <cellStyle name="Hed Top - SECTION 2 7 9 5" xfId="24437" xr:uid="{00000000-0005-0000-0000-000005670000}"/>
    <cellStyle name="Hed Top - SECTION 2 7 9 5 2" xfId="24438" xr:uid="{00000000-0005-0000-0000-000006670000}"/>
    <cellStyle name="Hed Top - SECTION 2 7 9 6" xfId="24439" xr:uid="{00000000-0005-0000-0000-000007670000}"/>
    <cellStyle name="Hed Top - SECTION 2 7 9 6 2" xfId="24440" xr:uid="{00000000-0005-0000-0000-000008670000}"/>
    <cellStyle name="Hed Top - SECTION 2 7 9 7" xfId="24441" xr:uid="{00000000-0005-0000-0000-000009670000}"/>
    <cellStyle name="Hed Top - SECTION 2 7 9 7 2" xfId="24442" xr:uid="{00000000-0005-0000-0000-00000A670000}"/>
    <cellStyle name="Hed Top - SECTION 2 7 9 8" xfId="24443" xr:uid="{00000000-0005-0000-0000-00000B670000}"/>
    <cellStyle name="Hed Top - SECTION 2 7 9 8 2" xfId="24444" xr:uid="{00000000-0005-0000-0000-00000C670000}"/>
    <cellStyle name="Hed Top - SECTION 2 7 9 9" xfId="24445" xr:uid="{00000000-0005-0000-0000-00000D670000}"/>
    <cellStyle name="Hed Top - SECTION 2 7 9 9 2" xfId="24446" xr:uid="{00000000-0005-0000-0000-00000E670000}"/>
    <cellStyle name="Hed Top - SECTION 2 8" xfId="24447" xr:uid="{00000000-0005-0000-0000-00000F670000}"/>
    <cellStyle name="Hed Top - SECTION 2 8 10" xfId="24448" xr:uid="{00000000-0005-0000-0000-000010670000}"/>
    <cellStyle name="Hed Top - SECTION 2 8 10 2" xfId="24449" xr:uid="{00000000-0005-0000-0000-000011670000}"/>
    <cellStyle name="Hed Top - SECTION 2 8 10 2 2" xfId="24450" xr:uid="{00000000-0005-0000-0000-000012670000}"/>
    <cellStyle name="Hed Top - SECTION 2 8 10 3" xfId="24451" xr:uid="{00000000-0005-0000-0000-000013670000}"/>
    <cellStyle name="Hed Top - SECTION 2 8 10 3 2" xfId="24452" xr:uid="{00000000-0005-0000-0000-000014670000}"/>
    <cellStyle name="Hed Top - SECTION 2 8 10 4" xfId="24453" xr:uid="{00000000-0005-0000-0000-000015670000}"/>
    <cellStyle name="Hed Top - SECTION 2 8 10 4 2" xfId="24454" xr:uid="{00000000-0005-0000-0000-000016670000}"/>
    <cellStyle name="Hed Top - SECTION 2 8 10 5" xfId="24455" xr:uid="{00000000-0005-0000-0000-000017670000}"/>
    <cellStyle name="Hed Top - SECTION 2 8 10 5 2" xfId="24456" xr:uid="{00000000-0005-0000-0000-000018670000}"/>
    <cellStyle name="Hed Top - SECTION 2 8 10 6" xfId="24457" xr:uid="{00000000-0005-0000-0000-000019670000}"/>
    <cellStyle name="Hed Top - SECTION 2 8 10 6 2" xfId="24458" xr:uid="{00000000-0005-0000-0000-00001A670000}"/>
    <cellStyle name="Hed Top - SECTION 2 8 10 7" xfId="24459" xr:uid="{00000000-0005-0000-0000-00001B670000}"/>
    <cellStyle name="Hed Top - SECTION 2 8 10 7 2" xfId="24460" xr:uid="{00000000-0005-0000-0000-00001C670000}"/>
    <cellStyle name="Hed Top - SECTION 2 8 10 8" xfId="24461" xr:uid="{00000000-0005-0000-0000-00001D670000}"/>
    <cellStyle name="Hed Top - SECTION 2 8 10 8 2" xfId="24462" xr:uid="{00000000-0005-0000-0000-00001E670000}"/>
    <cellStyle name="Hed Top - SECTION 2 8 10 9" xfId="24463" xr:uid="{00000000-0005-0000-0000-00001F670000}"/>
    <cellStyle name="Hed Top - SECTION 2 8 11" xfId="24464" xr:uid="{00000000-0005-0000-0000-000020670000}"/>
    <cellStyle name="Hed Top - SECTION 2 8 11 2" xfId="24465" xr:uid="{00000000-0005-0000-0000-000021670000}"/>
    <cellStyle name="Hed Top - SECTION 2 8 12" xfId="24466" xr:uid="{00000000-0005-0000-0000-000022670000}"/>
    <cellStyle name="Hed Top - SECTION 2 8 12 2" xfId="24467" xr:uid="{00000000-0005-0000-0000-000023670000}"/>
    <cellStyle name="Hed Top - SECTION 2 8 13" xfId="24468" xr:uid="{00000000-0005-0000-0000-000024670000}"/>
    <cellStyle name="Hed Top - SECTION 2 8 13 2" xfId="24469" xr:uid="{00000000-0005-0000-0000-000025670000}"/>
    <cellStyle name="Hed Top - SECTION 2 8 14" xfId="24470" xr:uid="{00000000-0005-0000-0000-000026670000}"/>
    <cellStyle name="Hed Top - SECTION 2 8 14 2" xfId="24471" xr:uid="{00000000-0005-0000-0000-000027670000}"/>
    <cellStyle name="Hed Top - SECTION 2 8 15" xfId="24472" xr:uid="{00000000-0005-0000-0000-000028670000}"/>
    <cellStyle name="Hed Top - SECTION 2 8 15 2" xfId="24473" xr:uid="{00000000-0005-0000-0000-000029670000}"/>
    <cellStyle name="Hed Top - SECTION 2 8 16" xfId="24474" xr:uid="{00000000-0005-0000-0000-00002A670000}"/>
    <cellStyle name="Hed Top - SECTION 2 8 16 2" xfId="24475" xr:uid="{00000000-0005-0000-0000-00002B670000}"/>
    <cellStyle name="Hed Top - SECTION 2 8 17" xfId="24476" xr:uid="{00000000-0005-0000-0000-00002C670000}"/>
    <cellStyle name="Hed Top - SECTION 2 8 17 2" xfId="24477" xr:uid="{00000000-0005-0000-0000-00002D670000}"/>
    <cellStyle name="Hed Top - SECTION 2 8 18" xfId="24478" xr:uid="{00000000-0005-0000-0000-00002E670000}"/>
    <cellStyle name="Hed Top - SECTION 2 8 2" xfId="24479" xr:uid="{00000000-0005-0000-0000-00002F670000}"/>
    <cellStyle name="Hed Top - SECTION 2 8 2 10" xfId="24480" xr:uid="{00000000-0005-0000-0000-000030670000}"/>
    <cellStyle name="Hed Top - SECTION 2 8 2 2" xfId="24481" xr:uid="{00000000-0005-0000-0000-000031670000}"/>
    <cellStyle name="Hed Top - SECTION 2 8 2 2 2" xfId="24482" xr:uid="{00000000-0005-0000-0000-000032670000}"/>
    <cellStyle name="Hed Top - SECTION 2 8 2 3" xfId="24483" xr:uid="{00000000-0005-0000-0000-000033670000}"/>
    <cellStyle name="Hed Top - SECTION 2 8 2 3 2" xfId="24484" xr:uid="{00000000-0005-0000-0000-000034670000}"/>
    <cellStyle name="Hed Top - SECTION 2 8 2 4" xfId="24485" xr:uid="{00000000-0005-0000-0000-000035670000}"/>
    <cellStyle name="Hed Top - SECTION 2 8 2 4 2" xfId="24486" xr:uid="{00000000-0005-0000-0000-000036670000}"/>
    <cellStyle name="Hed Top - SECTION 2 8 2 5" xfId="24487" xr:uid="{00000000-0005-0000-0000-000037670000}"/>
    <cellStyle name="Hed Top - SECTION 2 8 2 5 2" xfId="24488" xr:uid="{00000000-0005-0000-0000-000038670000}"/>
    <cellStyle name="Hed Top - SECTION 2 8 2 6" xfId="24489" xr:uid="{00000000-0005-0000-0000-000039670000}"/>
    <cellStyle name="Hed Top - SECTION 2 8 2 6 2" xfId="24490" xr:uid="{00000000-0005-0000-0000-00003A670000}"/>
    <cellStyle name="Hed Top - SECTION 2 8 2 7" xfId="24491" xr:uid="{00000000-0005-0000-0000-00003B670000}"/>
    <cellStyle name="Hed Top - SECTION 2 8 2 7 2" xfId="24492" xr:uid="{00000000-0005-0000-0000-00003C670000}"/>
    <cellStyle name="Hed Top - SECTION 2 8 2 8" xfId="24493" xr:uid="{00000000-0005-0000-0000-00003D670000}"/>
    <cellStyle name="Hed Top - SECTION 2 8 2 8 2" xfId="24494" xr:uid="{00000000-0005-0000-0000-00003E670000}"/>
    <cellStyle name="Hed Top - SECTION 2 8 2 9" xfId="24495" xr:uid="{00000000-0005-0000-0000-00003F670000}"/>
    <cellStyle name="Hed Top - SECTION 2 8 2 9 2" xfId="24496" xr:uid="{00000000-0005-0000-0000-000040670000}"/>
    <cellStyle name="Hed Top - SECTION 2 8 3" xfId="24497" xr:uid="{00000000-0005-0000-0000-000041670000}"/>
    <cellStyle name="Hed Top - SECTION 2 8 3 10" xfId="24498" xr:uid="{00000000-0005-0000-0000-000042670000}"/>
    <cellStyle name="Hed Top - SECTION 2 8 3 2" xfId="24499" xr:uid="{00000000-0005-0000-0000-000043670000}"/>
    <cellStyle name="Hed Top - SECTION 2 8 3 2 2" xfId="24500" xr:uid="{00000000-0005-0000-0000-000044670000}"/>
    <cellStyle name="Hed Top - SECTION 2 8 3 3" xfId="24501" xr:uid="{00000000-0005-0000-0000-000045670000}"/>
    <cellStyle name="Hed Top - SECTION 2 8 3 3 2" xfId="24502" xr:uid="{00000000-0005-0000-0000-000046670000}"/>
    <cellStyle name="Hed Top - SECTION 2 8 3 4" xfId="24503" xr:uid="{00000000-0005-0000-0000-000047670000}"/>
    <cellStyle name="Hed Top - SECTION 2 8 3 4 2" xfId="24504" xr:uid="{00000000-0005-0000-0000-000048670000}"/>
    <cellStyle name="Hed Top - SECTION 2 8 3 5" xfId="24505" xr:uid="{00000000-0005-0000-0000-000049670000}"/>
    <cellStyle name="Hed Top - SECTION 2 8 3 5 2" xfId="24506" xr:uid="{00000000-0005-0000-0000-00004A670000}"/>
    <cellStyle name="Hed Top - SECTION 2 8 3 6" xfId="24507" xr:uid="{00000000-0005-0000-0000-00004B670000}"/>
    <cellStyle name="Hed Top - SECTION 2 8 3 6 2" xfId="24508" xr:uid="{00000000-0005-0000-0000-00004C670000}"/>
    <cellStyle name="Hed Top - SECTION 2 8 3 7" xfId="24509" xr:uid="{00000000-0005-0000-0000-00004D670000}"/>
    <cellStyle name="Hed Top - SECTION 2 8 3 7 2" xfId="24510" xr:uid="{00000000-0005-0000-0000-00004E670000}"/>
    <cellStyle name="Hed Top - SECTION 2 8 3 8" xfId="24511" xr:uid="{00000000-0005-0000-0000-00004F670000}"/>
    <cellStyle name="Hed Top - SECTION 2 8 3 8 2" xfId="24512" xr:uid="{00000000-0005-0000-0000-000050670000}"/>
    <cellStyle name="Hed Top - SECTION 2 8 3 9" xfId="24513" xr:uid="{00000000-0005-0000-0000-000051670000}"/>
    <cellStyle name="Hed Top - SECTION 2 8 3 9 2" xfId="24514" xr:uid="{00000000-0005-0000-0000-000052670000}"/>
    <cellStyle name="Hed Top - SECTION 2 8 4" xfId="24515" xr:uid="{00000000-0005-0000-0000-000053670000}"/>
    <cellStyle name="Hed Top - SECTION 2 8 4 10" xfId="24516" xr:uid="{00000000-0005-0000-0000-000054670000}"/>
    <cellStyle name="Hed Top - SECTION 2 8 4 2" xfId="24517" xr:uid="{00000000-0005-0000-0000-000055670000}"/>
    <cellStyle name="Hed Top - SECTION 2 8 4 2 2" xfId="24518" xr:uid="{00000000-0005-0000-0000-000056670000}"/>
    <cellStyle name="Hed Top - SECTION 2 8 4 3" xfId="24519" xr:uid="{00000000-0005-0000-0000-000057670000}"/>
    <cellStyle name="Hed Top - SECTION 2 8 4 3 2" xfId="24520" xr:uid="{00000000-0005-0000-0000-000058670000}"/>
    <cellStyle name="Hed Top - SECTION 2 8 4 4" xfId="24521" xr:uid="{00000000-0005-0000-0000-000059670000}"/>
    <cellStyle name="Hed Top - SECTION 2 8 4 4 2" xfId="24522" xr:uid="{00000000-0005-0000-0000-00005A670000}"/>
    <cellStyle name="Hed Top - SECTION 2 8 4 5" xfId="24523" xr:uid="{00000000-0005-0000-0000-00005B670000}"/>
    <cellStyle name="Hed Top - SECTION 2 8 4 5 2" xfId="24524" xr:uid="{00000000-0005-0000-0000-00005C670000}"/>
    <cellStyle name="Hed Top - SECTION 2 8 4 6" xfId="24525" xr:uid="{00000000-0005-0000-0000-00005D670000}"/>
    <cellStyle name="Hed Top - SECTION 2 8 4 6 2" xfId="24526" xr:uid="{00000000-0005-0000-0000-00005E670000}"/>
    <cellStyle name="Hed Top - SECTION 2 8 4 7" xfId="24527" xr:uid="{00000000-0005-0000-0000-00005F670000}"/>
    <cellStyle name="Hed Top - SECTION 2 8 4 7 2" xfId="24528" xr:uid="{00000000-0005-0000-0000-000060670000}"/>
    <cellStyle name="Hed Top - SECTION 2 8 4 8" xfId="24529" xr:uid="{00000000-0005-0000-0000-000061670000}"/>
    <cellStyle name="Hed Top - SECTION 2 8 4 8 2" xfId="24530" xr:uid="{00000000-0005-0000-0000-000062670000}"/>
    <cellStyle name="Hed Top - SECTION 2 8 4 9" xfId="24531" xr:uid="{00000000-0005-0000-0000-000063670000}"/>
    <cellStyle name="Hed Top - SECTION 2 8 4 9 2" xfId="24532" xr:uid="{00000000-0005-0000-0000-000064670000}"/>
    <cellStyle name="Hed Top - SECTION 2 8 5" xfId="24533" xr:uid="{00000000-0005-0000-0000-000065670000}"/>
    <cellStyle name="Hed Top - SECTION 2 8 5 10" xfId="24534" xr:uid="{00000000-0005-0000-0000-000066670000}"/>
    <cellStyle name="Hed Top - SECTION 2 8 5 2" xfId="24535" xr:uid="{00000000-0005-0000-0000-000067670000}"/>
    <cellStyle name="Hed Top - SECTION 2 8 5 2 2" xfId="24536" xr:uid="{00000000-0005-0000-0000-000068670000}"/>
    <cellStyle name="Hed Top - SECTION 2 8 5 3" xfId="24537" xr:uid="{00000000-0005-0000-0000-000069670000}"/>
    <cellStyle name="Hed Top - SECTION 2 8 5 3 2" xfId="24538" xr:uid="{00000000-0005-0000-0000-00006A670000}"/>
    <cellStyle name="Hed Top - SECTION 2 8 5 4" xfId="24539" xr:uid="{00000000-0005-0000-0000-00006B670000}"/>
    <cellStyle name="Hed Top - SECTION 2 8 5 4 2" xfId="24540" xr:uid="{00000000-0005-0000-0000-00006C670000}"/>
    <cellStyle name="Hed Top - SECTION 2 8 5 5" xfId="24541" xr:uid="{00000000-0005-0000-0000-00006D670000}"/>
    <cellStyle name="Hed Top - SECTION 2 8 5 5 2" xfId="24542" xr:uid="{00000000-0005-0000-0000-00006E670000}"/>
    <cellStyle name="Hed Top - SECTION 2 8 5 6" xfId="24543" xr:uid="{00000000-0005-0000-0000-00006F670000}"/>
    <cellStyle name="Hed Top - SECTION 2 8 5 6 2" xfId="24544" xr:uid="{00000000-0005-0000-0000-000070670000}"/>
    <cellStyle name="Hed Top - SECTION 2 8 5 7" xfId="24545" xr:uid="{00000000-0005-0000-0000-000071670000}"/>
    <cellStyle name="Hed Top - SECTION 2 8 5 7 2" xfId="24546" xr:uid="{00000000-0005-0000-0000-000072670000}"/>
    <cellStyle name="Hed Top - SECTION 2 8 5 8" xfId="24547" xr:uid="{00000000-0005-0000-0000-000073670000}"/>
    <cellStyle name="Hed Top - SECTION 2 8 5 8 2" xfId="24548" xr:uid="{00000000-0005-0000-0000-000074670000}"/>
    <cellStyle name="Hed Top - SECTION 2 8 5 9" xfId="24549" xr:uid="{00000000-0005-0000-0000-000075670000}"/>
    <cellStyle name="Hed Top - SECTION 2 8 5 9 2" xfId="24550" xr:uid="{00000000-0005-0000-0000-000076670000}"/>
    <cellStyle name="Hed Top - SECTION 2 8 6" xfId="24551" xr:uid="{00000000-0005-0000-0000-000077670000}"/>
    <cellStyle name="Hed Top - SECTION 2 8 6 10" xfId="24552" xr:uid="{00000000-0005-0000-0000-000078670000}"/>
    <cellStyle name="Hed Top - SECTION 2 8 6 2" xfId="24553" xr:uid="{00000000-0005-0000-0000-000079670000}"/>
    <cellStyle name="Hed Top - SECTION 2 8 6 2 2" xfId="24554" xr:uid="{00000000-0005-0000-0000-00007A670000}"/>
    <cellStyle name="Hed Top - SECTION 2 8 6 3" xfId="24555" xr:uid="{00000000-0005-0000-0000-00007B670000}"/>
    <cellStyle name="Hed Top - SECTION 2 8 6 3 2" xfId="24556" xr:uid="{00000000-0005-0000-0000-00007C670000}"/>
    <cellStyle name="Hed Top - SECTION 2 8 6 4" xfId="24557" xr:uid="{00000000-0005-0000-0000-00007D670000}"/>
    <cellStyle name="Hed Top - SECTION 2 8 6 4 2" xfId="24558" xr:uid="{00000000-0005-0000-0000-00007E670000}"/>
    <cellStyle name="Hed Top - SECTION 2 8 6 5" xfId="24559" xr:uid="{00000000-0005-0000-0000-00007F670000}"/>
    <cellStyle name="Hed Top - SECTION 2 8 6 5 2" xfId="24560" xr:uid="{00000000-0005-0000-0000-000080670000}"/>
    <cellStyle name="Hed Top - SECTION 2 8 6 6" xfId="24561" xr:uid="{00000000-0005-0000-0000-000081670000}"/>
    <cellStyle name="Hed Top - SECTION 2 8 6 6 2" xfId="24562" xr:uid="{00000000-0005-0000-0000-000082670000}"/>
    <cellStyle name="Hed Top - SECTION 2 8 6 7" xfId="24563" xr:uid="{00000000-0005-0000-0000-000083670000}"/>
    <cellStyle name="Hed Top - SECTION 2 8 6 7 2" xfId="24564" xr:uid="{00000000-0005-0000-0000-000084670000}"/>
    <cellStyle name="Hed Top - SECTION 2 8 6 8" xfId="24565" xr:uid="{00000000-0005-0000-0000-000085670000}"/>
    <cellStyle name="Hed Top - SECTION 2 8 6 8 2" xfId="24566" xr:uid="{00000000-0005-0000-0000-000086670000}"/>
    <cellStyle name="Hed Top - SECTION 2 8 6 9" xfId="24567" xr:uid="{00000000-0005-0000-0000-000087670000}"/>
    <cellStyle name="Hed Top - SECTION 2 8 6 9 2" xfId="24568" xr:uid="{00000000-0005-0000-0000-000088670000}"/>
    <cellStyle name="Hed Top - SECTION 2 8 7" xfId="24569" xr:uid="{00000000-0005-0000-0000-000089670000}"/>
    <cellStyle name="Hed Top - SECTION 2 8 7 10" xfId="24570" xr:uid="{00000000-0005-0000-0000-00008A670000}"/>
    <cellStyle name="Hed Top - SECTION 2 8 7 2" xfId="24571" xr:uid="{00000000-0005-0000-0000-00008B670000}"/>
    <cellStyle name="Hed Top - SECTION 2 8 7 2 2" xfId="24572" xr:uid="{00000000-0005-0000-0000-00008C670000}"/>
    <cellStyle name="Hed Top - SECTION 2 8 7 3" xfId="24573" xr:uid="{00000000-0005-0000-0000-00008D670000}"/>
    <cellStyle name="Hed Top - SECTION 2 8 7 3 2" xfId="24574" xr:uid="{00000000-0005-0000-0000-00008E670000}"/>
    <cellStyle name="Hed Top - SECTION 2 8 7 4" xfId="24575" xr:uid="{00000000-0005-0000-0000-00008F670000}"/>
    <cellStyle name="Hed Top - SECTION 2 8 7 4 2" xfId="24576" xr:uid="{00000000-0005-0000-0000-000090670000}"/>
    <cellStyle name="Hed Top - SECTION 2 8 7 5" xfId="24577" xr:uid="{00000000-0005-0000-0000-000091670000}"/>
    <cellStyle name="Hed Top - SECTION 2 8 7 5 2" xfId="24578" xr:uid="{00000000-0005-0000-0000-000092670000}"/>
    <cellStyle name="Hed Top - SECTION 2 8 7 6" xfId="24579" xr:uid="{00000000-0005-0000-0000-000093670000}"/>
    <cellStyle name="Hed Top - SECTION 2 8 7 6 2" xfId="24580" xr:uid="{00000000-0005-0000-0000-000094670000}"/>
    <cellStyle name="Hed Top - SECTION 2 8 7 7" xfId="24581" xr:uid="{00000000-0005-0000-0000-000095670000}"/>
    <cellStyle name="Hed Top - SECTION 2 8 7 7 2" xfId="24582" xr:uid="{00000000-0005-0000-0000-000096670000}"/>
    <cellStyle name="Hed Top - SECTION 2 8 7 8" xfId="24583" xr:uid="{00000000-0005-0000-0000-000097670000}"/>
    <cellStyle name="Hed Top - SECTION 2 8 7 8 2" xfId="24584" xr:uid="{00000000-0005-0000-0000-000098670000}"/>
    <cellStyle name="Hed Top - SECTION 2 8 7 9" xfId="24585" xr:uid="{00000000-0005-0000-0000-000099670000}"/>
    <cellStyle name="Hed Top - SECTION 2 8 7 9 2" xfId="24586" xr:uid="{00000000-0005-0000-0000-00009A670000}"/>
    <cellStyle name="Hed Top - SECTION 2 8 8" xfId="24587" xr:uid="{00000000-0005-0000-0000-00009B670000}"/>
    <cellStyle name="Hed Top - SECTION 2 8 8 10" xfId="24588" xr:uid="{00000000-0005-0000-0000-00009C670000}"/>
    <cellStyle name="Hed Top - SECTION 2 8 8 2" xfId="24589" xr:uid="{00000000-0005-0000-0000-00009D670000}"/>
    <cellStyle name="Hed Top - SECTION 2 8 8 2 2" xfId="24590" xr:uid="{00000000-0005-0000-0000-00009E670000}"/>
    <cellStyle name="Hed Top - SECTION 2 8 8 3" xfId="24591" xr:uid="{00000000-0005-0000-0000-00009F670000}"/>
    <cellStyle name="Hed Top - SECTION 2 8 8 3 2" xfId="24592" xr:uid="{00000000-0005-0000-0000-0000A0670000}"/>
    <cellStyle name="Hed Top - SECTION 2 8 8 4" xfId="24593" xr:uid="{00000000-0005-0000-0000-0000A1670000}"/>
    <cellStyle name="Hed Top - SECTION 2 8 8 4 2" xfId="24594" xr:uid="{00000000-0005-0000-0000-0000A2670000}"/>
    <cellStyle name="Hed Top - SECTION 2 8 8 5" xfId="24595" xr:uid="{00000000-0005-0000-0000-0000A3670000}"/>
    <cellStyle name="Hed Top - SECTION 2 8 8 5 2" xfId="24596" xr:uid="{00000000-0005-0000-0000-0000A4670000}"/>
    <cellStyle name="Hed Top - SECTION 2 8 8 6" xfId="24597" xr:uid="{00000000-0005-0000-0000-0000A5670000}"/>
    <cellStyle name="Hed Top - SECTION 2 8 8 6 2" xfId="24598" xr:uid="{00000000-0005-0000-0000-0000A6670000}"/>
    <cellStyle name="Hed Top - SECTION 2 8 8 7" xfId="24599" xr:uid="{00000000-0005-0000-0000-0000A7670000}"/>
    <cellStyle name="Hed Top - SECTION 2 8 8 7 2" xfId="24600" xr:uid="{00000000-0005-0000-0000-0000A8670000}"/>
    <cellStyle name="Hed Top - SECTION 2 8 8 8" xfId="24601" xr:uid="{00000000-0005-0000-0000-0000A9670000}"/>
    <cellStyle name="Hed Top - SECTION 2 8 8 8 2" xfId="24602" xr:uid="{00000000-0005-0000-0000-0000AA670000}"/>
    <cellStyle name="Hed Top - SECTION 2 8 8 9" xfId="24603" xr:uid="{00000000-0005-0000-0000-0000AB670000}"/>
    <cellStyle name="Hed Top - SECTION 2 8 8 9 2" xfId="24604" xr:uid="{00000000-0005-0000-0000-0000AC670000}"/>
    <cellStyle name="Hed Top - SECTION 2 8 9" xfId="24605" xr:uid="{00000000-0005-0000-0000-0000AD670000}"/>
    <cellStyle name="Hed Top - SECTION 2 8 9 10" xfId="24606" xr:uid="{00000000-0005-0000-0000-0000AE670000}"/>
    <cellStyle name="Hed Top - SECTION 2 8 9 2" xfId="24607" xr:uid="{00000000-0005-0000-0000-0000AF670000}"/>
    <cellStyle name="Hed Top - SECTION 2 8 9 2 2" xfId="24608" xr:uid="{00000000-0005-0000-0000-0000B0670000}"/>
    <cellStyle name="Hed Top - SECTION 2 8 9 3" xfId="24609" xr:uid="{00000000-0005-0000-0000-0000B1670000}"/>
    <cellStyle name="Hed Top - SECTION 2 8 9 3 2" xfId="24610" xr:uid="{00000000-0005-0000-0000-0000B2670000}"/>
    <cellStyle name="Hed Top - SECTION 2 8 9 4" xfId="24611" xr:uid="{00000000-0005-0000-0000-0000B3670000}"/>
    <cellStyle name="Hed Top - SECTION 2 8 9 4 2" xfId="24612" xr:uid="{00000000-0005-0000-0000-0000B4670000}"/>
    <cellStyle name="Hed Top - SECTION 2 8 9 5" xfId="24613" xr:uid="{00000000-0005-0000-0000-0000B5670000}"/>
    <cellStyle name="Hed Top - SECTION 2 8 9 5 2" xfId="24614" xr:uid="{00000000-0005-0000-0000-0000B6670000}"/>
    <cellStyle name="Hed Top - SECTION 2 8 9 6" xfId="24615" xr:uid="{00000000-0005-0000-0000-0000B7670000}"/>
    <cellStyle name="Hed Top - SECTION 2 8 9 6 2" xfId="24616" xr:uid="{00000000-0005-0000-0000-0000B8670000}"/>
    <cellStyle name="Hed Top - SECTION 2 8 9 7" xfId="24617" xr:uid="{00000000-0005-0000-0000-0000B9670000}"/>
    <cellStyle name="Hed Top - SECTION 2 8 9 7 2" xfId="24618" xr:uid="{00000000-0005-0000-0000-0000BA670000}"/>
    <cellStyle name="Hed Top - SECTION 2 8 9 8" xfId="24619" xr:uid="{00000000-0005-0000-0000-0000BB670000}"/>
    <cellStyle name="Hed Top - SECTION 2 8 9 8 2" xfId="24620" xr:uid="{00000000-0005-0000-0000-0000BC670000}"/>
    <cellStyle name="Hed Top - SECTION 2 8 9 9" xfId="24621" xr:uid="{00000000-0005-0000-0000-0000BD670000}"/>
    <cellStyle name="Hed Top - SECTION 2 8 9 9 2" xfId="24622" xr:uid="{00000000-0005-0000-0000-0000BE670000}"/>
    <cellStyle name="Hed Top - SECTION 2 9" xfId="24623" xr:uid="{00000000-0005-0000-0000-0000BF670000}"/>
    <cellStyle name="Hed Top - SECTION 2 9 10" xfId="24624" xr:uid="{00000000-0005-0000-0000-0000C0670000}"/>
    <cellStyle name="Hed Top - SECTION 2 9 10 2" xfId="24625" xr:uid="{00000000-0005-0000-0000-0000C1670000}"/>
    <cellStyle name="Hed Top - SECTION 2 9 10 2 2" xfId="24626" xr:uid="{00000000-0005-0000-0000-0000C2670000}"/>
    <cellStyle name="Hed Top - SECTION 2 9 10 3" xfId="24627" xr:uid="{00000000-0005-0000-0000-0000C3670000}"/>
    <cellStyle name="Hed Top - SECTION 2 9 10 3 2" xfId="24628" xr:uid="{00000000-0005-0000-0000-0000C4670000}"/>
    <cellStyle name="Hed Top - SECTION 2 9 10 4" xfId="24629" xr:uid="{00000000-0005-0000-0000-0000C5670000}"/>
    <cellStyle name="Hed Top - SECTION 2 9 10 4 2" xfId="24630" xr:uid="{00000000-0005-0000-0000-0000C6670000}"/>
    <cellStyle name="Hed Top - SECTION 2 9 10 5" xfId="24631" xr:uid="{00000000-0005-0000-0000-0000C7670000}"/>
    <cellStyle name="Hed Top - SECTION 2 9 10 5 2" xfId="24632" xr:uid="{00000000-0005-0000-0000-0000C8670000}"/>
    <cellStyle name="Hed Top - SECTION 2 9 10 6" xfId="24633" xr:uid="{00000000-0005-0000-0000-0000C9670000}"/>
    <cellStyle name="Hed Top - SECTION 2 9 10 6 2" xfId="24634" xr:uid="{00000000-0005-0000-0000-0000CA670000}"/>
    <cellStyle name="Hed Top - SECTION 2 9 10 7" xfId="24635" xr:uid="{00000000-0005-0000-0000-0000CB670000}"/>
    <cellStyle name="Hed Top - SECTION 2 9 10 7 2" xfId="24636" xr:uid="{00000000-0005-0000-0000-0000CC670000}"/>
    <cellStyle name="Hed Top - SECTION 2 9 10 8" xfId="24637" xr:uid="{00000000-0005-0000-0000-0000CD670000}"/>
    <cellStyle name="Hed Top - SECTION 2 9 10 8 2" xfId="24638" xr:uid="{00000000-0005-0000-0000-0000CE670000}"/>
    <cellStyle name="Hed Top - SECTION 2 9 10 9" xfId="24639" xr:uid="{00000000-0005-0000-0000-0000CF670000}"/>
    <cellStyle name="Hed Top - SECTION 2 9 11" xfId="24640" xr:uid="{00000000-0005-0000-0000-0000D0670000}"/>
    <cellStyle name="Hed Top - SECTION 2 9 11 2" xfId="24641" xr:uid="{00000000-0005-0000-0000-0000D1670000}"/>
    <cellStyle name="Hed Top - SECTION 2 9 12" xfId="24642" xr:uid="{00000000-0005-0000-0000-0000D2670000}"/>
    <cellStyle name="Hed Top - SECTION 2 9 12 2" xfId="24643" xr:uid="{00000000-0005-0000-0000-0000D3670000}"/>
    <cellStyle name="Hed Top - SECTION 2 9 13" xfId="24644" xr:uid="{00000000-0005-0000-0000-0000D4670000}"/>
    <cellStyle name="Hed Top - SECTION 2 9 13 2" xfId="24645" xr:uid="{00000000-0005-0000-0000-0000D5670000}"/>
    <cellStyle name="Hed Top - SECTION 2 9 14" xfId="24646" xr:uid="{00000000-0005-0000-0000-0000D6670000}"/>
    <cellStyle name="Hed Top - SECTION 2 9 14 2" xfId="24647" xr:uid="{00000000-0005-0000-0000-0000D7670000}"/>
    <cellStyle name="Hed Top - SECTION 2 9 15" xfId="24648" xr:uid="{00000000-0005-0000-0000-0000D8670000}"/>
    <cellStyle name="Hed Top - SECTION 2 9 15 2" xfId="24649" xr:uid="{00000000-0005-0000-0000-0000D9670000}"/>
    <cellStyle name="Hed Top - SECTION 2 9 16" xfId="24650" xr:uid="{00000000-0005-0000-0000-0000DA670000}"/>
    <cellStyle name="Hed Top - SECTION 2 9 16 2" xfId="24651" xr:uid="{00000000-0005-0000-0000-0000DB670000}"/>
    <cellStyle name="Hed Top - SECTION 2 9 17" xfId="24652" xr:uid="{00000000-0005-0000-0000-0000DC670000}"/>
    <cellStyle name="Hed Top - SECTION 2 9 17 2" xfId="24653" xr:uid="{00000000-0005-0000-0000-0000DD670000}"/>
    <cellStyle name="Hed Top - SECTION 2 9 18" xfId="24654" xr:uid="{00000000-0005-0000-0000-0000DE670000}"/>
    <cellStyle name="Hed Top - SECTION 2 9 2" xfId="24655" xr:uid="{00000000-0005-0000-0000-0000DF670000}"/>
    <cellStyle name="Hed Top - SECTION 2 9 2 10" xfId="24656" xr:uid="{00000000-0005-0000-0000-0000E0670000}"/>
    <cellStyle name="Hed Top - SECTION 2 9 2 2" xfId="24657" xr:uid="{00000000-0005-0000-0000-0000E1670000}"/>
    <cellStyle name="Hed Top - SECTION 2 9 2 2 2" xfId="24658" xr:uid="{00000000-0005-0000-0000-0000E2670000}"/>
    <cellStyle name="Hed Top - SECTION 2 9 2 3" xfId="24659" xr:uid="{00000000-0005-0000-0000-0000E3670000}"/>
    <cellStyle name="Hed Top - SECTION 2 9 2 3 2" xfId="24660" xr:uid="{00000000-0005-0000-0000-0000E4670000}"/>
    <cellStyle name="Hed Top - SECTION 2 9 2 4" xfId="24661" xr:uid="{00000000-0005-0000-0000-0000E5670000}"/>
    <cellStyle name="Hed Top - SECTION 2 9 2 4 2" xfId="24662" xr:uid="{00000000-0005-0000-0000-0000E6670000}"/>
    <cellStyle name="Hed Top - SECTION 2 9 2 5" xfId="24663" xr:uid="{00000000-0005-0000-0000-0000E7670000}"/>
    <cellStyle name="Hed Top - SECTION 2 9 2 5 2" xfId="24664" xr:uid="{00000000-0005-0000-0000-0000E8670000}"/>
    <cellStyle name="Hed Top - SECTION 2 9 2 6" xfId="24665" xr:uid="{00000000-0005-0000-0000-0000E9670000}"/>
    <cellStyle name="Hed Top - SECTION 2 9 2 6 2" xfId="24666" xr:uid="{00000000-0005-0000-0000-0000EA670000}"/>
    <cellStyle name="Hed Top - SECTION 2 9 2 7" xfId="24667" xr:uid="{00000000-0005-0000-0000-0000EB670000}"/>
    <cellStyle name="Hed Top - SECTION 2 9 2 7 2" xfId="24668" xr:uid="{00000000-0005-0000-0000-0000EC670000}"/>
    <cellStyle name="Hed Top - SECTION 2 9 2 8" xfId="24669" xr:uid="{00000000-0005-0000-0000-0000ED670000}"/>
    <cellStyle name="Hed Top - SECTION 2 9 2 8 2" xfId="24670" xr:uid="{00000000-0005-0000-0000-0000EE670000}"/>
    <cellStyle name="Hed Top - SECTION 2 9 2 9" xfId="24671" xr:uid="{00000000-0005-0000-0000-0000EF670000}"/>
    <cellStyle name="Hed Top - SECTION 2 9 2 9 2" xfId="24672" xr:uid="{00000000-0005-0000-0000-0000F0670000}"/>
    <cellStyle name="Hed Top - SECTION 2 9 3" xfId="24673" xr:uid="{00000000-0005-0000-0000-0000F1670000}"/>
    <cellStyle name="Hed Top - SECTION 2 9 3 10" xfId="24674" xr:uid="{00000000-0005-0000-0000-0000F2670000}"/>
    <cellStyle name="Hed Top - SECTION 2 9 3 2" xfId="24675" xr:uid="{00000000-0005-0000-0000-0000F3670000}"/>
    <cellStyle name="Hed Top - SECTION 2 9 3 2 2" xfId="24676" xr:uid="{00000000-0005-0000-0000-0000F4670000}"/>
    <cellStyle name="Hed Top - SECTION 2 9 3 3" xfId="24677" xr:uid="{00000000-0005-0000-0000-0000F5670000}"/>
    <cellStyle name="Hed Top - SECTION 2 9 3 3 2" xfId="24678" xr:uid="{00000000-0005-0000-0000-0000F6670000}"/>
    <cellStyle name="Hed Top - SECTION 2 9 3 4" xfId="24679" xr:uid="{00000000-0005-0000-0000-0000F7670000}"/>
    <cellStyle name="Hed Top - SECTION 2 9 3 4 2" xfId="24680" xr:uid="{00000000-0005-0000-0000-0000F8670000}"/>
    <cellStyle name="Hed Top - SECTION 2 9 3 5" xfId="24681" xr:uid="{00000000-0005-0000-0000-0000F9670000}"/>
    <cellStyle name="Hed Top - SECTION 2 9 3 5 2" xfId="24682" xr:uid="{00000000-0005-0000-0000-0000FA670000}"/>
    <cellStyle name="Hed Top - SECTION 2 9 3 6" xfId="24683" xr:uid="{00000000-0005-0000-0000-0000FB670000}"/>
    <cellStyle name="Hed Top - SECTION 2 9 3 6 2" xfId="24684" xr:uid="{00000000-0005-0000-0000-0000FC670000}"/>
    <cellStyle name="Hed Top - SECTION 2 9 3 7" xfId="24685" xr:uid="{00000000-0005-0000-0000-0000FD670000}"/>
    <cellStyle name="Hed Top - SECTION 2 9 3 7 2" xfId="24686" xr:uid="{00000000-0005-0000-0000-0000FE670000}"/>
    <cellStyle name="Hed Top - SECTION 2 9 3 8" xfId="24687" xr:uid="{00000000-0005-0000-0000-0000FF670000}"/>
    <cellStyle name="Hed Top - SECTION 2 9 3 8 2" xfId="24688" xr:uid="{00000000-0005-0000-0000-000000680000}"/>
    <cellStyle name="Hed Top - SECTION 2 9 3 9" xfId="24689" xr:uid="{00000000-0005-0000-0000-000001680000}"/>
    <cellStyle name="Hed Top - SECTION 2 9 3 9 2" xfId="24690" xr:uid="{00000000-0005-0000-0000-000002680000}"/>
    <cellStyle name="Hed Top - SECTION 2 9 4" xfId="24691" xr:uid="{00000000-0005-0000-0000-000003680000}"/>
    <cellStyle name="Hed Top - SECTION 2 9 4 10" xfId="24692" xr:uid="{00000000-0005-0000-0000-000004680000}"/>
    <cellStyle name="Hed Top - SECTION 2 9 4 2" xfId="24693" xr:uid="{00000000-0005-0000-0000-000005680000}"/>
    <cellStyle name="Hed Top - SECTION 2 9 4 2 2" xfId="24694" xr:uid="{00000000-0005-0000-0000-000006680000}"/>
    <cellStyle name="Hed Top - SECTION 2 9 4 3" xfId="24695" xr:uid="{00000000-0005-0000-0000-000007680000}"/>
    <cellStyle name="Hed Top - SECTION 2 9 4 3 2" xfId="24696" xr:uid="{00000000-0005-0000-0000-000008680000}"/>
    <cellStyle name="Hed Top - SECTION 2 9 4 4" xfId="24697" xr:uid="{00000000-0005-0000-0000-000009680000}"/>
    <cellStyle name="Hed Top - SECTION 2 9 4 4 2" xfId="24698" xr:uid="{00000000-0005-0000-0000-00000A680000}"/>
    <cellStyle name="Hed Top - SECTION 2 9 4 5" xfId="24699" xr:uid="{00000000-0005-0000-0000-00000B680000}"/>
    <cellStyle name="Hed Top - SECTION 2 9 4 5 2" xfId="24700" xr:uid="{00000000-0005-0000-0000-00000C680000}"/>
    <cellStyle name="Hed Top - SECTION 2 9 4 6" xfId="24701" xr:uid="{00000000-0005-0000-0000-00000D680000}"/>
    <cellStyle name="Hed Top - SECTION 2 9 4 6 2" xfId="24702" xr:uid="{00000000-0005-0000-0000-00000E680000}"/>
    <cellStyle name="Hed Top - SECTION 2 9 4 7" xfId="24703" xr:uid="{00000000-0005-0000-0000-00000F680000}"/>
    <cellStyle name="Hed Top - SECTION 2 9 4 7 2" xfId="24704" xr:uid="{00000000-0005-0000-0000-000010680000}"/>
    <cellStyle name="Hed Top - SECTION 2 9 4 8" xfId="24705" xr:uid="{00000000-0005-0000-0000-000011680000}"/>
    <cellStyle name="Hed Top - SECTION 2 9 4 8 2" xfId="24706" xr:uid="{00000000-0005-0000-0000-000012680000}"/>
    <cellStyle name="Hed Top - SECTION 2 9 4 9" xfId="24707" xr:uid="{00000000-0005-0000-0000-000013680000}"/>
    <cellStyle name="Hed Top - SECTION 2 9 4 9 2" xfId="24708" xr:uid="{00000000-0005-0000-0000-000014680000}"/>
    <cellStyle name="Hed Top - SECTION 2 9 5" xfId="24709" xr:uid="{00000000-0005-0000-0000-000015680000}"/>
    <cellStyle name="Hed Top - SECTION 2 9 5 10" xfId="24710" xr:uid="{00000000-0005-0000-0000-000016680000}"/>
    <cellStyle name="Hed Top - SECTION 2 9 5 2" xfId="24711" xr:uid="{00000000-0005-0000-0000-000017680000}"/>
    <cellStyle name="Hed Top - SECTION 2 9 5 2 2" xfId="24712" xr:uid="{00000000-0005-0000-0000-000018680000}"/>
    <cellStyle name="Hed Top - SECTION 2 9 5 3" xfId="24713" xr:uid="{00000000-0005-0000-0000-000019680000}"/>
    <cellStyle name="Hed Top - SECTION 2 9 5 3 2" xfId="24714" xr:uid="{00000000-0005-0000-0000-00001A680000}"/>
    <cellStyle name="Hed Top - SECTION 2 9 5 4" xfId="24715" xr:uid="{00000000-0005-0000-0000-00001B680000}"/>
    <cellStyle name="Hed Top - SECTION 2 9 5 4 2" xfId="24716" xr:uid="{00000000-0005-0000-0000-00001C680000}"/>
    <cellStyle name="Hed Top - SECTION 2 9 5 5" xfId="24717" xr:uid="{00000000-0005-0000-0000-00001D680000}"/>
    <cellStyle name="Hed Top - SECTION 2 9 5 5 2" xfId="24718" xr:uid="{00000000-0005-0000-0000-00001E680000}"/>
    <cellStyle name="Hed Top - SECTION 2 9 5 6" xfId="24719" xr:uid="{00000000-0005-0000-0000-00001F680000}"/>
    <cellStyle name="Hed Top - SECTION 2 9 5 6 2" xfId="24720" xr:uid="{00000000-0005-0000-0000-000020680000}"/>
    <cellStyle name="Hed Top - SECTION 2 9 5 7" xfId="24721" xr:uid="{00000000-0005-0000-0000-000021680000}"/>
    <cellStyle name="Hed Top - SECTION 2 9 5 7 2" xfId="24722" xr:uid="{00000000-0005-0000-0000-000022680000}"/>
    <cellStyle name="Hed Top - SECTION 2 9 5 8" xfId="24723" xr:uid="{00000000-0005-0000-0000-000023680000}"/>
    <cellStyle name="Hed Top - SECTION 2 9 5 8 2" xfId="24724" xr:uid="{00000000-0005-0000-0000-000024680000}"/>
    <cellStyle name="Hed Top - SECTION 2 9 5 9" xfId="24725" xr:uid="{00000000-0005-0000-0000-000025680000}"/>
    <cellStyle name="Hed Top - SECTION 2 9 5 9 2" xfId="24726" xr:uid="{00000000-0005-0000-0000-000026680000}"/>
    <cellStyle name="Hed Top - SECTION 2 9 6" xfId="24727" xr:uid="{00000000-0005-0000-0000-000027680000}"/>
    <cellStyle name="Hed Top - SECTION 2 9 6 10" xfId="24728" xr:uid="{00000000-0005-0000-0000-000028680000}"/>
    <cellStyle name="Hed Top - SECTION 2 9 6 2" xfId="24729" xr:uid="{00000000-0005-0000-0000-000029680000}"/>
    <cellStyle name="Hed Top - SECTION 2 9 6 2 2" xfId="24730" xr:uid="{00000000-0005-0000-0000-00002A680000}"/>
    <cellStyle name="Hed Top - SECTION 2 9 6 3" xfId="24731" xr:uid="{00000000-0005-0000-0000-00002B680000}"/>
    <cellStyle name="Hed Top - SECTION 2 9 6 3 2" xfId="24732" xr:uid="{00000000-0005-0000-0000-00002C680000}"/>
    <cellStyle name="Hed Top - SECTION 2 9 6 4" xfId="24733" xr:uid="{00000000-0005-0000-0000-00002D680000}"/>
    <cellStyle name="Hed Top - SECTION 2 9 6 4 2" xfId="24734" xr:uid="{00000000-0005-0000-0000-00002E680000}"/>
    <cellStyle name="Hed Top - SECTION 2 9 6 5" xfId="24735" xr:uid="{00000000-0005-0000-0000-00002F680000}"/>
    <cellStyle name="Hed Top - SECTION 2 9 6 5 2" xfId="24736" xr:uid="{00000000-0005-0000-0000-000030680000}"/>
    <cellStyle name="Hed Top - SECTION 2 9 6 6" xfId="24737" xr:uid="{00000000-0005-0000-0000-000031680000}"/>
    <cellStyle name="Hed Top - SECTION 2 9 6 6 2" xfId="24738" xr:uid="{00000000-0005-0000-0000-000032680000}"/>
    <cellStyle name="Hed Top - SECTION 2 9 6 7" xfId="24739" xr:uid="{00000000-0005-0000-0000-000033680000}"/>
    <cellStyle name="Hed Top - SECTION 2 9 6 7 2" xfId="24740" xr:uid="{00000000-0005-0000-0000-000034680000}"/>
    <cellStyle name="Hed Top - SECTION 2 9 6 8" xfId="24741" xr:uid="{00000000-0005-0000-0000-000035680000}"/>
    <cellStyle name="Hed Top - SECTION 2 9 6 8 2" xfId="24742" xr:uid="{00000000-0005-0000-0000-000036680000}"/>
    <cellStyle name="Hed Top - SECTION 2 9 6 9" xfId="24743" xr:uid="{00000000-0005-0000-0000-000037680000}"/>
    <cellStyle name="Hed Top - SECTION 2 9 6 9 2" xfId="24744" xr:uid="{00000000-0005-0000-0000-000038680000}"/>
    <cellStyle name="Hed Top - SECTION 2 9 7" xfId="24745" xr:uid="{00000000-0005-0000-0000-000039680000}"/>
    <cellStyle name="Hed Top - SECTION 2 9 7 10" xfId="24746" xr:uid="{00000000-0005-0000-0000-00003A680000}"/>
    <cellStyle name="Hed Top - SECTION 2 9 7 2" xfId="24747" xr:uid="{00000000-0005-0000-0000-00003B680000}"/>
    <cellStyle name="Hed Top - SECTION 2 9 7 2 2" xfId="24748" xr:uid="{00000000-0005-0000-0000-00003C680000}"/>
    <cellStyle name="Hed Top - SECTION 2 9 7 3" xfId="24749" xr:uid="{00000000-0005-0000-0000-00003D680000}"/>
    <cellStyle name="Hed Top - SECTION 2 9 7 3 2" xfId="24750" xr:uid="{00000000-0005-0000-0000-00003E680000}"/>
    <cellStyle name="Hed Top - SECTION 2 9 7 4" xfId="24751" xr:uid="{00000000-0005-0000-0000-00003F680000}"/>
    <cellStyle name="Hed Top - SECTION 2 9 7 4 2" xfId="24752" xr:uid="{00000000-0005-0000-0000-000040680000}"/>
    <cellStyle name="Hed Top - SECTION 2 9 7 5" xfId="24753" xr:uid="{00000000-0005-0000-0000-000041680000}"/>
    <cellStyle name="Hed Top - SECTION 2 9 7 5 2" xfId="24754" xr:uid="{00000000-0005-0000-0000-000042680000}"/>
    <cellStyle name="Hed Top - SECTION 2 9 7 6" xfId="24755" xr:uid="{00000000-0005-0000-0000-000043680000}"/>
    <cellStyle name="Hed Top - SECTION 2 9 7 6 2" xfId="24756" xr:uid="{00000000-0005-0000-0000-000044680000}"/>
    <cellStyle name="Hed Top - SECTION 2 9 7 7" xfId="24757" xr:uid="{00000000-0005-0000-0000-000045680000}"/>
    <cellStyle name="Hed Top - SECTION 2 9 7 7 2" xfId="24758" xr:uid="{00000000-0005-0000-0000-000046680000}"/>
    <cellStyle name="Hed Top - SECTION 2 9 7 8" xfId="24759" xr:uid="{00000000-0005-0000-0000-000047680000}"/>
    <cellStyle name="Hed Top - SECTION 2 9 7 8 2" xfId="24760" xr:uid="{00000000-0005-0000-0000-000048680000}"/>
    <cellStyle name="Hed Top - SECTION 2 9 7 9" xfId="24761" xr:uid="{00000000-0005-0000-0000-000049680000}"/>
    <cellStyle name="Hed Top - SECTION 2 9 7 9 2" xfId="24762" xr:uid="{00000000-0005-0000-0000-00004A680000}"/>
    <cellStyle name="Hed Top - SECTION 2 9 8" xfId="24763" xr:uid="{00000000-0005-0000-0000-00004B680000}"/>
    <cellStyle name="Hed Top - SECTION 2 9 8 10" xfId="24764" xr:uid="{00000000-0005-0000-0000-00004C680000}"/>
    <cellStyle name="Hed Top - SECTION 2 9 8 2" xfId="24765" xr:uid="{00000000-0005-0000-0000-00004D680000}"/>
    <cellStyle name="Hed Top - SECTION 2 9 8 2 2" xfId="24766" xr:uid="{00000000-0005-0000-0000-00004E680000}"/>
    <cellStyle name="Hed Top - SECTION 2 9 8 3" xfId="24767" xr:uid="{00000000-0005-0000-0000-00004F680000}"/>
    <cellStyle name="Hed Top - SECTION 2 9 8 3 2" xfId="24768" xr:uid="{00000000-0005-0000-0000-000050680000}"/>
    <cellStyle name="Hed Top - SECTION 2 9 8 4" xfId="24769" xr:uid="{00000000-0005-0000-0000-000051680000}"/>
    <cellStyle name="Hed Top - SECTION 2 9 8 4 2" xfId="24770" xr:uid="{00000000-0005-0000-0000-000052680000}"/>
    <cellStyle name="Hed Top - SECTION 2 9 8 5" xfId="24771" xr:uid="{00000000-0005-0000-0000-000053680000}"/>
    <cellStyle name="Hed Top - SECTION 2 9 8 5 2" xfId="24772" xr:uid="{00000000-0005-0000-0000-000054680000}"/>
    <cellStyle name="Hed Top - SECTION 2 9 8 6" xfId="24773" xr:uid="{00000000-0005-0000-0000-000055680000}"/>
    <cellStyle name="Hed Top - SECTION 2 9 8 6 2" xfId="24774" xr:uid="{00000000-0005-0000-0000-000056680000}"/>
    <cellStyle name="Hed Top - SECTION 2 9 8 7" xfId="24775" xr:uid="{00000000-0005-0000-0000-000057680000}"/>
    <cellStyle name="Hed Top - SECTION 2 9 8 7 2" xfId="24776" xr:uid="{00000000-0005-0000-0000-000058680000}"/>
    <cellStyle name="Hed Top - SECTION 2 9 8 8" xfId="24777" xr:uid="{00000000-0005-0000-0000-000059680000}"/>
    <cellStyle name="Hed Top - SECTION 2 9 8 8 2" xfId="24778" xr:uid="{00000000-0005-0000-0000-00005A680000}"/>
    <cellStyle name="Hed Top - SECTION 2 9 8 9" xfId="24779" xr:uid="{00000000-0005-0000-0000-00005B680000}"/>
    <cellStyle name="Hed Top - SECTION 2 9 8 9 2" xfId="24780" xr:uid="{00000000-0005-0000-0000-00005C680000}"/>
    <cellStyle name="Hed Top - SECTION 2 9 9" xfId="24781" xr:uid="{00000000-0005-0000-0000-00005D680000}"/>
    <cellStyle name="Hed Top - SECTION 2 9 9 10" xfId="24782" xr:uid="{00000000-0005-0000-0000-00005E680000}"/>
    <cellStyle name="Hed Top - SECTION 2 9 9 2" xfId="24783" xr:uid="{00000000-0005-0000-0000-00005F680000}"/>
    <cellStyle name="Hed Top - SECTION 2 9 9 2 2" xfId="24784" xr:uid="{00000000-0005-0000-0000-000060680000}"/>
    <cellStyle name="Hed Top - SECTION 2 9 9 3" xfId="24785" xr:uid="{00000000-0005-0000-0000-000061680000}"/>
    <cellStyle name="Hed Top - SECTION 2 9 9 3 2" xfId="24786" xr:uid="{00000000-0005-0000-0000-000062680000}"/>
    <cellStyle name="Hed Top - SECTION 2 9 9 4" xfId="24787" xr:uid="{00000000-0005-0000-0000-000063680000}"/>
    <cellStyle name="Hed Top - SECTION 2 9 9 4 2" xfId="24788" xr:uid="{00000000-0005-0000-0000-000064680000}"/>
    <cellStyle name="Hed Top - SECTION 2 9 9 5" xfId="24789" xr:uid="{00000000-0005-0000-0000-000065680000}"/>
    <cellStyle name="Hed Top - SECTION 2 9 9 5 2" xfId="24790" xr:uid="{00000000-0005-0000-0000-000066680000}"/>
    <cellStyle name="Hed Top - SECTION 2 9 9 6" xfId="24791" xr:uid="{00000000-0005-0000-0000-000067680000}"/>
    <cellStyle name="Hed Top - SECTION 2 9 9 6 2" xfId="24792" xr:uid="{00000000-0005-0000-0000-000068680000}"/>
    <cellStyle name="Hed Top - SECTION 2 9 9 7" xfId="24793" xr:uid="{00000000-0005-0000-0000-000069680000}"/>
    <cellStyle name="Hed Top - SECTION 2 9 9 7 2" xfId="24794" xr:uid="{00000000-0005-0000-0000-00006A680000}"/>
    <cellStyle name="Hed Top - SECTION 2 9 9 8" xfId="24795" xr:uid="{00000000-0005-0000-0000-00006B680000}"/>
    <cellStyle name="Hed Top - SECTION 2 9 9 8 2" xfId="24796" xr:uid="{00000000-0005-0000-0000-00006C680000}"/>
    <cellStyle name="Hed Top - SECTION 2 9 9 9" xfId="24797" xr:uid="{00000000-0005-0000-0000-00006D680000}"/>
    <cellStyle name="Hed Top - SECTION 2 9 9 9 2" xfId="24798" xr:uid="{00000000-0005-0000-0000-00006E680000}"/>
    <cellStyle name="Hed Top - SECTION 3" xfId="177" xr:uid="{00000000-0005-0000-0000-00006F680000}"/>
    <cellStyle name="Hed Top - SECTION 3 2" xfId="24799" xr:uid="{00000000-0005-0000-0000-000070680000}"/>
    <cellStyle name="Hed Top - SECTION 3 2 10" xfId="24800" xr:uid="{00000000-0005-0000-0000-000071680000}"/>
    <cellStyle name="Hed Top - SECTION 3 2 10 10" xfId="24801" xr:uid="{00000000-0005-0000-0000-000072680000}"/>
    <cellStyle name="Hed Top - SECTION 3 2 10 2" xfId="24802" xr:uid="{00000000-0005-0000-0000-000073680000}"/>
    <cellStyle name="Hed Top - SECTION 3 2 10 2 2" xfId="24803" xr:uid="{00000000-0005-0000-0000-000074680000}"/>
    <cellStyle name="Hed Top - SECTION 3 2 10 3" xfId="24804" xr:uid="{00000000-0005-0000-0000-000075680000}"/>
    <cellStyle name="Hed Top - SECTION 3 2 10 3 2" xfId="24805" xr:uid="{00000000-0005-0000-0000-000076680000}"/>
    <cellStyle name="Hed Top - SECTION 3 2 10 4" xfId="24806" xr:uid="{00000000-0005-0000-0000-000077680000}"/>
    <cellStyle name="Hed Top - SECTION 3 2 10 4 2" xfId="24807" xr:uid="{00000000-0005-0000-0000-000078680000}"/>
    <cellStyle name="Hed Top - SECTION 3 2 10 5" xfId="24808" xr:uid="{00000000-0005-0000-0000-000079680000}"/>
    <cellStyle name="Hed Top - SECTION 3 2 10 5 2" xfId="24809" xr:uid="{00000000-0005-0000-0000-00007A680000}"/>
    <cellStyle name="Hed Top - SECTION 3 2 10 6" xfId="24810" xr:uid="{00000000-0005-0000-0000-00007B680000}"/>
    <cellStyle name="Hed Top - SECTION 3 2 10 6 2" xfId="24811" xr:uid="{00000000-0005-0000-0000-00007C680000}"/>
    <cellStyle name="Hed Top - SECTION 3 2 10 7" xfId="24812" xr:uid="{00000000-0005-0000-0000-00007D680000}"/>
    <cellStyle name="Hed Top - SECTION 3 2 10 7 2" xfId="24813" xr:uid="{00000000-0005-0000-0000-00007E680000}"/>
    <cellStyle name="Hed Top - SECTION 3 2 10 8" xfId="24814" xr:uid="{00000000-0005-0000-0000-00007F680000}"/>
    <cellStyle name="Hed Top - SECTION 3 2 10 8 2" xfId="24815" xr:uid="{00000000-0005-0000-0000-000080680000}"/>
    <cellStyle name="Hed Top - SECTION 3 2 10 9" xfId="24816" xr:uid="{00000000-0005-0000-0000-000081680000}"/>
    <cellStyle name="Hed Top - SECTION 3 2 10 9 2" xfId="24817" xr:uid="{00000000-0005-0000-0000-000082680000}"/>
    <cellStyle name="Hed Top - SECTION 3 2 11" xfId="24818" xr:uid="{00000000-0005-0000-0000-000083680000}"/>
    <cellStyle name="Hed Top - SECTION 3 2 11 2" xfId="24819" xr:uid="{00000000-0005-0000-0000-000084680000}"/>
    <cellStyle name="Hed Top - SECTION 3 2 11 2 2" xfId="24820" xr:uid="{00000000-0005-0000-0000-000085680000}"/>
    <cellStyle name="Hed Top - SECTION 3 2 11 3" xfId="24821" xr:uid="{00000000-0005-0000-0000-000086680000}"/>
    <cellStyle name="Hed Top - SECTION 3 2 11 3 2" xfId="24822" xr:uid="{00000000-0005-0000-0000-000087680000}"/>
    <cellStyle name="Hed Top - SECTION 3 2 11 4" xfId="24823" xr:uid="{00000000-0005-0000-0000-000088680000}"/>
    <cellStyle name="Hed Top - SECTION 3 2 11 4 2" xfId="24824" xr:uid="{00000000-0005-0000-0000-000089680000}"/>
    <cellStyle name="Hed Top - SECTION 3 2 11 5" xfId="24825" xr:uid="{00000000-0005-0000-0000-00008A680000}"/>
    <cellStyle name="Hed Top - SECTION 3 2 11 5 2" xfId="24826" xr:uid="{00000000-0005-0000-0000-00008B680000}"/>
    <cellStyle name="Hed Top - SECTION 3 2 11 6" xfId="24827" xr:uid="{00000000-0005-0000-0000-00008C680000}"/>
    <cellStyle name="Hed Top - SECTION 3 2 11 6 2" xfId="24828" xr:uid="{00000000-0005-0000-0000-00008D680000}"/>
    <cellStyle name="Hed Top - SECTION 3 2 11 7" xfId="24829" xr:uid="{00000000-0005-0000-0000-00008E680000}"/>
    <cellStyle name="Hed Top - SECTION 3 2 11 7 2" xfId="24830" xr:uid="{00000000-0005-0000-0000-00008F680000}"/>
    <cellStyle name="Hed Top - SECTION 3 2 11 8" xfId="24831" xr:uid="{00000000-0005-0000-0000-000090680000}"/>
    <cellStyle name="Hed Top - SECTION 3 2 11 8 2" xfId="24832" xr:uid="{00000000-0005-0000-0000-000091680000}"/>
    <cellStyle name="Hed Top - SECTION 3 2 11 9" xfId="24833" xr:uid="{00000000-0005-0000-0000-000092680000}"/>
    <cellStyle name="Hed Top - SECTION 3 2 2" xfId="24834" xr:uid="{00000000-0005-0000-0000-000093680000}"/>
    <cellStyle name="Hed Top - SECTION 3 2 2 10" xfId="24835" xr:uid="{00000000-0005-0000-0000-000094680000}"/>
    <cellStyle name="Hed Top - SECTION 3 2 2 2" xfId="24836" xr:uid="{00000000-0005-0000-0000-000095680000}"/>
    <cellStyle name="Hed Top - SECTION 3 2 2 2 2" xfId="24837" xr:uid="{00000000-0005-0000-0000-000096680000}"/>
    <cellStyle name="Hed Top - SECTION 3 2 2 3" xfId="24838" xr:uid="{00000000-0005-0000-0000-000097680000}"/>
    <cellStyle name="Hed Top - SECTION 3 2 2 3 2" xfId="24839" xr:uid="{00000000-0005-0000-0000-000098680000}"/>
    <cellStyle name="Hed Top - SECTION 3 2 2 4" xfId="24840" xr:uid="{00000000-0005-0000-0000-000099680000}"/>
    <cellStyle name="Hed Top - SECTION 3 2 2 4 2" xfId="24841" xr:uid="{00000000-0005-0000-0000-00009A680000}"/>
    <cellStyle name="Hed Top - SECTION 3 2 2 5" xfId="24842" xr:uid="{00000000-0005-0000-0000-00009B680000}"/>
    <cellStyle name="Hed Top - SECTION 3 2 2 5 2" xfId="24843" xr:uid="{00000000-0005-0000-0000-00009C680000}"/>
    <cellStyle name="Hed Top - SECTION 3 2 2 6" xfId="24844" xr:uid="{00000000-0005-0000-0000-00009D680000}"/>
    <cellStyle name="Hed Top - SECTION 3 2 2 6 2" xfId="24845" xr:uid="{00000000-0005-0000-0000-00009E680000}"/>
    <cellStyle name="Hed Top - SECTION 3 2 2 7" xfId="24846" xr:uid="{00000000-0005-0000-0000-00009F680000}"/>
    <cellStyle name="Hed Top - SECTION 3 2 2 7 2" xfId="24847" xr:uid="{00000000-0005-0000-0000-0000A0680000}"/>
    <cellStyle name="Hed Top - SECTION 3 2 2 8" xfId="24848" xr:uid="{00000000-0005-0000-0000-0000A1680000}"/>
    <cellStyle name="Hed Top - SECTION 3 2 2 8 2" xfId="24849" xr:uid="{00000000-0005-0000-0000-0000A2680000}"/>
    <cellStyle name="Hed Top - SECTION 3 2 2 9" xfId="24850" xr:uid="{00000000-0005-0000-0000-0000A3680000}"/>
    <cellStyle name="Hed Top - SECTION 3 2 2 9 2" xfId="24851" xr:uid="{00000000-0005-0000-0000-0000A4680000}"/>
    <cellStyle name="Hed Top - SECTION 3 2 3" xfId="24852" xr:uid="{00000000-0005-0000-0000-0000A5680000}"/>
    <cellStyle name="Hed Top - SECTION 3 2 3 10" xfId="24853" xr:uid="{00000000-0005-0000-0000-0000A6680000}"/>
    <cellStyle name="Hed Top - SECTION 3 2 3 2" xfId="24854" xr:uid="{00000000-0005-0000-0000-0000A7680000}"/>
    <cellStyle name="Hed Top - SECTION 3 2 3 2 2" xfId="24855" xr:uid="{00000000-0005-0000-0000-0000A8680000}"/>
    <cellStyle name="Hed Top - SECTION 3 2 3 3" xfId="24856" xr:uid="{00000000-0005-0000-0000-0000A9680000}"/>
    <cellStyle name="Hed Top - SECTION 3 2 3 3 2" xfId="24857" xr:uid="{00000000-0005-0000-0000-0000AA680000}"/>
    <cellStyle name="Hed Top - SECTION 3 2 3 4" xfId="24858" xr:uid="{00000000-0005-0000-0000-0000AB680000}"/>
    <cellStyle name="Hed Top - SECTION 3 2 3 4 2" xfId="24859" xr:uid="{00000000-0005-0000-0000-0000AC680000}"/>
    <cellStyle name="Hed Top - SECTION 3 2 3 5" xfId="24860" xr:uid="{00000000-0005-0000-0000-0000AD680000}"/>
    <cellStyle name="Hed Top - SECTION 3 2 3 5 2" xfId="24861" xr:uid="{00000000-0005-0000-0000-0000AE680000}"/>
    <cellStyle name="Hed Top - SECTION 3 2 3 6" xfId="24862" xr:uid="{00000000-0005-0000-0000-0000AF680000}"/>
    <cellStyle name="Hed Top - SECTION 3 2 3 6 2" xfId="24863" xr:uid="{00000000-0005-0000-0000-0000B0680000}"/>
    <cellStyle name="Hed Top - SECTION 3 2 3 7" xfId="24864" xr:uid="{00000000-0005-0000-0000-0000B1680000}"/>
    <cellStyle name="Hed Top - SECTION 3 2 3 7 2" xfId="24865" xr:uid="{00000000-0005-0000-0000-0000B2680000}"/>
    <cellStyle name="Hed Top - SECTION 3 2 3 8" xfId="24866" xr:uid="{00000000-0005-0000-0000-0000B3680000}"/>
    <cellStyle name="Hed Top - SECTION 3 2 3 8 2" xfId="24867" xr:uid="{00000000-0005-0000-0000-0000B4680000}"/>
    <cellStyle name="Hed Top - SECTION 3 2 3 9" xfId="24868" xr:uid="{00000000-0005-0000-0000-0000B5680000}"/>
    <cellStyle name="Hed Top - SECTION 3 2 3 9 2" xfId="24869" xr:uid="{00000000-0005-0000-0000-0000B6680000}"/>
    <cellStyle name="Hed Top - SECTION 3 2 4" xfId="24870" xr:uid="{00000000-0005-0000-0000-0000B7680000}"/>
    <cellStyle name="Hed Top - SECTION 3 2 4 10" xfId="24871" xr:uid="{00000000-0005-0000-0000-0000B8680000}"/>
    <cellStyle name="Hed Top - SECTION 3 2 4 2" xfId="24872" xr:uid="{00000000-0005-0000-0000-0000B9680000}"/>
    <cellStyle name="Hed Top - SECTION 3 2 4 2 2" xfId="24873" xr:uid="{00000000-0005-0000-0000-0000BA680000}"/>
    <cellStyle name="Hed Top - SECTION 3 2 4 3" xfId="24874" xr:uid="{00000000-0005-0000-0000-0000BB680000}"/>
    <cellStyle name="Hed Top - SECTION 3 2 4 3 2" xfId="24875" xr:uid="{00000000-0005-0000-0000-0000BC680000}"/>
    <cellStyle name="Hed Top - SECTION 3 2 4 4" xfId="24876" xr:uid="{00000000-0005-0000-0000-0000BD680000}"/>
    <cellStyle name="Hed Top - SECTION 3 2 4 4 2" xfId="24877" xr:uid="{00000000-0005-0000-0000-0000BE680000}"/>
    <cellStyle name="Hed Top - SECTION 3 2 4 5" xfId="24878" xr:uid="{00000000-0005-0000-0000-0000BF680000}"/>
    <cellStyle name="Hed Top - SECTION 3 2 4 5 2" xfId="24879" xr:uid="{00000000-0005-0000-0000-0000C0680000}"/>
    <cellStyle name="Hed Top - SECTION 3 2 4 6" xfId="24880" xr:uid="{00000000-0005-0000-0000-0000C1680000}"/>
    <cellStyle name="Hed Top - SECTION 3 2 4 6 2" xfId="24881" xr:uid="{00000000-0005-0000-0000-0000C2680000}"/>
    <cellStyle name="Hed Top - SECTION 3 2 4 7" xfId="24882" xr:uid="{00000000-0005-0000-0000-0000C3680000}"/>
    <cellStyle name="Hed Top - SECTION 3 2 4 7 2" xfId="24883" xr:uid="{00000000-0005-0000-0000-0000C4680000}"/>
    <cellStyle name="Hed Top - SECTION 3 2 4 8" xfId="24884" xr:uid="{00000000-0005-0000-0000-0000C5680000}"/>
    <cellStyle name="Hed Top - SECTION 3 2 4 8 2" xfId="24885" xr:uid="{00000000-0005-0000-0000-0000C6680000}"/>
    <cellStyle name="Hed Top - SECTION 3 2 4 9" xfId="24886" xr:uid="{00000000-0005-0000-0000-0000C7680000}"/>
    <cellStyle name="Hed Top - SECTION 3 2 4 9 2" xfId="24887" xr:uid="{00000000-0005-0000-0000-0000C8680000}"/>
    <cellStyle name="Hed Top - SECTION 3 2 5" xfId="24888" xr:uid="{00000000-0005-0000-0000-0000C9680000}"/>
    <cellStyle name="Hed Top - SECTION 3 2 5 10" xfId="24889" xr:uid="{00000000-0005-0000-0000-0000CA680000}"/>
    <cellStyle name="Hed Top - SECTION 3 2 5 2" xfId="24890" xr:uid="{00000000-0005-0000-0000-0000CB680000}"/>
    <cellStyle name="Hed Top - SECTION 3 2 5 2 2" xfId="24891" xr:uid="{00000000-0005-0000-0000-0000CC680000}"/>
    <cellStyle name="Hed Top - SECTION 3 2 5 3" xfId="24892" xr:uid="{00000000-0005-0000-0000-0000CD680000}"/>
    <cellStyle name="Hed Top - SECTION 3 2 5 3 2" xfId="24893" xr:uid="{00000000-0005-0000-0000-0000CE680000}"/>
    <cellStyle name="Hed Top - SECTION 3 2 5 4" xfId="24894" xr:uid="{00000000-0005-0000-0000-0000CF680000}"/>
    <cellStyle name="Hed Top - SECTION 3 2 5 4 2" xfId="24895" xr:uid="{00000000-0005-0000-0000-0000D0680000}"/>
    <cellStyle name="Hed Top - SECTION 3 2 5 5" xfId="24896" xr:uid="{00000000-0005-0000-0000-0000D1680000}"/>
    <cellStyle name="Hed Top - SECTION 3 2 5 5 2" xfId="24897" xr:uid="{00000000-0005-0000-0000-0000D2680000}"/>
    <cellStyle name="Hed Top - SECTION 3 2 5 6" xfId="24898" xr:uid="{00000000-0005-0000-0000-0000D3680000}"/>
    <cellStyle name="Hed Top - SECTION 3 2 5 6 2" xfId="24899" xr:uid="{00000000-0005-0000-0000-0000D4680000}"/>
    <cellStyle name="Hed Top - SECTION 3 2 5 7" xfId="24900" xr:uid="{00000000-0005-0000-0000-0000D5680000}"/>
    <cellStyle name="Hed Top - SECTION 3 2 5 7 2" xfId="24901" xr:uid="{00000000-0005-0000-0000-0000D6680000}"/>
    <cellStyle name="Hed Top - SECTION 3 2 5 8" xfId="24902" xr:uid="{00000000-0005-0000-0000-0000D7680000}"/>
    <cellStyle name="Hed Top - SECTION 3 2 5 8 2" xfId="24903" xr:uid="{00000000-0005-0000-0000-0000D8680000}"/>
    <cellStyle name="Hed Top - SECTION 3 2 5 9" xfId="24904" xr:uid="{00000000-0005-0000-0000-0000D9680000}"/>
    <cellStyle name="Hed Top - SECTION 3 2 5 9 2" xfId="24905" xr:uid="{00000000-0005-0000-0000-0000DA680000}"/>
    <cellStyle name="Hed Top - SECTION 3 2 6" xfId="24906" xr:uid="{00000000-0005-0000-0000-0000DB680000}"/>
    <cellStyle name="Hed Top - SECTION 3 2 6 10" xfId="24907" xr:uid="{00000000-0005-0000-0000-0000DC680000}"/>
    <cellStyle name="Hed Top - SECTION 3 2 6 2" xfId="24908" xr:uid="{00000000-0005-0000-0000-0000DD680000}"/>
    <cellStyle name="Hed Top - SECTION 3 2 6 2 2" xfId="24909" xr:uid="{00000000-0005-0000-0000-0000DE680000}"/>
    <cellStyle name="Hed Top - SECTION 3 2 6 3" xfId="24910" xr:uid="{00000000-0005-0000-0000-0000DF680000}"/>
    <cellStyle name="Hed Top - SECTION 3 2 6 3 2" xfId="24911" xr:uid="{00000000-0005-0000-0000-0000E0680000}"/>
    <cellStyle name="Hed Top - SECTION 3 2 6 4" xfId="24912" xr:uid="{00000000-0005-0000-0000-0000E1680000}"/>
    <cellStyle name="Hed Top - SECTION 3 2 6 4 2" xfId="24913" xr:uid="{00000000-0005-0000-0000-0000E2680000}"/>
    <cellStyle name="Hed Top - SECTION 3 2 6 5" xfId="24914" xr:uid="{00000000-0005-0000-0000-0000E3680000}"/>
    <cellStyle name="Hed Top - SECTION 3 2 6 5 2" xfId="24915" xr:uid="{00000000-0005-0000-0000-0000E4680000}"/>
    <cellStyle name="Hed Top - SECTION 3 2 6 6" xfId="24916" xr:uid="{00000000-0005-0000-0000-0000E5680000}"/>
    <cellStyle name="Hed Top - SECTION 3 2 6 6 2" xfId="24917" xr:uid="{00000000-0005-0000-0000-0000E6680000}"/>
    <cellStyle name="Hed Top - SECTION 3 2 6 7" xfId="24918" xr:uid="{00000000-0005-0000-0000-0000E7680000}"/>
    <cellStyle name="Hed Top - SECTION 3 2 6 7 2" xfId="24919" xr:uid="{00000000-0005-0000-0000-0000E8680000}"/>
    <cellStyle name="Hed Top - SECTION 3 2 6 8" xfId="24920" xr:uid="{00000000-0005-0000-0000-0000E9680000}"/>
    <cellStyle name="Hed Top - SECTION 3 2 6 8 2" xfId="24921" xr:uid="{00000000-0005-0000-0000-0000EA680000}"/>
    <cellStyle name="Hed Top - SECTION 3 2 6 9" xfId="24922" xr:uid="{00000000-0005-0000-0000-0000EB680000}"/>
    <cellStyle name="Hed Top - SECTION 3 2 6 9 2" xfId="24923" xr:uid="{00000000-0005-0000-0000-0000EC680000}"/>
    <cellStyle name="Hed Top - SECTION 3 2 7" xfId="24924" xr:uid="{00000000-0005-0000-0000-0000ED680000}"/>
    <cellStyle name="Hed Top - SECTION 3 2 7 10" xfId="24925" xr:uid="{00000000-0005-0000-0000-0000EE680000}"/>
    <cellStyle name="Hed Top - SECTION 3 2 7 2" xfId="24926" xr:uid="{00000000-0005-0000-0000-0000EF680000}"/>
    <cellStyle name="Hed Top - SECTION 3 2 7 2 2" xfId="24927" xr:uid="{00000000-0005-0000-0000-0000F0680000}"/>
    <cellStyle name="Hed Top - SECTION 3 2 7 3" xfId="24928" xr:uid="{00000000-0005-0000-0000-0000F1680000}"/>
    <cellStyle name="Hed Top - SECTION 3 2 7 3 2" xfId="24929" xr:uid="{00000000-0005-0000-0000-0000F2680000}"/>
    <cellStyle name="Hed Top - SECTION 3 2 7 4" xfId="24930" xr:uid="{00000000-0005-0000-0000-0000F3680000}"/>
    <cellStyle name="Hed Top - SECTION 3 2 7 4 2" xfId="24931" xr:uid="{00000000-0005-0000-0000-0000F4680000}"/>
    <cellStyle name="Hed Top - SECTION 3 2 7 5" xfId="24932" xr:uid="{00000000-0005-0000-0000-0000F5680000}"/>
    <cellStyle name="Hed Top - SECTION 3 2 7 5 2" xfId="24933" xr:uid="{00000000-0005-0000-0000-0000F6680000}"/>
    <cellStyle name="Hed Top - SECTION 3 2 7 6" xfId="24934" xr:uid="{00000000-0005-0000-0000-0000F7680000}"/>
    <cellStyle name="Hed Top - SECTION 3 2 7 6 2" xfId="24935" xr:uid="{00000000-0005-0000-0000-0000F8680000}"/>
    <cellStyle name="Hed Top - SECTION 3 2 7 7" xfId="24936" xr:uid="{00000000-0005-0000-0000-0000F9680000}"/>
    <cellStyle name="Hed Top - SECTION 3 2 7 7 2" xfId="24937" xr:uid="{00000000-0005-0000-0000-0000FA680000}"/>
    <cellStyle name="Hed Top - SECTION 3 2 7 8" xfId="24938" xr:uid="{00000000-0005-0000-0000-0000FB680000}"/>
    <cellStyle name="Hed Top - SECTION 3 2 7 8 2" xfId="24939" xr:uid="{00000000-0005-0000-0000-0000FC680000}"/>
    <cellStyle name="Hed Top - SECTION 3 2 7 9" xfId="24940" xr:uid="{00000000-0005-0000-0000-0000FD680000}"/>
    <cellStyle name="Hed Top - SECTION 3 2 7 9 2" xfId="24941" xr:uid="{00000000-0005-0000-0000-0000FE680000}"/>
    <cellStyle name="Hed Top - SECTION 3 2 8" xfId="24942" xr:uid="{00000000-0005-0000-0000-0000FF680000}"/>
    <cellStyle name="Hed Top - SECTION 3 2 8 10" xfId="24943" xr:uid="{00000000-0005-0000-0000-000000690000}"/>
    <cellStyle name="Hed Top - SECTION 3 2 8 2" xfId="24944" xr:uid="{00000000-0005-0000-0000-000001690000}"/>
    <cellStyle name="Hed Top - SECTION 3 2 8 2 2" xfId="24945" xr:uid="{00000000-0005-0000-0000-000002690000}"/>
    <cellStyle name="Hed Top - SECTION 3 2 8 3" xfId="24946" xr:uid="{00000000-0005-0000-0000-000003690000}"/>
    <cellStyle name="Hed Top - SECTION 3 2 8 3 2" xfId="24947" xr:uid="{00000000-0005-0000-0000-000004690000}"/>
    <cellStyle name="Hed Top - SECTION 3 2 8 4" xfId="24948" xr:uid="{00000000-0005-0000-0000-000005690000}"/>
    <cellStyle name="Hed Top - SECTION 3 2 8 4 2" xfId="24949" xr:uid="{00000000-0005-0000-0000-000006690000}"/>
    <cellStyle name="Hed Top - SECTION 3 2 8 5" xfId="24950" xr:uid="{00000000-0005-0000-0000-000007690000}"/>
    <cellStyle name="Hed Top - SECTION 3 2 8 5 2" xfId="24951" xr:uid="{00000000-0005-0000-0000-000008690000}"/>
    <cellStyle name="Hed Top - SECTION 3 2 8 6" xfId="24952" xr:uid="{00000000-0005-0000-0000-000009690000}"/>
    <cellStyle name="Hed Top - SECTION 3 2 8 6 2" xfId="24953" xr:uid="{00000000-0005-0000-0000-00000A690000}"/>
    <cellStyle name="Hed Top - SECTION 3 2 8 7" xfId="24954" xr:uid="{00000000-0005-0000-0000-00000B690000}"/>
    <cellStyle name="Hed Top - SECTION 3 2 8 7 2" xfId="24955" xr:uid="{00000000-0005-0000-0000-00000C690000}"/>
    <cellStyle name="Hed Top - SECTION 3 2 8 8" xfId="24956" xr:uid="{00000000-0005-0000-0000-00000D690000}"/>
    <cellStyle name="Hed Top - SECTION 3 2 8 8 2" xfId="24957" xr:uid="{00000000-0005-0000-0000-00000E690000}"/>
    <cellStyle name="Hed Top - SECTION 3 2 8 9" xfId="24958" xr:uid="{00000000-0005-0000-0000-00000F690000}"/>
    <cellStyle name="Hed Top - SECTION 3 2 8 9 2" xfId="24959" xr:uid="{00000000-0005-0000-0000-000010690000}"/>
    <cellStyle name="Hed Top - SECTION 3 2 9" xfId="24960" xr:uid="{00000000-0005-0000-0000-000011690000}"/>
    <cellStyle name="Hed Top - SECTION 3 2 9 10" xfId="24961" xr:uid="{00000000-0005-0000-0000-000012690000}"/>
    <cellStyle name="Hed Top - SECTION 3 2 9 2" xfId="24962" xr:uid="{00000000-0005-0000-0000-000013690000}"/>
    <cellStyle name="Hed Top - SECTION 3 2 9 2 2" xfId="24963" xr:uid="{00000000-0005-0000-0000-000014690000}"/>
    <cellStyle name="Hed Top - SECTION 3 2 9 3" xfId="24964" xr:uid="{00000000-0005-0000-0000-000015690000}"/>
    <cellStyle name="Hed Top - SECTION 3 2 9 3 2" xfId="24965" xr:uid="{00000000-0005-0000-0000-000016690000}"/>
    <cellStyle name="Hed Top - SECTION 3 2 9 4" xfId="24966" xr:uid="{00000000-0005-0000-0000-000017690000}"/>
    <cellStyle name="Hed Top - SECTION 3 2 9 4 2" xfId="24967" xr:uid="{00000000-0005-0000-0000-000018690000}"/>
    <cellStyle name="Hed Top - SECTION 3 2 9 5" xfId="24968" xr:uid="{00000000-0005-0000-0000-000019690000}"/>
    <cellStyle name="Hed Top - SECTION 3 2 9 5 2" xfId="24969" xr:uid="{00000000-0005-0000-0000-00001A690000}"/>
    <cellStyle name="Hed Top - SECTION 3 2 9 6" xfId="24970" xr:uid="{00000000-0005-0000-0000-00001B690000}"/>
    <cellStyle name="Hed Top - SECTION 3 2 9 6 2" xfId="24971" xr:uid="{00000000-0005-0000-0000-00001C690000}"/>
    <cellStyle name="Hed Top - SECTION 3 2 9 7" xfId="24972" xr:uid="{00000000-0005-0000-0000-00001D690000}"/>
    <cellStyle name="Hed Top - SECTION 3 2 9 7 2" xfId="24973" xr:uid="{00000000-0005-0000-0000-00001E690000}"/>
    <cellStyle name="Hed Top - SECTION 3 2 9 8" xfId="24974" xr:uid="{00000000-0005-0000-0000-00001F690000}"/>
    <cellStyle name="Hed Top - SECTION 3 2 9 8 2" xfId="24975" xr:uid="{00000000-0005-0000-0000-000020690000}"/>
    <cellStyle name="Hed Top - SECTION 3 2 9 9" xfId="24976" xr:uid="{00000000-0005-0000-0000-000021690000}"/>
    <cellStyle name="Hed Top - SECTION 3 2 9 9 2" xfId="24977" xr:uid="{00000000-0005-0000-0000-000022690000}"/>
    <cellStyle name="Hed Top - SECTION 3 3" xfId="24978" xr:uid="{00000000-0005-0000-0000-000023690000}"/>
    <cellStyle name="Hed Top - SECTION 3 3 10" xfId="24979" xr:uid="{00000000-0005-0000-0000-000024690000}"/>
    <cellStyle name="Hed Top - SECTION 3 3 10 2" xfId="24980" xr:uid="{00000000-0005-0000-0000-000025690000}"/>
    <cellStyle name="Hed Top - SECTION 3 3 10 2 2" xfId="24981" xr:uid="{00000000-0005-0000-0000-000026690000}"/>
    <cellStyle name="Hed Top - SECTION 3 3 10 3" xfId="24982" xr:uid="{00000000-0005-0000-0000-000027690000}"/>
    <cellStyle name="Hed Top - SECTION 3 3 10 3 2" xfId="24983" xr:uid="{00000000-0005-0000-0000-000028690000}"/>
    <cellStyle name="Hed Top - SECTION 3 3 10 4" xfId="24984" xr:uid="{00000000-0005-0000-0000-000029690000}"/>
    <cellStyle name="Hed Top - SECTION 3 3 10 4 2" xfId="24985" xr:uid="{00000000-0005-0000-0000-00002A690000}"/>
    <cellStyle name="Hed Top - SECTION 3 3 10 5" xfId="24986" xr:uid="{00000000-0005-0000-0000-00002B690000}"/>
    <cellStyle name="Hed Top - SECTION 3 3 10 5 2" xfId="24987" xr:uid="{00000000-0005-0000-0000-00002C690000}"/>
    <cellStyle name="Hed Top - SECTION 3 3 10 6" xfId="24988" xr:uid="{00000000-0005-0000-0000-00002D690000}"/>
    <cellStyle name="Hed Top - SECTION 3 3 10 6 2" xfId="24989" xr:uid="{00000000-0005-0000-0000-00002E690000}"/>
    <cellStyle name="Hed Top - SECTION 3 3 10 7" xfId="24990" xr:uid="{00000000-0005-0000-0000-00002F690000}"/>
    <cellStyle name="Hed Top - SECTION 3 3 10 7 2" xfId="24991" xr:uid="{00000000-0005-0000-0000-000030690000}"/>
    <cellStyle name="Hed Top - SECTION 3 3 10 8" xfId="24992" xr:uid="{00000000-0005-0000-0000-000031690000}"/>
    <cellStyle name="Hed Top - SECTION 3 3 10 8 2" xfId="24993" xr:uid="{00000000-0005-0000-0000-000032690000}"/>
    <cellStyle name="Hed Top - SECTION 3 3 10 9" xfId="24994" xr:uid="{00000000-0005-0000-0000-000033690000}"/>
    <cellStyle name="Hed Top - SECTION 3 3 11" xfId="24995" xr:uid="{00000000-0005-0000-0000-000034690000}"/>
    <cellStyle name="Hed Top - SECTION 3 3 11 2" xfId="24996" xr:uid="{00000000-0005-0000-0000-000035690000}"/>
    <cellStyle name="Hed Top - SECTION 3 3 12" xfId="24997" xr:uid="{00000000-0005-0000-0000-000036690000}"/>
    <cellStyle name="Hed Top - SECTION 3 3 12 2" xfId="24998" xr:uid="{00000000-0005-0000-0000-000037690000}"/>
    <cellStyle name="Hed Top - SECTION 3 3 13" xfId="24999" xr:uid="{00000000-0005-0000-0000-000038690000}"/>
    <cellStyle name="Hed Top - SECTION 3 3 13 2" xfId="25000" xr:uid="{00000000-0005-0000-0000-000039690000}"/>
    <cellStyle name="Hed Top - SECTION 3 3 14" xfId="25001" xr:uid="{00000000-0005-0000-0000-00003A690000}"/>
    <cellStyle name="Hed Top - SECTION 3 3 14 2" xfId="25002" xr:uid="{00000000-0005-0000-0000-00003B690000}"/>
    <cellStyle name="Hed Top - SECTION 3 3 15" xfId="25003" xr:uid="{00000000-0005-0000-0000-00003C690000}"/>
    <cellStyle name="Hed Top - SECTION 3 3 15 2" xfId="25004" xr:uid="{00000000-0005-0000-0000-00003D690000}"/>
    <cellStyle name="Hed Top - SECTION 3 3 16" xfId="25005" xr:uid="{00000000-0005-0000-0000-00003E690000}"/>
    <cellStyle name="Hed Top - SECTION 3 3 16 2" xfId="25006" xr:uid="{00000000-0005-0000-0000-00003F690000}"/>
    <cellStyle name="Hed Top - SECTION 3 3 17" xfId="25007" xr:uid="{00000000-0005-0000-0000-000040690000}"/>
    <cellStyle name="Hed Top - SECTION 3 3 17 2" xfId="25008" xr:uid="{00000000-0005-0000-0000-000041690000}"/>
    <cellStyle name="Hed Top - SECTION 3 3 18" xfId="25009" xr:uid="{00000000-0005-0000-0000-000042690000}"/>
    <cellStyle name="Hed Top - SECTION 3 3 2" xfId="25010" xr:uid="{00000000-0005-0000-0000-000043690000}"/>
    <cellStyle name="Hed Top - SECTION 3 3 2 10" xfId="25011" xr:uid="{00000000-0005-0000-0000-000044690000}"/>
    <cellStyle name="Hed Top - SECTION 3 3 2 2" xfId="25012" xr:uid="{00000000-0005-0000-0000-000045690000}"/>
    <cellStyle name="Hed Top - SECTION 3 3 2 2 2" xfId="25013" xr:uid="{00000000-0005-0000-0000-000046690000}"/>
    <cellStyle name="Hed Top - SECTION 3 3 2 3" xfId="25014" xr:uid="{00000000-0005-0000-0000-000047690000}"/>
    <cellStyle name="Hed Top - SECTION 3 3 2 3 2" xfId="25015" xr:uid="{00000000-0005-0000-0000-000048690000}"/>
    <cellStyle name="Hed Top - SECTION 3 3 2 4" xfId="25016" xr:uid="{00000000-0005-0000-0000-000049690000}"/>
    <cellStyle name="Hed Top - SECTION 3 3 2 4 2" xfId="25017" xr:uid="{00000000-0005-0000-0000-00004A690000}"/>
    <cellStyle name="Hed Top - SECTION 3 3 2 5" xfId="25018" xr:uid="{00000000-0005-0000-0000-00004B690000}"/>
    <cellStyle name="Hed Top - SECTION 3 3 2 5 2" xfId="25019" xr:uid="{00000000-0005-0000-0000-00004C690000}"/>
    <cellStyle name="Hed Top - SECTION 3 3 2 6" xfId="25020" xr:uid="{00000000-0005-0000-0000-00004D690000}"/>
    <cellStyle name="Hed Top - SECTION 3 3 2 6 2" xfId="25021" xr:uid="{00000000-0005-0000-0000-00004E690000}"/>
    <cellStyle name="Hed Top - SECTION 3 3 2 7" xfId="25022" xr:uid="{00000000-0005-0000-0000-00004F690000}"/>
    <cellStyle name="Hed Top - SECTION 3 3 2 7 2" xfId="25023" xr:uid="{00000000-0005-0000-0000-000050690000}"/>
    <cellStyle name="Hed Top - SECTION 3 3 2 8" xfId="25024" xr:uid="{00000000-0005-0000-0000-000051690000}"/>
    <cellStyle name="Hed Top - SECTION 3 3 2 8 2" xfId="25025" xr:uid="{00000000-0005-0000-0000-000052690000}"/>
    <cellStyle name="Hed Top - SECTION 3 3 2 9" xfId="25026" xr:uid="{00000000-0005-0000-0000-000053690000}"/>
    <cellStyle name="Hed Top - SECTION 3 3 2 9 2" xfId="25027" xr:uid="{00000000-0005-0000-0000-000054690000}"/>
    <cellStyle name="Hed Top - SECTION 3 3 3" xfId="25028" xr:uid="{00000000-0005-0000-0000-000055690000}"/>
    <cellStyle name="Hed Top - SECTION 3 3 3 10" xfId="25029" xr:uid="{00000000-0005-0000-0000-000056690000}"/>
    <cellStyle name="Hed Top - SECTION 3 3 3 2" xfId="25030" xr:uid="{00000000-0005-0000-0000-000057690000}"/>
    <cellStyle name="Hed Top - SECTION 3 3 3 2 2" xfId="25031" xr:uid="{00000000-0005-0000-0000-000058690000}"/>
    <cellStyle name="Hed Top - SECTION 3 3 3 3" xfId="25032" xr:uid="{00000000-0005-0000-0000-000059690000}"/>
    <cellStyle name="Hed Top - SECTION 3 3 3 3 2" xfId="25033" xr:uid="{00000000-0005-0000-0000-00005A690000}"/>
    <cellStyle name="Hed Top - SECTION 3 3 3 4" xfId="25034" xr:uid="{00000000-0005-0000-0000-00005B690000}"/>
    <cellStyle name="Hed Top - SECTION 3 3 3 4 2" xfId="25035" xr:uid="{00000000-0005-0000-0000-00005C690000}"/>
    <cellStyle name="Hed Top - SECTION 3 3 3 5" xfId="25036" xr:uid="{00000000-0005-0000-0000-00005D690000}"/>
    <cellStyle name="Hed Top - SECTION 3 3 3 5 2" xfId="25037" xr:uid="{00000000-0005-0000-0000-00005E690000}"/>
    <cellStyle name="Hed Top - SECTION 3 3 3 6" xfId="25038" xr:uid="{00000000-0005-0000-0000-00005F690000}"/>
    <cellStyle name="Hed Top - SECTION 3 3 3 6 2" xfId="25039" xr:uid="{00000000-0005-0000-0000-000060690000}"/>
    <cellStyle name="Hed Top - SECTION 3 3 3 7" xfId="25040" xr:uid="{00000000-0005-0000-0000-000061690000}"/>
    <cellStyle name="Hed Top - SECTION 3 3 3 7 2" xfId="25041" xr:uid="{00000000-0005-0000-0000-000062690000}"/>
    <cellStyle name="Hed Top - SECTION 3 3 3 8" xfId="25042" xr:uid="{00000000-0005-0000-0000-000063690000}"/>
    <cellStyle name="Hed Top - SECTION 3 3 3 8 2" xfId="25043" xr:uid="{00000000-0005-0000-0000-000064690000}"/>
    <cellStyle name="Hed Top - SECTION 3 3 3 9" xfId="25044" xr:uid="{00000000-0005-0000-0000-000065690000}"/>
    <cellStyle name="Hed Top - SECTION 3 3 3 9 2" xfId="25045" xr:uid="{00000000-0005-0000-0000-000066690000}"/>
    <cellStyle name="Hed Top - SECTION 3 3 4" xfId="25046" xr:uid="{00000000-0005-0000-0000-000067690000}"/>
    <cellStyle name="Hed Top - SECTION 3 3 4 10" xfId="25047" xr:uid="{00000000-0005-0000-0000-000068690000}"/>
    <cellStyle name="Hed Top - SECTION 3 3 4 2" xfId="25048" xr:uid="{00000000-0005-0000-0000-000069690000}"/>
    <cellStyle name="Hed Top - SECTION 3 3 4 2 2" xfId="25049" xr:uid="{00000000-0005-0000-0000-00006A690000}"/>
    <cellStyle name="Hed Top - SECTION 3 3 4 3" xfId="25050" xr:uid="{00000000-0005-0000-0000-00006B690000}"/>
    <cellStyle name="Hed Top - SECTION 3 3 4 3 2" xfId="25051" xr:uid="{00000000-0005-0000-0000-00006C690000}"/>
    <cellStyle name="Hed Top - SECTION 3 3 4 4" xfId="25052" xr:uid="{00000000-0005-0000-0000-00006D690000}"/>
    <cellStyle name="Hed Top - SECTION 3 3 4 4 2" xfId="25053" xr:uid="{00000000-0005-0000-0000-00006E690000}"/>
    <cellStyle name="Hed Top - SECTION 3 3 4 5" xfId="25054" xr:uid="{00000000-0005-0000-0000-00006F690000}"/>
    <cellStyle name="Hed Top - SECTION 3 3 4 5 2" xfId="25055" xr:uid="{00000000-0005-0000-0000-000070690000}"/>
    <cellStyle name="Hed Top - SECTION 3 3 4 6" xfId="25056" xr:uid="{00000000-0005-0000-0000-000071690000}"/>
    <cellStyle name="Hed Top - SECTION 3 3 4 6 2" xfId="25057" xr:uid="{00000000-0005-0000-0000-000072690000}"/>
    <cellStyle name="Hed Top - SECTION 3 3 4 7" xfId="25058" xr:uid="{00000000-0005-0000-0000-000073690000}"/>
    <cellStyle name="Hed Top - SECTION 3 3 4 7 2" xfId="25059" xr:uid="{00000000-0005-0000-0000-000074690000}"/>
    <cellStyle name="Hed Top - SECTION 3 3 4 8" xfId="25060" xr:uid="{00000000-0005-0000-0000-000075690000}"/>
    <cellStyle name="Hed Top - SECTION 3 3 4 8 2" xfId="25061" xr:uid="{00000000-0005-0000-0000-000076690000}"/>
    <cellStyle name="Hed Top - SECTION 3 3 4 9" xfId="25062" xr:uid="{00000000-0005-0000-0000-000077690000}"/>
    <cellStyle name="Hed Top - SECTION 3 3 4 9 2" xfId="25063" xr:uid="{00000000-0005-0000-0000-000078690000}"/>
    <cellStyle name="Hed Top - SECTION 3 3 5" xfId="25064" xr:uid="{00000000-0005-0000-0000-000079690000}"/>
    <cellStyle name="Hed Top - SECTION 3 3 5 10" xfId="25065" xr:uid="{00000000-0005-0000-0000-00007A690000}"/>
    <cellStyle name="Hed Top - SECTION 3 3 5 2" xfId="25066" xr:uid="{00000000-0005-0000-0000-00007B690000}"/>
    <cellStyle name="Hed Top - SECTION 3 3 5 2 2" xfId="25067" xr:uid="{00000000-0005-0000-0000-00007C690000}"/>
    <cellStyle name="Hed Top - SECTION 3 3 5 3" xfId="25068" xr:uid="{00000000-0005-0000-0000-00007D690000}"/>
    <cellStyle name="Hed Top - SECTION 3 3 5 3 2" xfId="25069" xr:uid="{00000000-0005-0000-0000-00007E690000}"/>
    <cellStyle name="Hed Top - SECTION 3 3 5 4" xfId="25070" xr:uid="{00000000-0005-0000-0000-00007F690000}"/>
    <cellStyle name="Hed Top - SECTION 3 3 5 4 2" xfId="25071" xr:uid="{00000000-0005-0000-0000-000080690000}"/>
    <cellStyle name="Hed Top - SECTION 3 3 5 5" xfId="25072" xr:uid="{00000000-0005-0000-0000-000081690000}"/>
    <cellStyle name="Hed Top - SECTION 3 3 5 5 2" xfId="25073" xr:uid="{00000000-0005-0000-0000-000082690000}"/>
    <cellStyle name="Hed Top - SECTION 3 3 5 6" xfId="25074" xr:uid="{00000000-0005-0000-0000-000083690000}"/>
    <cellStyle name="Hed Top - SECTION 3 3 5 6 2" xfId="25075" xr:uid="{00000000-0005-0000-0000-000084690000}"/>
    <cellStyle name="Hed Top - SECTION 3 3 5 7" xfId="25076" xr:uid="{00000000-0005-0000-0000-000085690000}"/>
    <cellStyle name="Hed Top - SECTION 3 3 5 7 2" xfId="25077" xr:uid="{00000000-0005-0000-0000-000086690000}"/>
    <cellStyle name="Hed Top - SECTION 3 3 5 8" xfId="25078" xr:uid="{00000000-0005-0000-0000-000087690000}"/>
    <cellStyle name="Hed Top - SECTION 3 3 5 8 2" xfId="25079" xr:uid="{00000000-0005-0000-0000-000088690000}"/>
    <cellStyle name="Hed Top - SECTION 3 3 5 9" xfId="25080" xr:uid="{00000000-0005-0000-0000-000089690000}"/>
    <cellStyle name="Hed Top - SECTION 3 3 5 9 2" xfId="25081" xr:uid="{00000000-0005-0000-0000-00008A690000}"/>
    <cellStyle name="Hed Top - SECTION 3 3 6" xfId="25082" xr:uid="{00000000-0005-0000-0000-00008B690000}"/>
    <cellStyle name="Hed Top - SECTION 3 3 6 10" xfId="25083" xr:uid="{00000000-0005-0000-0000-00008C690000}"/>
    <cellStyle name="Hed Top - SECTION 3 3 6 2" xfId="25084" xr:uid="{00000000-0005-0000-0000-00008D690000}"/>
    <cellStyle name="Hed Top - SECTION 3 3 6 2 2" xfId="25085" xr:uid="{00000000-0005-0000-0000-00008E690000}"/>
    <cellStyle name="Hed Top - SECTION 3 3 6 3" xfId="25086" xr:uid="{00000000-0005-0000-0000-00008F690000}"/>
    <cellStyle name="Hed Top - SECTION 3 3 6 3 2" xfId="25087" xr:uid="{00000000-0005-0000-0000-000090690000}"/>
    <cellStyle name="Hed Top - SECTION 3 3 6 4" xfId="25088" xr:uid="{00000000-0005-0000-0000-000091690000}"/>
    <cellStyle name="Hed Top - SECTION 3 3 6 4 2" xfId="25089" xr:uid="{00000000-0005-0000-0000-000092690000}"/>
    <cellStyle name="Hed Top - SECTION 3 3 6 5" xfId="25090" xr:uid="{00000000-0005-0000-0000-000093690000}"/>
    <cellStyle name="Hed Top - SECTION 3 3 6 5 2" xfId="25091" xr:uid="{00000000-0005-0000-0000-000094690000}"/>
    <cellStyle name="Hed Top - SECTION 3 3 6 6" xfId="25092" xr:uid="{00000000-0005-0000-0000-000095690000}"/>
    <cellStyle name="Hed Top - SECTION 3 3 6 6 2" xfId="25093" xr:uid="{00000000-0005-0000-0000-000096690000}"/>
    <cellStyle name="Hed Top - SECTION 3 3 6 7" xfId="25094" xr:uid="{00000000-0005-0000-0000-000097690000}"/>
    <cellStyle name="Hed Top - SECTION 3 3 6 7 2" xfId="25095" xr:uid="{00000000-0005-0000-0000-000098690000}"/>
    <cellStyle name="Hed Top - SECTION 3 3 6 8" xfId="25096" xr:uid="{00000000-0005-0000-0000-000099690000}"/>
    <cellStyle name="Hed Top - SECTION 3 3 6 8 2" xfId="25097" xr:uid="{00000000-0005-0000-0000-00009A690000}"/>
    <cellStyle name="Hed Top - SECTION 3 3 6 9" xfId="25098" xr:uid="{00000000-0005-0000-0000-00009B690000}"/>
    <cellStyle name="Hed Top - SECTION 3 3 6 9 2" xfId="25099" xr:uid="{00000000-0005-0000-0000-00009C690000}"/>
    <cellStyle name="Hed Top - SECTION 3 3 7" xfId="25100" xr:uid="{00000000-0005-0000-0000-00009D690000}"/>
    <cellStyle name="Hed Top - SECTION 3 3 7 10" xfId="25101" xr:uid="{00000000-0005-0000-0000-00009E690000}"/>
    <cellStyle name="Hed Top - SECTION 3 3 7 2" xfId="25102" xr:uid="{00000000-0005-0000-0000-00009F690000}"/>
    <cellStyle name="Hed Top - SECTION 3 3 7 2 2" xfId="25103" xr:uid="{00000000-0005-0000-0000-0000A0690000}"/>
    <cellStyle name="Hed Top - SECTION 3 3 7 3" xfId="25104" xr:uid="{00000000-0005-0000-0000-0000A1690000}"/>
    <cellStyle name="Hed Top - SECTION 3 3 7 3 2" xfId="25105" xr:uid="{00000000-0005-0000-0000-0000A2690000}"/>
    <cellStyle name="Hed Top - SECTION 3 3 7 4" xfId="25106" xr:uid="{00000000-0005-0000-0000-0000A3690000}"/>
    <cellStyle name="Hed Top - SECTION 3 3 7 4 2" xfId="25107" xr:uid="{00000000-0005-0000-0000-0000A4690000}"/>
    <cellStyle name="Hed Top - SECTION 3 3 7 5" xfId="25108" xr:uid="{00000000-0005-0000-0000-0000A5690000}"/>
    <cellStyle name="Hed Top - SECTION 3 3 7 5 2" xfId="25109" xr:uid="{00000000-0005-0000-0000-0000A6690000}"/>
    <cellStyle name="Hed Top - SECTION 3 3 7 6" xfId="25110" xr:uid="{00000000-0005-0000-0000-0000A7690000}"/>
    <cellStyle name="Hed Top - SECTION 3 3 7 6 2" xfId="25111" xr:uid="{00000000-0005-0000-0000-0000A8690000}"/>
    <cellStyle name="Hed Top - SECTION 3 3 7 7" xfId="25112" xr:uid="{00000000-0005-0000-0000-0000A9690000}"/>
    <cellStyle name="Hed Top - SECTION 3 3 7 7 2" xfId="25113" xr:uid="{00000000-0005-0000-0000-0000AA690000}"/>
    <cellStyle name="Hed Top - SECTION 3 3 7 8" xfId="25114" xr:uid="{00000000-0005-0000-0000-0000AB690000}"/>
    <cellStyle name="Hed Top - SECTION 3 3 7 8 2" xfId="25115" xr:uid="{00000000-0005-0000-0000-0000AC690000}"/>
    <cellStyle name="Hed Top - SECTION 3 3 7 9" xfId="25116" xr:uid="{00000000-0005-0000-0000-0000AD690000}"/>
    <cellStyle name="Hed Top - SECTION 3 3 7 9 2" xfId="25117" xr:uid="{00000000-0005-0000-0000-0000AE690000}"/>
    <cellStyle name="Hed Top - SECTION 3 3 8" xfId="25118" xr:uid="{00000000-0005-0000-0000-0000AF690000}"/>
    <cellStyle name="Hed Top - SECTION 3 3 8 10" xfId="25119" xr:uid="{00000000-0005-0000-0000-0000B0690000}"/>
    <cellStyle name="Hed Top - SECTION 3 3 8 2" xfId="25120" xr:uid="{00000000-0005-0000-0000-0000B1690000}"/>
    <cellStyle name="Hed Top - SECTION 3 3 8 2 2" xfId="25121" xr:uid="{00000000-0005-0000-0000-0000B2690000}"/>
    <cellStyle name="Hed Top - SECTION 3 3 8 3" xfId="25122" xr:uid="{00000000-0005-0000-0000-0000B3690000}"/>
    <cellStyle name="Hed Top - SECTION 3 3 8 3 2" xfId="25123" xr:uid="{00000000-0005-0000-0000-0000B4690000}"/>
    <cellStyle name="Hed Top - SECTION 3 3 8 4" xfId="25124" xr:uid="{00000000-0005-0000-0000-0000B5690000}"/>
    <cellStyle name="Hed Top - SECTION 3 3 8 4 2" xfId="25125" xr:uid="{00000000-0005-0000-0000-0000B6690000}"/>
    <cellStyle name="Hed Top - SECTION 3 3 8 5" xfId="25126" xr:uid="{00000000-0005-0000-0000-0000B7690000}"/>
    <cellStyle name="Hed Top - SECTION 3 3 8 5 2" xfId="25127" xr:uid="{00000000-0005-0000-0000-0000B8690000}"/>
    <cellStyle name="Hed Top - SECTION 3 3 8 6" xfId="25128" xr:uid="{00000000-0005-0000-0000-0000B9690000}"/>
    <cellStyle name="Hed Top - SECTION 3 3 8 6 2" xfId="25129" xr:uid="{00000000-0005-0000-0000-0000BA690000}"/>
    <cellStyle name="Hed Top - SECTION 3 3 8 7" xfId="25130" xr:uid="{00000000-0005-0000-0000-0000BB690000}"/>
    <cellStyle name="Hed Top - SECTION 3 3 8 7 2" xfId="25131" xr:uid="{00000000-0005-0000-0000-0000BC690000}"/>
    <cellStyle name="Hed Top - SECTION 3 3 8 8" xfId="25132" xr:uid="{00000000-0005-0000-0000-0000BD690000}"/>
    <cellStyle name="Hed Top - SECTION 3 3 8 8 2" xfId="25133" xr:uid="{00000000-0005-0000-0000-0000BE690000}"/>
    <cellStyle name="Hed Top - SECTION 3 3 8 9" xfId="25134" xr:uid="{00000000-0005-0000-0000-0000BF690000}"/>
    <cellStyle name="Hed Top - SECTION 3 3 8 9 2" xfId="25135" xr:uid="{00000000-0005-0000-0000-0000C0690000}"/>
    <cellStyle name="Hed Top - SECTION 3 3 9" xfId="25136" xr:uid="{00000000-0005-0000-0000-0000C1690000}"/>
    <cellStyle name="Hed Top - SECTION 3 3 9 10" xfId="25137" xr:uid="{00000000-0005-0000-0000-0000C2690000}"/>
    <cellStyle name="Hed Top - SECTION 3 3 9 2" xfId="25138" xr:uid="{00000000-0005-0000-0000-0000C3690000}"/>
    <cellStyle name="Hed Top - SECTION 3 3 9 2 2" xfId="25139" xr:uid="{00000000-0005-0000-0000-0000C4690000}"/>
    <cellStyle name="Hed Top - SECTION 3 3 9 3" xfId="25140" xr:uid="{00000000-0005-0000-0000-0000C5690000}"/>
    <cellStyle name="Hed Top - SECTION 3 3 9 3 2" xfId="25141" xr:uid="{00000000-0005-0000-0000-0000C6690000}"/>
    <cellStyle name="Hed Top - SECTION 3 3 9 4" xfId="25142" xr:uid="{00000000-0005-0000-0000-0000C7690000}"/>
    <cellStyle name="Hed Top - SECTION 3 3 9 4 2" xfId="25143" xr:uid="{00000000-0005-0000-0000-0000C8690000}"/>
    <cellStyle name="Hed Top - SECTION 3 3 9 5" xfId="25144" xr:uid="{00000000-0005-0000-0000-0000C9690000}"/>
    <cellStyle name="Hed Top - SECTION 3 3 9 5 2" xfId="25145" xr:uid="{00000000-0005-0000-0000-0000CA690000}"/>
    <cellStyle name="Hed Top - SECTION 3 3 9 6" xfId="25146" xr:uid="{00000000-0005-0000-0000-0000CB690000}"/>
    <cellStyle name="Hed Top - SECTION 3 3 9 6 2" xfId="25147" xr:uid="{00000000-0005-0000-0000-0000CC690000}"/>
    <cellStyle name="Hed Top - SECTION 3 3 9 7" xfId="25148" xr:uid="{00000000-0005-0000-0000-0000CD690000}"/>
    <cellStyle name="Hed Top - SECTION 3 3 9 7 2" xfId="25149" xr:uid="{00000000-0005-0000-0000-0000CE690000}"/>
    <cellStyle name="Hed Top - SECTION 3 3 9 8" xfId="25150" xr:uid="{00000000-0005-0000-0000-0000CF690000}"/>
    <cellStyle name="Hed Top - SECTION 3 3 9 8 2" xfId="25151" xr:uid="{00000000-0005-0000-0000-0000D0690000}"/>
    <cellStyle name="Hed Top - SECTION 3 3 9 9" xfId="25152" xr:uid="{00000000-0005-0000-0000-0000D1690000}"/>
    <cellStyle name="Hed Top - SECTION 3 3 9 9 2" xfId="25153" xr:uid="{00000000-0005-0000-0000-0000D2690000}"/>
    <cellStyle name="Hed Top - SECTION 3 4" xfId="25154" xr:uid="{00000000-0005-0000-0000-0000D3690000}"/>
    <cellStyle name="Hed Top - SECTION 3 4 10" xfId="25155" xr:uid="{00000000-0005-0000-0000-0000D4690000}"/>
    <cellStyle name="Hed Top - SECTION 3 4 10 2" xfId="25156" xr:uid="{00000000-0005-0000-0000-0000D5690000}"/>
    <cellStyle name="Hed Top - SECTION 3 4 10 2 2" xfId="25157" xr:uid="{00000000-0005-0000-0000-0000D6690000}"/>
    <cellStyle name="Hed Top - SECTION 3 4 10 3" xfId="25158" xr:uid="{00000000-0005-0000-0000-0000D7690000}"/>
    <cellStyle name="Hed Top - SECTION 3 4 10 3 2" xfId="25159" xr:uid="{00000000-0005-0000-0000-0000D8690000}"/>
    <cellStyle name="Hed Top - SECTION 3 4 10 4" xfId="25160" xr:uid="{00000000-0005-0000-0000-0000D9690000}"/>
    <cellStyle name="Hed Top - SECTION 3 4 10 4 2" xfId="25161" xr:uid="{00000000-0005-0000-0000-0000DA690000}"/>
    <cellStyle name="Hed Top - SECTION 3 4 10 5" xfId="25162" xr:uid="{00000000-0005-0000-0000-0000DB690000}"/>
    <cellStyle name="Hed Top - SECTION 3 4 10 5 2" xfId="25163" xr:uid="{00000000-0005-0000-0000-0000DC690000}"/>
    <cellStyle name="Hed Top - SECTION 3 4 10 6" xfId="25164" xr:uid="{00000000-0005-0000-0000-0000DD690000}"/>
    <cellStyle name="Hed Top - SECTION 3 4 10 6 2" xfId="25165" xr:uid="{00000000-0005-0000-0000-0000DE690000}"/>
    <cellStyle name="Hed Top - SECTION 3 4 10 7" xfId="25166" xr:uid="{00000000-0005-0000-0000-0000DF690000}"/>
    <cellStyle name="Hed Top - SECTION 3 4 10 7 2" xfId="25167" xr:uid="{00000000-0005-0000-0000-0000E0690000}"/>
    <cellStyle name="Hed Top - SECTION 3 4 10 8" xfId="25168" xr:uid="{00000000-0005-0000-0000-0000E1690000}"/>
    <cellStyle name="Hed Top - SECTION 3 4 10 8 2" xfId="25169" xr:uid="{00000000-0005-0000-0000-0000E2690000}"/>
    <cellStyle name="Hed Top - SECTION 3 4 10 9" xfId="25170" xr:uid="{00000000-0005-0000-0000-0000E3690000}"/>
    <cellStyle name="Hed Top - SECTION 3 4 11" xfId="25171" xr:uid="{00000000-0005-0000-0000-0000E4690000}"/>
    <cellStyle name="Hed Top - SECTION 3 4 11 2" xfId="25172" xr:uid="{00000000-0005-0000-0000-0000E5690000}"/>
    <cellStyle name="Hed Top - SECTION 3 4 12" xfId="25173" xr:uid="{00000000-0005-0000-0000-0000E6690000}"/>
    <cellStyle name="Hed Top - SECTION 3 4 12 2" xfId="25174" xr:uid="{00000000-0005-0000-0000-0000E7690000}"/>
    <cellStyle name="Hed Top - SECTION 3 4 13" xfId="25175" xr:uid="{00000000-0005-0000-0000-0000E8690000}"/>
    <cellStyle name="Hed Top - SECTION 3 4 13 2" xfId="25176" xr:uid="{00000000-0005-0000-0000-0000E9690000}"/>
    <cellStyle name="Hed Top - SECTION 3 4 14" xfId="25177" xr:uid="{00000000-0005-0000-0000-0000EA690000}"/>
    <cellStyle name="Hed Top - SECTION 3 4 14 2" xfId="25178" xr:uid="{00000000-0005-0000-0000-0000EB690000}"/>
    <cellStyle name="Hed Top - SECTION 3 4 15" xfId="25179" xr:uid="{00000000-0005-0000-0000-0000EC690000}"/>
    <cellStyle name="Hed Top - SECTION 3 4 15 2" xfId="25180" xr:uid="{00000000-0005-0000-0000-0000ED690000}"/>
    <cellStyle name="Hed Top - SECTION 3 4 16" xfId="25181" xr:uid="{00000000-0005-0000-0000-0000EE690000}"/>
    <cellStyle name="Hed Top - SECTION 3 4 16 2" xfId="25182" xr:uid="{00000000-0005-0000-0000-0000EF690000}"/>
    <cellStyle name="Hed Top - SECTION 3 4 17" xfId="25183" xr:uid="{00000000-0005-0000-0000-0000F0690000}"/>
    <cellStyle name="Hed Top - SECTION 3 4 17 2" xfId="25184" xr:uid="{00000000-0005-0000-0000-0000F1690000}"/>
    <cellStyle name="Hed Top - SECTION 3 4 18" xfId="25185" xr:uid="{00000000-0005-0000-0000-0000F2690000}"/>
    <cellStyle name="Hed Top - SECTION 3 4 2" xfId="25186" xr:uid="{00000000-0005-0000-0000-0000F3690000}"/>
    <cellStyle name="Hed Top - SECTION 3 4 2 10" xfId="25187" xr:uid="{00000000-0005-0000-0000-0000F4690000}"/>
    <cellStyle name="Hed Top - SECTION 3 4 2 2" xfId="25188" xr:uid="{00000000-0005-0000-0000-0000F5690000}"/>
    <cellStyle name="Hed Top - SECTION 3 4 2 2 2" xfId="25189" xr:uid="{00000000-0005-0000-0000-0000F6690000}"/>
    <cellStyle name="Hed Top - SECTION 3 4 2 3" xfId="25190" xr:uid="{00000000-0005-0000-0000-0000F7690000}"/>
    <cellStyle name="Hed Top - SECTION 3 4 2 3 2" xfId="25191" xr:uid="{00000000-0005-0000-0000-0000F8690000}"/>
    <cellStyle name="Hed Top - SECTION 3 4 2 4" xfId="25192" xr:uid="{00000000-0005-0000-0000-0000F9690000}"/>
    <cellStyle name="Hed Top - SECTION 3 4 2 4 2" xfId="25193" xr:uid="{00000000-0005-0000-0000-0000FA690000}"/>
    <cellStyle name="Hed Top - SECTION 3 4 2 5" xfId="25194" xr:uid="{00000000-0005-0000-0000-0000FB690000}"/>
    <cellStyle name="Hed Top - SECTION 3 4 2 5 2" xfId="25195" xr:uid="{00000000-0005-0000-0000-0000FC690000}"/>
    <cellStyle name="Hed Top - SECTION 3 4 2 6" xfId="25196" xr:uid="{00000000-0005-0000-0000-0000FD690000}"/>
    <cellStyle name="Hed Top - SECTION 3 4 2 6 2" xfId="25197" xr:uid="{00000000-0005-0000-0000-0000FE690000}"/>
    <cellStyle name="Hed Top - SECTION 3 4 2 7" xfId="25198" xr:uid="{00000000-0005-0000-0000-0000FF690000}"/>
    <cellStyle name="Hed Top - SECTION 3 4 2 7 2" xfId="25199" xr:uid="{00000000-0005-0000-0000-0000006A0000}"/>
    <cellStyle name="Hed Top - SECTION 3 4 2 8" xfId="25200" xr:uid="{00000000-0005-0000-0000-0000016A0000}"/>
    <cellStyle name="Hed Top - SECTION 3 4 2 8 2" xfId="25201" xr:uid="{00000000-0005-0000-0000-0000026A0000}"/>
    <cellStyle name="Hed Top - SECTION 3 4 2 9" xfId="25202" xr:uid="{00000000-0005-0000-0000-0000036A0000}"/>
    <cellStyle name="Hed Top - SECTION 3 4 2 9 2" xfId="25203" xr:uid="{00000000-0005-0000-0000-0000046A0000}"/>
    <cellStyle name="Hed Top - SECTION 3 4 3" xfId="25204" xr:uid="{00000000-0005-0000-0000-0000056A0000}"/>
    <cellStyle name="Hed Top - SECTION 3 4 3 10" xfId="25205" xr:uid="{00000000-0005-0000-0000-0000066A0000}"/>
    <cellStyle name="Hed Top - SECTION 3 4 3 2" xfId="25206" xr:uid="{00000000-0005-0000-0000-0000076A0000}"/>
    <cellStyle name="Hed Top - SECTION 3 4 3 2 2" xfId="25207" xr:uid="{00000000-0005-0000-0000-0000086A0000}"/>
    <cellStyle name="Hed Top - SECTION 3 4 3 3" xfId="25208" xr:uid="{00000000-0005-0000-0000-0000096A0000}"/>
    <cellStyle name="Hed Top - SECTION 3 4 3 3 2" xfId="25209" xr:uid="{00000000-0005-0000-0000-00000A6A0000}"/>
    <cellStyle name="Hed Top - SECTION 3 4 3 4" xfId="25210" xr:uid="{00000000-0005-0000-0000-00000B6A0000}"/>
    <cellStyle name="Hed Top - SECTION 3 4 3 4 2" xfId="25211" xr:uid="{00000000-0005-0000-0000-00000C6A0000}"/>
    <cellStyle name="Hed Top - SECTION 3 4 3 5" xfId="25212" xr:uid="{00000000-0005-0000-0000-00000D6A0000}"/>
    <cellStyle name="Hed Top - SECTION 3 4 3 5 2" xfId="25213" xr:uid="{00000000-0005-0000-0000-00000E6A0000}"/>
    <cellStyle name="Hed Top - SECTION 3 4 3 6" xfId="25214" xr:uid="{00000000-0005-0000-0000-00000F6A0000}"/>
    <cellStyle name="Hed Top - SECTION 3 4 3 6 2" xfId="25215" xr:uid="{00000000-0005-0000-0000-0000106A0000}"/>
    <cellStyle name="Hed Top - SECTION 3 4 3 7" xfId="25216" xr:uid="{00000000-0005-0000-0000-0000116A0000}"/>
    <cellStyle name="Hed Top - SECTION 3 4 3 7 2" xfId="25217" xr:uid="{00000000-0005-0000-0000-0000126A0000}"/>
    <cellStyle name="Hed Top - SECTION 3 4 3 8" xfId="25218" xr:uid="{00000000-0005-0000-0000-0000136A0000}"/>
    <cellStyle name="Hed Top - SECTION 3 4 3 8 2" xfId="25219" xr:uid="{00000000-0005-0000-0000-0000146A0000}"/>
    <cellStyle name="Hed Top - SECTION 3 4 3 9" xfId="25220" xr:uid="{00000000-0005-0000-0000-0000156A0000}"/>
    <cellStyle name="Hed Top - SECTION 3 4 3 9 2" xfId="25221" xr:uid="{00000000-0005-0000-0000-0000166A0000}"/>
    <cellStyle name="Hed Top - SECTION 3 4 4" xfId="25222" xr:uid="{00000000-0005-0000-0000-0000176A0000}"/>
    <cellStyle name="Hed Top - SECTION 3 4 4 10" xfId="25223" xr:uid="{00000000-0005-0000-0000-0000186A0000}"/>
    <cellStyle name="Hed Top - SECTION 3 4 4 2" xfId="25224" xr:uid="{00000000-0005-0000-0000-0000196A0000}"/>
    <cellStyle name="Hed Top - SECTION 3 4 4 2 2" xfId="25225" xr:uid="{00000000-0005-0000-0000-00001A6A0000}"/>
    <cellStyle name="Hed Top - SECTION 3 4 4 3" xfId="25226" xr:uid="{00000000-0005-0000-0000-00001B6A0000}"/>
    <cellStyle name="Hed Top - SECTION 3 4 4 3 2" xfId="25227" xr:uid="{00000000-0005-0000-0000-00001C6A0000}"/>
    <cellStyle name="Hed Top - SECTION 3 4 4 4" xfId="25228" xr:uid="{00000000-0005-0000-0000-00001D6A0000}"/>
    <cellStyle name="Hed Top - SECTION 3 4 4 4 2" xfId="25229" xr:uid="{00000000-0005-0000-0000-00001E6A0000}"/>
    <cellStyle name="Hed Top - SECTION 3 4 4 5" xfId="25230" xr:uid="{00000000-0005-0000-0000-00001F6A0000}"/>
    <cellStyle name="Hed Top - SECTION 3 4 4 5 2" xfId="25231" xr:uid="{00000000-0005-0000-0000-0000206A0000}"/>
    <cellStyle name="Hed Top - SECTION 3 4 4 6" xfId="25232" xr:uid="{00000000-0005-0000-0000-0000216A0000}"/>
    <cellStyle name="Hed Top - SECTION 3 4 4 6 2" xfId="25233" xr:uid="{00000000-0005-0000-0000-0000226A0000}"/>
    <cellStyle name="Hed Top - SECTION 3 4 4 7" xfId="25234" xr:uid="{00000000-0005-0000-0000-0000236A0000}"/>
    <cellStyle name="Hed Top - SECTION 3 4 4 7 2" xfId="25235" xr:uid="{00000000-0005-0000-0000-0000246A0000}"/>
    <cellStyle name="Hed Top - SECTION 3 4 4 8" xfId="25236" xr:uid="{00000000-0005-0000-0000-0000256A0000}"/>
    <cellStyle name="Hed Top - SECTION 3 4 4 8 2" xfId="25237" xr:uid="{00000000-0005-0000-0000-0000266A0000}"/>
    <cellStyle name="Hed Top - SECTION 3 4 4 9" xfId="25238" xr:uid="{00000000-0005-0000-0000-0000276A0000}"/>
    <cellStyle name="Hed Top - SECTION 3 4 4 9 2" xfId="25239" xr:uid="{00000000-0005-0000-0000-0000286A0000}"/>
    <cellStyle name="Hed Top - SECTION 3 4 5" xfId="25240" xr:uid="{00000000-0005-0000-0000-0000296A0000}"/>
    <cellStyle name="Hed Top - SECTION 3 4 5 10" xfId="25241" xr:uid="{00000000-0005-0000-0000-00002A6A0000}"/>
    <cellStyle name="Hed Top - SECTION 3 4 5 2" xfId="25242" xr:uid="{00000000-0005-0000-0000-00002B6A0000}"/>
    <cellStyle name="Hed Top - SECTION 3 4 5 2 2" xfId="25243" xr:uid="{00000000-0005-0000-0000-00002C6A0000}"/>
    <cellStyle name="Hed Top - SECTION 3 4 5 3" xfId="25244" xr:uid="{00000000-0005-0000-0000-00002D6A0000}"/>
    <cellStyle name="Hed Top - SECTION 3 4 5 3 2" xfId="25245" xr:uid="{00000000-0005-0000-0000-00002E6A0000}"/>
    <cellStyle name="Hed Top - SECTION 3 4 5 4" xfId="25246" xr:uid="{00000000-0005-0000-0000-00002F6A0000}"/>
    <cellStyle name="Hed Top - SECTION 3 4 5 4 2" xfId="25247" xr:uid="{00000000-0005-0000-0000-0000306A0000}"/>
    <cellStyle name="Hed Top - SECTION 3 4 5 5" xfId="25248" xr:uid="{00000000-0005-0000-0000-0000316A0000}"/>
    <cellStyle name="Hed Top - SECTION 3 4 5 5 2" xfId="25249" xr:uid="{00000000-0005-0000-0000-0000326A0000}"/>
    <cellStyle name="Hed Top - SECTION 3 4 5 6" xfId="25250" xr:uid="{00000000-0005-0000-0000-0000336A0000}"/>
    <cellStyle name="Hed Top - SECTION 3 4 5 6 2" xfId="25251" xr:uid="{00000000-0005-0000-0000-0000346A0000}"/>
    <cellStyle name="Hed Top - SECTION 3 4 5 7" xfId="25252" xr:uid="{00000000-0005-0000-0000-0000356A0000}"/>
    <cellStyle name="Hed Top - SECTION 3 4 5 7 2" xfId="25253" xr:uid="{00000000-0005-0000-0000-0000366A0000}"/>
    <cellStyle name="Hed Top - SECTION 3 4 5 8" xfId="25254" xr:uid="{00000000-0005-0000-0000-0000376A0000}"/>
    <cellStyle name="Hed Top - SECTION 3 4 5 8 2" xfId="25255" xr:uid="{00000000-0005-0000-0000-0000386A0000}"/>
    <cellStyle name="Hed Top - SECTION 3 4 5 9" xfId="25256" xr:uid="{00000000-0005-0000-0000-0000396A0000}"/>
    <cellStyle name="Hed Top - SECTION 3 4 5 9 2" xfId="25257" xr:uid="{00000000-0005-0000-0000-00003A6A0000}"/>
    <cellStyle name="Hed Top - SECTION 3 4 6" xfId="25258" xr:uid="{00000000-0005-0000-0000-00003B6A0000}"/>
    <cellStyle name="Hed Top - SECTION 3 4 6 10" xfId="25259" xr:uid="{00000000-0005-0000-0000-00003C6A0000}"/>
    <cellStyle name="Hed Top - SECTION 3 4 6 2" xfId="25260" xr:uid="{00000000-0005-0000-0000-00003D6A0000}"/>
    <cellStyle name="Hed Top - SECTION 3 4 6 2 2" xfId="25261" xr:uid="{00000000-0005-0000-0000-00003E6A0000}"/>
    <cellStyle name="Hed Top - SECTION 3 4 6 3" xfId="25262" xr:uid="{00000000-0005-0000-0000-00003F6A0000}"/>
    <cellStyle name="Hed Top - SECTION 3 4 6 3 2" xfId="25263" xr:uid="{00000000-0005-0000-0000-0000406A0000}"/>
    <cellStyle name="Hed Top - SECTION 3 4 6 4" xfId="25264" xr:uid="{00000000-0005-0000-0000-0000416A0000}"/>
    <cellStyle name="Hed Top - SECTION 3 4 6 4 2" xfId="25265" xr:uid="{00000000-0005-0000-0000-0000426A0000}"/>
    <cellStyle name="Hed Top - SECTION 3 4 6 5" xfId="25266" xr:uid="{00000000-0005-0000-0000-0000436A0000}"/>
    <cellStyle name="Hed Top - SECTION 3 4 6 5 2" xfId="25267" xr:uid="{00000000-0005-0000-0000-0000446A0000}"/>
    <cellStyle name="Hed Top - SECTION 3 4 6 6" xfId="25268" xr:uid="{00000000-0005-0000-0000-0000456A0000}"/>
    <cellStyle name="Hed Top - SECTION 3 4 6 6 2" xfId="25269" xr:uid="{00000000-0005-0000-0000-0000466A0000}"/>
    <cellStyle name="Hed Top - SECTION 3 4 6 7" xfId="25270" xr:uid="{00000000-0005-0000-0000-0000476A0000}"/>
    <cellStyle name="Hed Top - SECTION 3 4 6 7 2" xfId="25271" xr:uid="{00000000-0005-0000-0000-0000486A0000}"/>
    <cellStyle name="Hed Top - SECTION 3 4 6 8" xfId="25272" xr:uid="{00000000-0005-0000-0000-0000496A0000}"/>
    <cellStyle name="Hed Top - SECTION 3 4 6 8 2" xfId="25273" xr:uid="{00000000-0005-0000-0000-00004A6A0000}"/>
    <cellStyle name="Hed Top - SECTION 3 4 6 9" xfId="25274" xr:uid="{00000000-0005-0000-0000-00004B6A0000}"/>
    <cellStyle name="Hed Top - SECTION 3 4 6 9 2" xfId="25275" xr:uid="{00000000-0005-0000-0000-00004C6A0000}"/>
    <cellStyle name="Hed Top - SECTION 3 4 7" xfId="25276" xr:uid="{00000000-0005-0000-0000-00004D6A0000}"/>
    <cellStyle name="Hed Top - SECTION 3 4 7 10" xfId="25277" xr:uid="{00000000-0005-0000-0000-00004E6A0000}"/>
    <cellStyle name="Hed Top - SECTION 3 4 7 2" xfId="25278" xr:uid="{00000000-0005-0000-0000-00004F6A0000}"/>
    <cellStyle name="Hed Top - SECTION 3 4 7 2 2" xfId="25279" xr:uid="{00000000-0005-0000-0000-0000506A0000}"/>
    <cellStyle name="Hed Top - SECTION 3 4 7 3" xfId="25280" xr:uid="{00000000-0005-0000-0000-0000516A0000}"/>
    <cellStyle name="Hed Top - SECTION 3 4 7 3 2" xfId="25281" xr:uid="{00000000-0005-0000-0000-0000526A0000}"/>
    <cellStyle name="Hed Top - SECTION 3 4 7 4" xfId="25282" xr:uid="{00000000-0005-0000-0000-0000536A0000}"/>
    <cellStyle name="Hed Top - SECTION 3 4 7 4 2" xfId="25283" xr:uid="{00000000-0005-0000-0000-0000546A0000}"/>
    <cellStyle name="Hed Top - SECTION 3 4 7 5" xfId="25284" xr:uid="{00000000-0005-0000-0000-0000556A0000}"/>
    <cellStyle name="Hed Top - SECTION 3 4 7 5 2" xfId="25285" xr:uid="{00000000-0005-0000-0000-0000566A0000}"/>
    <cellStyle name="Hed Top - SECTION 3 4 7 6" xfId="25286" xr:uid="{00000000-0005-0000-0000-0000576A0000}"/>
    <cellStyle name="Hed Top - SECTION 3 4 7 6 2" xfId="25287" xr:uid="{00000000-0005-0000-0000-0000586A0000}"/>
    <cellStyle name="Hed Top - SECTION 3 4 7 7" xfId="25288" xr:uid="{00000000-0005-0000-0000-0000596A0000}"/>
    <cellStyle name="Hed Top - SECTION 3 4 7 7 2" xfId="25289" xr:uid="{00000000-0005-0000-0000-00005A6A0000}"/>
    <cellStyle name="Hed Top - SECTION 3 4 7 8" xfId="25290" xr:uid="{00000000-0005-0000-0000-00005B6A0000}"/>
    <cellStyle name="Hed Top - SECTION 3 4 7 8 2" xfId="25291" xr:uid="{00000000-0005-0000-0000-00005C6A0000}"/>
    <cellStyle name="Hed Top - SECTION 3 4 7 9" xfId="25292" xr:uid="{00000000-0005-0000-0000-00005D6A0000}"/>
    <cellStyle name="Hed Top - SECTION 3 4 7 9 2" xfId="25293" xr:uid="{00000000-0005-0000-0000-00005E6A0000}"/>
    <cellStyle name="Hed Top - SECTION 3 4 8" xfId="25294" xr:uid="{00000000-0005-0000-0000-00005F6A0000}"/>
    <cellStyle name="Hed Top - SECTION 3 4 8 10" xfId="25295" xr:uid="{00000000-0005-0000-0000-0000606A0000}"/>
    <cellStyle name="Hed Top - SECTION 3 4 8 2" xfId="25296" xr:uid="{00000000-0005-0000-0000-0000616A0000}"/>
    <cellStyle name="Hed Top - SECTION 3 4 8 2 2" xfId="25297" xr:uid="{00000000-0005-0000-0000-0000626A0000}"/>
    <cellStyle name="Hed Top - SECTION 3 4 8 3" xfId="25298" xr:uid="{00000000-0005-0000-0000-0000636A0000}"/>
    <cellStyle name="Hed Top - SECTION 3 4 8 3 2" xfId="25299" xr:uid="{00000000-0005-0000-0000-0000646A0000}"/>
    <cellStyle name="Hed Top - SECTION 3 4 8 4" xfId="25300" xr:uid="{00000000-0005-0000-0000-0000656A0000}"/>
    <cellStyle name="Hed Top - SECTION 3 4 8 4 2" xfId="25301" xr:uid="{00000000-0005-0000-0000-0000666A0000}"/>
    <cellStyle name="Hed Top - SECTION 3 4 8 5" xfId="25302" xr:uid="{00000000-0005-0000-0000-0000676A0000}"/>
    <cellStyle name="Hed Top - SECTION 3 4 8 5 2" xfId="25303" xr:uid="{00000000-0005-0000-0000-0000686A0000}"/>
    <cellStyle name="Hed Top - SECTION 3 4 8 6" xfId="25304" xr:uid="{00000000-0005-0000-0000-0000696A0000}"/>
    <cellStyle name="Hed Top - SECTION 3 4 8 6 2" xfId="25305" xr:uid="{00000000-0005-0000-0000-00006A6A0000}"/>
    <cellStyle name="Hed Top - SECTION 3 4 8 7" xfId="25306" xr:uid="{00000000-0005-0000-0000-00006B6A0000}"/>
    <cellStyle name="Hed Top - SECTION 3 4 8 7 2" xfId="25307" xr:uid="{00000000-0005-0000-0000-00006C6A0000}"/>
    <cellStyle name="Hed Top - SECTION 3 4 8 8" xfId="25308" xr:uid="{00000000-0005-0000-0000-00006D6A0000}"/>
    <cellStyle name="Hed Top - SECTION 3 4 8 8 2" xfId="25309" xr:uid="{00000000-0005-0000-0000-00006E6A0000}"/>
    <cellStyle name="Hed Top - SECTION 3 4 8 9" xfId="25310" xr:uid="{00000000-0005-0000-0000-00006F6A0000}"/>
    <cellStyle name="Hed Top - SECTION 3 4 8 9 2" xfId="25311" xr:uid="{00000000-0005-0000-0000-0000706A0000}"/>
    <cellStyle name="Hed Top - SECTION 3 4 9" xfId="25312" xr:uid="{00000000-0005-0000-0000-0000716A0000}"/>
    <cellStyle name="Hed Top - SECTION 3 4 9 10" xfId="25313" xr:uid="{00000000-0005-0000-0000-0000726A0000}"/>
    <cellStyle name="Hed Top - SECTION 3 4 9 2" xfId="25314" xr:uid="{00000000-0005-0000-0000-0000736A0000}"/>
    <cellStyle name="Hed Top - SECTION 3 4 9 2 2" xfId="25315" xr:uid="{00000000-0005-0000-0000-0000746A0000}"/>
    <cellStyle name="Hed Top - SECTION 3 4 9 3" xfId="25316" xr:uid="{00000000-0005-0000-0000-0000756A0000}"/>
    <cellStyle name="Hed Top - SECTION 3 4 9 3 2" xfId="25317" xr:uid="{00000000-0005-0000-0000-0000766A0000}"/>
    <cellStyle name="Hed Top - SECTION 3 4 9 4" xfId="25318" xr:uid="{00000000-0005-0000-0000-0000776A0000}"/>
    <cellStyle name="Hed Top - SECTION 3 4 9 4 2" xfId="25319" xr:uid="{00000000-0005-0000-0000-0000786A0000}"/>
    <cellStyle name="Hed Top - SECTION 3 4 9 5" xfId="25320" xr:uid="{00000000-0005-0000-0000-0000796A0000}"/>
    <cellStyle name="Hed Top - SECTION 3 4 9 5 2" xfId="25321" xr:uid="{00000000-0005-0000-0000-00007A6A0000}"/>
    <cellStyle name="Hed Top - SECTION 3 4 9 6" xfId="25322" xr:uid="{00000000-0005-0000-0000-00007B6A0000}"/>
    <cellStyle name="Hed Top - SECTION 3 4 9 6 2" xfId="25323" xr:uid="{00000000-0005-0000-0000-00007C6A0000}"/>
    <cellStyle name="Hed Top - SECTION 3 4 9 7" xfId="25324" xr:uid="{00000000-0005-0000-0000-00007D6A0000}"/>
    <cellStyle name="Hed Top - SECTION 3 4 9 7 2" xfId="25325" xr:uid="{00000000-0005-0000-0000-00007E6A0000}"/>
    <cellStyle name="Hed Top - SECTION 3 4 9 8" xfId="25326" xr:uid="{00000000-0005-0000-0000-00007F6A0000}"/>
    <cellStyle name="Hed Top - SECTION 3 4 9 8 2" xfId="25327" xr:uid="{00000000-0005-0000-0000-0000806A0000}"/>
    <cellStyle name="Hed Top - SECTION 3 4 9 9" xfId="25328" xr:uid="{00000000-0005-0000-0000-0000816A0000}"/>
    <cellStyle name="Hed Top - SECTION 3 4 9 9 2" xfId="25329" xr:uid="{00000000-0005-0000-0000-0000826A0000}"/>
    <cellStyle name="Hed Top - SECTION 3 5" xfId="25330" xr:uid="{00000000-0005-0000-0000-0000836A0000}"/>
    <cellStyle name="Hed Top - SECTION 3 5 10" xfId="25331" xr:uid="{00000000-0005-0000-0000-0000846A0000}"/>
    <cellStyle name="Hed Top - SECTION 3 5 10 2" xfId="25332" xr:uid="{00000000-0005-0000-0000-0000856A0000}"/>
    <cellStyle name="Hed Top - SECTION 3 5 10 2 2" xfId="25333" xr:uid="{00000000-0005-0000-0000-0000866A0000}"/>
    <cellStyle name="Hed Top - SECTION 3 5 10 3" xfId="25334" xr:uid="{00000000-0005-0000-0000-0000876A0000}"/>
    <cellStyle name="Hed Top - SECTION 3 5 10 3 2" xfId="25335" xr:uid="{00000000-0005-0000-0000-0000886A0000}"/>
    <cellStyle name="Hed Top - SECTION 3 5 10 4" xfId="25336" xr:uid="{00000000-0005-0000-0000-0000896A0000}"/>
    <cellStyle name="Hed Top - SECTION 3 5 10 4 2" xfId="25337" xr:uid="{00000000-0005-0000-0000-00008A6A0000}"/>
    <cellStyle name="Hed Top - SECTION 3 5 10 5" xfId="25338" xr:uid="{00000000-0005-0000-0000-00008B6A0000}"/>
    <cellStyle name="Hed Top - SECTION 3 5 10 5 2" xfId="25339" xr:uid="{00000000-0005-0000-0000-00008C6A0000}"/>
    <cellStyle name="Hed Top - SECTION 3 5 10 6" xfId="25340" xr:uid="{00000000-0005-0000-0000-00008D6A0000}"/>
    <cellStyle name="Hed Top - SECTION 3 5 10 6 2" xfId="25341" xr:uid="{00000000-0005-0000-0000-00008E6A0000}"/>
    <cellStyle name="Hed Top - SECTION 3 5 10 7" xfId="25342" xr:uid="{00000000-0005-0000-0000-00008F6A0000}"/>
    <cellStyle name="Hed Top - SECTION 3 5 10 7 2" xfId="25343" xr:uid="{00000000-0005-0000-0000-0000906A0000}"/>
    <cellStyle name="Hed Top - SECTION 3 5 10 8" xfId="25344" xr:uid="{00000000-0005-0000-0000-0000916A0000}"/>
    <cellStyle name="Hed Top - SECTION 3 5 10 8 2" xfId="25345" xr:uid="{00000000-0005-0000-0000-0000926A0000}"/>
    <cellStyle name="Hed Top - SECTION 3 5 10 9" xfId="25346" xr:uid="{00000000-0005-0000-0000-0000936A0000}"/>
    <cellStyle name="Hed Top - SECTION 3 5 11" xfId="25347" xr:uid="{00000000-0005-0000-0000-0000946A0000}"/>
    <cellStyle name="Hed Top - SECTION 3 5 11 2" xfId="25348" xr:uid="{00000000-0005-0000-0000-0000956A0000}"/>
    <cellStyle name="Hed Top - SECTION 3 5 12" xfId="25349" xr:uid="{00000000-0005-0000-0000-0000966A0000}"/>
    <cellStyle name="Hed Top - SECTION 3 5 12 2" xfId="25350" xr:uid="{00000000-0005-0000-0000-0000976A0000}"/>
    <cellStyle name="Hed Top - SECTION 3 5 13" xfId="25351" xr:uid="{00000000-0005-0000-0000-0000986A0000}"/>
    <cellStyle name="Hed Top - SECTION 3 5 13 2" xfId="25352" xr:uid="{00000000-0005-0000-0000-0000996A0000}"/>
    <cellStyle name="Hed Top - SECTION 3 5 14" xfId="25353" xr:uid="{00000000-0005-0000-0000-00009A6A0000}"/>
    <cellStyle name="Hed Top - SECTION 3 5 14 2" xfId="25354" xr:uid="{00000000-0005-0000-0000-00009B6A0000}"/>
    <cellStyle name="Hed Top - SECTION 3 5 15" xfId="25355" xr:uid="{00000000-0005-0000-0000-00009C6A0000}"/>
    <cellStyle name="Hed Top - SECTION 3 5 15 2" xfId="25356" xr:uid="{00000000-0005-0000-0000-00009D6A0000}"/>
    <cellStyle name="Hed Top - SECTION 3 5 16" xfId="25357" xr:uid="{00000000-0005-0000-0000-00009E6A0000}"/>
    <cellStyle name="Hed Top - SECTION 3 5 16 2" xfId="25358" xr:uid="{00000000-0005-0000-0000-00009F6A0000}"/>
    <cellStyle name="Hed Top - SECTION 3 5 17" xfId="25359" xr:uid="{00000000-0005-0000-0000-0000A06A0000}"/>
    <cellStyle name="Hed Top - SECTION 3 5 17 2" xfId="25360" xr:uid="{00000000-0005-0000-0000-0000A16A0000}"/>
    <cellStyle name="Hed Top - SECTION 3 5 18" xfId="25361" xr:uid="{00000000-0005-0000-0000-0000A26A0000}"/>
    <cellStyle name="Hed Top - SECTION 3 5 2" xfId="25362" xr:uid="{00000000-0005-0000-0000-0000A36A0000}"/>
    <cellStyle name="Hed Top - SECTION 3 5 2 10" xfId="25363" xr:uid="{00000000-0005-0000-0000-0000A46A0000}"/>
    <cellStyle name="Hed Top - SECTION 3 5 2 2" xfId="25364" xr:uid="{00000000-0005-0000-0000-0000A56A0000}"/>
    <cellStyle name="Hed Top - SECTION 3 5 2 2 2" xfId="25365" xr:uid="{00000000-0005-0000-0000-0000A66A0000}"/>
    <cellStyle name="Hed Top - SECTION 3 5 2 3" xfId="25366" xr:uid="{00000000-0005-0000-0000-0000A76A0000}"/>
    <cellStyle name="Hed Top - SECTION 3 5 2 3 2" xfId="25367" xr:uid="{00000000-0005-0000-0000-0000A86A0000}"/>
    <cellStyle name="Hed Top - SECTION 3 5 2 4" xfId="25368" xr:uid="{00000000-0005-0000-0000-0000A96A0000}"/>
    <cellStyle name="Hed Top - SECTION 3 5 2 4 2" xfId="25369" xr:uid="{00000000-0005-0000-0000-0000AA6A0000}"/>
    <cellStyle name="Hed Top - SECTION 3 5 2 5" xfId="25370" xr:uid="{00000000-0005-0000-0000-0000AB6A0000}"/>
    <cellStyle name="Hed Top - SECTION 3 5 2 5 2" xfId="25371" xr:uid="{00000000-0005-0000-0000-0000AC6A0000}"/>
    <cellStyle name="Hed Top - SECTION 3 5 2 6" xfId="25372" xr:uid="{00000000-0005-0000-0000-0000AD6A0000}"/>
    <cellStyle name="Hed Top - SECTION 3 5 2 6 2" xfId="25373" xr:uid="{00000000-0005-0000-0000-0000AE6A0000}"/>
    <cellStyle name="Hed Top - SECTION 3 5 2 7" xfId="25374" xr:uid="{00000000-0005-0000-0000-0000AF6A0000}"/>
    <cellStyle name="Hed Top - SECTION 3 5 2 7 2" xfId="25375" xr:uid="{00000000-0005-0000-0000-0000B06A0000}"/>
    <cellStyle name="Hed Top - SECTION 3 5 2 8" xfId="25376" xr:uid="{00000000-0005-0000-0000-0000B16A0000}"/>
    <cellStyle name="Hed Top - SECTION 3 5 2 8 2" xfId="25377" xr:uid="{00000000-0005-0000-0000-0000B26A0000}"/>
    <cellStyle name="Hed Top - SECTION 3 5 2 9" xfId="25378" xr:uid="{00000000-0005-0000-0000-0000B36A0000}"/>
    <cellStyle name="Hed Top - SECTION 3 5 2 9 2" xfId="25379" xr:uid="{00000000-0005-0000-0000-0000B46A0000}"/>
    <cellStyle name="Hed Top - SECTION 3 5 3" xfId="25380" xr:uid="{00000000-0005-0000-0000-0000B56A0000}"/>
    <cellStyle name="Hed Top - SECTION 3 5 3 10" xfId="25381" xr:uid="{00000000-0005-0000-0000-0000B66A0000}"/>
    <cellStyle name="Hed Top - SECTION 3 5 3 2" xfId="25382" xr:uid="{00000000-0005-0000-0000-0000B76A0000}"/>
    <cellStyle name="Hed Top - SECTION 3 5 3 2 2" xfId="25383" xr:uid="{00000000-0005-0000-0000-0000B86A0000}"/>
    <cellStyle name="Hed Top - SECTION 3 5 3 3" xfId="25384" xr:uid="{00000000-0005-0000-0000-0000B96A0000}"/>
    <cellStyle name="Hed Top - SECTION 3 5 3 3 2" xfId="25385" xr:uid="{00000000-0005-0000-0000-0000BA6A0000}"/>
    <cellStyle name="Hed Top - SECTION 3 5 3 4" xfId="25386" xr:uid="{00000000-0005-0000-0000-0000BB6A0000}"/>
    <cellStyle name="Hed Top - SECTION 3 5 3 4 2" xfId="25387" xr:uid="{00000000-0005-0000-0000-0000BC6A0000}"/>
    <cellStyle name="Hed Top - SECTION 3 5 3 5" xfId="25388" xr:uid="{00000000-0005-0000-0000-0000BD6A0000}"/>
    <cellStyle name="Hed Top - SECTION 3 5 3 5 2" xfId="25389" xr:uid="{00000000-0005-0000-0000-0000BE6A0000}"/>
    <cellStyle name="Hed Top - SECTION 3 5 3 6" xfId="25390" xr:uid="{00000000-0005-0000-0000-0000BF6A0000}"/>
    <cellStyle name="Hed Top - SECTION 3 5 3 6 2" xfId="25391" xr:uid="{00000000-0005-0000-0000-0000C06A0000}"/>
    <cellStyle name="Hed Top - SECTION 3 5 3 7" xfId="25392" xr:uid="{00000000-0005-0000-0000-0000C16A0000}"/>
    <cellStyle name="Hed Top - SECTION 3 5 3 7 2" xfId="25393" xr:uid="{00000000-0005-0000-0000-0000C26A0000}"/>
    <cellStyle name="Hed Top - SECTION 3 5 3 8" xfId="25394" xr:uid="{00000000-0005-0000-0000-0000C36A0000}"/>
    <cellStyle name="Hed Top - SECTION 3 5 3 8 2" xfId="25395" xr:uid="{00000000-0005-0000-0000-0000C46A0000}"/>
    <cellStyle name="Hed Top - SECTION 3 5 3 9" xfId="25396" xr:uid="{00000000-0005-0000-0000-0000C56A0000}"/>
    <cellStyle name="Hed Top - SECTION 3 5 3 9 2" xfId="25397" xr:uid="{00000000-0005-0000-0000-0000C66A0000}"/>
    <cellStyle name="Hed Top - SECTION 3 5 4" xfId="25398" xr:uid="{00000000-0005-0000-0000-0000C76A0000}"/>
    <cellStyle name="Hed Top - SECTION 3 5 4 10" xfId="25399" xr:uid="{00000000-0005-0000-0000-0000C86A0000}"/>
    <cellStyle name="Hed Top - SECTION 3 5 4 2" xfId="25400" xr:uid="{00000000-0005-0000-0000-0000C96A0000}"/>
    <cellStyle name="Hed Top - SECTION 3 5 4 2 2" xfId="25401" xr:uid="{00000000-0005-0000-0000-0000CA6A0000}"/>
    <cellStyle name="Hed Top - SECTION 3 5 4 3" xfId="25402" xr:uid="{00000000-0005-0000-0000-0000CB6A0000}"/>
    <cellStyle name="Hed Top - SECTION 3 5 4 3 2" xfId="25403" xr:uid="{00000000-0005-0000-0000-0000CC6A0000}"/>
    <cellStyle name="Hed Top - SECTION 3 5 4 4" xfId="25404" xr:uid="{00000000-0005-0000-0000-0000CD6A0000}"/>
    <cellStyle name="Hed Top - SECTION 3 5 4 4 2" xfId="25405" xr:uid="{00000000-0005-0000-0000-0000CE6A0000}"/>
    <cellStyle name="Hed Top - SECTION 3 5 4 5" xfId="25406" xr:uid="{00000000-0005-0000-0000-0000CF6A0000}"/>
    <cellStyle name="Hed Top - SECTION 3 5 4 5 2" xfId="25407" xr:uid="{00000000-0005-0000-0000-0000D06A0000}"/>
    <cellStyle name="Hed Top - SECTION 3 5 4 6" xfId="25408" xr:uid="{00000000-0005-0000-0000-0000D16A0000}"/>
    <cellStyle name="Hed Top - SECTION 3 5 4 6 2" xfId="25409" xr:uid="{00000000-0005-0000-0000-0000D26A0000}"/>
    <cellStyle name="Hed Top - SECTION 3 5 4 7" xfId="25410" xr:uid="{00000000-0005-0000-0000-0000D36A0000}"/>
    <cellStyle name="Hed Top - SECTION 3 5 4 7 2" xfId="25411" xr:uid="{00000000-0005-0000-0000-0000D46A0000}"/>
    <cellStyle name="Hed Top - SECTION 3 5 4 8" xfId="25412" xr:uid="{00000000-0005-0000-0000-0000D56A0000}"/>
    <cellStyle name="Hed Top - SECTION 3 5 4 8 2" xfId="25413" xr:uid="{00000000-0005-0000-0000-0000D66A0000}"/>
    <cellStyle name="Hed Top - SECTION 3 5 4 9" xfId="25414" xr:uid="{00000000-0005-0000-0000-0000D76A0000}"/>
    <cellStyle name="Hed Top - SECTION 3 5 4 9 2" xfId="25415" xr:uid="{00000000-0005-0000-0000-0000D86A0000}"/>
    <cellStyle name="Hed Top - SECTION 3 5 5" xfId="25416" xr:uid="{00000000-0005-0000-0000-0000D96A0000}"/>
    <cellStyle name="Hed Top - SECTION 3 5 5 10" xfId="25417" xr:uid="{00000000-0005-0000-0000-0000DA6A0000}"/>
    <cellStyle name="Hed Top - SECTION 3 5 5 2" xfId="25418" xr:uid="{00000000-0005-0000-0000-0000DB6A0000}"/>
    <cellStyle name="Hed Top - SECTION 3 5 5 2 2" xfId="25419" xr:uid="{00000000-0005-0000-0000-0000DC6A0000}"/>
    <cellStyle name="Hed Top - SECTION 3 5 5 3" xfId="25420" xr:uid="{00000000-0005-0000-0000-0000DD6A0000}"/>
    <cellStyle name="Hed Top - SECTION 3 5 5 3 2" xfId="25421" xr:uid="{00000000-0005-0000-0000-0000DE6A0000}"/>
    <cellStyle name="Hed Top - SECTION 3 5 5 4" xfId="25422" xr:uid="{00000000-0005-0000-0000-0000DF6A0000}"/>
    <cellStyle name="Hed Top - SECTION 3 5 5 4 2" xfId="25423" xr:uid="{00000000-0005-0000-0000-0000E06A0000}"/>
    <cellStyle name="Hed Top - SECTION 3 5 5 5" xfId="25424" xr:uid="{00000000-0005-0000-0000-0000E16A0000}"/>
    <cellStyle name="Hed Top - SECTION 3 5 5 5 2" xfId="25425" xr:uid="{00000000-0005-0000-0000-0000E26A0000}"/>
    <cellStyle name="Hed Top - SECTION 3 5 5 6" xfId="25426" xr:uid="{00000000-0005-0000-0000-0000E36A0000}"/>
    <cellStyle name="Hed Top - SECTION 3 5 5 6 2" xfId="25427" xr:uid="{00000000-0005-0000-0000-0000E46A0000}"/>
    <cellStyle name="Hed Top - SECTION 3 5 5 7" xfId="25428" xr:uid="{00000000-0005-0000-0000-0000E56A0000}"/>
    <cellStyle name="Hed Top - SECTION 3 5 5 7 2" xfId="25429" xr:uid="{00000000-0005-0000-0000-0000E66A0000}"/>
    <cellStyle name="Hed Top - SECTION 3 5 5 8" xfId="25430" xr:uid="{00000000-0005-0000-0000-0000E76A0000}"/>
    <cellStyle name="Hed Top - SECTION 3 5 5 8 2" xfId="25431" xr:uid="{00000000-0005-0000-0000-0000E86A0000}"/>
    <cellStyle name="Hed Top - SECTION 3 5 5 9" xfId="25432" xr:uid="{00000000-0005-0000-0000-0000E96A0000}"/>
    <cellStyle name="Hed Top - SECTION 3 5 5 9 2" xfId="25433" xr:uid="{00000000-0005-0000-0000-0000EA6A0000}"/>
    <cellStyle name="Hed Top - SECTION 3 5 6" xfId="25434" xr:uid="{00000000-0005-0000-0000-0000EB6A0000}"/>
    <cellStyle name="Hed Top - SECTION 3 5 6 10" xfId="25435" xr:uid="{00000000-0005-0000-0000-0000EC6A0000}"/>
    <cellStyle name="Hed Top - SECTION 3 5 6 2" xfId="25436" xr:uid="{00000000-0005-0000-0000-0000ED6A0000}"/>
    <cellStyle name="Hed Top - SECTION 3 5 6 2 2" xfId="25437" xr:uid="{00000000-0005-0000-0000-0000EE6A0000}"/>
    <cellStyle name="Hed Top - SECTION 3 5 6 3" xfId="25438" xr:uid="{00000000-0005-0000-0000-0000EF6A0000}"/>
    <cellStyle name="Hed Top - SECTION 3 5 6 3 2" xfId="25439" xr:uid="{00000000-0005-0000-0000-0000F06A0000}"/>
    <cellStyle name="Hed Top - SECTION 3 5 6 4" xfId="25440" xr:uid="{00000000-0005-0000-0000-0000F16A0000}"/>
    <cellStyle name="Hed Top - SECTION 3 5 6 4 2" xfId="25441" xr:uid="{00000000-0005-0000-0000-0000F26A0000}"/>
    <cellStyle name="Hed Top - SECTION 3 5 6 5" xfId="25442" xr:uid="{00000000-0005-0000-0000-0000F36A0000}"/>
    <cellStyle name="Hed Top - SECTION 3 5 6 5 2" xfId="25443" xr:uid="{00000000-0005-0000-0000-0000F46A0000}"/>
    <cellStyle name="Hed Top - SECTION 3 5 6 6" xfId="25444" xr:uid="{00000000-0005-0000-0000-0000F56A0000}"/>
    <cellStyle name="Hed Top - SECTION 3 5 6 6 2" xfId="25445" xr:uid="{00000000-0005-0000-0000-0000F66A0000}"/>
    <cellStyle name="Hed Top - SECTION 3 5 6 7" xfId="25446" xr:uid="{00000000-0005-0000-0000-0000F76A0000}"/>
    <cellStyle name="Hed Top - SECTION 3 5 6 7 2" xfId="25447" xr:uid="{00000000-0005-0000-0000-0000F86A0000}"/>
    <cellStyle name="Hed Top - SECTION 3 5 6 8" xfId="25448" xr:uid="{00000000-0005-0000-0000-0000F96A0000}"/>
    <cellStyle name="Hed Top - SECTION 3 5 6 8 2" xfId="25449" xr:uid="{00000000-0005-0000-0000-0000FA6A0000}"/>
    <cellStyle name="Hed Top - SECTION 3 5 6 9" xfId="25450" xr:uid="{00000000-0005-0000-0000-0000FB6A0000}"/>
    <cellStyle name="Hed Top - SECTION 3 5 6 9 2" xfId="25451" xr:uid="{00000000-0005-0000-0000-0000FC6A0000}"/>
    <cellStyle name="Hed Top - SECTION 3 5 7" xfId="25452" xr:uid="{00000000-0005-0000-0000-0000FD6A0000}"/>
    <cellStyle name="Hed Top - SECTION 3 5 7 10" xfId="25453" xr:uid="{00000000-0005-0000-0000-0000FE6A0000}"/>
    <cellStyle name="Hed Top - SECTION 3 5 7 2" xfId="25454" xr:uid="{00000000-0005-0000-0000-0000FF6A0000}"/>
    <cellStyle name="Hed Top - SECTION 3 5 7 2 2" xfId="25455" xr:uid="{00000000-0005-0000-0000-0000006B0000}"/>
    <cellStyle name="Hed Top - SECTION 3 5 7 3" xfId="25456" xr:uid="{00000000-0005-0000-0000-0000016B0000}"/>
    <cellStyle name="Hed Top - SECTION 3 5 7 3 2" xfId="25457" xr:uid="{00000000-0005-0000-0000-0000026B0000}"/>
    <cellStyle name="Hed Top - SECTION 3 5 7 4" xfId="25458" xr:uid="{00000000-0005-0000-0000-0000036B0000}"/>
    <cellStyle name="Hed Top - SECTION 3 5 7 4 2" xfId="25459" xr:uid="{00000000-0005-0000-0000-0000046B0000}"/>
    <cellStyle name="Hed Top - SECTION 3 5 7 5" xfId="25460" xr:uid="{00000000-0005-0000-0000-0000056B0000}"/>
    <cellStyle name="Hed Top - SECTION 3 5 7 5 2" xfId="25461" xr:uid="{00000000-0005-0000-0000-0000066B0000}"/>
    <cellStyle name="Hed Top - SECTION 3 5 7 6" xfId="25462" xr:uid="{00000000-0005-0000-0000-0000076B0000}"/>
    <cellStyle name="Hed Top - SECTION 3 5 7 6 2" xfId="25463" xr:uid="{00000000-0005-0000-0000-0000086B0000}"/>
    <cellStyle name="Hed Top - SECTION 3 5 7 7" xfId="25464" xr:uid="{00000000-0005-0000-0000-0000096B0000}"/>
    <cellStyle name="Hed Top - SECTION 3 5 7 7 2" xfId="25465" xr:uid="{00000000-0005-0000-0000-00000A6B0000}"/>
    <cellStyle name="Hed Top - SECTION 3 5 7 8" xfId="25466" xr:uid="{00000000-0005-0000-0000-00000B6B0000}"/>
    <cellStyle name="Hed Top - SECTION 3 5 7 8 2" xfId="25467" xr:uid="{00000000-0005-0000-0000-00000C6B0000}"/>
    <cellStyle name="Hed Top - SECTION 3 5 7 9" xfId="25468" xr:uid="{00000000-0005-0000-0000-00000D6B0000}"/>
    <cellStyle name="Hed Top - SECTION 3 5 7 9 2" xfId="25469" xr:uid="{00000000-0005-0000-0000-00000E6B0000}"/>
    <cellStyle name="Hed Top - SECTION 3 5 8" xfId="25470" xr:uid="{00000000-0005-0000-0000-00000F6B0000}"/>
    <cellStyle name="Hed Top - SECTION 3 5 8 10" xfId="25471" xr:uid="{00000000-0005-0000-0000-0000106B0000}"/>
    <cellStyle name="Hed Top - SECTION 3 5 8 2" xfId="25472" xr:uid="{00000000-0005-0000-0000-0000116B0000}"/>
    <cellStyle name="Hed Top - SECTION 3 5 8 2 2" xfId="25473" xr:uid="{00000000-0005-0000-0000-0000126B0000}"/>
    <cellStyle name="Hed Top - SECTION 3 5 8 3" xfId="25474" xr:uid="{00000000-0005-0000-0000-0000136B0000}"/>
    <cellStyle name="Hed Top - SECTION 3 5 8 3 2" xfId="25475" xr:uid="{00000000-0005-0000-0000-0000146B0000}"/>
    <cellStyle name="Hed Top - SECTION 3 5 8 4" xfId="25476" xr:uid="{00000000-0005-0000-0000-0000156B0000}"/>
    <cellStyle name="Hed Top - SECTION 3 5 8 4 2" xfId="25477" xr:uid="{00000000-0005-0000-0000-0000166B0000}"/>
    <cellStyle name="Hed Top - SECTION 3 5 8 5" xfId="25478" xr:uid="{00000000-0005-0000-0000-0000176B0000}"/>
    <cellStyle name="Hed Top - SECTION 3 5 8 5 2" xfId="25479" xr:uid="{00000000-0005-0000-0000-0000186B0000}"/>
    <cellStyle name="Hed Top - SECTION 3 5 8 6" xfId="25480" xr:uid="{00000000-0005-0000-0000-0000196B0000}"/>
    <cellStyle name="Hed Top - SECTION 3 5 8 6 2" xfId="25481" xr:uid="{00000000-0005-0000-0000-00001A6B0000}"/>
    <cellStyle name="Hed Top - SECTION 3 5 8 7" xfId="25482" xr:uid="{00000000-0005-0000-0000-00001B6B0000}"/>
    <cellStyle name="Hed Top - SECTION 3 5 8 7 2" xfId="25483" xr:uid="{00000000-0005-0000-0000-00001C6B0000}"/>
    <cellStyle name="Hed Top - SECTION 3 5 8 8" xfId="25484" xr:uid="{00000000-0005-0000-0000-00001D6B0000}"/>
    <cellStyle name="Hed Top - SECTION 3 5 8 8 2" xfId="25485" xr:uid="{00000000-0005-0000-0000-00001E6B0000}"/>
    <cellStyle name="Hed Top - SECTION 3 5 8 9" xfId="25486" xr:uid="{00000000-0005-0000-0000-00001F6B0000}"/>
    <cellStyle name="Hed Top - SECTION 3 5 8 9 2" xfId="25487" xr:uid="{00000000-0005-0000-0000-0000206B0000}"/>
    <cellStyle name="Hed Top - SECTION 3 5 9" xfId="25488" xr:uid="{00000000-0005-0000-0000-0000216B0000}"/>
    <cellStyle name="Hed Top - SECTION 3 5 9 10" xfId="25489" xr:uid="{00000000-0005-0000-0000-0000226B0000}"/>
    <cellStyle name="Hed Top - SECTION 3 5 9 2" xfId="25490" xr:uid="{00000000-0005-0000-0000-0000236B0000}"/>
    <cellStyle name="Hed Top - SECTION 3 5 9 2 2" xfId="25491" xr:uid="{00000000-0005-0000-0000-0000246B0000}"/>
    <cellStyle name="Hed Top - SECTION 3 5 9 3" xfId="25492" xr:uid="{00000000-0005-0000-0000-0000256B0000}"/>
    <cellStyle name="Hed Top - SECTION 3 5 9 3 2" xfId="25493" xr:uid="{00000000-0005-0000-0000-0000266B0000}"/>
    <cellStyle name="Hed Top - SECTION 3 5 9 4" xfId="25494" xr:uid="{00000000-0005-0000-0000-0000276B0000}"/>
    <cellStyle name="Hed Top - SECTION 3 5 9 4 2" xfId="25495" xr:uid="{00000000-0005-0000-0000-0000286B0000}"/>
    <cellStyle name="Hed Top - SECTION 3 5 9 5" xfId="25496" xr:uid="{00000000-0005-0000-0000-0000296B0000}"/>
    <cellStyle name="Hed Top - SECTION 3 5 9 5 2" xfId="25497" xr:uid="{00000000-0005-0000-0000-00002A6B0000}"/>
    <cellStyle name="Hed Top - SECTION 3 5 9 6" xfId="25498" xr:uid="{00000000-0005-0000-0000-00002B6B0000}"/>
    <cellStyle name="Hed Top - SECTION 3 5 9 6 2" xfId="25499" xr:uid="{00000000-0005-0000-0000-00002C6B0000}"/>
    <cellStyle name="Hed Top - SECTION 3 5 9 7" xfId="25500" xr:uid="{00000000-0005-0000-0000-00002D6B0000}"/>
    <cellStyle name="Hed Top - SECTION 3 5 9 7 2" xfId="25501" xr:uid="{00000000-0005-0000-0000-00002E6B0000}"/>
    <cellStyle name="Hed Top - SECTION 3 5 9 8" xfId="25502" xr:uid="{00000000-0005-0000-0000-00002F6B0000}"/>
    <cellStyle name="Hed Top - SECTION 3 5 9 8 2" xfId="25503" xr:uid="{00000000-0005-0000-0000-0000306B0000}"/>
    <cellStyle name="Hed Top - SECTION 3 5 9 9" xfId="25504" xr:uid="{00000000-0005-0000-0000-0000316B0000}"/>
    <cellStyle name="Hed Top - SECTION 3 5 9 9 2" xfId="25505" xr:uid="{00000000-0005-0000-0000-0000326B0000}"/>
    <cellStyle name="Hed Top - SECTION 3 6" xfId="25506" xr:uid="{00000000-0005-0000-0000-0000336B0000}"/>
    <cellStyle name="Hed Top - SECTION 3 6 10" xfId="25507" xr:uid="{00000000-0005-0000-0000-0000346B0000}"/>
    <cellStyle name="Hed Top - SECTION 3 6 10 2" xfId="25508" xr:uid="{00000000-0005-0000-0000-0000356B0000}"/>
    <cellStyle name="Hed Top - SECTION 3 6 10 2 2" xfId="25509" xr:uid="{00000000-0005-0000-0000-0000366B0000}"/>
    <cellStyle name="Hed Top - SECTION 3 6 10 3" xfId="25510" xr:uid="{00000000-0005-0000-0000-0000376B0000}"/>
    <cellStyle name="Hed Top - SECTION 3 6 10 3 2" xfId="25511" xr:uid="{00000000-0005-0000-0000-0000386B0000}"/>
    <cellStyle name="Hed Top - SECTION 3 6 10 4" xfId="25512" xr:uid="{00000000-0005-0000-0000-0000396B0000}"/>
    <cellStyle name="Hed Top - SECTION 3 6 10 4 2" xfId="25513" xr:uid="{00000000-0005-0000-0000-00003A6B0000}"/>
    <cellStyle name="Hed Top - SECTION 3 6 10 5" xfId="25514" xr:uid="{00000000-0005-0000-0000-00003B6B0000}"/>
    <cellStyle name="Hed Top - SECTION 3 6 10 5 2" xfId="25515" xr:uid="{00000000-0005-0000-0000-00003C6B0000}"/>
    <cellStyle name="Hed Top - SECTION 3 6 10 6" xfId="25516" xr:uid="{00000000-0005-0000-0000-00003D6B0000}"/>
    <cellStyle name="Hed Top - SECTION 3 6 10 6 2" xfId="25517" xr:uid="{00000000-0005-0000-0000-00003E6B0000}"/>
    <cellStyle name="Hed Top - SECTION 3 6 10 7" xfId="25518" xr:uid="{00000000-0005-0000-0000-00003F6B0000}"/>
    <cellStyle name="Hed Top - SECTION 3 6 10 7 2" xfId="25519" xr:uid="{00000000-0005-0000-0000-0000406B0000}"/>
    <cellStyle name="Hed Top - SECTION 3 6 10 8" xfId="25520" xr:uid="{00000000-0005-0000-0000-0000416B0000}"/>
    <cellStyle name="Hed Top - SECTION 3 6 10 8 2" xfId="25521" xr:uid="{00000000-0005-0000-0000-0000426B0000}"/>
    <cellStyle name="Hed Top - SECTION 3 6 10 9" xfId="25522" xr:uid="{00000000-0005-0000-0000-0000436B0000}"/>
    <cellStyle name="Hed Top - SECTION 3 6 11" xfId="25523" xr:uid="{00000000-0005-0000-0000-0000446B0000}"/>
    <cellStyle name="Hed Top - SECTION 3 6 11 2" xfId="25524" xr:uid="{00000000-0005-0000-0000-0000456B0000}"/>
    <cellStyle name="Hed Top - SECTION 3 6 12" xfId="25525" xr:uid="{00000000-0005-0000-0000-0000466B0000}"/>
    <cellStyle name="Hed Top - SECTION 3 6 12 2" xfId="25526" xr:uid="{00000000-0005-0000-0000-0000476B0000}"/>
    <cellStyle name="Hed Top - SECTION 3 6 13" xfId="25527" xr:uid="{00000000-0005-0000-0000-0000486B0000}"/>
    <cellStyle name="Hed Top - SECTION 3 6 13 2" xfId="25528" xr:uid="{00000000-0005-0000-0000-0000496B0000}"/>
    <cellStyle name="Hed Top - SECTION 3 6 14" xfId="25529" xr:uid="{00000000-0005-0000-0000-00004A6B0000}"/>
    <cellStyle name="Hed Top - SECTION 3 6 14 2" xfId="25530" xr:uid="{00000000-0005-0000-0000-00004B6B0000}"/>
    <cellStyle name="Hed Top - SECTION 3 6 15" xfId="25531" xr:uid="{00000000-0005-0000-0000-00004C6B0000}"/>
    <cellStyle name="Hed Top - SECTION 3 6 15 2" xfId="25532" xr:uid="{00000000-0005-0000-0000-00004D6B0000}"/>
    <cellStyle name="Hed Top - SECTION 3 6 16" xfId="25533" xr:uid="{00000000-0005-0000-0000-00004E6B0000}"/>
    <cellStyle name="Hed Top - SECTION 3 6 16 2" xfId="25534" xr:uid="{00000000-0005-0000-0000-00004F6B0000}"/>
    <cellStyle name="Hed Top - SECTION 3 6 17" xfId="25535" xr:uid="{00000000-0005-0000-0000-0000506B0000}"/>
    <cellStyle name="Hed Top - SECTION 3 6 17 2" xfId="25536" xr:uid="{00000000-0005-0000-0000-0000516B0000}"/>
    <cellStyle name="Hed Top - SECTION 3 6 18" xfId="25537" xr:uid="{00000000-0005-0000-0000-0000526B0000}"/>
    <cellStyle name="Hed Top - SECTION 3 6 2" xfId="25538" xr:uid="{00000000-0005-0000-0000-0000536B0000}"/>
    <cellStyle name="Hed Top - SECTION 3 6 2 10" xfId="25539" xr:uid="{00000000-0005-0000-0000-0000546B0000}"/>
    <cellStyle name="Hed Top - SECTION 3 6 2 2" xfId="25540" xr:uid="{00000000-0005-0000-0000-0000556B0000}"/>
    <cellStyle name="Hed Top - SECTION 3 6 2 2 2" xfId="25541" xr:uid="{00000000-0005-0000-0000-0000566B0000}"/>
    <cellStyle name="Hed Top - SECTION 3 6 2 3" xfId="25542" xr:uid="{00000000-0005-0000-0000-0000576B0000}"/>
    <cellStyle name="Hed Top - SECTION 3 6 2 3 2" xfId="25543" xr:uid="{00000000-0005-0000-0000-0000586B0000}"/>
    <cellStyle name="Hed Top - SECTION 3 6 2 4" xfId="25544" xr:uid="{00000000-0005-0000-0000-0000596B0000}"/>
    <cellStyle name="Hed Top - SECTION 3 6 2 4 2" xfId="25545" xr:uid="{00000000-0005-0000-0000-00005A6B0000}"/>
    <cellStyle name="Hed Top - SECTION 3 6 2 5" xfId="25546" xr:uid="{00000000-0005-0000-0000-00005B6B0000}"/>
    <cellStyle name="Hed Top - SECTION 3 6 2 5 2" xfId="25547" xr:uid="{00000000-0005-0000-0000-00005C6B0000}"/>
    <cellStyle name="Hed Top - SECTION 3 6 2 6" xfId="25548" xr:uid="{00000000-0005-0000-0000-00005D6B0000}"/>
    <cellStyle name="Hed Top - SECTION 3 6 2 6 2" xfId="25549" xr:uid="{00000000-0005-0000-0000-00005E6B0000}"/>
    <cellStyle name="Hed Top - SECTION 3 6 2 7" xfId="25550" xr:uid="{00000000-0005-0000-0000-00005F6B0000}"/>
    <cellStyle name="Hed Top - SECTION 3 6 2 7 2" xfId="25551" xr:uid="{00000000-0005-0000-0000-0000606B0000}"/>
    <cellStyle name="Hed Top - SECTION 3 6 2 8" xfId="25552" xr:uid="{00000000-0005-0000-0000-0000616B0000}"/>
    <cellStyle name="Hed Top - SECTION 3 6 2 8 2" xfId="25553" xr:uid="{00000000-0005-0000-0000-0000626B0000}"/>
    <cellStyle name="Hed Top - SECTION 3 6 2 9" xfId="25554" xr:uid="{00000000-0005-0000-0000-0000636B0000}"/>
    <cellStyle name="Hed Top - SECTION 3 6 2 9 2" xfId="25555" xr:uid="{00000000-0005-0000-0000-0000646B0000}"/>
    <cellStyle name="Hed Top - SECTION 3 6 3" xfId="25556" xr:uid="{00000000-0005-0000-0000-0000656B0000}"/>
    <cellStyle name="Hed Top - SECTION 3 6 3 10" xfId="25557" xr:uid="{00000000-0005-0000-0000-0000666B0000}"/>
    <cellStyle name="Hed Top - SECTION 3 6 3 2" xfId="25558" xr:uid="{00000000-0005-0000-0000-0000676B0000}"/>
    <cellStyle name="Hed Top - SECTION 3 6 3 2 2" xfId="25559" xr:uid="{00000000-0005-0000-0000-0000686B0000}"/>
    <cellStyle name="Hed Top - SECTION 3 6 3 3" xfId="25560" xr:uid="{00000000-0005-0000-0000-0000696B0000}"/>
    <cellStyle name="Hed Top - SECTION 3 6 3 3 2" xfId="25561" xr:uid="{00000000-0005-0000-0000-00006A6B0000}"/>
    <cellStyle name="Hed Top - SECTION 3 6 3 4" xfId="25562" xr:uid="{00000000-0005-0000-0000-00006B6B0000}"/>
    <cellStyle name="Hed Top - SECTION 3 6 3 4 2" xfId="25563" xr:uid="{00000000-0005-0000-0000-00006C6B0000}"/>
    <cellStyle name="Hed Top - SECTION 3 6 3 5" xfId="25564" xr:uid="{00000000-0005-0000-0000-00006D6B0000}"/>
    <cellStyle name="Hed Top - SECTION 3 6 3 5 2" xfId="25565" xr:uid="{00000000-0005-0000-0000-00006E6B0000}"/>
    <cellStyle name="Hed Top - SECTION 3 6 3 6" xfId="25566" xr:uid="{00000000-0005-0000-0000-00006F6B0000}"/>
    <cellStyle name="Hed Top - SECTION 3 6 3 6 2" xfId="25567" xr:uid="{00000000-0005-0000-0000-0000706B0000}"/>
    <cellStyle name="Hed Top - SECTION 3 6 3 7" xfId="25568" xr:uid="{00000000-0005-0000-0000-0000716B0000}"/>
    <cellStyle name="Hed Top - SECTION 3 6 3 7 2" xfId="25569" xr:uid="{00000000-0005-0000-0000-0000726B0000}"/>
    <cellStyle name="Hed Top - SECTION 3 6 3 8" xfId="25570" xr:uid="{00000000-0005-0000-0000-0000736B0000}"/>
    <cellStyle name="Hed Top - SECTION 3 6 3 8 2" xfId="25571" xr:uid="{00000000-0005-0000-0000-0000746B0000}"/>
    <cellStyle name="Hed Top - SECTION 3 6 3 9" xfId="25572" xr:uid="{00000000-0005-0000-0000-0000756B0000}"/>
    <cellStyle name="Hed Top - SECTION 3 6 3 9 2" xfId="25573" xr:uid="{00000000-0005-0000-0000-0000766B0000}"/>
    <cellStyle name="Hed Top - SECTION 3 6 4" xfId="25574" xr:uid="{00000000-0005-0000-0000-0000776B0000}"/>
    <cellStyle name="Hed Top - SECTION 3 6 4 10" xfId="25575" xr:uid="{00000000-0005-0000-0000-0000786B0000}"/>
    <cellStyle name="Hed Top - SECTION 3 6 4 2" xfId="25576" xr:uid="{00000000-0005-0000-0000-0000796B0000}"/>
    <cellStyle name="Hed Top - SECTION 3 6 4 2 2" xfId="25577" xr:uid="{00000000-0005-0000-0000-00007A6B0000}"/>
    <cellStyle name="Hed Top - SECTION 3 6 4 3" xfId="25578" xr:uid="{00000000-0005-0000-0000-00007B6B0000}"/>
    <cellStyle name="Hed Top - SECTION 3 6 4 3 2" xfId="25579" xr:uid="{00000000-0005-0000-0000-00007C6B0000}"/>
    <cellStyle name="Hed Top - SECTION 3 6 4 4" xfId="25580" xr:uid="{00000000-0005-0000-0000-00007D6B0000}"/>
    <cellStyle name="Hed Top - SECTION 3 6 4 4 2" xfId="25581" xr:uid="{00000000-0005-0000-0000-00007E6B0000}"/>
    <cellStyle name="Hed Top - SECTION 3 6 4 5" xfId="25582" xr:uid="{00000000-0005-0000-0000-00007F6B0000}"/>
    <cellStyle name="Hed Top - SECTION 3 6 4 5 2" xfId="25583" xr:uid="{00000000-0005-0000-0000-0000806B0000}"/>
    <cellStyle name="Hed Top - SECTION 3 6 4 6" xfId="25584" xr:uid="{00000000-0005-0000-0000-0000816B0000}"/>
    <cellStyle name="Hed Top - SECTION 3 6 4 6 2" xfId="25585" xr:uid="{00000000-0005-0000-0000-0000826B0000}"/>
    <cellStyle name="Hed Top - SECTION 3 6 4 7" xfId="25586" xr:uid="{00000000-0005-0000-0000-0000836B0000}"/>
    <cellStyle name="Hed Top - SECTION 3 6 4 7 2" xfId="25587" xr:uid="{00000000-0005-0000-0000-0000846B0000}"/>
    <cellStyle name="Hed Top - SECTION 3 6 4 8" xfId="25588" xr:uid="{00000000-0005-0000-0000-0000856B0000}"/>
    <cellStyle name="Hed Top - SECTION 3 6 4 8 2" xfId="25589" xr:uid="{00000000-0005-0000-0000-0000866B0000}"/>
    <cellStyle name="Hed Top - SECTION 3 6 4 9" xfId="25590" xr:uid="{00000000-0005-0000-0000-0000876B0000}"/>
    <cellStyle name="Hed Top - SECTION 3 6 4 9 2" xfId="25591" xr:uid="{00000000-0005-0000-0000-0000886B0000}"/>
    <cellStyle name="Hed Top - SECTION 3 6 5" xfId="25592" xr:uid="{00000000-0005-0000-0000-0000896B0000}"/>
    <cellStyle name="Hed Top - SECTION 3 6 5 10" xfId="25593" xr:uid="{00000000-0005-0000-0000-00008A6B0000}"/>
    <cellStyle name="Hed Top - SECTION 3 6 5 2" xfId="25594" xr:uid="{00000000-0005-0000-0000-00008B6B0000}"/>
    <cellStyle name="Hed Top - SECTION 3 6 5 2 2" xfId="25595" xr:uid="{00000000-0005-0000-0000-00008C6B0000}"/>
    <cellStyle name="Hed Top - SECTION 3 6 5 3" xfId="25596" xr:uid="{00000000-0005-0000-0000-00008D6B0000}"/>
    <cellStyle name="Hed Top - SECTION 3 6 5 3 2" xfId="25597" xr:uid="{00000000-0005-0000-0000-00008E6B0000}"/>
    <cellStyle name="Hed Top - SECTION 3 6 5 4" xfId="25598" xr:uid="{00000000-0005-0000-0000-00008F6B0000}"/>
    <cellStyle name="Hed Top - SECTION 3 6 5 4 2" xfId="25599" xr:uid="{00000000-0005-0000-0000-0000906B0000}"/>
    <cellStyle name="Hed Top - SECTION 3 6 5 5" xfId="25600" xr:uid="{00000000-0005-0000-0000-0000916B0000}"/>
    <cellStyle name="Hed Top - SECTION 3 6 5 5 2" xfId="25601" xr:uid="{00000000-0005-0000-0000-0000926B0000}"/>
    <cellStyle name="Hed Top - SECTION 3 6 5 6" xfId="25602" xr:uid="{00000000-0005-0000-0000-0000936B0000}"/>
    <cellStyle name="Hed Top - SECTION 3 6 5 6 2" xfId="25603" xr:uid="{00000000-0005-0000-0000-0000946B0000}"/>
    <cellStyle name="Hed Top - SECTION 3 6 5 7" xfId="25604" xr:uid="{00000000-0005-0000-0000-0000956B0000}"/>
    <cellStyle name="Hed Top - SECTION 3 6 5 7 2" xfId="25605" xr:uid="{00000000-0005-0000-0000-0000966B0000}"/>
    <cellStyle name="Hed Top - SECTION 3 6 5 8" xfId="25606" xr:uid="{00000000-0005-0000-0000-0000976B0000}"/>
    <cellStyle name="Hed Top - SECTION 3 6 5 8 2" xfId="25607" xr:uid="{00000000-0005-0000-0000-0000986B0000}"/>
    <cellStyle name="Hed Top - SECTION 3 6 5 9" xfId="25608" xr:uid="{00000000-0005-0000-0000-0000996B0000}"/>
    <cellStyle name="Hed Top - SECTION 3 6 5 9 2" xfId="25609" xr:uid="{00000000-0005-0000-0000-00009A6B0000}"/>
    <cellStyle name="Hed Top - SECTION 3 6 6" xfId="25610" xr:uid="{00000000-0005-0000-0000-00009B6B0000}"/>
    <cellStyle name="Hed Top - SECTION 3 6 6 10" xfId="25611" xr:uid="{00000000-0005-0000-0000-00009C6B0000}"/>
    <cellStyle name="Hed Top - SECTION 3 6 6 2" xfId="25612" xr:uid="{00000000-0005-0000-0000-00009D6B0000}"/>
    <cellStyle name="Hed Top - SECTION 3 6 6 2 2" xfId="25613" xr:uid="{00000000-0005-0000-0000-00009E6B0000}"/>
    <cellStyle name="Hed Top - SECTION 3 6 6 3" xfId="25614" xr:uid="{00000000-0005-0000-0000-00009F6B0000}"/>
    <cellStyle name="Hed Top - SECTION 3 6 6 3 2" xfId="25615" xr:uid="{00000000-0005-0000-0000-0000A06B0000}"/>
    <cellStyle name="Hed Top - SECTION 3 6 6 4" xfId="25616" xr:uid="{00000000-0005-0000-0000-0000A16B0000}"/>
    <cellStyle name="Hed Top - SECTION 3 6 6 4 2" xfId="25617" xr:uid="{00000000-0005-0000-0000-0000A26B0000}"/>
    <cellStyle name="Hed Top - SECTION 3 6 6 5" xfId="25618" xr:uid="{00000000-0005-0000-0000-0000A36B0000}"/>
    <cellStyle name="Hed Top - SECTION 3 6 6 5 2" xfId="25619" xr:uid="{00000000-0005-0000-0000-0000A46B0000}"/>
    <cellStyle name="Hed Top - SECTION 3 6 6 6" xfId="25620" xr:uid="{00000000-0005-0000-0000-0000A56B0000}"/>
    <cellStyle name="Hed Top - SECTION 3 6 6 6 2" xfId="25621" xr:uid="{00000000-0005-0000-0000-0000A66B0000}"/>
    <cellStyle name="Hed Top - SECTION 3 6 6 7" xfId="25622" xr:uid="{00000000-0005-0000-0000-0000A76B0000}"/>
    <cellStyle name="Hed Top - SECTION 3 6 6 7 2" xfId="25623" xr:uid="{00000000-0005-0000-0000-0000A86B0000}"/>
    <cellStyle name="Hed Top - SECTION 3 6 6 8" xfId="25624" xr:uid="{00000000-0005-0000-0000-0000A96B0000}"/>
    <cellStyle name="Hed Top - SECTION 3 6 6 8 2" xfId="25625" xr:uid="{00000000-0005-0000-0000-0000AA6B0000}"/>
    <cellStyle name="Hed Top - SECTION 3 6 6 9" xfId="25626" xr:uid="{00000000-0005-0000-0000-0000AB6B0000}"/>
    <cellStyle name="Hed Top - SECTION 3 6 6 9 2" xfId="25627" xr:uid="{00000000-0005-0000-0000-0000AC6B0000}"/>
    <cellStyle name="Hed Top - SECTION 3 6 7" xfId="25628" xr:uid="{00000000-0005-0000-0000-0000AD6B0000}"/>
    <cellStyle name="Hed Top - SECTION 3 6 7 10" xfId="25629" xr:uid="{00000000-0005-0000-0000-0000AE6B0000}"/>
    <cellStyle name="Hed Top - SECTION 3 6 7 2" xfId="25630" xr:uid="{00000000-0005-0000-0000-0000AF6B0000}"/>
    <cellStyle name="Hed Top - SECTION 3 6 7 2 2" xfId="25631" xr:uid="{00000000-0005-0000-0000-0000B06B0000}"/>
    <cellStyle name="Hed Top - SECTION 3 6 7 3" xfId="25632" xr:uid="{00000000-0005-0000-0000-0000B16B0000}"/>
    <cellStyle name="Hed Top - SECTION 3 6 7 3 2" xfId="25633" xr:uid="{00000000-0005-0000-0000-0000B26B0000}"/>
    <cellStyle name="Hed Top - SECTION 3 6 7 4" xfId="25634" xr:uid="{00000000-0005-0000-0000-0000B36B0000}"/>
    <cellStyle name="Hed Top - SECTION 3 6 7 4 2" xfId="25635" xr:uid="{00000000-0005-0000-0000-0000B46B0000}"/>
    <cellStyle name="Hed Top - SECTION 3 6 7 5" xfId="25636" xr:uid="{00000000-0005-0000-0000-0000B56B0000}"/>
    <cellStyle name="Hed Top - SECTION 3 6 7 5 2" xfId="25637" xr:uid="{00000000-0005-0000-0000-0000B66B0000}"/>
    <cellStyle name="Hed Top - SECTION 3 6 7 6" xfId="25638" xr:uid="{00000000-0005-0000-0000-0000B76B0000}"/>
    <cellStyle name="Hed Top - SECTION 3 6 7 6 2" xfId="25639" xr:uid="{00000000-0005-0000-0000-0000B86B0000}"/>
    <cellStyle name="Hed Top - SECTION 3 6 7 7" xfId="25640" xr:uid="{00000000-0005-0000-0000-0000B96B0000}"/>
    <cellStyle name="Hed Top - SECTION 3 6 7 7 2" xfId="25641" xr:uid="{00000000-0005-0000-0000-0000BA6B0000}"/>
    <cellStyle name="Hed Top - SECTION 3 6 7 8" xfId="25642" xr:uid="{00000000-0005-0000-0000-0000BB6B0000}"/>
    <cellStyle name="Hed Top - SECTION 3 6 7 8 2" xfId="25643" xr:uid="{00000000-0005-0000-0000-0000BC6B0000}"/>
    <cellStyle name="Hed Top - SECTION 3 6 7 9" xfId="25644" xr:uid="{00000000-0005-0000-0000-0000BD6B0000}"/>
    <cellStyle name="Hed Top - SECTION 3 6 7 9 2" xfId="25645" xr:uid="{00000000-0005-0000-0000-0000BE6B0000}"/>
    <cellStyle name="Hed Top - SECTION 3 6 8" xfId="25646" xr:uid="{00000000-0005-0000-0000-0000BF6B0000}"/>
    <cellStyle name="Hed Top - SECTION 3 6 8 10" xfId="25647" xr:uid="{00000000-0005-0000-0000-0000C06B0000}"/>
    <cellStyle name="Hed Top - SECTION 3 6 8 2" xfId="25648" xr:uid="{00000000-0005-0000-0000-0000C16B0000}"/>
    <cellStyle name="Hed Top - SECTION 3 6 8 2 2" xfId="25649" xr:uid="{00000000-0005-0000-0000-0000C26B0000}"/>
    <cellStyle name="Hed Top - SECTION 3 6 8 3" xfId="25650" xr:uid="{00000000-0005-0000-0000-0000C36B0000}"/>
    <cellStyle name="Hed Top - SECTION 3 6 8 3 2" xfId="25651" xr:uid="{00000000-0005-0000-0000-0000C46B0000}"/>
    <cellStyle name="Hed Top - SECTION 3 6 8 4" xfId="25652" xr:uid="{00000000-0005-0000-0000-0000C56B0000}"/>
    <cellStyle name="Hed Top - SECTION 3 6 8 4 2" xfId="25653" xr:uid="{00000000-0005-0000-0000-0000C66B0000}"/>
    <cellStyle name="Hed Top - SECTION 3 6 8 5" xfId="25654" xr:uid="{00000000-0005-0000-0000-0000C76B0000}"/>
    <cellStyle name="Hed Top - SECTION 3 6 8 5 2" xfId="25655" xr:uid="{00000000-0005-0000-0000-0000C86B0000}"/>
    <cellStyle name="Hed Top - SECTION 3 6 8 6" xfId="25656" xr:uid="{00000000-0005-0000-0000-0000C96B0000}"/>
    <cellStyle name="Hed Top - SECTION 3 6 8 6 2" xfId="25657" xr:uid="{00000000-0005-0000-0000-0000CA6B0000}"/>
    <cellStyle name="Hed Top - SECTION 3 6 8 7" xfId="25658" xr:uid="{00000000-0005-0000-0000-0000CB6B0000}"/>
    <cellStyle name="Hed Top - SECTION 3 6 8 7 2" xfId="25659" xr:uid="{00000000-0005-0000-0000-0000CC6B0000}"/>
    <cellStyle name="Hed Top - SECTION 3 6 8 8" xfId="25660" xr:uid="{00000000-0005-0000-0000-0000CD6B0000}"/>
    <cellStyle name="Hed Top - SECTION 3 6 8 8 2" xfId="25661" xr:uid="{00000000-0005-0000-0000-0000CE6B0000}"/>
    <cellStyle name="Hed Top - SECTION 3 6 8 9" xfId="25662" xr:uid="{00000000-0005-0000-0000-0000CF6B0000}"/>
    <cellStyle name="Hed Top - SECTION 3 6 8 9 2" xfId="25663" xr:uid="{00000000-0005-0000-0000-0000D06B0000}"/>
    <cellStyle name="Hed Top - SECTION 3 6 9" xfId="25664" xr:uid="{00000000-0005-0000-0000-0000D16B0000}"/>
    <cellStyle name="Hed Top - SECTION 3 6 9 10" xfId="25665" xr:uid="{00000000-0005-0000-0000-0000D26B0000}"/>
    <cellStyle name="Hed Top - SECTION 3 6 9 2" xfId="25666" xr:uid="{00000000-0005-0000-0000-0000D36B0000}"/>
    <cellStyle name="Hed Top - SECTION 3 6 9 2 2" xfId="25667" xr:uid="{00000000-0005-0000-0000-0000D46B0000}"/>
    <cellStyle name="Hed Top - SECTION 3 6 9 3" xfId="25668" xr:uid="{00000000-0005-0000-0000-0000D56B0000}"/>
    <cellStyle name="Hed Top - SECTION 3 6 9 3 2" xfId="25669" xr:uid="{00000000-0005-0000-0000-0000D66B0000}"/>
    <cellStyle name="Hed Top - SECTION 3 6 9 4" xfId="25670" xr:uid="{00000000-0005-0000-0000-0000D76B0000}"/>
    <cellStyle name="Hed Top - SECTION 3 6 9 4 2" xfId="25671" xr:uid="{00000000-0005-0000-0000-0000D86B0000}"/>
    <cellStyle name="Hed Top - SECTION 3 6 9 5" xfId="25672" xr:uid="{00000000-0005-0000-0000-0000D96B0000}"/>
    <cellStyle name="Hed Top - SECTION 3 6 9 5 2" xfId="25673" xr:uid="{00000000-0005-0000-0000-0000DA6B0000}"/>
    <cellStyle name="Hed Top - SECTION 3 6 9 6" xfId="25674" xr:uid="{00000000-0005-0000-0000-0000DB6B0000}"/>
    <cellStyle name="Hed Top - SECTION 3 6 9 6 2" xfId="25675" xr:uid="{00000000-0005-0000-0000-0000DC6B0000}"/>
    <cellStyle name="Hed Top - SECTION 3 6 9 7" xfId="25676" xr:uid="{00000000-0005-0000-0000-0000DD6B0000}"/>
    <cellStyle name="Hed Top - SECTION 3 6 9 7 2" xfId="25677" xr:uid="{00000000-0005-0000-0000-0000DE6B0000}"/>
    <cellStyle name="Hed Top - SECTION 3 6 9 8" xfId="25678" xr:uid="{00000000-0005-0000-0000-0000DF6B0000}"/>
    <cellStyle name="Hed Top - SECTION 3 6 9 8 2" xfId="25679" xr:uid="{00000000-0005-0000-0000-0000E06B0000}"/>
    <cellStyle name="Hed Top - SECTION 3 6 9 9" xfId="25680" xr:uid="{00000000-0005-0000-0000-0000E16B0000}"/>
    <cellStyle name="Hed Top - SECTION 3 6 9 9 2" xfId="25681" xr:uid="{00000000-0005-0000-0000-0000E26B0000}"/>
    <cellStyle name="Hed Top - SECTION 3 7" xfId="25682" xr:uid="{00000000-0005-0000-0000-0000E36B0000}"/>
    <cellStyle name="Hed Top - SECTION 3 7 10" xfId="25683" xr:uid="{00000000-0005-0000-0000-0000E46B0000}"/>
    <cellStyle name="Hed Top - SECTION 3 7 10 2" xfId="25684" xr:uid="{00000000-0005-0000-0000-0000E56B0000}"/>
    <cellStyle name="Hed Top - SECTION 3 7 10 2 2" xfId="25685" xr:uid="{00000000-0005-0000-0000-0000E66B0000}"/>
    <cellStyle name="Hed Top - SECTION 3 7 10 3" xfId="25686" xr:uid="{00000000-0005-0000-0000-0000E76B0000}"/>
    <cellStyle name="Hed Top - SECTION 3 7 10 3 2" xfId="25687" xr:uid="{00000000-0005-0000-0000-0000E86B0000}"/>
    <cellStyle name="Hed Top - SECTION 3 7 10 4" xfId="25688" xr:uid="{00000000-0005-0000-0000-0000E96B0000}"/>
    <cellStyle name="Hed Top - SECTION 3 7 10 4 2" xfId="25689" xr:uid="{00000000-0005-0000-0000-0000EA6B0000}"/>
    <cellStyle name="Hed Top - SECTION 3 7 10 5" xfId="25690" xr:uid="{00000000-0005-0000-0000-0000EB6B0000}"/>
    <cellStyle name="Hed Top - SECTION 3 7 10 5 2" xfId="25691" xr:uid="{00000000-0005-0000-0000-0000EC6B0000}"/>
    <cellStyle name="Hed Top - SECTION 3 7 10 6" xfId="25692" xr:uid="{00000000-0005-0000-0000-0000ED6B0000}"/>
    <cellStyle name="Hed Top - SECTION 3 7 10 6 2" xfId="25693" xr:uid="{00000000-0005-0000-0000-0000EE6B0000}"/>
    <cellStyle name="Hed Top - SECTION 3 7 10 7" xfId="25694" xr:uid="{00000000-0005-0000-0000-0000EF6B0000}"/>
    <cellStyle name="Hed Top - SECTION 3 7 10 7 2" xfId="25695" xr:uid="{00000000-0005-0000-0000-0000F06B0000}"/>
    <cellStyle name="Hed Top - SECTION 3 7 10 8" xfId="25696" xr:uid="{00000000-0005-0000-0000-0000F16B0000}"/>
    <cellStyle name="Hed Top - SECTION 3 7 10 8 2" xfId="25697" xr:uid="{00000000-0005-0000-0000-0000F26B0000}"/>
    <cellStyle name="Hed Top - SECTION 3 7 10 9" xfId="25698" xr:uid="{00000000-0005-0000-0000-0000F36B0000}"/>
    <cellStyle name="Hed Top - SECTION 3 7 11" xfId="25699" xr:uid="{00000000-0005-0000-0000-0000F46B0000}"/>
    <cellStyle name="Hed Top - SECTION 3 7 11 2" xfId="25700" xr:uid="{00000000-0005-0000-0000-0000F56B0000}"/>
    <cellStyle name="Hed Top - SECTION 3 7 12" xfId="25701" xr:uid="{00000000-0005-0000-0000-0000F66B0000}"/>
    <cellStyle name="Hed Top - SECTION 3 7 12 2" xfId="25702" xr:uid="{00000000-0005-0000-0000-0000F76B0000}"/>
    <cellStyle name="Hed Top - SECTION 3 7 13" xfId="25703" xr:uid="{00000000-0005-0000-0000-0000F86B0000}"/>
    <cellStyle name="Hed Top - SECTION 3 7 13 2" xfId="25704" xr:uid="{00000000-0005-0000-0000-0000F96B0000}"/>
    <cellStyle name="Hed Top - SECTION 3 7 14" xfId="25705" xr:uid="{00000000-0005-0000-0000-0000FA6B0000}"/>
    <cellStyle name="Hed Top - SECTION 3 7 14 2" xfId="25706" xr:uid="{00000000-0005-0000-0000-0000FB6B0000}"/>
    <cellStyle name="Hed Top - SECTION 3 7 15" xfId="25707" xr:uid="{00000000-0005-0000-0000-0000FC6B0000}"/>
    <cellStyle name="Hed Top - SECTION 3 7 15 2" xfId="25708" xr:uid="{00000000-0005-0000-0000-0000FD6B0000}"/>
    <cellStyle name="Hed Top - SECTION 3 7 16" xfId="25709" xr:uid="{00000000-0005-0000-0000-0000FE6B0000}"/>
    <cellStyle name="Hed Top - SECTION 3 7 16 2" xfId="25710" xr:uid="{00000000-0005-0000-0000-0000FF6B0000}"/>
    <cellStyle name="Hed Top - SECTION 3 7 17" xfId="25711" xr:uid="{00000000-0005-0000-0000-0000006C0000}"/>
    <cellStyle name="Hed Top - SECTION 3 7 17 2" xfId="25712" xr:uid="{00000000-0005-0000-0000-0000016C0000}"/>
    <cellStyle name="Hed Top - SECTION 3 7 18" xfId="25713" xr:uid="{00000000-0005-0000-0000-0000026C0000}"/>
    <cellStyle name="Hed Top - SECTION 3 7 2" xfId="25714" xr:uid="{00000000-0005-0000-0000-0000036C0000}"/>
    <cellStyle name="Hed Top - SECTION 3 7 2 10" xfId="25715" xr:uid="{00000000-0005-0000-0000-0000046C0000}"/>
    <cellStyle name="Hed Top - SECTION 3 7 2 2" xfId="25716" xr:uid="{00000000-0005-0000-0000-0000056C0000}"/>
    <cellStyle name="Hed Top - SECTION 3 7 2 2 2" xfId="25717" xr:uid="{00000000-0005-0000-0000-0000066C0000}"/>
    <cellStyle name="Hed Top - SECTION 3 7 2 3" xfId="25718" xr:uid="{00000000-0005-0000-0000-0000076C0000}"/>
    <cellStyle name="Hed Top - SECTION 3 7 2 3 2" xfId="25719" xr:uid="{00000000-0005-0000-0000-0000086C0000}"/>
    <cellStyle name="Hed Top - SECTION 3 7 2 4" xfId="25720" xr:uid="{00000000-0005-0000-0000-0000096C0000}"/>
    <cellStyle name="Hed Top - SECTION 3 7 2 4 2" xfId="25721" xr:uid="{00000000-0005-0000-0000-00000A6C0000}"/>
    <cellStyle name="Hed Top - SECTION 3 7 2 5" xfId="25722" xr:uid="{00000000-0005-0000-0000-00000B6C0000}"/>
    <cellStyle name="Hed Top - SECTION 3 7 2 5 2" xfId="25723" xr:uid="{00000000-0005-0000-0000-00000C6C0000}"/>
    <cellStyle name="Hed Top - SECTION 3 7 2 6" xfId="25724" xr:uid="{00000000-0005-0000-0000-00000D6C0000}"/>
    <cellStyle name="Hed Top - SECTION 3 7 2 6 2" xfId="25725" xr:uid="{00000000-0005-0000-0000-00000E6C0000}"/>
    <cellStyle name="Hed Top - SECTION 3 7 2 7" xfId="25726" xr:uid="{00000000-0005-0000-0000-00000F6C0000}"/>
    <cellStyle name="Hed Top - SECTION 3 7 2 7 2" xfId="25727" xr:uid="{00000000-0005-0000-0000-0000106C0000}"/>
    <cellStyle name="Hed Top - SECTION 3 7 2 8" xfId="25728" xr:uid="{00000000-0005-0000-0000-0000116C0000}"/>
    <cellStyle name="Hed Top - SECTION 3 7 2 8 2" xfId="25729" xr:uid="{00000000-0005-0000-0000-0000126C0000}"/>
    <cellStyle name="Hed Top - SECTION 3 7 2 9" xfId="25730" xr:uid="{00000000-0005-0000-0000-0000136C0000}"/>
    <cellStyle name="Hed Top - SECTION 3 7 2 9 2" xfId="25731" xr:uid="{00000000-0005-0000-0000-0000146C0000}"/>
    <cellStyle name="Hed Top - SECTION 3 7 3" xfId="25732" xr:uid="{00000000-0005-0000-0000-0000156C0000}"/>
    <cellStyle name="Hed Top - SECTION 3 7 3 10" xfId="25733" xr:uid="{00000000-0005-0000-0000-0000166C0000}"/>
    <cellStyle name="Hed Top - SECTION 3 7 3 2" xfId="25734" xr:uid="{00000000-0005-0000-0000-0000176C0000}"/>
    <cellStyle name="Hed Top - SECTION 3 7 3 2 2" xfId="25735" xr:uid="{00000000-0005-0000-0000-0000186C0000}"/>
    <cellStyle name="Hed Top - SECTION 3 7 3 3" xfId="25736" xr:uid="{00000000-0005-0000-0000-0000196C0000}"/>
    <cellStyle name="Hed Top - SECTION 3 7 3 3 2" xfId="25737" xr:uid="{00000000-0005-0000-0000-00001A6C0000}"/>
    <cellStyle name="Hed Top - SECTION 3 7 3 4" xfId="25738" xr:uid="{00000000-0005-0000-0000-00001B6C0000}"/>
    <cellStyle name="Hed Top - SECTION 3 7 3 4 2" xfId="25739" xr:uid="{00000000-0005-0000-0000-00001C6C0000}"/>
    <cellStyle name="Hed Top - SECTION 3 7 3 5" xfId="25740" xr:uid="{00000000-0005-0000-0000-00001D6C0000}"/>
    <cellStyle name="Hed Top - SECTION 3 7 3 5 2" xfId="25741" xr:uid="{00000000-0005-0000-0000-00001E6C0000}"/>
    <cellStyle name="Hed Top - SECTION 3 7 3 6" xfId="25742" xr:uid="{00000000-0005-0000-0000-00001F6C0000}"/>
    <cellStyle name="Hed Top - SECTION 3 7 3 6 2" xfId="25743" xr:uid="{00000000-0005-0000-0000-0000206C0000}"/>
    <cellStyle name="Hed Top - SECTION 3 7 3 7" xfId="25744" xr:uid="{00000000-0005-0000-0000-0000216C0000}"/>
    <cellStyle name="Hed Top - SECTION 3 7 3 7 2" xfId="25745" xr:uid="{00000000-0005-0000-0000-0000226C0000}"/>
    <cellStyle name="Hed Top - SECTION 3 7 3 8" xfId="25746" xr:uid="{00000000-0005-0000-0000-0000236C0000}"/>
    <cellStyle name="Hed Top - SECTION 3 7 3 8 2" xfId="25747" xr:uid="{00000000-0005-0000-0000-0000246C0000}"/>
    <cellStyle name="Hed Top - SECTION 3 7 3 9" xfId="25748" xr:uid="{00000000-0005-0000-0000-0000256C0000}"/>
    <cellStyle name="Hed Top - SECTION 3 7 3 9 2" xfId="25749" xr:uid="{00000000-0005-0000-0000-0000266C0000}"/>
    <cellStyle name="Hed Top - SECTION 3 7 4" xfId="25750" xr:uid="{00000000-0005-0000-0000-0000276C0000}"/>
    <cellStyle name="Hed Top - SECTION 3 7 4 10" xfId="25751" xr:uid="{00000000-0005-0000-0000-0000286C0000}"/>
    <cellStyle name="Hed Top - SECTION 3 7 4 2" xfId="25752" xr:uid="{00000000-0005-0000-0000-0000296C0000}"/>
    <cellStyle name="Hed Top - SECTION 3 7 4 2 2" xfId="25753" xr:uid="{00000000-0005-0000-0000-00002A6C0000}"/>
    <cellStyle name="Hed Top - SECTION 3 7 4 3" xfId="25754" xr:uid="{00000000-0005-0000-0000-00002B6C0000}"/>
    <cellStyle name="Hed Top - SECTION 3 7 4 3 2" xfId="25755" xr:uid="{00000000-0005-0000-0000-00002C6C0000}"/>
    <cellStyle name="Hed Top - SECTION 3 7 4 4" xfId="25756" xr:uid="{00000000-0005-0000-0000-00002D6C0000}"/>
    <cellStyle name="Hed Top - SECTION 3 7 4 4 2" xfId="25757" xr:uid="{00000000-0005-0000-0000-00002E6C0000}"/>
    <cellStyle name="Hed Top - SECTION 3 7 4 5" xfId="25758" xr:uid="{00000000-0005-0000-0000-00002F6C0000}"/>
    <cellStyle name="Hed Top - SECTION 3 7 4 5 2" xfId="25759" xr:uid="{00000000-0005-0000-0000-0000306C0000}"/>
    <cellStyle name="Hed Top - SECTION 3 7 4 6" xfId="25760" xr:uid="{00000000-0005-0000-0000-0000316C0000}"/>
    <cellStyle name="Hed Top - SECTION 3 7 4 6 2" xfId="25761" xr:uid="{00000000-0005-0000-0000-0000326C0000}"/>
    <cellStyle name="Hed Top - SECTION 3 7 4 7" xfId="25762" xr:uid="{00000000-0005-0000-0000-0000336C0000}"/>
    <cellStyle name="Hed Top - SECTION 3 7 4 7 2" xfId="25763" xr:uid="{00000000-0005-0000-0000-0000346C0000}"/>
    <cellStyle name="Hed Top - SECTION 3 7 4 8" xfId="25764" xr:uid="{00000000-0005-0000-0000-0000356C0000}"/>
    <cellStyle name="Hed Top - SECTION 3 7 4 8 2" xfId="25765" xr:uid="{00000000-0005-0000-0000-0000366C0000}"/>
    <cellStyle name="Hed Top - SECTION 3 7 4 9" xfId="25766" xr:uid="{00000000-0005-0000-0000-0000376C0000}"/>
    <cellStyle name="Hed Top - SECTION 3 7 4 9 2" xfId="25767" xr:uid="{00000000-0005-0000-0000-0000386C0000}"/>
    <cellStyle name="Hed Top - SECTION 3 7 5" xfId="25768" xr:uid="{00000000-0005-0000-0000-0000396C0000}"/>
    <cellStyle name="Hed Top - SECTION 3 7 5 10" xfId="25769" xr:uid="{00000000-0005-0000-0000-00003A6C0000}"/>
    <cellStyle name="Hed Top - SECTION 3 7 5 2" xfId="25770" xr:uid="{00000000-0005-0000-0000-00003B6C0000}"/>
    <cellStyle name="Hed Top - SECTION 3 7 5 2 2" xfId="25771" xr:uid="{00000000-0005-0000-0000-00003C6C0000}"/>
    <cellStyle name="Hed Top - SECTION 3 7 5 3" xfId="25772" xr:uid="{00000000-0005-0000-0000-00003D6C0000}"/>
    <cellStyle name="Hed Top - SECTION 3 7 5 3 2" xfId="25773" xr:uid="{00000000-0005-0000-0000-00003E6C0000}"/>
    <cellStyle name="Hed Top - SECTION 3 7 5 4" xfId="25774" xr:uid="{00000000-0005-0000-0000-00003F6C0000}"/>
    <cellStyle name="Hed Top - SECTION 3 7 5 4 2" xfId="25775" xr:uid="{00000000-0005-0000-0000-0000406C0000}"/>
    <cellStyle name="Hed Top - SECTION 3 7 5 5" xfId="25776" xr:uid="{00000000-0005-0000-0000-0000416C0000}"/>
    <cellStyle name="Hed Top - SECTION 3 7 5 5 2" xfId="25777" xr:uid="{00000000-0005-0000-0000-0000426C0000}"/>
    <cellStyle name="Hed Top - SECTION 3 7 5 6" xfId="25778" xr:uid="{00000000-0005-0000-0000-0000436C0000}"/>
    <cellStyle name="Hed Top - SECTION 3 7 5 6 2" xfId="25779" xr:uid="{00000000-0005-0000-0000-0000446C0000}"/>
    <cellStyle name="Hed Top - SECTION 3 7 5 7" xfId="25780" xr:uid="{00000000-0005-0000-0000-0000456C0000}"/>
    <cellStyle name="Hed Top - SECTION 3 7 5 7 2" xfId="25781" xr:uid="{00000000-0005-0000-0000-0000466C0000}"/>
    <cellStyle name="Hed Top - SECTION 3 7 5 8" xfId="25782" xr:uid="{00000000-0005-0000-0000-0000476C0000}"/>
    <cellStyle name="Hed Top - SECTION 3 7 5 8 2" xfId="25783" xr:uid="{00000000-0005-0000-0000-0000486C0000}"/>
    <cellStyle name="Hed Top - SECTION 3 7 5 9" xfId="25784" xr:uid="{00000000-0005-0000-0000-0000496C0000}"/>
    <cellStyle name="Hed Top - SECTION 3 7 5 9 2" xfId="25785" xr:uid="{00000000-0005-0000-0000-00004A6C0000}"/>
    <cellStyle name="Hed Top - SECTION 3 7 6" xfId="25786" xr:uid="{00000000-0005-0000-0000-00004B6C0000}"/>
    <cellStyle name="Hed Top - SECTION 3 7 6 10" xfId="25787" xr:uid="{00000000-0005-0000-0000-00004C6C0000}"/>
    <cellStyle name="Hed Top - SECTION 3 7 6 2" xfId="25788" xr:uid="{00000000-0005-0000-0000-00004D6C0000}"/>
    <cellStyle name="Hed Top - SECTION 3 7 6 2 2" xfId="25789" xr:uid="{00000000-0005-0000-0000-00004E6C0000}"/>
    <cellStyle name="Hed Top - SECTION 3 7 6 3" xfId="25790" xr:uid="{00000000-0005-0000-0000-00004F6C0000}"/>
    <cellStyle name="Hed Top - SECTION 3 7 6 3 2" xfId="25791" xr:uid="{00000000-0005-0000-0000-0000506C0000}"/>
    <cellStyle name="Hed Top - SECTION 3 7 6 4" xfId="25792" xr:uid="{00000000-0005-0000-0000-0000516C0000}"/>
    <cellStyle name="Hed Top - SECTION 3 7 6 4 2" xfId="25793" xr:uid="{00000000-0005-0000-0000-0000526C0000}"/>
    <cellStyle name="Hed Top - SECTION 3 7 6 5" xfId="25794" xr:uid="{00000000-0005-0000-0000-0000536C0000}"/>
    <cellStyle name="Hed Top - SECTION 3 7 6 5 2" xfId="25795" xr:uid="{00000000-0005-0000-0000-0000546C0000}"/>
    <cellStyle name="Hed Top - SECTION 3 7 6 6" xfId="25796" xr:uid="{00000000-0005-0000-0000-0000556C0000}"/>
    <cellStyle name="Hed Top - SECTION 3 7 6 6 2" xfId="25797" xr:uid="{00000000-0005-0000-0000-0000566C0000}"/>
    <cellStyle name="Hed Top - SECTION 3 7 6 7" xfId="25798" xr:uid="{00000000-0005-0000-0000-0000576C0000}"/>
    <cellStyle name="Hed Top - SECTION 3 7 6 7 2" xfId="25799" xr:uid="{00000000-0005-0000-0000-0000586C0000}"/>
    <cellStyle name="Hed Top - SECTION 3 7 6 8" xfId="25800" xr:uid="{00000000-0005-0000-0000-0000596C0000}"/>
    <cellStyle name="Hed Top - SECTION 3 7 6 8 2" xfId="25801" xr:uid="{00000000-0005-0000-0000-00005A6C0000}"/>
    <cellStyle name="Hed Top - SECTION 3 7 6 9" xfId="25802" xr:uid="{00000000-0005-0000-0000-00005B6C0000}"/>
    <cellStyle name="Hed Top - SECTION 3 7 6 9 2" xfId="25803" xr:uid="{00000000-0005-0000-0000-00005C6C0000}"/>
    <cellStyle name="Hed Top - SECTION 3 7 7" xfId="25804" xr:uid="{00000000-0005-0000-0000-00005D6C0000}"/>
    <cellStyle name="Hed Top - SECTION 3 7 7 10" xfId="25805" xr:uid="{00000000-0005-0000-0000-00005E6C0000}"/>
    <cellStyle name="Hed Top - SECTION 3 7 7 2" xfId="25806" xr:uid="{00000000-0005-0000-0000-00005F6C0000}"/>
    <cellStyle name="Hed Top - SECTION 3 7 7 2 2" xfId="25807" xr:uid="{00000000-0005-0000-0000-0000606C0000}"/>
    <cellStyle name="Hed Top - SECTION 3 7 7 3" xfId="25808" xr:uid="{00000000-0005-0000-0000-0000616C0000}"/>
    <cellStyle name="Hed Top - SECTION 3 7 7 3 2" xfId="25809" xr:uid="{00000000-0005-0000-0000-0000626C0000}"/>
    <cellStyle name="Hed Top - SECTION 3 7 7 4" xfId="25810" xr:uid="{00000000-0005-0000-0000-0000636C0000}"/>
    <cellStyle name="Hed Top - SECTION 3 7 7 4 2" xfId="25811" xr:uid="{00000000-0005-0000-0000-0000646C0000}"/>
    <cellStyle name="Hed Top - SECTION 3 7 7 5" xfId="25812" xr:uid="{00000000-0005-0000-0000-0000656C0000}"/>
    <cellStyle name="Hed Top - SECTION 3 7 7 5 2" xfId="25813" xr:uid="{00000000-0005-0000-0000-0000666C0000}"/>
    <cellStyle name="Hed Top - SECTION 3 7 7 6" xfId="25814" xr:uid="{00000000-0005-0000-0000-0000676C0000}"/>
    <cellStyle name="Hed Top - SECTION 3 7 7 6 2" xfId="25815" xr:uid="{00000000-0005-0000-0000-0000686C0000}"/>
    <cellStyle name="Hed Top - SECTION 3 7 7 7" xfId="25816" xr:uid="{00000000-0005-0000-0000-0000696C0000}"/>
    <cellStyle name="Hed Top - SECTION 3 7 7 7 2" xfId="25817" xr:uid="{00000000-0005-0000-0000-00006A6C0000}"/>
    <cellStyle name="Hed Top - SECTION 3 7 7 8" xfId="25818" xr:uid="{00000000-0005-0000-0000-00006B6C0000}"/>
    <cellStyle name="Hed Top - SECTION 3 7 7 8 2" xfId="25819" xr:uid="{00000000-0005-0000-0000-00006C6C0000}"/>
    <cellStyle name="Hed Top - SECTION 3 7 7 9" xfId="25820" xr:uid="{00000000-0005-0000-0000-00006D6C0000}"/>
    <cellStyle name="Hed Top - SECTION 3 7 7 9 2" xfId="25821" xr:uid="{00000000-0005-0000-0000-00006E6C0000}"/>
    <cellStyle name="Hed Top - SECTION 3 7 8" xfId="25822" xr:uid="{00000000-0005-0000-0000-00006F6C0000}"/>
    <cellStyle name="Hed Top - SECTION 3 7 8 10" xfId="25823" xr:uid="{00000000-0005-0000-0000-0000706C0000}"/>
    <cellStyle name="Hed Top - SECTION 3 7 8 2" xfId="25824" xr:uid="{00000000-0005-0000-0000-0000716C0000}"/>
    <cellStyle name="Hed Top - SECTION 3 7 8 2 2" xfId="25825" xr:uid="{00000000-0005-0000-0000-0000726C0000}"/>
    <cellStyle name="Hed Top - SECTION 3 7 8 3" xfId="25826" xr:uid="{00000000-0005-0000-0000-0000736C0000}"/>
    <cellStyle name="Hed Top - SECTION 3 7 8 3 2" xfId="25827" xr:uid="{00000000-0005-0000-0000-0000746C0000}"/>
    <cellStyle name="Hed Top - SECTION 3 7 8 4" xfId="25828" xr:uid="{00000000-0005-0000-0000-0000756C0000}"/>
    <cellStyle name="Hed Top - SECTION 3 7 8 4 2" xfId="25829" xr:uid="{00000000-0005-0000-0000-0000766C0000}"/>
    <cellStyle name="Hed Top - SECTION 3 7 8 5" xfId="25830" xr:uid="{00000000-0005-0000-0000-0000776C0000}"/>
    <cellStyle name="Hed Top - SECTION 3 7 8 5 2" xfId="25831" xr:uid="{00000000-0005-0000-0000-0000786C0000}"/>
    <cellStyle name="Hed Top - SECTION 3 7 8 6" xfId="25832" xr:uid="{00000000-0005-0000-0000-0000796C0000}"/>
    <cellStyle name="Hed Top - SECTION 3 7 8 6 2" xfId="25833" xr:uid="{00000000-0005-0000-0000-00007A6C0000}"/>
    <cellStyle name="Hed Top - SECTION 3 7 8 7" xfId="25834" xr:uid="{00000000-0005-0000-0000-00007B6C0000}"/>
    <cellStyle name="Hed Top - SECTION 3 7 8 7 2" xfId="25835" xr:uid="{00000000-0005-0000-0000-00007C6C0000}"/>
    <cellStyle name="Hed Top - SECTION 3 7 8 8" xfId="25836" xr:uid="{00000000-0005-0000-0000-00007D6C0000}"/>
    <cellStyle name="Hed Top - SECTION 3 7 8 8 2" xfId="25837" xr:uid="{00000000-0005-0000-0000-00007E6C0000}"/>
    <cellStyle name="Hed Top - SECTION 3 7 8 9" xfId="25838" xr:uid="{00000000-0005-0000-0000-00007F6C0000}"/>
    <cellStyle name="Hed Top - SECTION 3 7 8 9 2" xfId="25839" xr:uid="{00000000-0005-0000-0000-0000806C0000}"/>
    <cellStyle name="Hed Top - SECTION 3 7 9" xfId="25840" xr:uid="{00000000-0005-0000-0000-0000816C0000}"/>
    <cellStyle name="Hed Top - SECTION 3 7 9 10" xfId="25841" xr:uid="{00000000-0005-0000-0000-0000826C0000}"/>
    <cellStyle name="Hed Top - SECTION 3 7 9 2" xfId="25842" xr:uid="{00000000-0005-0000-0000-0000836C0000}"/>
    <cellStyle name="Hed Top - SECTION 3 7 9 2 2" xfId="25843" xr:uid="{00000000-0005-0000-0000-0000846C0000}"/>
    <cellStyle name="Hed Top - SECTION 3 7 9 3" xfId="25844" xr:uid="{00000000-0005-0000-0000-0000856C0000}"/>
    <cellStyle name="Hed Top - SECTION 3 7 9 3 2" xfId="25845" xr:uid="{00000000-0005-0000-0000-0000866C0000}"/>
    <cellStyle name="Hed Top - SECTION 3 7 9 4" xfId="25846" xr:uid="{00000000-0005-0000-0000-0000876C0000}"/>
    <cellStyle name="Hed Top - SECTION 3 7 9 4 2" xfId="25847" xr:uid="{00000000-0005-0000-0000-0000886C0000}"/>
    <cellStyle name="Hed Top - SECTION 3 7 9 5" xfId="25848" xr:uid="{00000000-0005-0000-0000-0000896C0000}"/>
    <cellStyle name="Hed Top - SECTION 3 7 9 5 2" xfId="25849" xr:uid="{00000000-0005-0000-0000-00008A6C0000}"/>
    <cellStyle name="Hed Top - SECTION 3 7 9 6" xfId="25850" xr:uid="{00000000-0005-0000-0000-00008B6C0000}"/>
    <cellStyle name="Hed Top - SECTION 3 7 9 6 2" xfId="25851" xr:uid="{00000000-0005-0000-0000-00008C6C0000}"/>
    <cellStyle name="Hed Top - SECTION 3 7 9 7" xfId="25852" xr:uid="{00000000-0005-0000-0000-00008D6C0000}"/>
    <cellStyle name="Hed Top - SECTION 3 7 9 7 2" xfId="25853" xr:uid="{00000000-0005-0000-0000-00008E6C0000}"/>
    <cellStyle name="Hed Top - SECTION 3 7 9 8" xfId="25854" xr:uid="{00000000-0005-0000-0000-00008F6C0000}"/>
    <cellStyle name="Hed Top - SECTION 3 7 9 8 2" xfId="25855" xr:uid="{00000000-0005-0000-0000-0000906C0000}"/>
    <cellStyle name="Hed Top - SECTION 3 7 9 9" xfId="25856" xr:uid="{00000000-0005-0000-0000-0000916C0000}"/>
    <cellStyle name="Hed Top - SECTION 3 7 9 9 2" xfId="25857" xr:uid="{00000000-0005-0000-0000-0000926C0000}"/>
    <cellStyle name="Hed Top - SECTION 4" xfId="178" xr:uid="{00000000-0005-0000-0000-0000936C0000}"/>
    <cellStyle name="Hed Top - SECTION 4 2" xfId="25858" xr:uid="{00000000-0005-0000-0000-0000946C0000}"/>
    <cellStyle name="Hed Top - SECTION 4 2 10" xfId="25859" xr:uid="{00000000-0005-0000-0000-0000956C0000}"/>
    <cellStyle name="Hed Top - SECTION 4 2 10 10" xfId="25860" xr:uid="{00000000-0005-0000-0000-0000966C0000}"/>
    <cellStyle name="Hed Top - SECTION 4 2 10 2" xfId="25861" xr:uid="{00000000-0005-0000-0000-0000976C0000}"/>
    <cellStyle name="Hed Top - SECTION 4 2 10 2 2" xfId="25862" xr:uid="{00000000-0005-0000-0000-0000986C0000}"/>
    <cellStyle name="Hed Top - SECTION 4 2 10 3" xfId="25863" xr:uid="{00000000-0005-0000-0000-0000996C0000}"/>
    <cellStyle name="Hed Top - SECTION 4 2 10 3 2" xfId="25864" xr:uid="{00000000-0005-0000-0000-00009A6C0000}"/>
    <cellStyle name="Hed Top - SECTION 4 2 10 4" xfId="25865" xr:uid="{00000000-0005-0000-0000-00009B6C0000}"/>
    <cellStyle name="Hed Top - SECTION 4 2 10 4 2" xfId="25866" xr:uid="{00000000-0005-0000-0000-00009C6C0000}"/>
    <cellStyle name="Hed Top - SECTION 4 2 10 5" xfId="25867" xr:uid="{00000000-0005-0000-0000-00009D6C0000}"/>
    <cellStyle name="Hed Top - SECTION 4 2 10 5 2" xfId="25868" xr:uid="{00000000-0005-0000-0000-00009E6C0000}"/>
    <cellStyle name="Hed Top - SECTION 4 2 10 6" xfId="25869" xr:uid="{00000000-0005-0000-0000-00009F6C0000}"/>
    <cellStyle name="Hed Top - SECTION 4 2 10 6 2" xfId="25870" xr:uid="{00000000-0005-0000-0000-0000A06C0000}"/>
    <cellStyle name="Hed Top - SECTION 4 2 10 7" xfId="25871" xr:uid="{00000000-0005-0000-0000-0000A16C0000}"/>
    <cellStyle name="Hed Top - SECTION 4 2 10 7 2" xfId="25872" xr:uid="{00000000-0005-0000-0000-0000A26C0000}"/>
    <cellStyle name="Hed Top - SECTION 4 2 10 8" xfId="25873" xr:uid="{00000000-0005-0000-0000-0000A36C0000}"/>
    <cellStyle name="Hed Top - SECTION 4 2 10 8 2" xfId="25874" xr:uid="{00000000-0005-0000-0000-0000A46C0000}"/>
    <cellStyle name="Hed Top - SECTION 4 2 10 9" xfId="25875" xr:uid="{00000000-0005-0000-0000-0000A56C0000}"/>
    <cellStyle name="Hed Top - SECTION 4 2 10 9 2" xfId="25876" xr:uid="{00000000-0005-0000-0000-0000A66C0000}"/>
    <cellStyle name="Hed Top - SECTION 4 2 11" xfId="25877" xr:uid="{00000000-0005-0000-0000-0000A76C0000}"/>
    <cellStyle name="Hed Top - SECTION 4 2 11 2" xfId="25878" xr:uid="{00000000-0005-0000-0000-0000A86C0000}"/>
    <cellStyle name="Hed Top - SECTION 4 2 11 2 2" xfId="25879" xr:uid="{00000000-0005-0000-0000-0000A96C0000}"/>
    <cellStyle name="Hed Top - SECTION 4 2 11 3" xfId="25880" xr:uid="{00000000-0005-0000-0000-0000AA6C0000}"/>
    <cellStyle name="Hed Top - SECTION 4 2 11 3 2" xfId="25881" xr:uid="{00000000-0005-0000-0000-0000AB6C0000}"/>
    <cellStyle name="Hed Top - SECTION 4 2 11 4" xfId="25882" xr:uid="{00000000-0005-0000-0000-0000AC6C0000}"/>
    <cellStyle name="Hed Top - SECTION 4 2 11 4 2" xfId="25883" xr:uid="{00000000-0005-0000-0000-0000AD6C0000}"/>
    <cellStyle name="Hed Top - SECTION 4 2 11 5" xfId="25884" xr:uid="{00000000-0005-0000-0000-0000AE6C0000}"/>
    <cellStyle name="Hed Top - SECTION 4 2 11 5 2" xfId="25885" xr:uid="{00000000-0005-0000-0000-0000AF6C0000}"/>
    <cellStyle name="Hed Top - SECTION 4 2 11 6" xfId="25886" xr:uid="{00000000-0005-0000-0000-0000B06C0000}"/>
    <cellStyle name="Hed Top - SECTION 4 2 11 6 2" xfId="25887" xr:uid="{00000000-0005-0000-0000-0000B16C0000}"/>
    <cellStyle name="Hed Top - SECTION 4 2 11 7" xfId="25888" xr:uid="{00000000-0005-0000-0000-0000B26C0000}"/>
    <cellStyle name="Hed Top - SECTION 4 2 11 7 2" xfId="25889" xr:uid="{00000000-0005-0000-0000-0000B36C0000}"/>
    <cellStyle name="Hed Top - SECTION 4 2 11 8" xfId="25890" xr:uid="{00000000-0005-0000-0000-0000B46C0000}"/>
    <cellStyle name="Hed Top - SECTION 4 2 11 8 2" xfId="25891" xr:uid="{00000000-0005-0000-0000-0000B56C0000}"/>
    <cellStyle name="Hed Top - SECTION 4 2 11 9" xfId="25892" xr:uid="{00000000-0005-0000-0000-0000B66C0000}"/>
    <cellStyle name="Hed Top - SECTION 4 2 2" xfId="25893" xr:uid="{00000000-0005-0000-0000-0000B76C0000}"/>
    <cellStyle name="Hed Top - SECTION 4 2 2 10" xfId="25894" xr:uid="{00000000-0005-0000-0000-0000B86C0000}"/>
    <cellStyle name="Hed Top - SECTION 4 2 2 2" xfId="25895" xr:uid="{00000000-0005-0000-0000-0000B96C0000}"/>
    <cellStyle name="Hed Top - SECTION 4 2 2 2 2" xfId="25896" xr:uid="{00000000-0005-0000-0000-0000BA6C0000}"/>
    <cellStyle name="Hed Top - SECTION 4 2 2 3" xfId="25897" xr:uid="{00000000-0005-0000-0000-0000BB6C0000}"/>
    <cellStyle name="Hed Top - SECTION 4 2 2 3 2" xfId="25898" xr:uid="{00000000-0005-0000-0000-0000BC6C0000}"/>
    <cellStyle name="Hed Top - SECTION 4 2 2 4" xfId="25899" xr:uid="{00000000-0005-0000-0000-0000BD6C0000}"/>
    <cellStyle name="Hed Top - SECTION 4 2 2 4 2" xfId="25900" xr:uid="{00000000-0005-0000-0000-0000BE6C0000}"/>
    <cellStyle name="Hed Top - SECTION 4 2 2 5" xfId="25901" xr:uid="{00000000-0005-0000-0000-0000BF6C0000}"/>
    <cellStyle name="Hed Top - SECTION 4 2 2 5 2" xfId="25902" xr:uid="{00000000-0005-0000-0000-0000C06C0000}"/>
    <cellStyle name="Hed Top - SECTION 4 2 2 6" xfId="25903" xr:uid="{00000000-0005-0000-0000-0000C16C0000}"/>
    <cellStyle name="Hed Top - SECTION 4 2 2 6 2" xfId="25904" xr:uid="{00000000-0005-0000-0000-0000C26C0000}"/>
    <cellStyle name="Hed Top - SECTION 4 2 2 7" xfId="25905" xr:uid="{00000000-0005-0000-0000-0000C36C0000}"/>
    <cellStyle name="Hed Top - SECTION 4 2 2 7 2" xfId="25906" xr:uid="{00000000-0005-0000-0000-0000C46C0000}"/>
    <cellStyle name="Hed Top - SECTION 4 2 2 8" xfId="25907" xr:uid="{00000000-0005-0000-0000-0000C56C0000}"/>
    <cellStyle name="Hed Top - SECTION 4 2 2 8 2" xfId="25908" xr:uid="{00000000-0005-0000-0000-0000C66C0000}"/>
    <cellStyle name="Hed Top - SECTION 4 2 2 9" xfId="25909" xr:uid="{00000000-0005-0000-0000-0000C76C0000}"/>
    <cellStyle name="Hed Top - SECTION 4 2 2 9 2" xfId="25910" xr:uid="{00000000-0005-0000-0000-0000C86C0000}"/>
    <cellStyle name="Hed Top - SECTION 4 2 3" xfId="25911" xr:uid="{00000000-0005-0000-0000-0000C96C0000}"/>
    <cellStyle name="Hed Top - SECTION 4 2 3 10" xfId="25912" xr:uid="{00000000-0005-0000-0000-0000CA6C0000}"/>
    <cellStyle name="Hed Top - SECTION 4 2 3 2" xfId="25913" xr:uid="{00000000-0005-0000-0000-0000CB6C0000}"/>
    <cellStyle name="Hed Top - SECTION 4 2 3 2 2" xfId="25914" xr:uid="{00000000-0005-0000-0000-0000CC6C0000}"/>
    <cellStyle name="Hed Top - SECTION 4 2 3 3" xfId="25915" xr:uid="{00000000-0005-0000-0000-0000CD6C0000}"/>
    <cellStyle name="Hed Top - SECTION 4 2 3 3 2" xfId="25916" xr:uid="{00000000-0005-0000-0000-0000CE6C0000}"/>
    <cellStyle name="Hed Top - SECTION 4 2 3 4" xfId="25917" xr:uid="{00000000-0005-0000-0000-0000CF6C0000}"/>
    <cellStyle name="Hed Top - SECTION 4 2 3 4 2" xfId="25918" xr:uid="{00000000-0005-0000-0000-0000D06C0000}"/>
    <cellStyle name="Hed Top - SECTION 4 2 3 5" xfId="25919" xr:uid="{00000000-0005-0000-0000-0000D16C0000}"/>
    <cellStyle name="Hed Top - SECTION 4 2 3 5 2" xfId="25920" xr:uid="{00000000-0005-0000-0000-0000D26C0000}"/>
    <cellStyle name="Hed Top - SECTION 4 2 3 6" xfId="25921" xr:uid="{00000000-0005-0000-0000-0000D36C0000}"/>
    <cellStyle name="Hed Top - SECTION 4 2 3 6 2" xfId="25922" xr:uid="{00000000-0005-0000-0000-0000D46C0000}"/>
    <cellStyle name="Hed Top - SECTION 4 2 3 7" xfId="25923" xr:uid="{00000000-0005-0000-0000-0000D56C0000}"/>
    <cellStyle name="Hed Top - SECTION 4 2 3 7 2" xfId="25924" xr:uid="{00000000-0005-0000-0000-0000D66C0000}"/>
    <cellStyle name="Hed Top - SECTION 4 2 3 8" xfId="25925" xr:uid="{00000000-0005-0000-0000-0000D76C0000}"/>
    <cellStyle name="Hed Top - SECTION 4 2 3 8 2" xfId="25926" xr:uid="{00000000-0005-0000-0000-0000D86C0000}"/>
    <cellStyle name="Hed Top - SECTION 4 2 3 9" xfId="25927" xr:uid="{00000000-0005-0000-0000-0000D96C0000}"/>
    <cellStyle name="Hed Top - SECTION 4 2 3 9 2" xfId="25928" xr:uid="{00000000-0005-0000-0000-0000DA6C0000}"/>
    <cellStyle name="Hed Top - SECTION 4 2 4" xfId="25929" xr:uid="{00000000-0005-0000-0000-0000DB6C0000}"/>
    <cellStyle name="Hed Top - SECTION 4 2 4 10" xfId="25930" xr:uid="{00000000-0005-0000-0000-0000DC6C0000}"/>
    <cellStyle name="Hed Top - SECTION 4 2 4 2" xfId="25931" xr:uid="{00000000-0005-0000-0000-0000DD6C0000}"/>
    <cellStyle name="Hed Top - SECTION 4 2 4 2 2" xfId="25932" xr:uid="{00000000-0005-0000-0000-0000DE6C0000}"/>
    <cellStyle name="Hed Top - SECTION 4 2 4 3" xfId="25933" xr:uid="{00000000-0005-0000-0000-0000DF6C0000}"/>
    <cellStyle name="Hed Top - SECTION 4 2 4 3 2" xfId="25934" xr:uid="{00000000-0005-0000-0000-0000E06C0000}"/>
    <cellStyle name="Hed Top - SECTION 4 2 4 4" xfId="25935" xr:uid="{00000000-0005-0000-0000-0000E16C0000}"/>
    <cellStyle name="Hed Top - SECTION 4 2 4 4 2" xfId="25936" xr:uid="{00000000-0005-0000-0000-0000E26C0000}"/>
    <cellStyle name="Hed Top - SECTION 4 2 4 5" xfId="25937" xr:uid="{00000000-0005-0000-0000-0000E36C0000}"/>
    <cellStyle name="Hed Top - SECTION 4 2 4 5 2" xfId="25938" xr:uid="{00000000-0005-0000-0000-0000E46C0000}"/>
    <cellStyle name="Hed Top - SECTION 4 2 4 6" xfId="25939" xr:uid="{00000000-0005-0000-0000-0000E56C0000}"/>
    <cellStyle name="Hed Top - SECTION 4 2 4 6 2" xfId="25940" xr:uid="{00000000-0005-0000-0000-0000E66C0000}"/>
    <cellStyle name="Hed Top - SECTION 4 2 4 7" xfId="25941" xr:uid="{00000000-0005-0000-0000-0000E76C0000}"/>
    <cellStyle name="Hed Top - SECTION 4 2 4 7 2" xfId="25942" xr:uid="{00000000-0005-0000-0000-0000E86C0000}"/>
    <cellStyle name="Hed Top - SECTION 4 2 4 8" xfId="25943" xr:uid="{00000000-0005-0000-0000-0000E96C0000}"/>
    <cellStyle name="Hed Top - SECTION 4 2 4 8 2" xfId="25944" xr:uid="{00000000-0005-0000-0000-0000EA6C0000}"/>
    <cellStyle name="Hed Top - SECTION 4 2 4 9" xfId="25945" xr:uid="{00000000-0005-0000-0000-0000EB6C0000}"/>
    <cellStyle name="Hed Top - SECTION 4 2 4 9 2" xfId="25946" xr:uid="{00000000-0005-0000-0000-0000EC6C0000}"/>
    <cellStyle name="Hed Top - SECTION 4 2 5" xfId="25947" xr:uid="{00000000-0005-0000-0000-0000ED6C0000}"/>
    <cellStyle name="Hed Top - SECTION 4 2 5 10" xfId="25948" xr:uid="{00000000-0005-0000-0000-0000EE6C0000}"/>
    <cellStyle name="Hed Top - SECTION 4 2 5 2" xfId="25949" xr:uid="{00000000-0005-0000-0000-0000EF6C0000}"/>
    <cellStyle name="Hed Top - SECTION 4 2 5 2 2" xfId="25950" xr:uid="{00000000-0005-0000-0000-0000F06C0000}"/>
    <cellStyle name="Hed Top - SECTION 4 2 5 3" xfId="25951" xr:uid="{00000000-0005-0000-0000-0000F16C0000}"/>
    <cellStyle name="Hed Top - SECTION 4 2 5 3 2" xfId="25952" xr:uid="{00000000-0005-0000-0000-0000F26C0000}"/>
    <cellStyle name="Hed Top - SECTION 4 2 5 4" xfId="25953" xr:uid="{00000000-0005-0000-0000-0000F36C0000}"/>
    <cellStyle name="Hed Top - SECTION 4 2 5 4 2" xfId="25954" xr:uid="{00000000-0005-0000-0000-0000F46C0000}"/>
    <cellStyle name="Hed Top - SECTION 4 2 5 5" xfId="25955" xr:uid="{00000000-0005-0000-0000-0000F56C0000}"/>
    <cellStyle name="Hed Top - SECTION 4 2 5 5 2" xfId="25956" xr:uid="{00000000-0005-0000-0000-0000F66C0000}"/>
    <cellStyle name="Hed Top - SECTION 4 2 5 6" xfId="25957" xr:uid="{00000000-0005-0000-0000-0000F76C0000}"/>
    <cellStyle name="Hed Top - SECTION 4 2 5 6 2" xfId="25958" xr:uid="{00000000-0005-0000-0000-0000F86C0000}"/>
    <cellStyle name="Hed Top - SECTION 4 2 5 7" xfId="25959" xr:uid="{00000000-0005-0000-0000-0000F96C0000}"/>
    <cellStyle name="Hed Top - SECTION 4 2 5 7 2" xfId="25960" xr:uid="{00000000-0005-0000-0000-0000FA6C0000}"/>
    <cellStyle name="Hed Top - SECTION 4 2 5 8" xfId="25961" xr:uid="{00000000-0005-0000-0000-0000FB6C0000}"/>
    <cellStyle name="Hed Top - SECTION 4 2 5 8 2" xfId="25962" xr:uid="{00000000-0005-0000-0000-0000FC6C0000}"/>
    <cellStyle name="Hed Top - SECTION 4 2 5 9" xfId="25963" xr:uid="{00000000-0005-0000-0000-0000FD6C0000}"/>
    <cellStyle name="Hed Top - SECTION 4 2 5 9 2" xfId="25964" xr:uid="{00000000-0005-0000-0000-0000FE6C0000}"/>
    <cellStyle name="Hed Top - SECTION 4 2 6" xfId="25965" xr:uid="{00000000-0005-0000-0000-0000FF6C0000}"/>
    <cellStyle name="Hed Top - SECTION 4 2 6 10" xfId="25966" xr:uid="{00000000-0005-0000-0000-0000006D0000}"/>
    <cellStyle name="Hed Top - SECTION 4 2 6 2" xfId="25967" xr:uid="{00000000-0005-0000-0000-0000016D0000}"/>
    <cellStyle name="Hed Top - SECTION 4 2 6 2 2" xfId="25968" xr:uid="{00000000-0005-0000-0000-0000026D0000}"/>
    <cellStyle name="Hed Top - SECTION 4 2 6 3" xfId="25969" xr:uid="{00000000-0005-0000-0000-0000036D0000}"/>
    <cellStyle name="Hed Top - SECTION 4 2 6 3 2" xfId="25970" xr:uid="{00000000-0005-0000-0000-0000046D0000}"/>
    <cellStyle name="Hed Top - SECTION 4 2 6 4" xfId="25971" xr:uid="{00000000-0005-0000-0000-0000056D0000}"/>
    <cellStyle name="Hed Top - SECTION 4 2 6 4 2" xfId="25972" xr:uid="{00000000-0005-0000-0000-0000066D0000}"/>
    <cellStyle name="Hed Top - SECTION 4 2 6 5" xfId="25973" xr:uid="{00000000-0005-0000-0000-0000076D0000}"/>
    <cellStyle name="Hed Top - SECTION 4 2 6 5 2" xfId="25974" xr:uid="{00000000-0005-0000-0000-0000086D0000}"/>
    <cellStyle name="Hed Top - SECTION 4 2 6 6" xfId="25975" xr:uid="{00000000-0005-0000-0000-0000096D0000}"/>
    <cellStyle name="Hed Top - SECTION 4 2 6 6 2" xfId="25976" xr:uid="{00000000-0005-0000-0000-00000A6D0000}"/>
    <cellStyle name="Hed Top - SECTION 4 2 6 7" xfId="25977" xr:uid="{00000000-0005-0000-0000-00000B6D0000}"/>
    <cellStyle name="Hed Top - SECTION 4 2 6 7 2" xfId="25978" xr:uid="{00000000-0005-0000-0000-00000C6D0000}"/>
    <cellStyle name="Hed Top - SECTION 4 2 6 8" xfId="25979" xr:uid="{00000000-0005-0000-0000-00000D6D0000}"/>
    <cellStyle name="Hed Top - SECTION 4 2 6 8 2" xfId="25980" xr:uid="{00000000-0005-0000-0000-00000E6D0000}"/>
    <cellStyle name="Hed Top - SECTION 4 2 6 9" xfId="25981" xr:uid="{00000000-0005-0000-0000-00000F6D0000}"/>
    <cellStyle name="Hed Top - SECTION 4 2 6 9 2" xfId="25982" xr:uid="{00000000-0005-0000-0000-0000106D0000}"/>
    <cellStyle name="Hed Top - SECTION 4 2 7" xfId="25983" xr:uid="{00000000-0005-0000-0000-0000116D0000}"/>
    <cellStyle name="Hed Top - SECTION 4 2 7 10" xfId="25984" xr:uid="{00000000-0005-0000-0000-0000126D0000}"/>
    <cellStyle name="Hed Top - SECTION 4 2 7 2" xfId="25985" xr:uid="{00000000-0005-0000-0000-0000136D0000}"/>
    <cellStyle name="Hed Top - SECTION 4 2 7 2 2" xfId="25986" xr:uid="{00000000-0005-0000-0000-0000146D0000}"/>
    <cellStyle name="Hed Top - SECTION 4 2 7 3" xfId="25987" xr:uid="{00000000-0005-0000-0000-0000156D0000}"/>
    <cellStyle name="Hed Top - SECTION 4 2 7 3 2" xfId="25988" xr:uid="{00000000-0005-0000-0000-0000166D0000}"/>
    <cellStyle name="Hed Top - SECTION 4 2 7 4" xfId="25989" xr:uid="{00000000-0005-0000-0000-0000176D0000}"/>
    <cellStyle name="Hed Top - SECTION 4 2 7 4 2" xfId="25990" xr:uid="{00000000-0005-0000-0000-0000186D0000}"/>
    <cellStyle name="Hed Top - SECTION 4 2 7 5" xfId="25991" xr:uid="{00000000-0005-0000-0000-0000196D0000}"/>
    <cellStyle name="Hed Top - SECTION 4 2 7 5 2" xfId="25992" xr:uid="{00000000-0005-0000-0000-00001A6D0000}"/>
    <cellStyle name="Hed Top - SECTION 4 2 7 6" xfId="25993" xr:uid="{00000000-0005-0000-0000-00001B6D0000}"/>
    <cellStyle name="Hed Top - SECTION 4 2 7 6 2" xfId="25994" xr:uid="{00000000-0005-0000-0000-00001C6D0000}"/>
    <cellStyle name="Hed Top - SECTION 4 2 7 7" xfId="25995" xr:uid="{00000000-0005-0000-0000-00001D6D0000}"/>
    <cellStyle name="Hed Top - SECTION 4 2 7 7 2" xfId="25996" xr:uid="{00000000-0005-0000-0000-00001E6D0000}"/>
    <cellStyle name="Hed Top - SECTION 4 2 7 8" xfId="25997" xr:uid="{00000000-0005-0000-0000-00001F6D0000}"/>
    <cellStyle name="Hed Top - SECTION 4 2 7 8 2" xfId="25998" xr:uid="{00000000-0005-0000-0000-0000206D0000}"/>
    <cellStyle name="Hed Top - SECTION 4 2 7 9" xfId="25999" xr:uid="{00000000-0005-0000-0000-0000216D0000}"/>
    <cellStyle name="Hed Top - SECTION 4 2 7 9 2" xfId="26000" xr:uid="{00000000-0005-0000-0000-0000226D0000}"/>
    <cellStyle name="Hed Top - SECTION 4 2 8" xfId="26001" xr:uid="{00000000-0005-0000-0000-0000236D0000}"/>
    <cellStyle name="Hed Top - SECTION 4 2 8 10" xfId="26002" xr:uid="{00000000-0005-0000-0000-0000246D0000}"/>
    <cellStyle name="Hed Top - SECTION 4 2 8 2" xfId="26003" xr:uid="{00000000-0005-0000-0000-0000256D0000}"/>
    <cellStyle name="Hed Top - SECTION 4 2 8 2 2" xfId="26004" xr:uid="{00000000-0005-0000-0000-0000266D0000}"/>
    <cellStyle name="Hed Top - SECTION 4 2 8 3" xfId="26005" xr:uid="{00000000-0005-0000-0000-0000276D0000}"/>
    <cellStyle name="Hed Top - SECTION 4 2 8 3 2" xfId="26006" xr:uid="{00000000-0005-0000-0000-0000286D0000}"/>
    <cellStyle name="Hed Top - SECTION 4 2 8 4" xfId="26007" xr:uid="{00000000-0005-0000-0000-0000296D0000}"/>
    <cellStyle name="Hed Top - SECTION 4 2 8 4 2" xfId="26008" xr:uid="{00000000-0005-0000-0000-00002A6D0000}"/>
    <cellStyle name="Hed Top - SECTION 4 2 8 5" xfId="26009" xr:uid="{00000000-0005-0000-0000-00002B6D0000}"/>
    <cellStyle name="Hed Top - SECTION 4 2 8 5 2" xfId="26010" xr:uid="{00000000-0005-0000-0000-00002C6D0000}"/>
    <cellStyle name="Hed Top - SECTION 4 2 8 6" xfId="26011" xr:uid="{00000000-0005-0000-0000-00002D6D0000}"/>
    <cellStyle name="Hed Top - SECTION 4 2 8 6 2" xfId="26012" xr:uid="{00000000-0005-0000-0000-00002E6D0000}"/>
    <cellStyle name="Hed Top - SECTION 4 2 8 7" xfId="26013" xr:uid="{00000000-0005-0000-0000-00002F6D0000}"/>
    <cellStyle name="Hed Top - SECTION 4 2 8 7 2" xfId="26014" xr:uid="{00000000-0005-0000-0000-0000306D0000}"/>
    <cellStyle name="Hed Top - SECTION 4 2 8 8" xfId="26015" xr:uid="{00000000-0005-0000-0000-0000316D0000}"/>
    <cellStyle name="Hed Top - SECTION 4 2 8 8 2" xfId="26016" xr:uid="{00000000-0005-0000-0000-0000326D0000}"/>
    <cellStyle name="Hed Top - SECTION 4 2 8 9" xfId="26017" xr:uid="{00000000-0005-0000-0000-0000336D0000}"/>
    <cellStyle name="Hed Top - SECTION 4 2 8 9 2" xfId="26018" xr:uid="{00000000-0005-0000-0000-0000346D0000}"/>
    <cellStyle name="Hed Top - SECTION 4 2 9" xfId="26019" xr:uid="{00000000-0005-0000-0000-0000356D0000}"/>
    <cellStyle name="Hed Top - SECTION 4 2 9 10" xfId="26020" xr:uid="{00000000-0005-0000-0000-0000366D0000}"/>
    <cellStyle name="Hed Top - SECTION 4 2 9 2" xfId="26021" xr:uid="{00000000-0005-0000-0000-0000376D0000}"/>
    <cellStyle name="Hed Top - SECTION 4 2 9 2 2" xfId="26022" xr:uid="{00000000-0005-0000-0000-0000386D0000}"/>
    <cellStyle name="Hed Top - SECTION 4 2 9 3" xfId="26023" xr:uid="{00000000-0005-0000-0000-0000396D0000}"/>
    <cellStyle name="Hed Top - SECTION 4 2 9 3 2" xfId="26024" xr:uid="{00000000-0005-0000-0000-00003A6D0000}"/>
    <cellStyle name="Hed Top - SECTION 4 2 9 4" xfId="26025" xr:uid="{00000000-0005-0000-0000-00003B6D0000}"/>
    <cellStyle name="Hed Top - SECTION 4 2 9 4 2" xfId="26026" xr:uid="{00000000-0005-0000-0000-00003C6D0000}"/>
    <cellStyle name="Hed Top - SECTION 4 2 9 5" xfId="26027" xr:uid="{00000000-0005-0000-0000-00003D6D0000}"/>
    <cellStyle name="Hed Top - SECTION 4 2 9 5 2" xfId="26028" xr:uid="{00000000-0005-0000-0000-00003E6D0000}"/>
    <cellStyle name="Hed Top - SECTION 4 2 9 6" xfId="26029" xr:uid="{00000000-0005-0000-0000-00003F6D0000}"/>
    <cellStyle name="Hed Top - SECTION 4 2 9 6 2" xfId="26030" xr:uid="{00000000-0005-0000-0000-0000406D0000}"/>
    <cellStyle name="Hed Top - SECTION 4 2 9 7" xfId="26031" xr:uid="{00000000-0005-0000-0000-0000416D0000}"/>
    <cellStyle name="Hed Top - SECTION 4 2 9 7 2" xfId="26032" xr:uid="{00000000-0005-0000-0000-0000426D0000}"/>
    <cellStyle name="Hed Top - SECTION 4 2 9 8" xfId="26033" xr:uid="{00000000-0005-0000-0000-0000436D0000}"/>
    <cellStyle name="Hed Top - SECTION 4 2 9 8 2" xfId="26034" xr:uid="{00000000-0005-0000-0000-0000446D0000}"/>
    <cellStyle name="Hed Top - SECTION 4 2 9 9" xfId="26035" xr:uid="{00000000-0005-0000-0000-0000456D0000}"/>
    <cellStyle name="Hed Top - SECTION 4 2 9 9 2" xfId="26036" xr:uid="{00000000-0005-0000-0000-0000466D0000}"/>
    <cellStyle name="Hed Top - SECTION 4 3" xfId="26037" xr:uid="{00000000-0005-0000-0000-0000476D0000}"/>
    <cellStyle name="Hed Top - SECTION 4 3 10" xfId="26038" xr:uid="{00000000-0005-0000-0000-0000486D0000}"/>
    <cellStyle name="Hed Top - SECTION 4 3 10 2" xfId="26039" xr:uid="{00000000-0005-0000-0000-0000496D0000}"/>
    <cellStyle name="Hed Top - SECTION 4 3 10 2 2" xfId="26040" xr:uid="{00000000-0005-0000-0000-00004A6D0000}"/>
    <cellStyle name="Hed Top - SECTION 4 3 10 3" xfId="26041" xr:uid="{00000000-0005-0000-0000-00004B6D0000}"/>
    <cellStyle name="Hed Top - SECTION 4 3 10 3 2" xfId="26042" xr:uid="{00000000-0005-0000-0000-00004C6D0000}"/>
    <cellStyle name="Hed Top - SECTION 4 3 10 4" xfId="26043" xr:uid="{00000000-0005-0000-0000-00004D6D0000}"/>
    <cellStyle name="Hed Top - SECTION 4 3 10 4 2" xfId="26044" xr:uid="{00000000-0005-0000-0000-00004E6D0000}"/>
    <cellStyle name="Hed Top - SECTION 4 3 10 5" xfId="26045" xr:uid="{00000000-0005-0000-0000-00004F6D0000}"/>
    <cellStyle name="Hed Top - SECTION 4 3 10 5 2" xfId="26046" xr:uid="{00000000-0005-0000-0000-0000506D0000}"/>
    <cellStyle name="Hed Top - SECTION 4 3 10 6" xfId="26047" xr:uid="{00000000-0005-0000-0000-0000516D0000}"/>
    <cellStyle name="Hed Top - SECTION 4 3 10 6 2" xfId="26048" xr:uid="{00000000-0005-0000-0000-0000526D0000}"/>
    <cellStyle name="Hed Top - SECTION 4 3 10 7" xfId="26049" xr:uid="{00000000-0005-0000-0000-0000536D0000}"/>
    <cellStyle name="Hed Top - SECTION 4 3 10 7 2" xfId="26050" xr:uid="{00000000-0005-0000-0000-0000546D0000}"/>
    <cellStyle name="Hed Top - SECTION 4 3 10 8" xfId="26051" xr:uid="{00000000-0005-0000-0000-0000556D0000}"/>
    <cellStyle name="Hed Top - SECTION 4 3 10 8 2" xfId="26052" xr:uid="{00000000-0005-0000-0000-0000566D0000}"/>
    <cellStyle name="Hed Top - SECTION 4 3 10 9" xfId="26053" xr:uid="{00000000-0005-0000-0000-0000576D0000}"/>
    <cellStyle name="Hed Top - SECTION 4 3 11" xfId="26054" xr:uid="{00000000-0005-0000-0000-0000586D0000}"/>
    <cellStyle name="Hed Top - SECTION 4 3 11 2" xfId="26055" xr:uid="{00000000-0005-0000-0000-0000596D0000}"/>
    <cellStyle name="Hed Top - SECTION 4 3 12" xfId="26056" xr:uid="{00000000-0005-0000-0000-00005A6D0000}"/>
    <cellStyle name="Hed Top - SECTION 4 3 12 2" xfId="26057" xr:uid="{00000000-0005-0000-0000-00005B6D0000}"/>
    <cellStyle name="Hed Top - SECTION 4 3 13" xfId="26058" xr:uid="{00000000-0005-0000-0000-00005C6D0000}"/>
    <cellStyle name="Hed Top - SECTION 4 3 13 2" xfId="26059" xr:uid="{00000000-0005-0000-0000-00005D6D0000}"/>
    <cellStyle name="Hed Top - SECTION 4 3 14" xfId="26060" xr:uid="{00000000-0005-0000-0000-00005E6D0000}"/>
    <cellStyle name="Hed Top - SECTION 4 3 14 2" xfId="26061" xr:uid="{00000000-0005-0000-0000-00005F6D0000}"/>
    <cellStyle name="Hed Top - SECTION 4 3 15" xfId="26062" xr:uid="{00000000-0005-0000-0000-0000606D0000}"/>
    <cellStyle name="Hed Top - SECTION 4 3 15 2" xfId="26063" xr:uid="{00000000-0005-0000-0000-0000616D0000}"/>
    <cellStyle name="Hed Top - SECTION 4 3 16" xfId="26064" xr:uid="{00000000-0005-0000-0000-0000626D0000}"/>
    <cellStyle name="Hed Top - SECTION 4 3 16 2" xfId="26065" xr:uid="{00000000-0005-0000-0000-0000636D0000}"/>
    <cellStyle name="Hed Top - SECTION 4 3 17" xfId="26066" xr:uid="{00000000-0005-0000-0000-0000646D0000}"/>
    <cellStyle name="Hed Top - SECTION 4 3 17 2" xfId="26067" xr:uid="{00000000-0005-0000-0000-0000656D0000}"/>
    <cellStyle name="Hed Top - SECTION 4 3 18" xfId="26068" xr:uid="{00000000-0005-0000-0000-0000666D0000}"/>
    <cellStyle name="Hed Top - SECTION 4 3 2" xfId="26069" xr:uid="{00000000-0005-0000-0000-0000676D0000}"/>
    <cellStyle name="Hed Top - SECTION 4 3 2 10" xfId="26070" xr:uid="{00000000-0005-0000-0000-0000686D0000}"/>
    <cellStyle name="Hed Top - SECTION 4 3 2 2" xfId="26071" xr:uid="{00000000-0005-0000-0000-0000696D0000}"/>
    <cellStyle name="Hed Top - SECTION 4 3 2 2 2" xfId="26072" xr:uid="{00000000-0005-0000-0000-00006A6D0000}"/>
    <cellStyle name="Hed Top - SECTION 4 3 2 3" xfId="26073" xr:uid="{00000000-0005-0000-0000-00006B6D0000}"/>
    <cellStyle name="Hed Top - SECTION 4 3 2 3 2" xfId="26074" xr:uid="{00000000-0005-0000-0000-00006C6D0000}"/>
    <cellStyle name="Hed Top - SECTION 4 3 2 4" xfId="26075" xr:uid="{00000000-0005-0000-0000-00006D6D0000}"/>
    <cellStyle name="Hed Top - SECTION 4 3 2 4 2" xfId="26076" xr:uid="{00000000-0005-0000-0000-00006E6D0000}"/>
    <cellStyle name="Hed Top - SECTION 4 3 2 5" xfId="26077" xr:uid="{00000000-0005-0000-0000-00006F6D0000}"/>
    <cellStyle name="Hed Top - SECTION 4 3 2 5 2" xfId="26078" xr:uid="{00000000-0005-0000-0000-0000706D0000}"/>
    <cellStyle name="Hed Top - SECTION 4 3 2 6" xfId="26079" xr:uid="{00000000-0005-0000-0000-0000716D0000}"/>
    <cellStyle name="Hed Top - SECTION 4 3 2 6 2" xfId="26080" xr:uid="{00000000-0005-0000-0000-0000726D0000}"/>
    <cellStyle name="Hed Top - SECTION 4 3 2 7" xfId="26081" xr:uid="{00000000-0005-0000-0000-0000736D0000}"/>
    <cellStyle name="Hed Top - SECTION 4 3 2 7 2" xfId="26082" xr:uid="{00000000-0005-0000-0000-0000746D0000}"/>
    <cellStyle name="Hed Top - SECTION 4 3 2 8" xfId="26083" xr:uid="{00000000-0005-0000-0000-0000756D0000}"/>
    <cellStyle name="Hed Top - SECTION 4 3 2 8 2" xfId="26084" xr:uid="{00000000-0005-0000-0000-0000766D0000}"/>
    <cellStyle name="Hed Top - SECTION 4 3 2 9" xfId="26085" xr:uid="{00000000-0005-0000-0000-0000776D0000}"/>
    <cellStyle name="Hed Top - SECTION 4 3 2 9 2" xfId="26086" xr:uid="{00000000-0005-0000-0000-0000786D0000}"/>
    <cellStyle name="Hed Top - SECTION 4 3 3" xfId="26087" xr:uid="{00000000-0005-0000-0000-0000796D0000}"/>
    <cellStyle name="Hed Top - SECTION 4 3 3 10" xfId="26088" xr:uid="{00000000-0005-0000-0000-00007A6D0000}"/>
    <cellStyle name="Hed Top - SECTION 4 3 3 2" xfId="26089" xr:uid="{00000000-0005-0000-0000-00007B6D0000}"/>
    <cellStyle name="Hed Top - SECTION 4 3 3 2 2" xfId="26090" xr:uid="{00000000-0005-0000-0000-00007C6D0000}"/>
    <cellStyle name="Hed Top - SECTION 4 3 3 3" xfId="26091" xr:uid="{00000000-0005-0000-0000-00007D6D0000}"/>
    <cellStyle name="Hed Top - SECTION 4 3 3 3 2" xfId="26092" xr:uid="{00000000-0005-0000-0000-00007E6D0000}"/>
    <cellStyle name="Hed Top - SECTION 4 3 3 4" xfId="26093" xr:uid="{00000000-0005-0000-0000-00007F6D0000}"/>
    <cellStyle name="Hed Top - SECTION 4 3 3 4 2" xfId="26094" xr:uid="{00000000-0005-0000-0000-0000806D0000}"/>
    <cellStyle name="Hed Top - SECTION 4 3 3 5" xfId="26095" xr:uid="{00000000-0005-0000-0000-0000816D0000}"/>
    <cellStyle name="Hed Top - SECTION 4 3 3 5 2" xfId="26096" xr:uid="{00000000-0005-0000-0000-0000826D0000}"/>
    <cellStyle name="Hed Top - SECTION 4 3 3 6" xfId="26097" xr:uid="{00000000-0005-0000-0000-0000836D0000}"/>
    <cellStyle name="Hed Top - SECTION 4 3 3 6 2" xfId="26098" xr:uid="{00000000-0005-0000-0000-0000846D0000}"/>
    <cellStyle name="Hed Top - SECTION 4 3 3 7" xfId="26099" xr:uid="{00000000-0005-0000-0000-0000856D0000}"/>
    <cellStyle name="Hed Top - SECTION 4 3 3 7 2" xfId="26100" xr:uid="{00000000-0005-0000-0000-0000866D0000}"/>
    <cellStyle name="Hed Top - SECTION 4 3 3 8" xfId="26101" xr:uid="{00000000-0005-0000-0000-0000876D0000}"/>
    <cellStyle name="Hed Top - SECTION 4 3 3 8 2" xfId="26102" xr:uid="{00000000-0005-0000-0000-0000886D0000}"/>
    <cellStyle name="Hed Top - SECTION 4 3 3 9" xfId="26103" xr:uid="{00000000-0005-0000-0000-0000896D0000}"/>
    <cellStyle name="Hed Top - SECTION 4 3 3 9 2" xfId="26104" xr:uid="{00000000-0005-0000-0000-00008A6D0000}"/>
    <cellStyle name="Hed Top - SECTION 4 3 4" xfId="26105" xr:uid="{00000000-0005-0000-0000-00008B6D0000}"/>
    <cellStyle name="Hed Top - SECTION 4 3 4 10" xfId="26106" xr:uid="{00000000-0005-0000-0000-00008C6D0000}"/>
    <cellStyle name="Hed Top - SECTION 4 3 4 2" xfId="26107" xr:uid="{00000000-0005-0000-0000-00008D6D0000}"/>
    <cellStyle name="Hed Top - SECTION 4 3 4 2 2" xfId="26108" xr:uid="{00000000-0005-0000-0000-00008E6D0000}"/>
    <cellStyle name="Hed Top - SECTION 4 3 4 3" xfId="26109" xr:uid="{00000000-0005-0000-0000-00008F6D0000}"/>
    <cellStyle name="Hed Top - SECTION 4 3 4 3 2" xfId="26110" xr:uid="{00000000-0005-0000-0000-0000906D0000}"/>
    <cellStyle name="Hed Top - SECTION 4 3 4 4" xfId="26111" xr:uid="{00000000-0005-0000-0000-0000916D0000}"/>
    <cellStyle name="Hed Top - SECTION 4 3 4 4 2" xfId="26112" xr:uid="{00000000-0005-0000-0000-0000926D0000}"/>
    <cellStyle name="Hed Top - SECTION 4 3 4 5" xfId="26113" xr:uid="{00000000-0005-0000-0000-0000936D0000}"/>
    <cellStyle name="Hed Top - SECTION 4 3 4 5 2" xfId="26114" xr:uid="{00000000-0005-0000-0000-0000946D0000}"/>
    <cellStyle name="Hed Top - SECTION 4 3 4 6" xfId="26115" xr:uid="{00000000-0005-0000-0000-0000956D0000}"/>
    <cellStyle name="Hed Top - SECTION 4 3 4 6 2" xfId="26116" xr:uid="{00000000-0005-0000-0000-0000966D0000}"/>
    <cellStyle name="Hed Top - SECTION 4 3 4 7" xfId="26117" xr:uid="{00000000-0005-0000-0000-0000976D0000}"/>
    <cellStyle name="Hed Top - SECTION 4 3 4 7 2" xfId="26118" xr:uid="{00000000-0005-0000-0000-0000986D0000}"/>
    <cellStyle name="Hed Top - SECTION 4 3 4 8" xfId="26119" xr:uid="{00000000-0005-0000-0000-0000996D0000}"/>
    <cellStyle name="Hed Top - SECTION 4 3 4 8 2" xfId="26120" xr:uid="{00000000-0005-0000-0000-00009A6D0000}"/>
    <cellStyle name="Hed Top - SECTION 4 3 4 9" xfId="26121" xr:uid="{00000000-0005-0000-0000-00009B6D0000}"/>
    <cellStyle name="Hed Top - SECTION 4 3 4 9 2" xfId="26122" xr:uid="{00000000-0005-0000-0000-00009C6D0000}"/>
    <cellStyle name="Hed Top - SECTION 4 3 5" xfId="26123" xr:uid="{00000000-0005-0000-0000-00009D6D0000}"/>
    <cellStyle name="Hed Top - SECTION 4 3 5 10" xfId="26124" xr:uid="{00000000-0005-0000-0000-00009E6D0000}"/>
    <cellStyle name="Hed Top - SECTION 4 3 5 2" xfId="26125" xr:uid="{00000000-0005-0000-0000-00009F6D0000}"/>
    <cellStyle name="Hed Top - SECTION 4 3 5 2 2" xfId="26126" xr:uid="{00000000-0005-0000-0000-0000A06D0000}"/>
    <cellStyle name="Hed Top - SECTION 4 3 5 3" xfId="26127" xr:uid="{00000000-0005-0000-0000-0000A16D0000}"/>
    <cellStyle name="Hed Top - SECTION 4 3 5 3 2" xfId="26128" xr:uid="{00000000-0005-0000-0000-0000A26D0000}"/>
    <cellStyle name="Hed Top - SECTION 4 3 5 4" xfId="26129" xr:uid="{00000000-0005-0000-0000-0000A36D0000}"/>
    <cellStyle name="Hed Top - SECTION 4 3 5 4 2" xfId="26130" xr:uid="{00000000-0005-0000-0000-0000A46D0000}"/>
    <cellStyle name="Hed Top - SECTION 4 3 5 5" xfId="26131" xr:uid="{00000000-0005-0000-0000-0000A56D0000}"/>
    <cellStyle name="Hed Top - SECTION 4 3 5 5 2" xfId="26132" xr:uid="{00000000-0005-0000-0000-0000A66D0000}"/>
    <cellStyle name="Hed Top - SECTION 4 3 5 6" xfId="26133" xr:uid="{00000000-0005-0000-0000-0000A76D0000}"/>
    <cellStyle name="Hed Top - SECTION 4 3 5 6 2" xfId="26134" xr:uid="{00000000-0005-0000-0000-0000A86D0000}"/>
    <cellStyle name="Hed Top - SECTION 4 3 5 7" xfId="26135" xr:uid="{00000000-0005-0000-0000-0000A96D0000}"/>
    <cellStyle name="Hed Top - SECTION 4 3 5 7 2" xfId="26136" xr:uid="{00000000-0005-0000-0000-0000AA6D0000}"/>
    <cellStyle name="Hed Top - SECTION 4 3 5 8" xfId="26137" xr:uid="{00000000-0005-0000-0000-0000AB6D0000}"/>
    <cellStyle name="Hed Top - SECTION 4 3 5 8 2" xfId="26138" xr:uid="{00000000-0005-0000-0000-0000AC6D0000}"/>
    <cellStyle name="Hed Top - SECTION 4 3 5 9" xfId="26139" xr:uid="{00000000-0005-0000-0000-0000AD6D0000}"/>
    <cellStyle name="Hed Top - SECTION 4 3 5 9 2" xfId="26140" xr:uid="{00000000-0005-0000-0000-0000AE6D0000}"/>
    <cellStyle name="Hed Top - SECTION 4 3 6" xfId="26141" xr:uid="{00000000-0005-0000-0000-0000AF6D0000}"/>
    <cellStyle name="Hed Top - SECTION 4 3 6 10" xfId="26142" xr:uid="{00000000-0005-0000-0000-0000B06D0000}"/>
    <cellStyle name="Hed Top - SECTION 4 3 6 2" xfId="26143" xr:uid="{00000000-0005-0000-0000-0000B16D0000}"/>
    <cellStyle name="Hed Top - SECTION 4 3 6 2 2" xfId="26144" xr:uid="{00000000-0005-0000-0000-0000B26D0000}"/>
    <cellStyle name="Hed Top - SECTION 4 3 6 3" xfId="26145" xr:uid="{00000000-0005-0000-0000-0000B36D0000}"/>
    <cellStyle name="Hed Top - SECTION 4 3 6 3 2" xfId="26146" xr:uid="{00000000-0005-0000-0000-0000B46D0000}"/>
    <cellStyle name="Hed Top - SECTION 4 3 6 4" xfId="26147" xr:uid="{00000000-0005-0000-0000-0000B56D0000}"/>
    <cellStyle name="Hed Top - SECTION 4 3 6 4 2" xfId="26148" xr:uid="{00000000-0005-0000-0000-0000B66D0000}"/>
    <cellStyle name="Hed Top - SECTION 4 3 6 5" xfId="26149" xr:uid="{00000000-0005-0000-0000-0000B76D0000}"/>
    <cellStyle name="Hed Top - SECTION 4 3 6 5 2" xfId="26150" xr:uid="{00000000-0005-0000-0000-0000B86D0000}"/>
    <cellStyle name="Hed Top - SECTION 4 3 6 6" xfId="26151" xr:uid="{00000000-0005-0000-0000-0000B96D0000}"/>
    <cellStyle name="Hed Top - SECTION 4 3 6 6 2" xfId="26152" xr:uid="{00000000-0005-0000-0000-0000BA6D0000}"/>
    <cellStyle name="Hed Top - SECTION 4 3 6 7" xfId="26153" xr:uid="{00000000-0005-0000-0000-0000BB6D0000}"/>
    <cellStyle name="Hed Top - SECTION 4 3 6 7 2" xfId="26154" xr:uid="{00000000-0005-0000-0000-0000BC6D0000}"/>
    <cellStyle name="Hed Top - SECTION 4 3 6 8" xfId="26155" xr:uid="{00000000-0005-0000-0000-0000BD6D0000}"/>
    <cellStyle name="Hed Top - SECTION 4 3 6 8 2" xfId="26156" xr:uid="{00000000-0005-0000-0000-0000BE6D0000}"/>
    <cellStyle name="Hed Top - SECTION 4 3 6 9" xfId="26157" xr:uid="{00000000-0005-0000-0000-0000BF6D0000}"/>
    <cellStyle name="Hed Top - SECTION 4 3 6 9 2" xfId="26158" xr:uid="{00000000-0005-0000-0000-0000C06D0000}"/>
    <cellStyle name="Hed Top - SECTION 4 3 7" xfId="26159" xr:uid="{00000000-0005-0000-0000-0000C16D0000}"/>
    <cellStyle name="Hed Top - SECTION 4 3 7 10" xfId="26160" xr:uid="{00000000-0005-0000-0000-0000C26D0000}"/>
    <cellStyle name="Hed Top - SECTION 4 3 7 2" xfId="26161" xr:uid="{00000000-0005-0000-0000-0000C36D0000}"/>
    <cellStyle name="Hed Top - SECTION 4 3 7 2 2" xfId="26162" xr:uid="{00000000-0005-0000-0000-0000C46D0000}"/>
    <cellStyle name="Hed Top - SECTION 4 3 7 3" xfId="26163" xr:uid="{00000000-0005-0000-0000-0000C56D0000}"/>
    <cellStyle name="Hed Top - SECTION 4 3 7 3 2" xfId="26164" xr:uid="{00000000-0005-0000-0000-0000C66D0000}"/>
    <cellStyle name="Hed Top - SECTION 4 3 7 4" xfId="26165" xr:uid="{00000000-0005-0000-0000-0000C76D0000}"/>
    <cellStyle name="Hed Top - SECTION 4 3 7 4 2" xfId="26166" xr:uid="{00000000-0005-0000-0000-0000C86D0000}"/>
    <cellStyle name="Hed Top - SECTION 4 3 7 5" xfId="26167" xr:uid="{00000000-0005-0000-0000-0000C96D0000}"/>
    <cellStyle name="Hed Top - SECTION 4 3 7 5 2" xfId="26168" xr:uid="{00000000-0005-0000-0000-0000CA6D0000}"/>
    <cellStyle name="Hed Top - SECTION 4 3 7 6" xfId="26169" xr:uid="{00000000-0005-0000-0000-0000CB6D0000}"/>
    <cellStyle name="Hed Top - SECTION 4 3 7 6 2" xfId="26170" xr:uid="{00000000-0005-0000-0000-0000CC6D0000}"/>
    <cellStyle name="Hed Top - SECTION 4 3 7 7" xfId="26171" xr:uid="{00000000-0005-0000-0000-0000CD6D0000}"/>
    <cellStyle name="Hed Top - SECTION 4 3 7 7 2" xfId="26172" xr:uid="{00000000-0005-0000-0000-0000CE6D0000}"/>
    <cellStyle name="Hed Top - SECTION 4 3 7 8" xfId="26173" xr:uid="{00000000-0005-0000-0000-0000CF6D0000}"/>
    <cellStyle name="Hed Top - SECTION 4 3 7 8 2" xfId="26174" xr:uid="{00000000-0005-0000-0000-0000D06D0000}"/>
    <cellStyle name="Hed Top - SECTION 4 3 7 9" xfId="26175" xr:uid="{00000000-0005-0000-0000-0000D16D0000}"/>
    <cellStyle name="Hed Top - SECTION 4 3 7 9 2" xfId="26176" xr:uid="{00000000-0005-0000-0000-0000D26D0000}"/>
    <cellStyle name="Hed Top - SECTION 4 3 8" xfId="26177" xr:uid="{00000000-0005-0000-0000-0000D36D0000}"/>
    <cellStyle name="Hed Top - SECTION 4 3 8 10" xfId="26178" xr:uid="{00000000-0005-0000-0000-0000D46D0000}"/>
    <cellStyle name="Hed Top - SECTION 4 3 8 2" xfId="26179" xr:uid="{00000000-0005-0000-0000-0000D56D0000}"/>
    <cellStyle name="Hed Top - SECTION 4 3 8 2 2" xfId="26180" xr:uid="{00000000-0005-0000-0000-0000D66D0000}"/>
    <cellStyle name="Hed Top - SECTION 4 3 8 3" xfId="26181" xr:uid="{00000000-0005-0000-0000-0000D76D0000}"/>
    <cellStyle name="Hed Top - SECTION 4 3 8 3 2" xfId="26182" xr:uid="{00000000-0005-0000-0000-0000D86D0000}"/>
    <cellStyle name="Hed Top - SECTION 4 3 8 4" xfId="26183" xr:uid="{00000000-0005-0000-0000-0000D96D0000}"/>
    <cellStyle name="Hed Top - SECTION 4 3 8 4 2" xfId="26184" xr:uid="{00000000-0005-0000-0000-0000DA6D0000}"/>
    <cellStyle name="Hed Top - SECTION 4 3 8 5" xfId="26185" xr:uid="{00000000-0005-0000-0000-0000DB6D0000}"/>
    <cellStyle name="Hed Top - SECTION 4 3 8 5 2" xfId="26186" xr:uid="{00000000-0005-0000-0000-0000DC6D0000}"/>
    <cellStyle name="Hed Top - SECTION 4 3 8 6" xfId="26187" xr:uid="{00000000-0005-0000-0000-0000DD6D0000}"/>
    <cellStyle name="Hed Top - SECTION 4 3 8 6 2" xfId="26188" xr:uid="{00000000-0005-0000-0000-0000DE6D0000}"/>
    <cellStyle name="Hed Top - SECTION 4 3 8 7" xfId="26189" xr:uid="{00000000-0005-0000-0000-0000DF6D0000}"/>
    <cellStyle name="Hed Top - SECTION 4 3 8 7 2" xfId="26190" xr:uid="{00000000-0005-0000-0000-0000E06D0000}"/>
    <cellStyle name="Hed Top - SECTION 4 3 8 8" xfId="26191" xr:uid="{00000000-0005-0000-0000-0000E16D0000}"/>
    <cellStyle name="Hed Top - SECTION 4 3 8 8 2" xfId="26192" xr:uid="{00000000-0005-0000-0000-0000E26D0000}"/>
    <cellStyle name="Hed Top - SECTION 4 3 8 9" xfId="26193" xr:uid="{00000000-0005-0000-0000-0000E36D0000}"/>
    <cellStyle name="Hed Top - SECTION 4 3 8 9 2" xfId="26194" xr:uid="{00000000-0005-0000-0000-0000E46D0000}"/>
    <cellStyle name="Hed Top - SECTION 4 3 9" xfId="26195" xr:uid="{00000000-0005-0000-0000-0000E56D0000}"/>
    <cellStyle name="Hed Top - SECTION 4 3 9 10" xfId="26196" xr:uid="{00000000-0005-0000-0000-0000E66D0000}"/>
    <cellStyle name="Hed Top - SECTION 4 3 9 2" xfId="26197" xr:uid="{00000000-0005-0000-0000-0000E76D0000}"/>
    <cellStyle name="Hed Top - SECTION 4 3 9 2 2" xfId="26198" xr:uid="{00000000-0005-0000-0000-0000E86D0000}"/>
    <cellStyle name="Hed Top - SECTION 4 3 9 3" xfId="26199" xr:uid="{00000000-0005-0000-0000-0000E96D0000}"/>
    <cellStyle name="Hed Top - SECTION 4 3 9 3 2" xfId="26200" xr:uid="{00000000-0005-0000-0000-0000EA6D0000}"/>
    <cellStyle name="Hed Top - SECTION 4 3 9 4" xfId="26201" xr:uid="{00000000-0005-0000-0000-0000EB6D0000}"/>
    <cellStyle name="Hed Top - SECTION 4 3 9 4 2" xfId="26202" xr:uid="{00000000-0005-0000-0000-0000EC6D0000}"/>
    <cellStyle name="Hed Top - SECTION 4 3 9 5" xfId="26203" xr:uid="{00000000-0005-0000-0000-0000ED6D0000}"/>
    <cellStyle name="Hed Top - SECTION 4 3 9 5 2" xfId="26204" xr:uid="{00000000-0005-0000-0000-0000EE6D0000}"/>
    <cellStyle name="Hed Top - SECTION 4 3 9 6" xfId="26205" xr:uid="{00000000-0005-0000-0000-0000EF6D0000}"/>
    <cellStyle name="Hed Top - SECTION 4 3 9 6 2" xfId="26206" xr:uid="{00000000-0005-0000-0000-0000F06D0000}"/>
    <cellStyle name="Hed Top - SECTION 4 3 9 7" xfId="26207" xr:uid="{00000000-0005-0000-0000-0000F16D0000}"/>
    <cellStyle name="Hed Top - SECTION 4 3 9 7 2" xfId="26208" xr:uid="{00000000-0005-0000-0000-0000F26D0000}"/>
    <cellStyle name="Hed Top - SECTION 4 3 9 8" xfId="26209" xr:uid="{00000000-0005-0000-0000-0000F36D0000}"/>
    <cellStyle name="Hed Top - SECTION 4 3 9 8 2" xfId="26210" xr:uid="{00000000-0005-0000-0000-0000F46D0000}"/>
    <cellStyle name="Hed Top - SECTION 4 3 9 9" xfId="26211" xr:uid="{00000000-0005-0000-0000-0000F56D0000}"/>
    <cellStyle name="Hed Top - SECTION 4 3 9 9 2" xfId="26212" xr:uid="{00000000-0005-0000-0000-0000F66D0000}"/>
    <cellStyle name="Hed Top - SECTION 4 4" xfId="26213" xr:uid="{00000000-0005-0000-0000-0000F76D0000}"/>
    <cellStyle name="Hed Top - SECTION 4 4 10" xfId="26214" xr:uid="{00000000-0005-0000-0000-0000F86D0000}"/>
    <cellStyle name="Hed Top - SECTION 4 4 10 2" xfId="26215" xr:uid="{00000000-0005-0000-0000-0000F96D0000}"/>
    <cellStyle name="Hed Top - SECTION 4 4 10 2 2" xfId="26216" xr:uid="{00000000-0005-0000-0000-0000FA6D0000}"/>
    <cellStyle name="Hed Top - SECTION 4 4 10 3" xfId="26217" xr:uid="{00000000-0005-0000-0000-0000FB6D0000}"/>
    <cellStyle name="Hed Top - SECTION 4 4 10 3 2" xfId="26218" xr:uid="{00000000-0005-0000-0000-0000FC6D0000}"/>
    <cellStyle name="Hed Top - SECTION 4 4 10 4" xfId="26219" xr:uid="{00000000-0005-0000-0000-0000FD6D0000}"/>
    <cellStyle name="Hed Top - SECTION 4 4 10 4 2" xfId="26220" xr:uid="{00000000-0005-0000-0000-0000FE6D0000}"/>
    <cellStyle name="Hed Top - SECTION 4 4 10 5" xfId="26221" xr:uid="{00000000-0005-0000-0000-0000FF6D0000}"/>
    <cellStyle name="Hed Top - SECTION 4 4 10 5 2" xfId="26222" xr:uid="{00000000-0005-0000-0000-0000006E0000}"/>
    <cellStyle name="Hed Top - SECTION 4 4 10 6" xfId="26223" xr:uid="{00000000-0005-0000-0000-0000016E0000}"/>
    <cellStyle name="Hed Top - SECTION 4 4 10 6 2" xfId="26224" xr:uid="{00000000-0005-0000-0000-0000026E0000}"/>
    <cellStyle name="Hed Top - SECTION 4 4 10 7" xfId="26225" xr:uid="{00000000-0005-0000-0000-0000036E0000}"/>
    <cellStyle name="Hed Top - SECTION 4 4 10 7 2" xfId="26226" xr:uid="{00000000-0005-0000-0000-0000046E0000}"/>
    <cellStyle name="Hed Top - SECTION 4 4 10 8" xfId="26227" xr:uid="{00000000-0005-0000-0000-0000056E0000}"/>
    <cellStyle name="Hed Top - SECTION 4 4 10 8 2" xfId="26228" xr:uid="{00000000-0005-0000-0000-0000066E0000}"/>
    <cellStyle name="Hed Top - SECTION 4 4 10 9" xfId="26229" xr:uid="{00000000-0005-0000-0000-0000076E0000}"/>
    <cellStyle name="Hed Top - SECTION 4 4 11" xfId="26230" xr:uid="{00000000-0005-0000-0000-0000086E0000}"/>
    <cellStyle name="Hed Top - SECTION 4 4 11 2" xfId="26231" xr:uid="{00000000-0005-0000-0000-0000096E0000}"/>
    <cellStyle name="Hed Top - SECTION 4 4 12" xfId="26232" xr:uid="{00000000-0005-0000-0000-00000A6E0000}"/>
    <cellStyle name="Hed Top - SECTION 4 4 12 2" xfId="26233" xr:uid="{00000000-0005-0000-0000-00000B6E0000}"/>
    <cellStyle name="Hed Top - SECTION 4 4 13" xfId="26234" xr:uid="{00000000-0005-0000-0000-00000C6E0000}"/>
    <cellStyle name="Hed Top - SECTION 4 4 13 2" xfId="26235" xr:uid="{00000000-0005-0000-0000-00000D6E0000}"/>
    <cellStyle name="Hed Top - SECTION 4 4 14" xfId="26236" xr:uid="{00000000-0005-0000-0000-00000E6E0000}"/>
    <cellStyle name="Hed Top - SECTION 4 4 14 2" xfId="26237" xr:uid="{00000000-0005-0000-0000-00000F6E0000}"/>
    <cellStyle name="Hed Top - SECTION 4 4 15" xfId="26238" xr:uid="{00000000-0005-0000-0000-0000106E0000}"/>
    <cellStyle name="Hed Top - SECTION 4 4 15 2" xfId="26239" xr:uid="{00000000-0005-0000-0000-0000116E0000}"/>
    <cellStyle name="Hed Top - SECTION 4 4 16" xfId="26240" xr:uid="{00000000-0005-0000-0000-0000126E0000}"/>
    <cellStyle name="Hed Top - SECTION 4 4 16 2" xfId="26241" xr:uid="{00000000-0005-0000-0000-0000136E0000}"/>
    <cellStyle name="Hed Top - SECTION 4 4 17" xfId="26242" xr:uid="{00000000-0005-0000-0000-0000146E0000}"/>
    <cellStyle name="Hed Top - SECTION 4 4 17 2" xfId="26243" xr:uid="{00000000-0005-0000-0000-0000156E0000}"/>
    <cellStyle name="Hed Top - SECTION 4 4 18" xfId="26244" xr:uid="{00000000-0005-0000-0000-0000166E0000}"/>
    <cellStyle name="Hed Top - SECTION 4 4 2" xfId="26245" xr:uid="{00000000-0005-0000-0000-0000176E0000}"/>
    <cellStyle name="Hed Top - SECTION 4 4 2 10" xfId="26246" xr:uid="{00000000-0005-0000-0000-0000186E0000}"/>
    <cellStyle name="Hed Top - SECTION 4 4 2 2" xfId="26247" xr:uid="{00000000-0005-0000-0000-0000196E0000}"/>
    <cellStyle name="Hed Top - SECTION 4 4 2 2 2" xfId="26248" xr:uid="{00000000-0005-0000-0000-00001A6E0000}"/>
    <cellStyle name="Hed Top - SECTION 4 4 2 3" xfId="26249" xr:uid="{00000000-0005-0000-0000-00001B6E0000}"/>
    <cellStyle name="Hed Top - SECTION 4 4 2 3 2" xfId="26250" xr:uid="{00000000-0005-0000-0000-00001C6E0000}"/>
    <cellStyle name="Hed Top - SECTION 4 4 2 4" xfId="26251" xr:uid="{00000000-0005-0000-0000-00001D6E0000}"/>
    <cellStyle name="Hed Top - SECTION 4 4 2 4 2" xfId="26252" xr:uid="{00000000-0005-0000-0000-00001E6E0000}"/>
    <cellStyle name="Hed Top - SECTION 4 4 2 5" xfId="26253" xr:uid="{00000000-0005-0000-0000-00001F6E0000}"/>
    <cellStyle name="Hed Top - SECTION 4 4 2 5 2" xfId="26254" xr:uid="{00000000-0005-0000-0000-0000206E0000}"/>
    <cellStyle name="Hed Top - SECTION 4 4 2 6" xfId="26255" xr:uid="{00000000-0005-0000-0000-0000216E0000}"/>
    <cellStyle name="Hed Top - SECTION 4 4 2 6 2" xfId="26256" xr:uid="{00000000-0005-0000-0000-0000226E0000}"/>
    <cellStyle name="Hed Top - SECTION 4 4 2 7" xfId="26257" xr:uid="{00000000-0005-0000-0000-0000236E0000}"/>
    <cellStyle name="Hed Top - SECTION 4 4 2 7 2" xfId="26258" xr:uid="{00000000-0005-0000-0000-0000246E0000}"/>
    <cellStyle name="Hed Top - SECTION 4 4 2 8" xfId="26259" xr:uid="{00000000-0005-0000-0000-0000256E0000}"/>
    <cellStyle name="Hed Top - SECTION 4 4 2 8 2" xfId="26260" xr:uid="{00000000-0005-0000-0000-0000266E0000}"/>
    <cellStyle name="Hed Top - SECTION 4 4 2 9" xfId="26261" xr:uid="{00000000-0005-0000-0000-0000276E0000}"/>
    <cellStyle name="Hed Top - SECTION 4 4 2 9 2" xfId="26262" xr:uid="{00000000-0005-0000-0000-0000286E0000}"/>
    <cellStyle name="Hed Top - SECTION 4 4 3" xfId="26263" xr:uid="{00000000-0005-0000-0000-0000296E0000}"/>
    <cellStyle name="Hed Top - SECTION 4 4 3 10" xfId="26264" xr:uid="{00000000-0005-0000-0000-00002A6E0000}"/>
    <cellStyle name="Hed Top - SECTION 4 4 3 2" xfId="26265" xr:uid="{00000000-0005-0000-0000-00002B6E0000}"/>
    <cellStyle name="Hed Top - SECTION 4 4 3 2 2" xfId="26266" xr:uid="{00000000-0005-0000-0000-00002C6E0000}"/>
    <cellStyle name="Hed Top - SECTION 4 4 3 3" xfId="26267" xr:uid="{00000000-0005-0000-0000-00002D6E0000}"/>
    <cellStyle name="Hed Top - SECTION 4 4 3 3 2" xfId="26268" xr:uid="{00000000-0005-0000-0000-00002E6E0000}"/>
    <cellStyle name="Hed Top - SECTION 4 4 3 4" xfId="26269" xr:uid="{00000000-0005-0000-0000-00002F6E0000}"/>
    <cellStyle name="Hed Top - SECTION 4 4 3 4 2" xfId="26270" xr:uid="{00000000-0005-0000-0000-0000306E0000}"/>
    <cellStyle name="Hed Top - SECTION 4 4 3 5" xfId="26271" xr:uid="{00000000-0005-0000-0000-0000316E0000}"/>
    <cellStyle name="Hed Top - SECTION 4 4 3 5 2" xfId="26272" xr:uid="{00000000-0005-0000-0000-0000326E0000}"/>
    <cellStyle name="Hed Top - SECTION 4 4 3 6" xfId="26273" xr:uid="{00000000-0005-0000-0000-0000336E0000}"/>
    <cellStyle name="Hed Top - SECTION 4 4 3 6 2" xfId="26274" xr:uid="{00000000-0005-0000-0000-0000346E0000}"/>
    <cellStyle name="Hed Top - SECTION 4 4 3 7" xfId="26275" xr:uid="{00000000-0005-0000-0000-0000356E0000}"/>
    <cellStyle name="Hed Top - SECTION 4 4 3 7 2" xfId="26276" xr:uid="{00000000-0005-0000-0000-0000366E0000}"/>
    <cellStyle name="Hed Top - SECTION 4 4 3 8" xfId="26277" xr:uid="{00000000-0005-0000-0000-0000376E0000}"/>
    <cellStyle name="Hed Top - SECTION 4 4 3 8 2" xfId="26278" xr:uid="{00000000-0005-0000-0000-0000386E0000}"/>
    <cellStyle name="Hed Top - SECTION 4 4 3 9" xfId="26279" xr:uid="{00000000-0005-0000-0000-0000396E0000}"/>
    <cellStyle name="Hed Top - SECTION 4 4 3 9 2" xfId="26280" xr:uid="{00000000-0005-0000-0000-00003A6E0000}"/>
    <cellStyle name="Hed Top - SECTION 4 4 4" xfId="26281" xr:uid="{00000000-0005-0000-0000-00003B6E0000}"/>
    <cellStyle name="Hed Top - SECTION 4 4 4 10" xfId="26282" xr:uid="{00000000-0005-0000-0000-00003C6E0000}"/>
    <cellStyle name="Hed Top - SECTION 4 4 4 2" xfId="26283" xr:uid="{00000000-0005-0000-0000-00003D6E0000}"/>
    <cellStyle name="Hed Top - SECTION 4 4 4 2 2" xfId="26284" xr:uid="{00000000-0005-0000-0000-00003E6E0000}"/>
    <cellStyle name="Hed Top - SECTION 4 4 4 3" xfId="26285" xr:uid="{00000000-0005-0000-0000-00003F6E0000}"/>
    <cellStyle name="Hed Top - SECTION 4 4 4 3 2" xfId="26286" xr:uid="{00000000-0005-0000-0000-0000406E0000}"/>
    <cellStyle name="Hed Top - SECTION 4 4 4 4" xfId="26287" xr:uid="{00000000-0005-0000-0000-0000416E0000}"/>
    <cellStyle name="Hed Top - SECTION 4 4 4 4 2" xfId="26288" xr:uid="{00000000-0005-0000-0000-0000426E0000}"/>
    <cellStyle name="Hed Top - SECTION 4 4 4 5" xfId="26289" xr:uid="{00000000-0005-0000-0000-0000436E0000}"/>
    <cellStyle name="Hed Top - SECTION 4 4 4 5 2" xfId="26290" xr:uid="{00000000-0005-0000-0000-0000446E0000}"/>
    <cellStyle name="Hed Top - SECTION 4 4 4 6" xfId="26291" xr:uid="{00000000-0005-0000-0000-0000456E0000}"/>
    <cellStyle name="Hed Top - SECTION 4 4 4 6 2" xfId="26292" xr:uid="{00000000-0005-0000-0000-0000466E0000}"/>
    <cellStyle name="Hed Top - SECTION 4 4 4 7" xfId="26293" xr:uid="{00000000-0005-0000-0000-0000476E0000}"/>
    <cellStyle name="Hed Top - SECTION 4 4 4 7 2" xfId="26294" xr:uid="{00000000-0005-0000-0000-0000486E0000}"/>
    <cellStyle name="Hed Top - SECTION 4 4 4 8" xfId="26295" xr:uid="{00000000-0005-0000-0000-0000496E0000}"/>
    <cellStyle name="Hed Top - SECTION 4 4 4 8 2" xfId="26296" xr:uid="{00000000-0005-0000-0000-00004A6E0000}"/>
    <cellStyle name="Hed Top - SECTION 4 4 4 9" xfId="26297" xr:uid="{00000000-0005-0000-0000-00004B6E0000}"/>
    <cellStyle name="Hed Top - SECTION 4 4 4 9 2" xfId="26298" xr:uid="{00000000-0005-0000-0000-00004C6E0000}"/>
    <cellStyle name="Hed Top - SECTION 4 4 5" xfId="26299" xr:uid="{00000000-0005-0000-0000-00004D6E0000}"/>
    <cellStyle name="Hed Top - SECTION 4 4 5 10" xfId="26300" xr:uid="{00000000-0005-0000-0000-00004E6E0000}"/>
    <cellStyle name="Hed Top - SECTION 4 4 5 2" xfId="26301" xr:uid="{00000000-0005-0000-0000-00004F6E0000}"/>
    <cellStyle name="Hed Top - SECTION 4 4 5 2 2" xfId="26302" xr:uid="{00000000-0005-0000-0000-0000506E0000}"/>
    <cellStyle name="Hed Top - SECTION 4 4 5 3" xfId="26303" xr:uid="{00000000-0005-0000-0000-0000516E0000}"/>
    <cellStyle name="Hed Top - SECTION 4 4 5 3 2" xfId="26304" xr:uid="{00000000-0005-0000-0000-0000526E0000}"/>
    <cellStyle name="Hed Top - SECTION 4 4 5 4" xfId="26305" xr:uid="{00000000-0005-0000-0000-0000536E0000}"/>
    <cellStyle name="Hed Top - SECTION 4 4 5 4 2" xfId="26306" xr:uid="{00000000-0005-0000-0000-0000546E0000}"/>
    <cellStyle name="Hed Top - SECTION 4 4 5 5" xfId="26307" xr:uid="{00000000-0005-0000-0000-0000556E0000}"/>
    <cellStyle name="Hed Top - SECTION 4 4 5 5 2" xfId="26308" xr:uid="{00000000-0005-0000-0000-0000566E0000}"/>
    <cellStyle name="Hed Top - SECTION 4 4 5 6" xfId="26309" xr:uid="{00000000-0005-0000-0000-0000576E0000}"/>
    <cellStyle name="Hed Top - SECTION 4 4 5 6 2" xfId="26310" xr:uid="{00000000-0005-0000-0000-0000586E0000}"/>
    <cellStyle name="Hed Top - SECTION 4 4 5 7" xfId="26311" xr:uid="{00000000-0005-0000-0000-0000596E0000}"/>
    <cellStyle name="Hed Top - SECTION 4 4 5 7 2" xfId="26312" xr:uid="{00000000-0005-0000-0000-00005A6E0000}"/>
    <cellStyle name="Hed Top - SECTION 4 4 5 8" xfId="26313" xr:uid="{00000000-0005-0000-0000-00005B6E0000}"/>
    <cellStyle name="Hed Top - SECTION 4 4 5 8 2" xfId="26314" xr:uid="{00000000-0005-0000-0000-00005C6E0000}"/>
    <cellStyle name="Hed Top - SECTION 4 4 5 9" xfId="26315" xr:uid="{00000000-0005-0000-0000-00005D6E0000}"/>
    <cellStyle name="Hed Top - SECTION 4 4 5 9 2" xfId="26316" xr:uid="{00000000-0005-0000-0000-00005E6E0000}"/>
    <cellStyle name="Hed Top - SECTION 4 4 6" xfId="26317" xr:uid="{00000000-0005-0000-0000-00005F6E0000}"/>
    <cellStyle name="Hed Top - SECTION 4 4 6 10" xfId="26318" xr:uid="{00000000-0005-0000-0000-0000606E0000}"/>
    <cellStyle name="Hed Top - SECTION 4 4 6 2" xfId="26319" xr:uid="{00000000-0005-0000-0000-0000616E0000}"/>
    <cellStyle name="Hed Top - SECTION 4 4 6 2 2" xfId="26320" xr:uid="{00000000-0005-0000-0000-0000626E0000}"/>
    <cellStyle name="Hed Top - SECTION 4 4 6 3" xfId="26321" xr:uid="{00000000-0005-0000-0000-0000636E0000}"/>
    <cellStyle name="Hed Top - SECTION 4 4 6 3 2" xfId="26322" xr:uid="{00000000-0005-0000-0000-0000646E0000}"/>
    <cellStyle name="Hed Top - SECTION 4 4 6 4" xfId="26323" xr:uid="{00000000-0005-0000-0000-0000656E0000}"/>
    <cellStyle name="Hed Top - SECTION 4 4 6 4 2" xfId="26324" xr:uid="{00000000-0005-0000-0000-0000666E0000}"/>
    <cellStyle name="Hed Top - SECTION 4 4 6 5" xfId="26325" xr:uid="{00000000-0005-0000-0000-0000676E0000}"/>
    <cellStyle name="Hed Top - SECTION 4 4 6 5 2" xfId="26326" xr:uid="{00000000-0005-0000-0000-0000686E0000}"/>
    <cellStyle name="Hed Top - SECTION 4 4 6 6" xfId="26327" xr:uid="{00000000-0005-0000-0000-0000696E0000}"/>
    <cellStyle name="Hed Top - SECTION 4 4 6 6 2" xfId="26328" xr:uid="{00000000-0005-0000-0000-00006A6E0000}"/>
    <cellStyle name="Hed Top - SECTION 4 4 6 7" xfId="26329" xr:uid="{00000000-0005-0000-0000-00006B6E0000}"/>
    <cellStyle name="Hed Top - SECTION 4 4 6 7 2" xfId="26330" xr:uid="{00000000-0005-0000-0000-00006C6E0000}"/>
    <cellStyle name="Hed Top - SECTION 4 4 6 8" xfId="26331" xr:uid="{00000000-0005-0000-0000-00006D6E0000}"/>
    <cellStyle name="Hed Top - SECTION 4 4 6 8 2" xfId="26332" xr:uid="{00000000-0005-0000-0000-00006E6E0000}"/>
    <cellStyle name="Hed Top - SECTION 4 4 6 9" xfId="26333" xr:uid="{00000000-0005-0000-0000-00006F6E0000}"/>
    <cellStyle name="Hed Top - SECTION 4 4 6 9 2" xfId="26334" xr:uid="{00000000-0005-0000-0000-0000706E0000}"/>
    <cellStyle name="Hed Top - SECTION 4 4 7" xfId="26335" xr:uid="{00000000-0005-0000-0000-0000716E0000}"/>
    <cellStyle name="Hed Top - SECTION 4 4 7 10" xfId="26336" xr:uid="{00000000-0005-0000-0000-0000726E0000}"/>
    <cellStyle name="Hed Top - SECTION 4 4 7 2" xfId="26337" xr:uid="{00000000-0005-0000-0000-0000736E0000}"/>
    <cellStyle name="Hed Top - SECTION 4 4 7 2 2" xfId="26338" xr:uid="{00000000-0005-0000-0000-0000746E0000}"/>
    <cellStyle name="Hed Top - SECTION 4 4 7 3" xfId="26339" xr:uid="{00000000-0005-0000-0000-0000756E0000}"/>
    <cellStyle name="Hed Top - SECTION 4 4 7 3 2" xfId="26340" xr:uid="{00000000-0005-0000-0000-0000766E0000}"/>
    <cellStyle name="Hed Top - SECTION 4 4 7 4" xfId="26341" xr:uid="{00000000-0005-0000-0000-0000776E0000}"/>
    <cellStyle name="Hed Top - SECTION 4 4 7 4 2" xfId="26342" xr:uid="{00000000-0005-0000-0000-0000786E0000}"/>
    <cellStyle name="Hed Top - SECTION 4 4 7 5" xfId="26343" xr:uid="{00000000-0005-0000-0000-0000796E0000}"/>
    <cellStyle name="Hed Top - SECTION 4 4 7 5 2" xfId="26344" xr:uid="{00000000-0005-0000-0000-00007A6E0000}"/>
    <cellStyle name="Hed Top - SECTION 4 4 7 6" xfId="26345" xr:uid="{00000000-0005-0000-0000-00007B6E0000}"/>
    <cellStyle name="Hed Top - SECTION 4 4 7 6 2" xfId="26346" xr:uid="{00000000-0005-0000-0000-00007C6E0000}"/>
    <cellStyle name="Hed Top - SECTION 4 4 7 7" xfId="26347" xr:uid="{00000000-0005-0000-0000-00007D6E0000}"/>
    <cellStyle name="Hed Top - SECTION 4 4 7 7 2" xfId="26348" xr:uid="{00000000-0005-0000-0000-00007E6E0000}"/>
    <cellStyle name="Hed Top - SECTION 4 4 7 8" xfId="26349" xr:uid="{00000000-0005-0000-0000-00007F6E0000}"/>
    <cellStyle name="Hed Top - SECTION 4 4 7 8 2" xfId="26350" xr:uid="{00000000-0005-0000-0000-0000806E0000}"/>
    <cellStyle name="Hed Top - SECTION 4 4 7 9" xfId="26351" xr:uid="{00000000-0005-0000-0000-0000816E0000}"/>
    <cellStyle name="Hed Top - SECTION 4 4 7 9 2" xfId="26352" xr:uid="{00000000-0005-0000-0000-0000826E0000}"/>
    <cellStyle name="Hed Top - SECTION 4 4 8" xfId="26353" xr:uid="{00000000-0005-0000-0000-0000836E0000}"/>
    <cellStyle name="Hed Top - SECTION 4 4 8 10" xfId="26354" xr:uid="{00000000-0005-0000-0000-0000846E0000}"/>
    <cellStyle name="Hed Top - SECTION 4 4 8 2" xfId="26355" xr:uid="{00000000-0005-0000-0000-0000856E0000}"/>
    <cellStyle name="Hed Top - SECTION 4 4 8 2 2" xfId="26356" xr:uid="{00000000-0005-0000-0000-0000866E0000}"/>
    <cellStyle name="Hed Top - SECTION 4 4 8 3" xfId="26357" xr:uid="{00000000-0005-0000-0000-0000876E0000}"/>
    <cellStyle name="Hed Top - SECTION 4 4 8 3 2" xfId="26358" xr:uid="{00000000-0005-0000-0000-0000886E0000}"/>
    <cellStyle name="Hed Top - SECTION 4 4 8 4" xfId="26359" xr:uid="{00000000-0005-0000-0000-0000896E0000}"/>
    <cellStyle name="Hed Top - SECTION 4 4 8 4 2" xfId="26360" xr:uid="{00000000-0005-0000-0000-00008A6E0000}"/>
    <cellStyle name="Hed Top - SECTION 4 4 8 5" xfId="26361" xr:uid="{00000000-0005-0000-0000-00008B6E0000}"/>
    <cellStyle name="Hed Top - SECTION 4 4 8 5 2" xfId="26362" xr:uid="{00000000-0005-0000-0000-00008C6E0000}"/>
    <cellStyle name="Hed Top - SECTION 4 4 8 6" xfId="26363" xr:uid="{00000000-0005-0000-0000-00008D6E0000}"/>
    <cellStyle name="Hed Top - SECTION 4 4 8 6 2" xfId="26364" xr:uid="{00000000-0005-0000-0000-00008E6E0000}"/>
    <cellStyle name="Hed Top - SECTION 4 4 8 7" xfId="26365" xr:uid="{00000000-0005-0000-0000-00008F6E0000}"/>
    <cellStyle name="Hed Top - SECTION 4 4 8 7 2" xfId="26366" xr:uid="{00000000-0005-0000-0000-0000906E0000}"/>
    <cellStyle name="Hed Top - SECTION 4 4 8 8" xfId="26367" xr:uid="{00000000-0005-0000-0000-0000916E0000}"/>
    <cellStyle name="Hed Top - SECTION 4 4 8 8 2" xfId="26368" xr:uid="{00000000-0005-0000-0000-0000926E0000}"/>
    <cellStyle name="Hed Top - SECTION 4 4 8 9" xfId="26369" xr:uid="{00000000-0005-0000-0000-0000936E0000}"/>
    <cellStyle name="Hed Top - SECTION 4 4 8 9 2" xfId="26370" xr:uid="{00000000-0005-0000-0000-0000946E0000}"/>
    <cellStyle name="Hed Top - SECTION 4 4 9" xfId="26371" xr:uid="{00000000-0005-0000-0000-0000956E0000}"/>
    <cellStyle name="Hed Top - SECTION 4 4 9 10" xfId="26372" xr:uid="{00000000-0005-0000-0000-0000966E0000}"/>
    <cellStyle name="Hed Top - SECTION 4 4 9 2" xfId="26373" xr:uid="{00000000-0005-0000-0000-0000976E0000}"/>
    <cellStyle name="Hed Top - SECTION 4 4 9 2 2" xfId="26374" xr:uid="{00000000-0005-0000-0000-0000986E0000}"/>
    <cellStyle name="Hed Top - SECTION 4 4 9 3" xfId="26375" xr:uid="{00000000-0005-0000-0000-0000996E0000}"/>
    <cellStyle name="Hed Top - SECTION 4 4 9 3 2" xfId="26376" xr:uid="{00000000-0005-0000-0000-00009A6E0000}"/>
    <cellStyle name="Hed Top - SECTION 4 4 9 4" xfId="26377" xr:uid="{00000000-0005-0000-0000-00009B6E0000}"/>
    <cellStyle name="Hed Top - SECTION 4 4 9 4 2" xfId="26378" xr:uid="{00000000-0005-0000-0000-00009C6E0000}"/>
    <cellStyle name="Hed Top - SECTION 4 4 9 5" xfId="26379" xr:uid="{00000000-0005-0000-0000-00009D6E0000}"/>
    <cellStyle name="Hed Top - SECTION 4 4 9 5 2" xfId="26380" xr:uid="{00000000-0005-0000-0000-00009E6E0000}"/>
    <cellStyle name="Hed Top - SECTION 4 4 9 6" xfId="26381" xr:uid="{00000000-0005-0000-0000-00009F6E0000}"/>
    <cellStyle name="Hed Top - SECTION 4 4 9 6 2" xfId="26382" xr:uid="{00000000-0005-0000-0000-0000A06E0000}"/>
    <cellStyle name="Hed Top - SECTION 4 4 9 7" xfId="26383" xr:uid="{00000000-0005-0000-0000-0000A16E0000}"/>
    <cellStyle name="Hed Top - SECTION 4 4 9 7 2" xfId="26384" xr:uid="{00000000-0005-0000-0000-0000A26E0000}"/>
    <cellStyle name="Hed Top - SECTION 4 4 9 8" xfId="26385" xr:uid="{00000000-0005-0000-0000-0000A36E0000}"/>
    <cellStyle name="Hed Top - SECTION 4 4 9 8 2" xfId="26386" xr:uid="{00000000-0005-0000-0000-0000A46E0000}"/>
    <cellStyle name="Hed Top - SECTION 4 4 9 9" xfId="26387" xr:uid="{00000000-0005-0000-0000-0000A56E0000}"/>
    <cellStyle name="Hed Top - SECTION 4 4 9 9 2" xfId="26388" xr:uid="{00000000-0005-0000-0000-0000A66E0000}"/>
    <cellStyle name="Hed Top - SECTION 4 5" xfId="26389" xr:uid="{00000000-0005-0000-0000-0000A76E0000}"/>
    <cellStyle name="Hed Top - SECTION 4 5 10" xfId="26390" xr:uid="{00000000-0005-0000-0000-0000A86E0000}"/>
    <cellStyle name="Hed Top - SECTION 4 5 10 2" xfId="26391" xr:uid="{00000000-0005-0000-0000-0000A96E0000}"/>
    <cellStyle name="Hed Top - SECTION 4 5 10 2 2" xfId="26392" xr:uid="{00000000-0005-0000-0000-0000AA6E0000}"/>
    <cellStyle name="Hed Top - SECTION 4 5 10 3" xfId="26393" xr:uid="{00000000-0005-0000-0000-0000AB6E0000}"/>
    <cellStyle name="Hed Top - SECTION 4 5 10 3 2" xfId="26394" xr:uid="{00000000-0005-0000-0000-0000AC6E0000}"/>
    <cellStyle name="Hed Top - SECTION 4 5 10 4" xfId="26395" xr:uid="{00000000-0005-0000-0000-0000AD6E0000}"/>
    <cellStyle name="Hed Top - SECTION 4 5 10 4 2" xfId="26396" xr:uid="{00000000-0005-0000-0000-0000AE6E0000}"/>
    <cellStyle name="Hed Top - SECTION 4 5 10 5" xfId="26397" xr:uid="{00000000-0005-0000-0000-0000AF6E0000}"/>
    <cellStyle name="Hed Top - SECTION 4 5 10 5 2" xfId="26398" xr:uid="{00000000-0005-0000-0000-0000B06E0000}"/>
    <cellStyle name="Hed Top - SECTION 4 5 10 6" xfId="26399" xr:uid="{00000000-0005-0000-0000-0000B16E0000}"/>
    <cellStyle name="Hed Top - SECTION 4 5 10 6 2" xfId="26400" xr:uid="{00000000-0005-0000-0000-0000B26E0000}"/>
    <cellStyle name="Hed Top - SECTION 4 5 10 7" xfId="26401" xr:uid="{00000000-0005-0000-0000-0000B36E0000}"/>
    <cellStyle name="Hed Top - SECTION 4 5 10 7 2" xfId="26402" xr:uid="{00000000-0005-0000-0000-0000B46E0000}"/>
    <cellStyle name="Hed Top - SECTION 4 5 10 8" xfId="26403" xr:uid="{00000000-0005-0000-0000-0000B56E0000}"/>
    <cellStyle name="Hed Top - SECTION 4 5 10 8 2" xfId="26404" xr:uid="{00000000-0005-0000-0000-0000B66E0000}"/>
    <cellStyle name="Hed Top - SECTION 4 5 10 9" xfId="26405" xr:uid="{00000000-0005-0000-0000-0000B76E0000}"/>
    <cellStyle name="Hed Top - SECTION 4 5 11" xfId="26406" xr:uid="{00000000-0005-0000-0000-0000B86E0000}"/>
    <cellStyle name="Hed Top - SECTION 4 5 11 2" xfId="26407" xr:uid="{00000000-0005-0000-0000-0000B96E0000}"/>
    <cellStyle name="Hed Top - SECTION 4 5 12" xfId="26408" xr:uid="{00000000-0005-0000-0000-0000BA6E0000}"/>
    <cellStyle name="Hed Top - SECTION 4 5 12 2" xfId="26409" xr:uid="{00000000-0005-0000-0000-0000BB6E0000}"/>
    <cellStyle name="Hed Top - SECTION 4 5 13" xfId="26410" xr:uid="{00000000-0005-0000-0000-0000BC6E0000}"/>
    <cellStyle name="Hed Top - SECTION 4 5 13 2" xfId="26411" xr:uid="{00000000-0005-0000-0000-0000BD6E0000}"/>
    <cellStyle name="Hed Top - SECTION 4 5 14" xfId="26412" xr:uid="{00000000-0005-0000-0000-0000BE6E0000}"/>
    <cellStyle name="Hed Top - SECTION 4 5 14 2" xfId="26413" xr:uid="{00000000-0005-0000-0000-0000BF6E0000}"/>
    <cellStyle name="Hed Top - SECTION 4 5 15" xfId="26414" xr:uid="{00000000-0005-0000-0000-0000C06E0000}"/>
    <cellStyle name="Hed Top - SECTION 4 5 15 2" xfId="26415" xr:uid="{00000000-0005-0000-0000-0000C16E0000}"/>
    <cellStyle name="Hed Top - SECTION 4 5 16" xfId="26416" xr:uid="{00000000-0005-0000-0000-0000C26E0000}"/>
    <cellStyle name="Hed Top - SECTION 4 5 16 2" xfId="26417" xr:uid="{00000000-0005-0000-0000-0000C36E0000}"/>
    <cellStyle name="Hed Top - SECTION 4 5 17" xfId="26418" xr:uid="{00000000-0005-0000-0000-0000C46E0000}"/>
    <cellStyle name="Hed Top - SECTION 4 5 17 2" xfId="26419" xr:uid="{00000000-0005-0000-0000-0000C56E0000}"/>
    <cellStyle name="Hed Top - SECTION 4 5 18" xfId="26420" xr:uid="{00000000-0005-0000-0000-0000C66E0000}"/>
    <cellStyle name="Hed Top - SECTION 4 5 2" xfId="26421" xr:uid="{00000000-0005-0000-0000-0000C76E0000}"/>
    <cellStyle name="Hed Top - SECTION 4 5 2 10" xfId="26422" xr:uid="{00000000-0005-0000-0000-0000C86E0000}"/>
    <cellStyle name="Hed Top - SECTION 4 5 2 2" xfId="26423" xr:uid="{00000000-0005-0000-0000-0000C96E0000}"/>
    <cellStyle name="Hed Top - SECTION 4 5 2 2 2" xfId="26424" xr:uid="{00000000-0005-0000-0000-0000CA6E0000}"/>
    <cellStyle name="Hed Top - SECTION 4 5 2 3" xfId="26425" xr:uid="{00000000-0005-0000-0000-0000CB6E0000}"/>
    <cellStyle name="Hed Top - SECTION 4 5 2 3 2" xfId="26426" xr:uid="{00000000-0005-0000-0000-0000CC6E0000}"/>
    <cellStyle name="Hed Top - SECTION 4 5 2 4" xfId="26427" xr:uid="{00000000-0005-0000-0000-0000CD6E0000}"/>
    <cellStyle name="Hed Top - SECTION 4 5 2 4 2" xfId="26428" xr:uid="{00000000-0005-0000-0000-0000CE6E0000}"/>
    <cellStyle name="Hed Top - SECTION 4 5 2 5" xfId="26429" xr:uid="{00000000-0005-0000-0000-0000CF6E0000}"/>
    <cellStyle name="Hed Top - SECTION 4 5 2 5 2" xfId="26430" xr:uid="{00000000-0005-0000-0000-0000D06E0000}"/>
    <cellStyle name="Hed Top - SECTION 4 5 2 6" xfId="26431" xr:uid="{00000000-0005-0000-0000-0000D16E0000}"/>
    <cellStyle name="Hed Top - SECTION 4 5 2 6 2" xfId="26432" xr:uid="{00000000-0005-0000-0000-0000D26E0000}"/>
    <cellStyle name="Hed Top - SECTION 4 5 2 7" xfId="26433" xr:uid="{00000000-0005-0000-0000-0000D36E0000}"/>
    <cellStyle name="Hed Top - SECTION 4 5 2 7 2" xfId="26434" xr:uid="{00000000-0005-0000-0000-0000D46E0000}"/>
    <cellStyle name="Hed Top - SECTION 4 5 2 8" xfId="26435" xr:uid="{00000000-0005-0000-0000-0000D56E0000}"/>
    <cellStyle name="Hed Top - SECTION 4 5 2 8 2" xfId="26436" xr:uid="{00000000-0005-0000-0000-0000D66E0000}"/>
    <cellStyle name="Hed Top - SECTION 4 5 2 9" xfId="26437" xr:uid="{00000000-0005-0000-0000-0000D76E0000}"/>
    <cellStyle name="Hed Top - SECTION 4 5 2 9 2" xfId="26438" xr:uid="{00000000-0005-0000-0000-0000D86E0000}"/>
    <cellStyle name="Hed Top - SECTION 4 5 3" xfId="26439" xr:uid="{00000000-0005-0000-0000-0000D96E0000}"/>
    <cellStyle name="Hed Top - SECTION 4 5 3 10" xfId="26440" xr:uid="{00000000-0005-0000-0000-0000DA6E0000}"/>
    <cellStyle name="Hed Top - SECTION 4 5 3 2" xfId="26441" xr:uid="{00000000-0005-0000-0000-0000DB6E0000}"/>
    <cellStyle name="Hed Top - SECTION 4 5 3 2 2" xfId="26442" xr:uid="{00000000-0005-0000-0000-0000DC6E0000}"/>
    <cellStyle name="Hed Top - SECTION 4 5 3 3" xfId="26443" xr:uid="{00000000-0005-0000-0000-0000DD6E0000}"/>
    <cellStyle name="Hed Top - SECTION 4 5 3 3 2" xfId="26444" xr:uid="{00000000-0005-0000-0000-0000DE6E0000}"/>
    <cellStyle name="Hed Top - SECTION 4 5 3 4" xfId="26445" xr:uid="{00000000-0005-0000-0000-0000DF6E0000}"/>
    <cellStyle name="Hed Top - SECTION 4 5 3 4 2" xfId="26446" xr:uid="{00000000-0005-0000-0000-0000E06E0000}"/>
    <cellStyle name="Hed Top - SECTION 4 5 3 5" xfId="26447" xr:uid="{00000000-0005-0000-0000-0000E16E0000}"/>
    <cellStyle name="Hed Top - SECTION 4 5 3 5 2" xfId="26448" xr:uid="{00000000-0005-0000-0000-0000E26E0000}"/>
    <cellStyle name="Hed Top - SECTION 4 5 3 6" xfId="26449" xr:uid="{00000000-0005-0000-0000-0000E36E0000}"/>
    <cellStyle name="Hed Top - SECTION 4 5 3 6 2" xfId="26450" xr:uid="{00000000-0005-0000-0000-0000E46E0000}"/>
    <cellStyle name="Hed Top - SECTION 4 5 3 7" xfId="26451" xr:uid="{00000000-0005-0000-0000-0000E56E0000}"/>
    <cellStyle name="Hed Top - SECTION 4 5 3 7 2" xfId="26452" xr:uid="{00000000-0005-0000-0000-0000E66E0000}"/>
    <cellStyle name="Hed Top - SECTION 4 5 3 8" xfId="26453" xr:uid="{00000000-0005-0000-0000-0000E76E0000}"/>
    <cellStyle name="Hed Top - SECTION 4 5 3 8 2" xfId="26454" xr:uid="{00000000-0005-0000-0000-0000E86E0000}"/>
    <cellStyle name="Hed Top - SECTION 4 5 3 9" xfId="26455" xr:uid="{00000000-0005-0000-0000-0000E96E0000}"/>
    <cellStyle name="Hed Top - SECTION 4 5 3 9 2" xfId="26456" xr:uid="{00000000-0005-0000-0000-0000EA6E0000}"/>
    <cellStyle name="Hed Top - SECTION 4 5 4" xfId="26457" xr:uid="{00000000-0005-0000-0000-0000EB6E0000}"/>
    <cellStyle name="Hed Top - SECTION 4 5 4 10" xfId="26458" xr:uid="{00000000-0005-0000-0000-0000EC6E0000}"/>
    <cellStyle name="Hed Top - SECTION 4 5 4 2" xfId="26459" xr:uid="{00000000-0005-0000-0000-0000ED6E0000}"/>
    <cellStyle name="Hed Top - SECTION 4 5 4 2 2" xfId="26460" xr:uid="{00000000-0005-0000-0000-0000EE6E0000}"/>
    <cellStyle name="Hed Top - SECTION 4 5 4 3" xfId="26461" xr:uid="{00000000-0005-0000-0000-0000EF6E0000}"/>
    <cellStyle name="Hed Top - SECTION 4 5 4 3 2" xfId="26462" xr:uid="{00000000-0005-0000-0000-0000F06E0000}"/>
    <cellStyle name="Hed Top - SECTION 4 5 4 4" xfId="26463" xr:uid="{00000000-0005-0000-0000-0000F16E0000}"/>
    <cellStyle name="Hed Top - SECTION 4 5 4 4 2" xfId="26464" xr:uid="{00000000-0005-0000-0000-0000F26E0000}"/>
    <cellStyle name="Hed Top - SECTION 4 5 4 5" xfId="26465" xr:uid="{00000000-0005-0000-0000-0000F36E0000}"/>
    <cellStyle name="Hed Top - SECTION 4 5 4 5 2" xfId="26466" xr:uid="{00000000-0005-0000-0000-0000F46E0000}"/>
    <cellStyle name="Hed Top - SECTION 4 5 4 6" xfId="26467" xr:uid="{00000000-0005-0000-0000-0000F56E0000}"/>
    <cellStyle name="Hed Top - SECTION 4 5 4 6 2" xfId="26468" xr:uid="{00000000-0005-0000-0000-0000F66E0000}"/>
    <cellStyle name="Hed Top - SECTION 4 5 4 7" xfId="26469" xr:uid="{00000000-0005-0000-0000-0000F76E0000}"/>
    <cellStyle name="Hed Top - SECTION 4 5 4 7 2" xfId="26470" xr:uid="{00000000-0005-0000-0000-0000F86E0000}"/>
    <cellStyle name="Hed Top - SECTION 4 5 4 8" xfId="26471" xr:uid="{00000000-0005-0000-0000-0000F96E0000}"/>
    <cellStyle name="Hed Top - SECTION 4 5 4 8 2" xfId="26472" xr:uid="{00000000-0005-0000-0000-0000FA6E0000}"/>
    <cellStyle name="Hed Top - SECTION 4 5 4 9" xfId="26473" xr:uid="{00000000-0005-0000-0000-0000FB6E0000}"/>
    <cellStyle name="Hed Top - SECTION 4 5 4 9 2" xfId="26474" xr:uid="{00000000-0005-0000-0000-0000FC6E0000}"/>
    <cellStyle name="Hed Top - SECTION 4 5 5" xfId="26475" xr:uid="{00000000-0005-0000-0000-0000FD6E0000}"/>
    <cellStyle name="Hed Top - SECTION 4 5 5 10" xfId="26476" xr:uid="{00000000-0005-0000-0000-0000FE6E0000}"/>
    <cellStyle name="Hed Top - SECTION 4 5 5 2" xfId="26477" xr:uid="{00000000-0005-0000-0000-0000FF6E0000}"/>
    <cellStyle name="Hed Top - SECTION 4 5 5 2 2" xfId="26478" xr:uid="{00000000-0005-0000-0000-0000006F0000}"/>
    <cellStyle name="Hed Top - SECTION 4 5 5 3" xfId="26479" xr:uid="{00000000-0005-0000-0000-0000016F0000}"/>
    <cellStyle name="Hed Top - SECTION 4 5 5 3 2" xfId="26480" xr:uid="{00000000-0005-0000-0000-0000026F0000}"/>
    <cellStyle name="Hed Top - SECTION 4 5 5 4" xfId="26481" xr:uid="{00000000-0005-0000-0000-0000036F0000}"/>
    <cellStyle name="Hed Top - SECTION 4 5 5 4 2" xfId="26482" xr:uid="{00000000-0005-0000-0000-0000046F0000}"/>
    <cellStyle name="Hed Top - SECTION 4 5 5 5" xfId="26483" xr:uid="{00000000-0005-0000-0000-0000056F0000}"/>
    <cellStyle name="Hed Top - SECTION 4 5 5 5 2" xfId="26484" xr:uid="{00000000-0005-0000-0000-0000066F0000}"/>
    <cellStyle name="Hed Top - SECTION 4 5 5 6" xfId="26485" xr:uid="{00000000-0005-0000-0000-0000076F0000}"/>
    <cellStyle name="Hed Top - SECTION 4 5 5 6 2" xfId="26486" xr:uid="{00000000-0005-0000-0000-0000086F0000}"/>
    <cellStyle name="Hed Top - SECTION 4 5 5 7" xfId="26487" xr:uid="{00000000-0005-0000-0000-0000096F0000}"/>
    <cellStyle name="Hed Top - SECTION 4 5 5 7 2" xfId="26488" xr:uid="{00000000-0005-0000-0000-00000A6F0000}"/>
    <cellStyle name="Hed Top - SECTION 4 5 5 8" xfId="26489" xr:uid="{00000000-0005-0000-0000-00000B6F0000}"/>
    <cellStyle name="Hed Top - SECTION 4 5 5 8 2" xfId="26490" xr:uid="{00000000-0005-0000-0000-00000C6F0000}"/>
    <cellStyle name="Hed Top - SECTION 4 5 5 9" xfId="26491" xr:uid="{00000000-0005-0000-0000-00000D6F0000}"/>
    <cellStyle name="Hed Top - SECTION 4 5 5 9 2" xfId="26492" xr:uid="{00000000-0005-0000-0000-00000E6F0000}"/>
    <cellStyle name="Hed Top - SECTION 4 5 6" xfId="26493" xr:uid="{00000000-0005-0000-0000-00000F6F0000}"/>
    <cellStyle name="Hed Top - SECTION 4 5 6 10" xfId="26494" xr:uid="{00000000-0005-0000-0000-0000106F0000}"/>
    <cellStyle name="Hed Top - SECTION 4 5 6 2" xfId="26495" xr:uid="{00000000-0005-0000-0000-0000116F0000}"/>
    <cellStyle name="Hed Top - SECTION 4 5 6 2 2" xfId="26496" xr:uid="{00000000-0005-0000-0000-0000126F0000}"/>
    <cellStyle name="Hed Top - SECTION 4 5 6 3" xfId="26497" xr:uid="{00000000-0005-0000-0000-0000136F0000}"/>
    <cellStyle name="Hed Top - SECTION 4 5 6 3 2" xfId="26498" xr:uid="{00000000-0005-0000-0000-0000146F0000}"/>
    <cellStyle name="Hed Top - SECTION 4 5 6 4" xfId="26499" xr:uid="{00000000-0005-0000-0000-0000156F0000}"/>
    <cellStyle name="Hed Top - SECTION 4 5 6 4 2" xfId="26500" xr:uid="{00000000-0005-0000-0000-0000166F0000}"/>
    <cellStyle name="Hed Top - SECTION 4 5 6 5" xfId="26501" xr:uid="{00000000-0005-0000-0000-0000176F0000}"/>
    <cellStyle name="Hed Top - SECTION 4 5 6 5 2" xfId="26502" xr:uid="{00000000-0005-0000-0000-0000186F0000}"/>
    <cellStyle name="Hed Top - SECTION 4 5 6 6" xfId="26503" xr:uid="{00000000-0005-0000-0000-0000196F0000}"/>
    <cellStyle name="Hed Top - SECTION 4 5 6 6 2" xfId="26504" xr:uid="{00000000-0005-0000-0000-00001A6F0000}"/>
    <cellStyle name="Hed Top - SECTION 4 5 6 7" xfId="26505" xr:uid="{00000000-0005-0000-0000-00001B6F0000}"/>
    <cellStyle name="Hed Top - SECTION 4 5 6 7 2" xfId="26506" xr:uid="{00000000-0005-0000-0000-00001C6F0000}"/>
    <cellStyle name="Hed Top - SECTION 4 5 6 8" xfId="26507" xr:uid="{00000000-0005-0000-0000-00001D6F0000}"/>
    <cellStyle name="Hed Top - SECTION 4 5 6 8 2" xfId="26508" xr:uid="{00000000-0005-0000-0000-00001E6F0000}"/>
    <cellStyle name="Hed Top - SECTION 4 5 6 9" xfId="26509" xr:uid="{00000000-0005-0000-0000-00001F6F0000}"/>
    <cellStyle name="Hed Top - SECTION 4 5 6 9 2" xfId="26510" xr:uid="{00000000-0005-0000-0000-0000206F0000}"/>
    <cellStyle name="Hed Top - SECTION 4 5 7" xfId="26511" xr:uid="{00000000-0005-0000-0000-0000216F0000}"/>
    <cellStyle name="Hed Top - SECTION 4 5 7 10" xfId="26512" xr:uid="{00000000-0005-0000-0000-0000226F0000}"/>
    <cellStyle name="Hed Top - SECTION 4 5 7 2" xfId="26513" xr:uid="{00000000-0005-0000-0000-0000236F0000}"/>
    <cellStyle name="Hed Top - SECTION 4 5 7 2 2" xfId="26514" xr:uid="{00000000-0005-0000-0000-0000246F0000}"/>
    <cellStyle name="Hed Top - SECTION 4 5 7 3" xfId="26515" xr:uid="{00000000-0005-0000-0000-0000256F0000}"/>
    <cellStyle name="Hed Top - SECTION 4 5 7 3 2" xfId="26516" xr:uid="{00000000-0005-0000-0000-0000266F0000}"/>
    <cellStyle name="Hed Top - SECTION 4 5 7 4" xfId="26517" xr:uid="{00000000-0005-0000-0000-0000276F0000}"/>
    <cellStyle name="Hed Top - SECTION 4 5 7 4 2" xfId="26518" xr:uid="{00000000-0005-0000-0000-0000286F0000}"/>
    <cellStyle name="Hed Top - SECTION 4 5 7 5" xfId="26519" xr:uid="{00000000-0005-0000-0000-0000296F0000}"/>
    <cellStyle name="Hed Top - SECTION 4 5 7 5 2" xfId="26520" xr:uid="{00000000-0005-0000-0000-00002A6F0000}"/>
    <cellStyle name="Hed Top - SECTION 4 5 7 6" xfId="26521" xr:uid="{00000000-0005-0000-0000-00002B6F0000}"/>
    <cellStyle name="Hed Top - SECTION 4 5 7 6 2" xfId="26522" xr:uid="{00000000-0005-0000-0000-00002C6F0000}"/>
    <cellStyle name="Hed Top - SECTION 4 5 7 7" xfId="26523" xr:uid="{00000000-0005-0000-0000-00002D6F0000}"/>
    <cellStyle name="Hed Top - SECTION 4 5 7 7 2" xfId="26524" xr:uid="{00000000-0005-0000-0000-00002E6F0000}"/>
    <cellStyle name="Hed Top - SECTION 4 5 7 8" xfId="26525" xr:uid="{00000000-0005-0000-0000-00002F6F0000}"/>
    <cellStyle name="Hed Top - SECTION 4 5 7 8 2" xfId="26526" xr:uid="{00000000-0005-0000-0000-0000306F0000}"/>
    <cellStyle name="Hed Top - SECTION 4 5 7 9" xfId="26527" xr:uid="{00000000-0005-0000-0000-0000316F0000}"/>
    <cellStyle name="Hed Top - SECTION 4 5 7 9 2" xfId="26528" xr:uid="{00000000-0005-0000-0000-0000326F0000}"/>
    <cellStyle name="Hed Top - SECTION 4 5 8" xfId="26529" xr:uid="{00000000-0005-0000-0000-0000336F0000}"/>
    <cellStyle name="Hed Top - SECTION 4 5 8 10" xfId="26530" xr:uid="{00000000-0005-0000-0000-0000346F0000}"/>
    <cellStyle name="Hed Top - SECTION 4 5 8 2" xfId="26531" xr:uid="{00000000-0005-0000-0000-0000356F0000}"/>
    <cellStyle name="Hed Top - SECTION 4 5 8 2 2" xfId="26532" xr:uid="{00000000-0005-0000-0000-0000366F0000}"/>
    <cellStyle name="Hed Top - SECTION 4 5 8 3" xfId="26533" xr:uid="{00000000-0005-0000-0000-0000376F0000}"/>
    <cellStyle name="Hed Top - SECTION 4 5 8 3 2" xfId="26534" xr:uid="{00000000-0005-0000-0000-0000386F0000}"/>
    <cellStyle name="Hed Top - SECTION 4 5 8 4" xfId="26535" xr:uid="{00000000-0005-0000-0000-0000396F0000}"/>
    <cellStyle name="Hed Top - SECTION 4 5 8 4 2" xfId="26536" xr:uid="{00000000-0005-0000-0000-00003A6F0000}"/>
    <cellStyle name="Hed Top - SECTION 4 5 8 5" xfId="26537" xr:uid="{00000000-0005-0000-0000-00003B6F0000}"/>
    <cellStyle name="Hed Top - SECTION 4 5 8 5 2" xfId="26538" xr:uid="{00000000-0005-0000-0000-00003C6F0000}"/>
    <cellStyle name="Hed Top - SECTION 4 5 8 6" xfId="26539" xr:uid="{00000000-0005-0000-0000-00003D6F0000}"/>
    <cellStyle name="Hed Top - SECTION 4 5 8 6 2" xfId="26540" xr:uid="{00000000-0005-0000-0000-00003E6F0000}"/>
    <cellStyle name="Hed Top - SECTION 4 5 8 7" xfId="26541" xr:uid="{00000000-0005-0000-0000-00003F6F0000}"/>
    <cellStyle name="Hed Top - SECTION 4 5 8 7 2" xfId="26542" xr:uid="{00000000-0005-0000-0000-0000406F0000}"/>
    <cellStyle name="Hed Top - SECTION 4 5 8 8" xfId="26543" xr:uid="{00000000-0005-0000-0000-0000416F0000}"/>
    <cellStyle name="Hed Top - SECTION 4 5 8 8 2" xfId="26544" xr:uid="{00000000-0005-0000-0000-0000426F0000}"/>
    <cellStyle name="Hed Top - SECTION 4 5 8 9" xfId="26545" xr:uid="{00000000-0005-0000-0000-0000436F0000}"/>
    <cellStyle name="Hed Top - SECTION 4 5 8 9 2" xfId="26546" xr:uid="{00000000-0005-0000-0000-0000446F0000}"/>
    <cellStyle name="Hed Top - SECTION 4 5 9" xfId="26547" xr:uid="{00000000-0005-0000-0000-0000456F0000}"/>
    <cellStyle name="Hed Top - SECTION 4 5 9 10" xfId="26548" xr:uid="{00000000-0005-0000-0000-0000466F0000}"/>
    <cellStyle name="Hed Top - SECTION 4 5 9 2" xfId="26549" xr:uid="{00000000-0005-0000-0000-0000476F0000}"/>
    <cellStyle name="Hed Top - SECTION 4 5 9 2 2" xfId="26550" xr:uid="{00000000-0005-0000-0000-0000486F0000}"/>
    <cellStyle name="Hed Top - SECTION 4 5 9 3" xfId="26551" xr:uid="{00000000-0005-0000-0000-0000496F0000}"/>
    <cellStyle name="Hed Top - SECTION 4 5 9 3 2" xfId="26552" xr:uid="{00000000-0005-0000-0000-00004A6F0000}"/>
    <cellStyle name="Hed Top - SECTION 4 5 9 4" xfId="26553" xr:uid="{00000000-0005-0000-0000-00004B6F0000}"/>
    <cellStyle name="Hed Top - SECTION 4 5 9 4 2" xfId="26554" xr:uid="{00000000-0005-0000-0000-00004C6F0000}"/>
    <cellStyle name="Hed Top - SECTION 4 5 9 5" xfId="26555" xr:uid="{00000000-0005-0000-0000-00004D6F0000}"/>
    <cellStyle name="Hed Top - SECTION 4 5 9 5 2" xfId="26556" xr:uid="{00000000-0005-0000-0000-00004E6F0000}"/>
    <cellStyle name="Hed Top - SECTION 4 5 9 6" xfId="26557" xr:uid="{00000000-0005-0000-0000-00004F6F0000}"/>
    <cellStyle name="Hed Top - SECTION 4 5 9 6 2" xfId="26558" xr:uid="{00000000-0005-0000-0000-0000506F0000}"/>
    <cellStyle name="Hed Top - SECTION 4 5 9 7" xfId="26559" xr:uid="{00000000-0005-0000-0000-0000516F0000}"/>
    <cellStyle name="Hed Top - SECTION 4 5 9 7 2" xfId="26560" xr:uid="{00000000-0005-0000-0000-0000526F0000}"/>
    <cellStyle name="Hed Top - SECTION 4 5 9 8" xfId="26561" xr:uid="{00000000-0005-0000-0000-0000536F0000}"/>
    <cellStyle name="Hed Top - SECTION 4 5 9 8 2" xfId="26562" xr:uid="{00000000-0005-0000-0000-0000546F0000}"/>
    <cellStyle name="Hed Top - SECTION 4 5 9 9" xfId="26563" xr:uid="{00000000-0005-0000-0000-0000556F0000}"/>
    <cellStyle name="Hed Top - SECTION 4 5 9 9 2" xfId="26564" xr:uid="{00000000-0005-0000-0000-0000566F0000}"/>
    <cellStyle name="Hed Top - SECTION 4 6" xfId="26565" xr:uid="{00000000-0005-0000-0000-0000576F0000}"/>
    <cellStyle name="Hed Top - SECTION 4 6 10" xfId="26566" xr:uid="{00000000-0005-0000-0000-0000586F0000}"/>
    <cellStyle name="Hed Top - SECTION 4 6 10 2" xfId="26567" xr:uid="{00000000-0005-0000-0000-0000596F0000}"/>
    <cellStyle name="Hed Top - SECTION 4 6 10 2 2" xfId="26568" xr:uid="{00000000-0005-0000-0000-00005A6F0000}"/>
    <cellStyle name="Hed Top - SECTION 4 6 10 3" xfId="26569" xr:uid="{00000000-0005-0000-0000-00005B6F0000}"/>
    <cellStyle name="Hed Top - SECTION 4 6 10 3 2" xfId="26570" xr:uid="{00000000-0005-0000-0000-00005C6F0000}"/>
    <cellStyle name="Hed Top - SECTION 4 6 10 4" xfId="26571" xr:uid="{00000000-0005-0000-0000-00005D6F0000}"/>
    <cellStyle name="Hed Top - SECTION 4 6 10 4 2" xfId="26572" xr:uid="{00000000-0005-0000-0000-00005E6F0000}"/>
    <cellStyle name="Hed Top - SECTION 4 6 10 5" xfId="26573" xr:uid="{00000000-0005-0000-0000-00005F6F0000}"/>
    <cellStyle name="Hed Top - SECTION 4 6 10 5 2" xfId="26574" xr:uid="{00000000-0005-0000-0000-0000606F0000}"/>
    <cellStyle name="Hed Top - SECTION 4 6 10 6" xfId="26575" xr:uid="{00000000-0005-0000-0000-0000616F0000}"/>
    <cellStyle name="Hed Top - SECTION 4 6 10 6 2" xfId="26576" xr:uid="{00000000-0005-0000-0000-0000626F0000}"/>
    <cellStyle name="Hed Top - SECTION 4 6 10 7" xfId="26577" xr:uid="{00000000-0005-0000-0000-0000636F0000}"/>
    <cellStyle name="Hed Top - SECTION 4 6 10 7 2" xfId="26578" xr:uid="{00000000-0005-0000-0000-0000646F0000}"/>
    <cellStyle name="Hed Top - SECTION 4 6 10 8" xfId="26579" xr:uid="{00000000-0005-0000-0000-0000656F0000}"/>
    <cellStyle name="Hed Top - SECTION 4 6 10 8 2" xfId="26580" xr:uid="{00000000-0005-0000-0000-0000666F0000}"/>
    <cellStyle name="Hed Top - SECTION 4 6 10 9" xfId="26581" xr:uid="{00000000-0005-0000-0000-0000676F0000}"/>
    <cellStyle name="Hed Top - SECTION 4 6 11" xfId="26582" xr:uid="{00000000-0005-0000-0000-0000686F0000}"/>
    <cellStyle name="Hed Top - SECTION 4 6 11 2" xfId="26583" xr:uid="{00000000-0005-0000-0000-0000696F0000}"/>
    <cellStyle name="Hed Top - SECTION 4 6 12" xfId="26584" xr:uid="{00000000-0005-0000-0000-00006A6F0000}"/>
    <cellStyle name="Hed Top - SECTION 4 6 12 2" xfId="26585" xr:uid="{00000000-0005-0000-0000-00006B6F0000}"/>
    <cellStyle name="Hed Top - SECTION 4 6 13" xfId="26586" xr:uid="{00000000-0005-0000-0000-00006C6F0000}"/>
    <cellStyle name="Hed Top - SECTION 4 6 13 2" xfId="26587" xr:uid="{00000000-0005-0000-0000-00006D6F0000}"/>
    <cellStyle name="Hed Top - SECTION 4 6 14" xfId="26588" xr:uid="{00000000-0005-0000-0000-00006E6F0000}"/>
    <cellStyle name="Hed Top - SECTION 4 6 14 2" xfId="26589" xr:uid="{00000000-0005-0000-0000-00006F6F0000}"/>
    <cellStyle name="Hed Top - SECTION 4 6 15" xfId="26590" xr:uid="{00000000-0005-0000-0000-0000706F0000}"/>
    <cellStyle name="Hed Top - SECTION 4 6 15 2" xfId="26591" xr:uid="{00000000-0005-0000-0000-0000716F0000}"/>
    <cellStyle name="Hed Top - SECTION 4 6 16" xfId="26592" xr:uid="{00000000-0005-0000-0000-0000726F0000}"/>
    <cellStyle name="Hed Top - SECTION 4 6 16 2" xfId="26593" xr:uid="{00000000-0005-0000-0000-0000736F0000}"/>
    <cellStyle name="Hed Top - SECTION 4 6 17" xfId="26594" xr:uid="{00000000-0005-0000-0000-0000746F0000}"/>
    <cellStyle name="Hed Top - SECTION 4 6 17 2" xfId="26595" xr:uid="{00000000-0005-0000-0000-0000756F0000}"/>
    <cellStyle name="Hed Top - SECTION 4 6 18" xfId="26596" xr:uid="{00000000-0005-0000-0000-0000766F0000}"/>
    <cellStyle name="Hed Top - SECTION 4 6 2" xfId="26597" xr:uid="{00000000-0005-0000-0000-0000776F0000}"/>
    <cellStyle name="Hed Top - SECTION 4 6 2 10" xfId="26598" xr:uid="{00000000-0005-0000-0000-0000786F0000}"/>
    <cellStyle name="Hed Top - SECTION 4 6 2 2" xfId="26599" xr:uid="{00000000-0005-0000-0000-0000796F0000}"/>
    <cellStyle name="Hed Top - SECTION 4 6 2 2 2" xfId="26600" xr:uid="{00000000-0005-0000-0000-00007A6F0000}"/>
    <cellStyle name="Hed Top - SECTION 4 6 2 3" xfId="26601" xr:uid="{00000000-0005-0000-0000-00007B6F0000}"/>
    <cellStyle name="Hed Top - SECTION 4 6 2 3 2" xfId="26602" xr:uid="{00000000-0005-0000-0000-00007C6F0000}"/>
    <cellStyle name="Hed Top - SECTION 4 6 2 4" xfId="26603" xr:uid="{00000000-0005-0000-0000-00007D6F0000}"/>
    <cellStyle name="Hed Top - SECTION 4 6 2 4 2" xfId="26604" xr:uid="{00000000-0005-0000-0000-00007E6F0000}"/>
    <cellStyle name="Hed Top - SECTION 4 6 2 5" xfId="26605" xr:uid="{00000000-0005-0000-0000-00007F6F0000}"/>
    <cellStyle name="Hed Top - SECTION 4 6 2 5 2" xfId="26606" xr:uid="{00000000-0005-0000-0000-0000806F0000}"/>
    <cellStyle name="Hed Top - SECTION 4 6 2 6" xfId="26607" xr:uid="{00000000-0005-0000-0000-0000816F0000}"/>
    <cellStyle name="Hed Top - SECTION 4 6 2 6 2" xfId="26608" xr:uid="{00000000-0005-0000-0000-0000826F0000}"/>
    <cellStyle name="Hed Top - SECTION 4 6 2 7" xfId="26609" xr:uid="{00000000-0005-0000-0000-0000836F0000}"/>
    <cellStyle name="Hed Top - SECTION 4 6 2 7 2" xfId="26610" xr:uid="{00000000-0005-0000-0000-0000846F0000}"/>
    <cellStyle name="Hed Top - SECTION 4 6 2 8" xfId="26611" xr:uid="{00000000-0005-0000-0000-0000856F0000}"/>
    <cellStyle name="Hed Top - SECTION 4 6 2 8 2" xfId="26612" xr:uid="{00000000-0005-0000-0000-0000866F0000}"/>
    <cellStyle name="Hed Top - SECTION 4 6 2 9" xfId="26613" xr:uid="{00000000-0005-0000-0000-0000876F0000}"/>
    <cellStyle name="Hed Top - SECTION 4 6 2 9 2" xfId="26614" xr:uid="{00000000-0005-0000-0000-0000886F0000}"/>
    <cellStyle name="Hed Top - SECTION 4 6 3" xfId="26615" xr:uid="{00000000-0005-0000-0000-0000896F0000}"/>
    <cellStyle name="Hed Top - SECTION 4 6 3 10" xfId="26616" xr:uid="{00000000-0005-0000-0000-00008A6F0000}"/>
    <cellStyle name="Hed Top - SECTION 4 6 3 2" xfId="26617" xr:uid="{00000000-0005-0000-0000-00008B6F0000}"/>
    <cellStyle name="Hed Top - SECTION 4 6 3 2 2" xfId="26618" xr:uid="{00000000-0005-0000-0000-00008C6F0000}"/>
    <cellStyle name="Hed Top - SECTION 4 6 3 3" xfId="26619" xr:uid="{00000000-0005-0000-0000-00008D6F0000}"/>
    <cellStyle name="Hed Top - SECTION 4 6 3 3 2" xfId="26620" xr:uid="{00000000-0005-0000-0000-00008E6F0000}"/>
    <cellStyle name="Hed Top - SECTION 4 6 3 4" xfId="26621" xr:uid="{00000000-0005-0000-0000-00008F6F0000}"/>
    <cellStyle name="Hed Top - SECTION 4 6 3 4 2" xfId="26622" xr:uid="{00000000-0005-0000-0000-0000906F0000}"/>
    <cellStyle name="Hed Top - SECTION 4 6 3 5" xfId="26623" xr:uid="{00000000-0005-0000-0000-0000916F0000}"/>
    <cellStyle name="Hed Top - SECTION 4 6 3 5 2" xfId="26624" xr:uid="{00000000-0005-0000-0000-0000926F0000}"/>
    <cellStyle name="Hed Top - SECTION 4 6 3 6" xfId="26625" xr:uid="{00000000-0005-0000-0000-0000936F0000}"/>
    <cellStyle name="Hed Top - SECTION 4 6 3 6 2" xfId="26626" xr:uid="{00000000-0005-0000-0000-0000946F0000}"/>
    <cellStyle name="Hed Top - SECTION 4 6 3 7" xfId="26627" xr:uid="{00000000-0005-0000-0000-0000956F0000}"/>
    <cellStyle name="Hed Top - SECTION 4 6 3 7 2" xfId="26628" xr:uid="{00000000-0005-0000-0000-0000966F0000}"/>
    <cellStyle name="Hed Top - SECTION 4 6 3 8" xfId="26629" xr:uid="{00000000-0005-0000-0000-0000976F0000}"/>
    <cellStyle name="Hed Top - SECTION 4 6 3 8 2" xfId="26630" xr:uid="{00000000-0005-0000-0000-0000986F0000}"/>
    <cellStyle name="Hed Top - SECTION 4 6 3 9" xfId="26631" xr:uid="{00000000-0005-0000-0000-0000996F0000}"/>
    <cellStyle name="Hed Top - SECTION 4 6 3 9 2" xfId="26632" xr:uid="{00000000-0005-0000-0000-00009A6F0000}"/>
    <cellStyle name="Hed Top - SECTION 4 6 4" xfId="26633" xr:uid="{00000000-0005-0000-0000-00009B6F0000}"/>
    <cellStyle name="Hed Top - SECTION 4 6 4 10" xfId="26634" xr:uid="{00000000-0005-0000-0000-00009C6F0000}"/>
    <cellStyle name="Hed Top - SECTION 4 6 4 2" xfId="26635" xr:uid="{00000000-0005-0000-0000-00009D6F0000}"/>
    <cellStyle name="Hed Top - SECTION 4 6 4 2 2" xfId="26636" xr:uid="{00000000-0005-0000-0000-00009E6F0000}"/>
    <cellStyle name="Hed Top - SECTION 4 6 4 3" xfId="26637" xr:uid="{00000000-0005-0000-0000-00009F6F0000}"/>
    <cellStyle name="Hed Top - SECTION 4 6 4 3 2" xfId="26638" xr:uid="{00000000-0005-0000-0000-0000A06F0000}"/>
    <cellStyle name="Hed Top - SECTION 4 6 4 4" xfId="26639" xr:uid="{00000000-0005-0000-0000-0000A16F0000}"/>
    <cellStyle name="Hed Top - SECTION 4 6 4 4 2" xfId="26640" xr:uid="{00000000-0005-0000-0000-0000A26F0000}"/>
    <cellStyle name="Hed Top - SECTION 4 6 4 5" xfId="26641" xr:uid="{00000000-0005-0000-0000-0000A36F0000}"/>
    <cellStyle name="Hed Top - SECTION 4 6 4 5 2" xfId="26642" xr:uid="{00000000-0005-0000-0000-0000A46F0000}"/>
    <cellStyle name="Hed Top - SECTION 4 6 4 6" xfId="26643" xr:uid="{00000000-0005-0000-0000-0000A56F0000}"/>
    <cellStyle name="Hed Top - SECTION 4 6 4 6 2" xfId="26644" xr:uid="{00000000-0005-0000-0000-0000A66F0000}"/>
    <cellStyle name="Hed Top - SECTION 4 6 4 7" xfId="26645" xr:uid="{00000000-0005-0000-0000-0000A76F0000}"/>
    <cellStyle name="Hed Top - SECTION 4 6 4 7 2" xfId="26646" xr:uid="{00000000-0005-0000-0000-0000A86F0000}"/>
    <cellStyle name="Hed Top - SECTION 4 6 4 8" xfId="26647" xr:uid="{00000000-0005-0000-0000-0000A96F0000}"/>
    <cellStyle name="Hed Top - SECTION 4 6 4 8 2" xfId="26648" xr:uid="{00000000-0005-0000-0000-0000AA6F0000}"/>
    <cellStyle name="Hed Top - SECTION 4 6 4 9" xfId="26649" xr:uid="{00000000-0005-0000-0000-0000AB6F0000}"/>
    <cellStyle name="Hed Top - SECTION 4 6 4 9 2" xfId="26650" xr:uid="{00000000-0005-0000-0000-0000AC6F0000}"/>
    <cellStyle name="Hed Top - SECTION 4 6 5" xfId="26651" xr:uid="{00000000-0005-0000-0000-0000AD6F0000}"/>
    <cellStyle name="Hed Top - SECTION 4 6 5 10" xfId="26652" xr:uid="{00000000-0005-0000-0000-0000AE6F0000}"/>
    <cellStyle name="Hed Top - SECTION 4 6 5 2" xfId="26653" xr:uid="{00000000-0005-0000-0000-0000AF6F0000}"/>
    <cellStyle name="Hed Top - SECTION 4 6 5 2 2" xfId="26654" xr:uid="{00000000-0005-0000-0000-0000B06F0000}"/>
    <cellStyle name="Hed Top - SECTION 4 6 5 3" xfId="26655" xr:uid="{00000000-0005-0000-0000-0000B16F0000}"/>
    <cellStyle name="Hed Top - SECTION 4 6 5 3 2" xfId="26656" xr:uid="{00000000-0005-0000-0000-0000B26F0000}"/>
    <cellStyle name="Hed Top - SECTION 4 6 5 4" xfId="26657" xr:uid="{00000000-0005-0000-0000-0000B36F0000}"/>
    <cellStyle name="Hed Top - SECTION 4 6 5 4 2" xfId="26658" xr:uid="{00000000-0005-0000-0000-0000B46F0000}"/>
    <cellStyle name="Hed Top - SECTION 4 6 5 5" xfId="26659" xr:uid="{00000000-0005-0000-0000-0000B56F0000}"/>
    <cellStyle name="Hed Top - SECTION 4 6 5 5 2" xfId="26660" xr:uid="{00000000-0005-0000-0000-0000B66F0000}"/>
    <cellStyle name="Hed Top - SECTION 4 6 5 6" xfId="26661" xr:uid="{00000000-0005-0000-0000-0000B76F0000}"/>
    <cellStyle name="Hed Top - SECTION 4 6 5 6 2" xfId="26662" xr:uid="{00000000-0005-0000-0000-0000B86F0000}"/>
    <cellStyle name="Hed Top - SECTION 4 6 5 7" xfId="26663" xr:uid="{00000000-0005-0000-0000-0000B96F0000}"/>
    <cellStyle name="Hed Top - SECTION 4 6 5 7 2" xfId="26664" xr:uid="{00000000-0005-0000-0000-0000BA6F0000}"/>
    <cellStyle name="Hed Top - SECTION 4 6 5 8" xfId="26665" xr:uid="{00000000-0005-0000-0000-0000BB6F0000}"/>
    <cellStyle name="Hed Top - SECTION 4 6 5 8 2" xfId="26666" xr:uid="{00000000-0005-0000-0000-0000BC6F0000}"/>
    <cellStyle name="Hed Top - SECTION 4 6 5 9" xfId="26667" xr:uid="{00000000-0005-0000-0000-0000BD6F0000}"/>
    <cellStyle name="Hed Top - SECTION 4 6 5 9 2" xfId="26668" xr:uid="{00000000-0005-0000-0000-0000BE6F0000}"/>
    <cellStyle name="Hed Top - SECTION 4 6 6" xfId="26669" xr:uid="{00000000-0005-0000-0000-0000BF6F0000}"/>
    <cellStyle name="Hed Top - SECTION 4 6 6 10" xfId="26670" xr:uid="{00000000-0005-0000-0000-0000C06F0000}"/>
    <cellStyle name="Hed Top - SECTION 4 6 6 2" xfId="26671" xr:uid="{00000000-0005-0000-0000-0000C16F0000}"/>
    <cellStyle name="Hed Top - SECTION 4 6 6 2 2" xfId="26672" xr:uid="{00000000-0005-0000-0000-0000C26F0000}"/>
    <cellStyle name="Hed Top - SECTION 4 6 6 3" xfId="26673" xr:uid="{00000000-0005-0000-0000-0000C36F0000}"/>
    <cellStyle name="Hed Top - SECTION 4 6 6 3 2" xfId="26674" xr:uid="{00000000-0005-0000-0000-0000C46F0000}"/>
    <cellStyle name="Hed Top - SECTION 4 6 6 4" xfId="26675" xr:uid="{00000000-0005-0000-0000-0000C56F0000}"/>
    <cellStyle name="Hed Top - SECTION 4 6 6 4 2" xfId="26676" xr:uid="{00000000-0005-0000-0000-0000C66F0000}"/>
    <cellStyle name="Hed Top - SECTION 4 6 6 5" xfId="26677" xr:uid="{00000000-0005-0000-0000-0000C76F0000}"/>
    <cellStyle name="Hed Top - SECTION 4 6 6 5 2" xfId="26678" xr:uid="{00000000-0005-0000-0000-0000C86F0000}"/>
    <cellStyle name="Hed Top - SECTION 4 6 6 6" xfId="26679" xr:uid="{00000000-0005-0000-0000-0000C96F0000}"/>
    <cellStyle name="Hed Top - SECTION 4 6 6 6 2" xfId="26680" xr:uid="{00000000-0005-0000-0000-0000CA6F0000}"/>
    <cellStyle name="Hed Top - SECTION 4 6 6 7" xfId="26681" xr:uid="{00000000-0005-0000-0000-0000CB6F0000}"/>
    <cellStyle name="Hed Top - SECTION 4 6 6 7 2" xfId="26682" xr:uid="{00000000-0005-0000-0000-0000CC6F0000}"/>
    <cellStyle name="Hed Top - SECTION 4 6 6 8" xfId="26683" xr:uid="{00000000-0005-0000-0000-0000CD6F0000}"/>
    <cellStyle name="Hed Top - SECTION 4 6 6 8 2" xfId="26684" xr:uid="{00000000-0005-0000-0000-0000CE6F0000}"/>
    <cellStyle name="Hed Top - SECTION 4 6 6 9" xfId="26685" xr:uid="{00000000-0005-0000-0000-0000CF6F0000}"/>
    <cellStyle name="Hed Top - SECTION 4 6 6 9 2" xfId="26686" xr:uid="{00000000-0005-0000-0000-0000D06F0000}"/>
    <cellStyle name="Hed Top - SECTION 4 6 7" xfId="26687" xr:uid="{00000000-0005-0000-0000-0000D16F0000}"/>
    <cellStyle name="Hed Top - SECTION 4 6 7 10" xfId="26688" xr:uid="{00000000-0005-0000-0000-0000D26F0000}"/>
    <cellStyle name="Hed Top - SECTION 4 6 7 2" xfId="26689" xr:uid="{00000000-0005-0000-0000-0000D36F0000}"/>
    <cellStyle name="Hed Top - SECTION 4 6 7 2 2" xfId="26690" xr:uid="{00000000-0005-0000-0000-0000D46F0000}"/>
    <cellStyle name="Hed Top - SECTION 4 6 7 3" xfId="26691" xr:uid="{00000000-0005-0000-0000-0000D56F0000}"/>
    <cellStyle name="Hed Top - SECTION 4 6 7 3 2" xfId="26692" xr:uid="{00000000-0005-0000-0000-0000D66F0000}"/>
    <cellStyle name="Hed Top - SECTION 4 6 7 4" xfId="26693" xr:uid="{00000000-0005-0000-0000-0000D76F0000}"/>
    <cellStyle name="Hed Top - SECTION 4 6 7 4 2" xfId="26694" xr:uid="{00000000-0005-0000-0000-0000D86F0000}"/>
    <cellStyle name="Hed Top - SECTION 4 6 7 5" xfId="26695" xr:uid="{00000000-0005-0000-0000-0000D96F0000}"/>
    <cellStyle name="Hed Top - SECTION 4 6 7 5 2" xfId="26696" xr:uid="{00000000-0005-0000-0000-0000DA6F0000}"/>
    <cellStyle name="Hed Top - SECTION 4 6 7 6" xfId="26697" xr:uid="{00000000-0005-0000-0000-0000DB6F0000}"/>
    <cellStyle name="Hed Top - SECTION 4 6 7 6 2" xfId="26698" xr:uid="{00000000-0005-0000-0000-0000DC6F0000}"/>
    <cellStyle name="Hed Top - SECTION 4 6 7 7" xfId="26699" xr:uid="{00000000-0005-0000-0000-0000DD6F0000}"/>
    <cellStyle name="Hed Top - SECTION 4 6 7 7 2" xfId="26700" xr:uid="{00000000-0005-0000-0000-0000DE6F0000}"/>
    <cellStyle name="Hed Top - SECTION 4 6 7 8" xfId="26701" xr:uid="{00000000-0005-0000-0000-0000DF6F0000}"/>
    <cellStyle name="Hed Top - SECTION 4 6 7 8 2" xfId="26702" xr:uid="{00000000-0005-0000-0000-0000E06F0000}"/>
    <cellStyle name="Hed Top - SECTION 4 6 7 9" xfId="26703" xr:uid="{00000000-0005-0000-0000-0000E16F0000}"/>
    <cellStyle name="Hed Top - SECTION 4 6 7 9 2" xfId="26704" xr:uid="{00000000-0005-0000-0000-0000E26F0000}"/>
    <cellStyle name="Hed Top - SECTION 4 6 8" xfId="26705" xr:uid="{00000000-0005-0000-0000-0000E36F0000}"/>
    <cellStyle name="Hed Top - SECTION 4 6 8 10" xfId="26706" xr:uid="{00000000-0005-0000-0000-0000E46F0000}"/>
    <cellStyle name="Hed Top - SECTION 4 6 8 2" xfId="26707" xr:uid="{00000000-0005-0000-0000-0000E56F0000}"/>
    <cellStyle name="Hed Top - SECTION 4 6 8 2 2" xfId="26708" xr:uid="{00000000-0005-0000-0000-0000E66F0000}"/>
    <cellStyle name="Hed Top - SECTION 4 6 8 3" xfId="26709" xr:uid="{00000000-0005-0000-0000-0000E76F0000}"/>
    <cellStyle name="Hed Top - SECTION 4 6 8 3 2" xfId="26710" xr:uid="{00000000-0005-0000-0000-0000E86F0000}"/>
    <cellStyle name="Hed Top - SECTION 4 6 8 4" xfId="26711" xr:uid="{00000000-0005-0000-0000-0000E96F0000}"/>
    <cellStyle name="Hed Top - SECTION 4 6 8 4 2" xfId="26712" xr:uid="{00000000-0005-0000-0000-0000EA6F0000}"/>
    <cellStyle name="Hed Top - SECTION 4 6 8 5" xfId="26713" xr:uid="{00000000-0005-0000-0000-0000EB6F0000}"/>
    <cellStyle name="Hed Top - SECTION 4 6 8 5 2" xfId="26714" xr:uid="{00000000-0005-0000-0000-0000EC6F0000}"/>
    <cellStyle name="Hed Top - SECTION 4 6 8 6" xfId="26715" xr:uid="{00000000-0005-0000-0000-0000ED6F0000}"/>
    <cellStyle name="Hed Top - SECTION 4 6 8 6 2" xfId="26716" xr:uid="{00000000-0005-0000-0000-0000EE6F0000}"/>
    <cellStyle name="Hed Top - SECTION 4 6 8 7" xfId="26717" xr:uid="{00000000-0005-0000-0000-0000EF6F0000}"/>
    <cellStyle name="Hed Top - SECTION 4 6 8 7 2" xfId="26718" xr:uid="{00000000-0005-0000-0000-0000F06F0000}"/>
    <cellStyle name="Hed Top - SECTION 4 6 8 8" xfId="26719" xr:uid="{00000000-0005-0000-0000-0000F16F0000}"/>
    <cellStyle name="Hed Top - SECTION 4 6 8 8 2" xfId="26720" xr:uid="{00000000-0005-0000-0000-0000F26F0000}"/>
    <cellStyle name="Hed Top - SECTION 4 6 8 9" xfId="26721" xr:uid="{00000000-0005-0000-0000-0000F36F0000}"/>
    <cellStyle name="Hed Top - SECTION 4 6 8 9 2" xfId="26722" xr:uid="{00000000-0005-0000-0000-0000F46F0000}"/>
    <cellStyle name="Hed Top - SECTION 4 6 9" xfId="26723" xr:uid="{00000000-0005-0000-0000-0000F56F0000}"/>
    <cellStyle name="Hed Top - SECTION 4 6 9 10" xfId="26724" xr:uid="{00000000-0005-0000-0000-0000F66F0000}"/>
    <cellStyle name="Hed Top - SECTION 4 6 9 2" xfId="26725" xr:uid="{00000000-0005-0000-0000-0000F76F0000}"/>
    <cellStyle name="Hed Top - SECTION 4 6 9 2 2" xfId="26726" xr:uid="{00000000-0005-0000-0000-0000F86F0000}"/>
    <cellStyle name="Hed Top - SECTION 4 6 9 3" xfId="26727" xr:uid="{00000000-0005-0000-0000-0000F96F0000}"/>
    <cellStyle name="Hed Top - SECTION 4 6 9 3 2" xfId="26728" xr:uid="{00000000-0005-0000-0000-0000FA6F0000}"/>
    <cellStyle name="Hed Top - SECTION 4 6 9 4" xfId="26729" xr:uid="{00000000-0005-0000-0000-0000FB6F0000}"/>
    <cellStyle name="Hed Top - SECTION 4 6 9 4 2" xfId="26730" xr:uid="{00000000-0005-0000-0000-0000FC6F0000}"/>
    <cellStyle name="Hed Top - SECTION 4 6 9 5" xfId="26731" xr:uid="{00000000-0005-0000-0000-0000FD6F0000}"/>
    <cellStyle name="Hed Top - SECTION 4 6 9 5 2" xfId="26732" xr:uid="{00000000-0005-0000-0000-0000FE6F0000}"/>
    <cellStyle name="Hed Top - SECTION 4 6 9 6" xfId="26733" xr:uid="{00000000-0005-0000-0000-0000FF6F0000}"/>
    <cellStyle name="Hed Top - SECTION 4 6 9 6 2" xfId="26734" xr:uid="{00000000-0005-0000-0000-000000700000}"/>
    <cellStyle name="Hed Top - SECTION 4 6 9 7" xfId="26735" xr:uid="{00000000-0005-0000-0000-000001700000}"/>
    <cellStyle name="Hed Top - SECTION 4 6 9 7 2" xfId="26736" xr:uid="{00000000-0005-0000-0000-000002700000}"/>
    <cellStyle name="Hed Top - SECTION 4 6 9 8" xfId="26737" xr:uid="{00000000-0005-0000-0000-000003700000}"/>
    <cellStyle name="Hed Top - SECTION 4 6 9 8 2" xfId="26738" xr:uid="{00000000-0005-0000-0000-000004700000}"/>
    <cellStyle name="Hed Top - SECTION 4 6 9 9" xfId="26739" xr:uid="{00000000-0005-0000-0000-000005700000}"/>
    <cellStyle name="Hed Top - SECTION 4 6 9 9 2" xfId="26740" xr:uid="{00000000-0005-0000-0000-000006700000}"/>
    <cellStyle name="Hed Top - SECTION 4 7" xfId="26741" xr:uid="{00000000-0005-0000-0000-000007700000}"/>
    <cellStyle name="Hed Top - SECTION 4 7 10" xfId="26742" xr:uid="{00000000-0005-0000-0000-000008700000}"/>
    <cellStyle name="Hed Top - SECTION 4 7 10 2" xfId="26743" xr:uid="{00000000-0005-0000-0000-000009700000}"/>
    <cellStyle name="Hed Top - SECTION 4 7 10 2 2" xfId="26744" xr:uid="{00000000-0005-0000-0000-00000A700000}"/>
    <cellStyle name="Hed Top - SECTION 4 7 10 3" xfId="26745" xr:uid="{00000000-0005-0000-0000-00000B700000}"/>
    <cellStyle name="Hed Top - SECTION 4 7 10 3 2" xfId="26746" xr:uid="{00000000-0005-0000-0000-00000C700000}"/>
    <cellStyle name="Hed Top - SECTION 4 7 10 4" xfId="26747" xr:uid="{00000000-0005-0000-0000-00000D700000}"/>
    <cellStyle name="Hed Top - SECTION 4 7 10 4 2" xfId="26748" xr:uid="{00000000-0005-0000-0000-00000E700000}"/>
    <cellStyle name="Hed Top - SECTION 4 7 10 5" xfId="26749" xr:uid="{00000000-0005-0000-0000-00000F700000}"/>
    <cellStyle name="Hed Top - SECTION 4 7 10 5 2" xfId="26750" xr:uid="{00000000-0005-0000-0000-000010700000}"/>
    <cellStyle name="Hed Top - SECTION 4 7 10 6" xfId="26751" xr:uid="{00000000-0005-0000-0000-000011700000}"/>
    <cellStyle name="Hed Top - SECTION 4 7 10 6 2" xfId="26752" xr:uid="{00000000-0005-0000-0000-000012700000}"/>
    <cellStyle name="Hed Top - SECTION 4 7 10 7" xfId="26753" xr:uid="{00000000-0005-0000-0000-000013700000}"/>
    <cellStyle name="Hed Top - SECTION 4 7 10 7 2" xfId="26754" xr:uid="{00000000-0005-0000-0000-000014700000}"/>
    <cellStyle name="Hed Top - SECTION 4 7 10 8" xfId="26755" xr:uid="{00000000-0005-0000-0000-000015700000}"/>
    <cellStyle name="Hed Top - SECTION 4 7 10 8 2" xfId="26756" xr:uid="{00000000-0005-0000-0000-000016700000}"/>
    <cellStyle name="Hed Top - SECTION 4 7 10 9" xfId="26757" xr:uid="{00000000-0005-0000-0000-000017700000}"/>
    <cellStyle name="Hed Top - SECTION 4 7 11" xfId="26758" xr:uid="{00000000-0005-0000-0000-000018700000}"/>
    <cellStyle name="Hed Top - SECTION 4 7 11 2" xfId="26759" xr:uid="{00000000-0005-0000-0000-000019700000}"/>
    <cellStyle name="Hed Top - SECTION 4 7 12" xfId="26760" xr:uid="{00000000-0005-0000-0000-00001A700000}"/>
    <cellStyle name="Hed Top - SECTION 4 7 12 2" xfId="26761" xr:uid="{00000000-0005-0000-0000-00001B700000}"/>
    <cellStyle name="Hed Top - SECTION 4 7 13" xfId="26762" xr:uid="{00000000-0005-0000-0000-00001C700000}"/>
    <cellStyle name="Hed Top - SECTION 4 7 13 2" xfId="26763" xr:uid="{00000000-0005-0000-0000-00001D700000}"/>
    <cellStyle name="Hed Top - SECTION 4 7 14" xfId="26764" xr:uid="{00000000-0005-0000-0000-00001E700000}"/>
    <cellStyle name="Hed Top - SECTION 4 7 14 2" xfId="26765" xr:uid="{00000000-0005-0000-0000-00001F700000}"/>
    <cellStyle name="Hed Top - SECTION 4 7 15" xfId="26766" xr:uid="{00000000-0005-0000-0000-000020700000}"/>
    <cellStyle name="Hed Top - SECTION 4 7 15 2" xfId="26767" xr:uid="{00000000-0005-0000-0000-000021700000}"/>
    <cellStyle name="Hed Top - SECTION 4 7 16" xfId="26768" xr:uid="{00000000-0005-0000-0000-000022700000}"/>
    <cellStyle name="Hed Top - SECTION 4 7 16 2" xfId="26769" xr:uid="{00000000-0005-0000-0000-000023700000}"/>
    <cellStyle name="Hed Top - SECTION 4 7 17" xfId="26770" xr:uid="{00000000-0005-0000-0000-000024700000}"/>
    <cellStyle name="Hed Top - SECTION 4 7 17 2" xfId="26771" xr:uid="{00000000-0005-0000-0000-000025700000}"/>
    <cellStyle name="Hed Top - SECTION 4 7 18" xfId="26772" xr:uid="{00000000-0005-0000-0000-000026700000}"/>
    <cellStyle name="Hed Top - SECTION 4 7 2" xfId="26773" xr:uid="{00000000-0005-0000-0000-000027700000}"/>
    <cellStyle name="Hed Top - SECTION 4 7 2 10" xfId="26774" xr:uid="{00000000-0005-0000-0000-000028700000}"/>
    <cellStyle name="Hed Top - SECTION 4 7 2 2" xfId="26775" xr:uid="{00000000-0005-0000-0000-000029700000}"/>
    <cellStyle name="Hed Top - SECTION 4 7 2 2 2" xfId="26776" xr:uid="{00000000-0005-0000-0000-00002A700000}"/>
    <cellStyle name="Hed Top - SECTION 4 7 2 3" xfId="26777" xr:uid="{00000000-0005-0000-0000-00002B700000}"/>
    <cellStyle name="Hed Top - SECTION 4 7 2 3 2" xfId="26778" xr:uid="{00000000-0005-0000-0000-00002C700000}"/>
    <cellStyle name="Hed Top - SECTION 4 7 2 4" xfId="26779" xr:uid="{00000000-0005-0000-0000-00002D700000}"/>
    <cellStyle name="Hed Top - SECTION 4 7 2 4 2" xfId="26780" xr:uid="{00000000-0005-0000-0000-00002E700000}"/>
    <cellStyle name="Hed Top - SECTION 4 7 2 5" xfId="26781" xr:uid="{00000000-0005-0000-0000-00002F700000}"/>
    <cellStyle name="Hed Top - SECTION 4 7 2 5 2" xfId="26782" xr:uid="{00000000-0005-0000-0000-000030700000}"/>
    <cellStyle name="Hed Top - SECTION 4 7 2 6" xfId="26783" xr:uid="{00000000-0005-0000-0000-000031700000}"/>
    <cellStyle name="Hed Top - SECTION 4 7 2 6 2" xfId="26784" xr:uid="{00000000-0005-0000-0000-000032700000}"/>
    <cellStyle name="Hed Top - SECTION 4 7 2 7" xfId="26785" xr:uid="{00000000-0005-0000-0000-000033700000}"/>
    <cellStyle name="Hed Top - SECTION 4 7 2 7 2" xfId="26786" xr:uid="{00000000-0005-0000-0000-000034700000}"/>
    <cellStyle name="Hed Top - SECTION 4 7 2 8" xfId="26787" xr:uid="{00000000-0005-0000-0000-000035700000}"/>
    <cellStyle name="Hed Top - SECTION 4 7 2 8 2" xfId="26788" xr:uid="{00000000-0005-0000-0000-000036700000}"/>
    <cellStyle name="Hed Top - SECTION 4 7 2 9" xfId="26789" xr:uid="{00000000-0005-0000-0000-000037700000}"/>
    <cellStyle name="Hed Top - SECTION 4 7 2 9 2" xfId="26790" xr:uid="{00000000-0005-0000-0000-000038700000}"/>
    <cellStyle name="Hed Top - SECTION 4 7 3" xfId="26791" xr:uid="{00000000-0005-0000-0000-000039700000}"/>
    <cellStyle name="Hed Top - SECTION 4 7 3 10" xfId="26792" xr:uid="{00000000-0005-0000-0000-00003A700000}"/>
    <cellStyle name="Hed Top - SECTION 4 7 3 2" xfId="26793" xr:uid="{00000000-0005-0000-0000-00003B700000}"/>
    <cellStyle name="Hed Top - SECTION 4 7 3 2 2" xfId="26794" xr:uid="{00000000-0005-0000-0000-00003C700000}"/>
    <cellStyle name="Hed Top - SECTION 4 7 3 3" xfId="26795" xr:uid="{00000000-0005-0000-0000-00003D700000}"/>
    <cellStyle name="Hed Top - SECTION 4 7 3 3 2" xfId="26796" xr:uid="{00000000-0005-0000-0000-00003E700000}"/>
    <cellStyle name="Hed Top - SECTION 4 7 3 4" xfId="26797" xr:uid="{00000000-0005-0000-0000-00003F700000}"/>
    <cellStyle name="Hed Top - SECTION 4 7 3 4 2" xfId="26798" xr:uid="{00000000-0005-0000-0000-000040700000}"/>
    <cellStyle name="Hed Top - SECTION 4 7 3 5" xfId="26799" xr:uid="{00000000-0005-0000-0000-000041700000}"/>
    <cellStyle name="Hed Top - SECTION 4 7 3 5 2" xfId="26800" xr:uid="{00000000-0005-0000-0000-000042700000}"/>
    <cellStyle name="Hed Top - SECTION 4 7 3 6" xfId="26801" xr:uid="{00000000-0005-0000-0000-000043700000}"/>
    <cellStyle name="Hed Top - SECTION 4 7 3 6 2" xfId="26802" xr:uid="{00000000-0005-0000-0000-000044700000}"/>
    <cellStyle name="Hed Top - SECTION 4 7 3 7" xfId="26803" xr:uid="{00000000-0005-0000-0000-000045700000}"/>
    <cellStyle name="Hed Top - SECTION 4 7 3 7 2" xfId="26804" xr:uid="{00000000-0005-0000-0000-000046700000}"/>
    <cellStyle name="Hed Top - SECTION 4 7 3 8" xfId="26805" xr:uid="{00000000-0005-0000-0000-000047700000}"/>
    <cellStyle name="Hed Top - SECTION 4 7 3 8 2" xfId="26806" xr:uid="{00000000-0005-0000-0000-000048700000}"/>
    <cellStyle name="Hed Top - SECTION 4 7 3 9" xfId="26807" xr:uid="{00000000-0005-0000-0000-000049700000}"/>
    <cellStyle name="Hed Top - SECTION 4 7 3 9 2" xfId="26808" xr:uid="{00000000-0005-0000-0000-00004A700000}"/>
    <cellStyle name="Hed Top - SECTION 4 7 4" xfId="26809" xr:uid="{00000000-0005-0000-0000-00004B700000}"/>
    <cellStyle name="Hed Top - SECTION 4 7 4 10" xfId="26810" xr:uid="{00000000-0005-0000-0000-00004C700000}"/>
    <cellStyle name="Hed Top - SECTION 4 7 4 2" xfId="26811" xr:uid="{00000000-0005-0000-0000-00004D700000}"/>
    <cellStyle name="Hed Top - SECTION 4 7 4 2 2" xfId="26812" xr:uid="{00000000-0005-0000-0000-00004E700000}"/>
    <cellStyle name="Hed Top - SECTION 4 7 4 3" xfId="26813" xr:uid="{00000000-0005-0000-0000-00004F700000}"/>
    <cellStyle name="Hed Top - SECTION 4 7 4 3 2" xfId="26814" xr:uid="{00000000-0005-0000-0000-000050700000}"/>
    <cellStyle name="Hed Top - SECTION 4 7 4 4" xfId="26815" xr:uid="{00000000-0005-0000-0000-000051700000}"/>
    <cellStyle name="Hed Top - SECTION 4 7 4 4 2" xfId="26816" xr:uid="{00000000-0005-0000-0000-000052700000}"/>
    <cellStyle name="Hed Top - SECTION 4 7 4 5" xfId="26817" xr:uid="{00000000-0005-0000-0000-000053700000}"/>
    <cellStyle name="Hed Top - SECTION 4 7 4 5 2" xfId="26818" xr:uid="{00000000-0005-0000-0000-000054700000}"/>
    <cellStyle name="Hed Top - SECTION 4 7 4 6" xfId="26819" xr:uid="{00000000-0005-0000-0000-000055700000}"/>
    <cellStyle name="Hed Top - SECTION 4 7 4 6 2" xfId="26820" xr:uid="{00000000-0005-0000-0000-000056700000}"/>
    <cellStyle name="Hed Top - SECTION 4 7 4 7" xfId="26821" xr:uid="{00000000-0005-0000-0000-000057700000}"/>
    <cellStyle name="Hed Top - SECTION 4 7 4 7 2" xfId="26822" xr:uid="{00000000-0005-0000-0000-000058700000}"/>
    <cellStyle name="Hed Top - SECTION 4 7 4 8" xfId="26823" xr:uid="{00000000-0005-0000-0000-000059700000}"/>
    <cellStyle name="Hed Top - SECTION 4 7 4 8 2" xfId="26824" xr:uid="{00000000-0005-0000-0000-00005A700000}"/>
    <cellStyle name="Hed Top - SECTION 4 7 4 9" xfId="26825" xr:uid="{00000000-0005-0000-0000-00005B700000}"/>
    <cellStyle name="Hed Top - SECTION 4 7 4 9 2" xfId="26826" xr:uid="{00000000-0005-0000-0000-00005C700000}"/>
    <cellStyle name="Hed Top - SECTION 4 7 5" xfId="26827" xr:uid="{00000000-0005-0000-0000-00005D700000}"/>
    <cellStyle name="Hed Top - SECTION 4 7 5 10" xfId="26828" xr:uid="{00000000-0005-0000-0000-00005E700000}"/>
    <cellStyle name="Hed Top - SECTION 4 7 5 2" xfId="26829" xr:uid="{00000000-0005-0000-0000-00005F700000}"/>
    <cellStyle name="Hed Top - SECTION 4 7 5 2 2" xfId="26830" xr:uid="{00000000-0005-0000-0000-000060700000}"/>
    <cellStyle name="Hed Top - SECTION 4 7 5 3" xfId="26831" xr:uid="{00000000-0005-0000-0000-000061700000}"/>
    <cellStyle name="Hed Top - SECTION 4 7 5 3 2" xfId="26832" xr:uid="{00000000-0005-0000-0000-000062700000}"/>
    <cellStyle name="Hed Top - SECTION 4 7 5 4" xfId="26833" xr:uid="{00000000-0005-0000-0000-000063700000}"/>
    <cellStyle name="Hed Top - SECTION 4 7 5 4 2" xfId="26834" xr:uid="{00000000-0005-0000-0000-000064700000}"/>
    <cellStyle name="Hed Top - SECTION 4 7 5 5" xfId="26835" xr:uid="{00000000-0005-0000-0000-000065700000}"/>
    <cellStyle name="Hed Top - SECTION 4 7 5 5 2" xfId="26836" xr:uid="{00000000-0005-0000-0000-000066700000}"/>
    <cellStyle name="Hed Top - SECTION 4 7 5 6" xfId="26837" xr:uid="{00000000-0005-0000-0000-000067700000}"/>
    <cellStyle name="Hed Top - SECTION 4 7 5 6 2" xfId="26838" xr:uid="{00000000-0005-0000-0000-000068700000}"/>
    <cellStyle name="Hed Top - SECTION 4 7 5 7" xfId="26839" xr:uid="{00000000-0005-0000-0000-000069700000}"/>
    <cellStyle name="Hed Top - SECTION 4 7 5 7 2" xfId="26840" xr:uid="{00000000-0005-0000-0000-00006A700000}"/>
    <cellStyle name="Hed Top - SECTION 4 7 5 8" xfId="26841" xr:uid="{00000000-0005-0000-0000-00006B700000}"/>
    <cellStyle name="Hed Top - SECTION 4 7 5 8 2" xfId="26842" xr:uid="{00000000-0005-0000-0000-00006C700000}"/>
    <cellStyle name="Hed Top - SECTION 4 7 5 9" xfId="26843" xr:uid="{00000000-0005-0000-0000-00006D700000}"/>
    <cellStyle name="Hed Top - SECTION 4 7 5 9 2" xfId="26844" xr:uid="{00000000-0005-0000-0000-00006E700000}"/>
    <cellStyle name="Hed Top - SECTION 4 7 6" xfId="26845" xr:uid="{00000000-0005-0000-0000-00006F700000}"/>
    <cellStyle name="Hed Top - SECTION 4 7 6 10" xfId="26846" xr:uid="{00000000-0005-0000-0000-000070700000}"/>
    <cellStyle name="Hed Top - SECTION 4 7 6 2" xfId="26847" xr:uid="{00000000-0005-0000-0000-000071700000}"/>
    <cellStyle name="Hed Top - SECTION 4 7 6 2 2" xfId="26848" xr:uid="{00000000-0005-0000-0000-000072700000}"/>
    <cellStyle name="Hed Top - SECTION 4 7 6 3" xfId="26849" xr:uid="{00000000-0005-0000-0000-000073700000}"/>
    <cellStyle name="Hed Top - SECTION 4 7 6 3 2" xfId="26850" xr:uid="{00000000-0005-0000-0000-000074700000}"/>
    <cellStyle name="Hed Top - SECTION 4 7 6 4" xfId="26851" xr:uid="{00000000-0005-0000-0000-000075700000}"/>
    <cellStyle name="Hed Top - SECTION 4 7 6 4 2" xfId="26852" xr:uid="{00000000-0005-0000-0000-000076700000}"/>
    <cellStyle name="Hed Top - SECTION 4 7 6 5" xfId="26853" xr:uid="{00000000-0005-0000-0000-000077700000}"/>
    <cellStyle name="Hed Top - SECTION 4 7 6 5 2" xfId="26854" xr:uid="{00000000-0005-0000-0000-000078700000}"/>
    <cellStyle name="Hed Top - SECTION 4 7 6 6" xfId="26855" xr:uid="{00000000-0005-0000-0000-000079700000}"/>
    <cellStyle name="Hed Top - SECTION 4 7 6 6 2" xfId="26856" xr:uid="{00000000-0005-0000-0000-00007A700000}"/>
    <cellStyle name="Hed Top - SECTION 4 7 6 7" xfId="26857" xr:uid="{00000000-0005-0000-0000-00007B700000}"/>
    <cellStyle name="Hed Top - SECTION 4 7 6 7 2" xfId="26858" xr:uid="{00000000-0005-0000-0000-00007C700000}"/>
    <cellStyle name="Hed Top - SECTION 4 7 6 8" xfId="26859" xr:uid="{00000000-0005-0000-0000-00007D700000}"/>
    <cellStyle name="Hed Top - SECTION 4 7 6 8 2" xfId="26860" xr:uid="{00000000-0005-0000-0000-00007E700000}"/>
    <cellStyle name="Hed Top - SECTION 4 7 6 9" xfId="26861" xr:uid="{00000000-0005-0000-0000-00007F700000}"/>
    <cellStyle name="Hed Top - SECTION 4 7 6 9 2" xfId="26862" xr:uid="{00000000-0005-0000-0000-000080700000}"/>
    <cellStyle name="Hed Top - SECTION 4 7 7" xfId="26863" xr:uid="{00000000-0005-0000-0000-000081700000}"/>
    <cellStyle name="Hed Top - SECTION 4 7 7 10" xfId="26864" xr:uid="{00000000-0005-0000-0000-000082700000}"/>
    <cellStyle name="Hed Top - SECTION 4 7 7 2" xfId="26865" xr:uid="{00000000-0005-0000-0000-000083700000}"/>
    <cellStyle name="Hed Top - SECTION 4 7 7 2 2" xfId="26866" xr:uid="{00000000-0005-0000-0000-000084700000}"/>
    <cellStyle name="Hed Top - SECTION 4 7 7 3" xfId="26867" xr:uid="{00000000-0005-0000-0000-000085700000}"/>
    <cellStyle name="Hed Top - SECTION 4 7 7 3 2" xfId="26868" xr:uid="{00000000-0005-0000-0000-000086700000}"/>
    <cellStyle name="Hed Top - SECTION 4 7 7 4" xfId="26869" xr:uid="{00000000-0005-0000-0000-000087700000}"/>
    <cellStyle name="Hed Top - SECTION 4 7 7 4 2" xfId="26870" xr:uid="{00000000-0005-0000-0000-000088700000}"/>
    <cellStyle name="Hed Top - SECTION 4 7 7 5" xfId="26871" xr:uid="{00000000-0005-0000-0000-000089700000}"/>
    <cellStyle name="Hed Top - SECTION 4 7 7 5 2" xfId="26872" xr:uid="{00000000-0005-0000-0000-00008A700000}"/>
    <cellStyle name="Hed Top - SECTION 4 7 7 6" xfId="26873" xr:uid="{00000000-0005-0000-0000-00008B700000}"/>
    <cellStyle name="Hed Top - SECTION 4 7 7 6 2" xfId="26874" xr:uid="{00000000-0005-0000-0000-00008C700000}"/>
    <cellStyle name="Hed Top - SECTION 4 7 7 7" xfId="26875" xr:uid="{00000000-0005-0000-0000-00008D700000}"/>
    <cellStyle name="Hed Top - SECTION 4 7 7 7 2" xfId="26876" xr:uid="{00000000-0005-0000-0000-00008E700000}"/>
    <cellStyle name="Hed Top - SECTION 4 7 7 8" xfId="26877" xr:uid="{00000000-0005-0000-0000-00008F700000}"/>
    <cellStyle name="Hed Top - SECTION 4 7 7 8 2" xfId="26878" xr:uid="{00000000-0005-0000-0000-000090700000}"/>
    <cellStyle name="Hed Top - SECTION 4 7 7 9" xfId="26879" xr:uid="{00000000-0005-0000-0000-000091700000}"/>
    <cellStyle name="Hed Top - SECTION 4 7 7 9 2" xfId="26880" xr:uid="{00000000-0005-0000-0000-000092700000}"/>
    <cellStyle name="Hed Top - SECTION 4 7 8" xfId="26881" xr:uid="{00000000-0005-0000-0000-000093700000}"/>
    <cellStyle name="Hed Top - SECTION 4 7 8 10" xfId="26882" xr:uid="{00000000-0005-0000-0000-000094700000}"/>
    <cellStyle name="Hed Top - SECTION 4 7 8 2" xfId="26883" xr:uid="{00000000-0005-0000-0000-000095700000}"/>
    <cellStyle name="Hed Top - SECTION 4 7 8 2 2" xfId="26884" xr:uid="{00000000-0005-0000-0000-000096700000}"/>
    <cellStyle name="Hed Top - SECTION 4 7 8 3" xfId="26885" xr:uid="{00000000-0005-0000-0000-000097700000}"/>
    <cellStyle name="Hed Top - SECTION 4 7 8 3 2" xfId="26886" xr:uid="{00000000-0005-0000-0000-000098700000}"/>
    <cellStyle name="Hed Top - SECTION 4 7 8 4" xfId="26887" xr:uid="{00000000-0005-0000-0000-000099700000}"/>
    <cellStyle name="Hed Top - SECTION 4 7 8 4 2" xfId="26888" xr:uid="{00000000-0005-0000-0000-00009A700000}"/>
    <cellStyle name="Hed Top - SECTION 4 7 8 5" xfId="26889" xr:uid="{00000000-0005-0000-0000-00009B700000}"/>
    <cellStyle name="Hed Top - SECTION 4 7 8 5 2" xfId="26890" xr:uid="{00000000-0005-0000-0000-00009C700000}"/>
    <cellStyle name="Hed Top - SECTION 4 7 8 6" xfId="26891" xr:uid="{00000000-0005-0000-0000-00009D700000}"/>
    <cellStyle name="Hed Top - SECTION 4 7 8 6 2" xfId="26892" xr:uid="{00000000-0005-0000-0000-00009E700000}"/>
    <cellStyle name="Hed Top - SECTION 4 7 8 7" xfId="26893" xr:uid="{00000000-0005-0000-0000-00009F700000}"/>
    <cellStyle name="Hed Top - SECTION 4 7 8 7 2" xfId="26894" xr:uid="{00000000-0005-0000-0000-0000A0700000}"/>
    <cellStyle name="Hed Top - SECTION 4 7 8 8" xfId="26895" xr:uid="{00000000-0005-0000-0000-0000A1700000}"/>
    <cellStyle name="Hed Top - SECTION 4 7 8 8 2" xfId="26896" xr:uid="{00000000-0005-0000-0000-0000A2700000}"/>
    <cellStyle name="Hed Top - SECTION 4 7 8 9" xfId="26897" xr:uid="{00000000-0005-0000-0000-0000A3700000}"/>
    <cellStyle name="Hed Top - SECTION 4 7 8 9 2" xfId="26898" xr:uid="{00000000-0005-0000-0000-0000A4700000}"/>
    <cellStyle name="Hed Top - SECTION 4 7 9" xfId="26899" xr:uid="{00000000-0005-0000-0000-0000A5700000}"/>
    <cellStyle name="Hed Top - SECTION 4 7 9 10" xfId="26900" xr:uid="{00000000-0005-0000-0000-0000A6700000}"/>
    <cellStyle name="Hed Top - SECTION 4 7 9 2" xfId="26901" xr:uid="{00000000-0005-0000-0000-0000A7700000}"/>
    <cellStyle name="Hed Top - SECTION 4 7 9 2 2" xfId="26902" xr:uid="{00000000-0005-0000-0000-0000A8700000}"/>
    <cellStyle name="Hed Top - SECTION 4 7 9 3" xfId="26903" xr:uid="{00000000-0005-0000-0000-0000A9700000}"/>
    <cellStyle name="Hed Top - SECTION 4 7 9 3 2" xfId="26904" xr:uid="{00000000-0005-0000-0000-0000AA700000}"/>
    <cellStyle name="Hed Top - SECTION 4 7 9 4" xfId="26905" xr:uid="{00000000-0005-0000-0000-0000AB700000}"/>
    <cellStyle name="Hed Top - SECTION 4 7 9 4 2" xfId="26906" xr:uid="{00000000-0005-0000-0000-0000AC700000}"/>
    <cellStyle name="Hed Top - SECTION 4 7 9 5" xfId="26907" xr:uid="{00000000-0005-0000-0000-0000AD700000}"/>
    <cellStyle name="Hed Top - SECTION 4 7 9 5 2" xfId="26908" xr:uid="{00000000-0005-0000-0000-0000AE700000}"/>
    <cellStyle name="Hed Top - SECTION 4 7 9 6" xfId="26909" xr:uid="{00000000-0005-0000-0000-0000AF700000}"/>
    <cellStyle name="Hed Top - SECTION 4 7 9 6 2" xfId="26910" xr:uid="{00000000-0005-0000-0000-0000B0700000}"/>
    <cellStyle name="Hed Top - SECTION 4 7 9 7" xfId="26911" xr:uid="{00000000-0005-0000-0000-0000B1700000}"/>
    <cellStyle name="Hed Top - SECTION 4 7 9 7 2" xfId="26912" xr:uid="{00000000-0005-0000-0000-0000B2700000}"/>
    <cellStyle name="Hed Top - SECTION 4 7 9 8" xfId="26913" xr:uid="{00000000-0005-0000-0000-0000B3700000}"/>
    <cellStyle name="Hed Top - SECTION 4 7 9 8 2" xfId="26914" xr:uid="{00000000-0005-0000-0000-0000B4700000}"/>
    <cellStyle name="Hed Top - SECTION 4 7 9 9" xfId="26915" xr:uid="{00000000-0005-0000-0000-0000B5700000}"/>
    <cellStyle name="Hed Top - SECTION 4 7 9 9 2" xfId="26916" xr:uid="{00000000-0005-0000-0000-0000B6700000}"/>
    <cellStyle name="Hed Top_3-new4" xfId="82" xr:uid="{00000000-0005-0000-0000-0000B7700000}"/>
    <cellStyle name="Hyperlink" xfId="43853" builtinId="8"/>
    <cellStyle name="Hyperlink 2" xfId="19" xr:uid="{00000000-0005-0000-0000-0000B8700000}"/>
    <cellStyle name="Hyperlink 2 2" xfId="42835" xr:uid="{00000000-0005-0000-0000-0000B9700000}"/>
    <cellStyle name="Hyperlink 2 2 2" xfId="42836" xr:uid="{00000000-0005-0000-0000-0000BA700000}"/>
    <cellStyle name="Hyperlink 2 3" xfId="42837" xr:uid="{00000000-0005-0000-0000-0000BB700000}"/>
    <cellStyle name="Hyperlink 3" xfId="9" xr:uid="{00000000-0005-0000-0000-0000BC700000}"/>
    <cellStyle name="Hyperlink 3 2" xfId="215" xr:uid="{00000000-0005-0000-0000-0000BD700000}"/>
    <cellStyle name="Hyperlink 4" xfId="26917" xr:uid="{00000000-0005-0000-0000-0000BE700000}"/>
    <cellStyle name="Hyperlink 5" xfId="42838" xr:uid="{00000000-0005-0000-0000-0000BF700000}"/>
    <cellStyle name="Hyperlink 6" xfId="42839" xr:uid="{00000000-0005-0000-0000-0000C0700000}"/>
    <cellStyle name="Hyperlink 7" xfId="42840" xr:uid="{00000000-0005-0000-0000-0000C1700000}"/>
    <cellStyle name="Input [yellow]" xfId="179" xr:uid="{00000000-0005-0000-0000-0000C2700000}"/>
    <cellStyle name="Input [yellow] 10" xfId="42841" xr:uid="{00000000-0005-0000-0000-0000C3700000}"/>
    <cellStyle name="Input [yellow] 11" xfId="42842" xr:uid="{00000000-0005-0000-0000-0000C4700000}"/>
    <cellStyle name="Input [yellow] 12" xfId="42843" xr:uid="{00000000-0005-0000-0000-0000C5700000}"/>
    <cellStyle name="Input [yellow] 13" xfId="42844" xr:uid="{00000000-0005-0000-0000-0000C6700000}"/>
    <cellStyle name="Input [yellow] 14" xfId="42845" xr:uid="{00000000-0005-0000-0000-0000C7700000}"/>
    <cellStyle name="Input [yellow] 15" xfId="42846" xr:uid="{00000000-0005-0000-0000-0000C8700000}"/>
    <cellStyle name="Input [yellow] 16" xfId="42847" xr:uid="{00000000-0005-0000-0000-0000C9700000}"/>
    <cellStyle name="Input [yellow] 17" xfId="42848" xr:uid="{00000000-0005-0000-0000-0000CA700000}"/>
    <cellStyle name="Input [yellow] 18" xfId="42849" xr:uid="{00000000-0005-0000-0000-0000CB700000}"/>
    <cellStyle name="Input [yellow] 19" xfId="42850" xr:uid="{00000000-0005-0000-0000-0000CC700000}"/>
    <cellStyle name="Input [yellow] 2" xfId="42851" xr:uid="{00000000-0005-0000-0000-0000CD700000}"/>
    <cellStyle name="Input [yellow] 20" xfId="42852" xr:uid="{00000000-0005-0000-0000-0000CE700000}"/>
    <cellStyle name="Input [yellow] 21" xfId="42853" xr:uid="{00000000-0005-0000-0000-0000CF700000}"/>
    <cellStyle name="Input [yellow] 22" xfId="42854" xr:uid="{00000000-0005-0000-0000-0000D0700000}"/>
    <cellStyle name="Input [yellow] 3" xfId="42855" xr:uid="{00000000-0005-0000-0000-0000D1700000}"/>
    <cellStyle name="Input [yellow] 4" xfId="42856" xr:uid="{00000000-0005-0000-0000-0000D2700000}"/>
    <cellStyle name="Input [yellow] 5" xfId="42857" xr:uid="{00000000-0005-0000-0000-0000D3700000}"/>
    <cellStyle name="Input [yellow] 6" xfId="42858" xr:uid="{00000000-0005-0000-0000-0000D4700000}"/>
    <cellStyle name="Input [yellow] 7" xfId="42859" xr:uid="{00000000-0005-0000-0000-0000D5700000}"/>
    <cellStyle name="Input [yellow] 8" xfId="42860" xr:uid="{00000000-0005-0000-0000-0000D6700000}"/>
    <cellStyle name="Input [yellow] 9" xfId="42861" xr:uid="{00000000-0005-0000-0000-0000D7700000}"/>
    <cellStyle name="Input 10" xfId="42862" xr:uid="{00000000-0005-0000-0000-0000D8700000}"/>
    <cellStyle name="Input 11" xfId="42863" xr:uid="{00000000-0005-0000-0000-0000D9700000}"/>
    <cellStyle name="Input 12" xfId="42864" xr:uid="{00000000-0005-0000-0000-0000DA700000}"/>
    <cellStyle name="Input 13" xfId="42865" xr:uid="{00000000-0005-0000-0000-0000DB700000}"/>
    <cellStyle name="Input 14" xfId="42866" xr:uid="{00000000-0005-0000-0000-0000DC700000}"/>
    <cellStyle name="Input 15" xfId="42867" xr:uid="{00000000-0005-0000-0000-0000DD700000}"/>
    <cellStyle name="Input 16" xfId="42868" xr:uid="{00000000-0005-0000-0000-0000DE700000}"/>
    <cellStyle name="Input 17" xfId="42869" xr:uid="{00000000-0005-0000-0000-0000DF700000}"/>
    <cellStyle name="Input 18" xfId="42870" xr:uid="{00000000-0005-0000-0000-0000E0700000}"/>
    <cellStyle name="Input 19" xfId="42871" xr:uid="{00000000-0005-0000-0000-0000E1700000}"/>
    <cellStyle name="Input 2" xfId="83" xr:uid="{00000000-0005-0000-0000-0000E2700000}"/>
    <cellStyle name="Input 2 2" xfId="42872" xr:uid="{00000000-0005-0000-0000-0000E3700000}"/>
    <cellStyle name="Input 20" xfId="42873" xr:uid="{00000000-0005-0000-0000-0000E4700000}"/>
    <cellStyle name="Input 21" xfId="42874" xr:uid="{00000000-0005-0000-0000-0000E5700000}"/>
    <cellStyle name="Input 22" xfId="42875" xr:uid="{00000000-0005-0000-0000-0000E6700000}"/>
    <cellStyle name="Input 23" xfId="42876" xr:uid="{00000000-0005-0000-0000-0000E7700000}"/>
    <cellStyle name="Input 24" xfId="42877" xr:uid="{00000000-0005-0000-0000-0000E8700000}"/>
    <cellStyle name="Input 25" xfId="42878" xr:uid="{00000000-0005-0000-0000-0000E9700000}"/>
    <cellStyle name="Input 26" xfId="42879" xr:uid="{00000000-0005-0000-0000-0000EA700000}"/>
    <cellStyle name="Input 27" xfId="42880" xr:uid="{00000000-0005-0000-0000-0000EB700000}"/>
    <cellStyle name="Input 28" xfId="42881" xr:uid="{00000000-0005-0000-0000-0000EC700000}"/>
    <cellStyle name="Input 29" xfId="42882" xr:uid="{00000000-0005-0000-0000-0000ED700000}"/>
    <cellStyle name="Input 3" xfId="42883" xr:uid="{00000000-0005-0000-0000-0000EE700000}"/>
    <cellStyle name="Input 3 2" xfId="42884" xr:uid="{00000000-0005-0000-0000-0000EF700000}"/>
    <cellStyle name="Input 30" xfId="42885" xr:uid="{00000000-0005-0000-0000-0000F0700000}"/>
    <cellStyle name="Input 4" xfId="42886" xr:uid="{00000000-0005-0000-0000-0000F1700000}"/>
    <cellStyle name="Input 4 2" xfId="42887" xr:uid="{00000000-0005-0000-0000-0000F2700000}"/>
    <cellStyle name="Input 5" xfId="42888" xr:uid="{00000000-0005-0000-0000-0000F3700000}"/>
    <cellStyle name="Input 6" xfId="42889" xr:uid="{00000000-0005-0000-0000-0000F4700000}"/>
    <cellStyle name="Input 7" xfId="42890" xr:uid="{00000000-0005-0000-0000-0000F5700000}"/>
    <cellStyle name="Input 8" xfId="42891" xr:uid="{00000000-0005-0000-0000-0000F6700000}"/>
    <cellStyle name="Input 9" xfId="42892" xr:uid="{00000000-0005-0000-0000-0000F7700000}"/>
    <cellStyle name="Linked Cell 10" xfId="42893" xr:uid="{00000000-0005-0000-0000-0000F8700000}"/>
    <cellStyle name="Linked Cell 11" xfId="42894" xr:uid="{00000000-0005-0000-0000-0000F9700000}"/>
    <cellStyle name="Linked Cell 12" xfId="42895" xr:uid="{00000000-0005-0000-0000-0000FA700000}"/>
    <cellStyle name="Linked Cell 13" xfId="42896" xr:uid="{00000000-0005-0000-0000-0000FB700000}"/>
    <cellStyle name="Linked Cell 14" xfId="42897" xr:uid="{00000000-0005-0000-0000-0000FC700000}"/>
    <cellStyle name="Linked Cell 15" xfId="42898" xr:uid="{00000000-0005-0000-0000-0000FD700000}"/>
    <cellStyle name="Linked Cell 16" xfId="42899" xr:uid="{00000000-0005-0000-0000-0000FE700000}"/>
    <cellStyle name="Linked Cell 17" xfId="42900" xr:uid="{00000000-0005-0000-0000-0000FF700000}"/>
    <cellStyle name="Linked Cell 18" xfId="42901" xr:uid="{00000000-0005-0000-0000-000000710000}"/>
    <cellStyle name="Linked Cell 19" xfId="42902" xr:uid="{00000000-0005-0000-0000-000001710000}"/>
    <cellStyle name="Linked Cell 2" xfId="84" xr:uid="{00000000-0005-0000-0000-000002710000}"/>
    <cellStyle name="Linked Cell 2 2" xfId="42903" xr:uid="{00000000-0005-0000-0000-000003710000}"/>
    <cellStyle name="Linked Cell 20" xfId="42904" xr:uid="{00000000-0005-0000-0000-000004710000}"/>
    <cellStyle name="Linked Cell 21" xfId="42905" xr:uid="{00000000-0005-0000-0000-000005710000}"/>
    <cellStyle name="Linked Cell 22" xfId="42906" xr:uid="{00000000-0005-0000-0000-000006710000}"/>
    <cellStyle name="Linked Cell 23" xfId="42907" xr:uid="{00000000-0005-0000-0000-000007710000}"/>
    <cellStyle name="Linked Cell 3" xfId="42908" xr:uid="{00000000-0005-0000-0000-000008710000}"/>
    <cellStyle name="Linked Cell 4" xfId="42909" xr:uid="{00000000-0005-0000-0000-000009710000}"/>
    <cellStyle name="Linked Cell 5" xfId="42910" xr:uid="{00000000-0005-0000-0000-00000A710000}"/>
    <cellStyle name="Linked Cell 6" xfId="42911" xr:uid="{00000000-0005-0000-0000-00000B710000}"/>
    <cellStyle name="Linked Cell 7" xfId="42912" xr:uid="{00000000-0005-0000-0000-00000C710000}"/>
    <cellStyle name="Linked Cell 8" xfId="42913" xr:uid="{00000000-0005-0000-0000-00000D710000}"/>
    <cellStyle name="Linked Cell 9" xfId="42914" xr:uid="{00000000-0005-0000-0000-00000E710000}"/>
    <cellStyle name="Microsoft Excel found an error in the formula you entered. Do you want to accept the correction proposed below?_x000a__x000a_|_x000a__x000a_• To accept the correction, click Yes._x000a_• To close this message and correct the formula yourself, click No." xfId="42915" xr:uid="{00000000-0005-0000-0000-00000F710000}"/>
    <cellStyle name="Microsoft Excel found an error in the formula you entered. Do you want to accept the correction proposed below?_x000a__x000a_|_x000a__x000a_• To accept the correction, click Yes._x000a_• To close this message and correct the formula yourself, click No. 2" xfId="42916" xr:uid="{00000000-0005-0000-0000-000010710000}"/>
    <cellStyle name="Millares [0]_laroux" xfId="180" xr:uid="{00000000-0005-0000-0000-000011710000}"/>
    <cellStyle name="Millares_laroux" xfId="181" xr:uid="{00000000-0005-0000-0000-000012710000}"/>
    <cellStyle name="Moneda [0]_laroux" xfId="182" xr:uid="{00000000-0005-0000-0000-000013710000}"/>
    <cellStyle name="Moneda_laroux" xfId="183" xr:uid="{00000000-0005-0000-0000-000014710000}"/>
    <cellStyle name="Neutral 10" xfId="42917" xr:uid="{00000000-0005-0000-0000-000015710000}"/>
    <cellStyle name="Neutral 11" xfId="42918" xr:uid="{00000000-0005-0000-0000-000016710000}"/>
    <cellStyle name="Neutral 12" xfId="42919" xr:uid="{00000000-0005-0000-0000-000017710000}"/>
    <cellStyle name="Neutral 13" xfId="42920" xr:uid="{00000000-0005-0000-0000-000018710000}"/>
    <cellStyle name="Neutral 14" xfId="42921" xr:uid="{00000000-0005-0000-0000-000019710000}"/>
    <cellStyle name="Neutral 15" xfId="42922" xr:uid="{00000000-0005-0000-0000-00001A710000}"/>
    <cellStyle name="Neutral 16" xfId="42923" xr:uid="{00000000-0005-0000-0000-00001B710000}"/>
    <cellStyle name="Neutral 17" xfId="42924" xr:uid="{00000000-0005-0000-0000-00001C710000}"/>
    <cellStyle name="Neutral 18" xfId="42925" xr:uid="{00000000-0005-0000-0000-00001D710000}"/>
    <cellStyle name="Neutral 19" xfId="42926" xr:uid="{00000000-0005-0000-0000-00001E710000}"/>
    <cellStyle name="Neutral 2" xfId="85" xr:uid="{00000000-0005-0000-0000-00001F710000}"/>
    <cellStyle name="Neutral 2 2" xfId="42927" xr:uid="{00000000-0005-0000-0000-000020710000}"/>
    <cellStyle name="Neutral 20" xfId="42928" xr:uid="{00000000-0005-0000-0000-000021710000}"/>
    <cellStyle name="Neutral 21" xfId="42929" xr:uid="{00000000-0005-0000-0000-000022710000}"/>
    <cellStyle name="Neutral 22" xfId="42930" xr:uid="{00000000-0005-0000-0000-000023710000}"/>
    <cellStyle name="Neutral 23" xfId="42931" xr:uid="{00000000-0005-0000-0000-000024710000}"/>
    <cellStyle name="Neutral 3" xfId="42932" xr:uid="{00000000-0005-0000-0000-000025710000}"/>
    <cellStyle name="Neutral 4" xfId="42933" xr:uid="{00000000-0005-0000-0000-000026710000}"/>
    <cellStyle name="Neutral 5" xfId="42934" xr:uid="{00000000-0005-0000-0000-000027710000}"/>
    <cellStyle name="Neutral 6" xfId="42935" xr:uid="{00000000-0005-0000-0000-000028710000}"/>
    <cellStyle name="Neutral 7" xfId="42936" xr:uid="{00000000-0005-0000-0000-000029710000}"/>
    <cellStyle name="Neutral 8" xfId="42937" xr:uid="{00000000-0005-0000-0000-00002A710000}"/>
    <cellStyle name="Neutral 9" xfId="42938" xr:uid="{00000000-0005-0000-0000-00002B710000}"/>
    <cellStyle name="no dec" xfId="184" xr:uid="{00000000-0005-0000-0000-00002C710000}"/>
    <cellStyle name="Normal" xfId="0" builtinId="0"/>
    <cellStyle name="Normal - Style1" xfId="185" xr:uid="{00000000-0005-0000-0000-00002E710000}"/>
    <cellStyle name="Normal 10" xfId="86" xr:uid="{00000000-0005-0000-0000-00002F710000}"/>
    <cellStyle name="Normal 10 2" xfId="40721" xr:uid="{00000000-0005-0000-0000-000030710000}"/>
    <cellStyle name="Normal 10 3" xfId="40722" xr:uid="{00000000-0005-0000-0000-000031710000}"/>
    <cellStyle name="Normal 100" xfId="43855" xr:uid="{EAF8502E-BE36-4DAE-8271-D202AAA80BE7}"/>
    <cellStyle name="Normal 11" xfId="40714" xr:uid="{00000000-0005-0000-0000-000032710000}"/>
    <cellStyle name="Normal 12" xfId="40723" xr:uid="{00000000-0005-0000-0000-000033710000}"/>
    <cellStyle name="Normal 13" xfId="40724" xr:uid="{00000000-0005-0000-0000-000034710000}"/>
    <cellStyle name="Normal 13 2" xfId="42939" xr:uid="{00000000-0005-0000-0000-000035710000}"/>
    <cellStyle name="Normal 13 3" xfId="42940" xr:uid="{00000000-0005-0000-0000-000036710000}"/>
    <cellStyle name="Normal 14" xfId="40725" xr:uid="{00000000-0005-0000-0000-000037710000}"/>
    <cellStyle name="Normal 15" xfId="40726" xr:uid="{00000000-0005-0000-0000-000038710000}"/>
    <cellStyle name="Normal 16" xfId="40727" xr:uid="{00000000-0005-0000-0000-000039710000}"/>
    <cellStyle name="Normal 17" xfId="40728" xr:uid="{00000000-0005-0000-0000-00003A710000}"/>
    <cellStyle name="Normal 18" xfId="40729" xr:uid="{00000000-0005-0000-0000-00003B710000}"/>
    <cellStyle name="Normal 19" xfId="40730" xr:uid="{00000000-0005-0000-0000-00003C710000}"/>
    <cellStyle name="Normal 2" xfId="10" xr:uid="{00000000-0005-0000-0000-00003D710000}"/>
    <cellStyle name="Normal 2 10" xfId="42941" xr:uid="{00000000-0005-0000-0000-00003E710000}"/>
    <cellStyle name="Normal 2 11" xfId="42942" xr:uid="{00000000-0005-0000-0000-00003F710000}"/>
    <cellStyle name="Normal 2 12" xfId="42943" xr:uid="{00000000-0005-0000-0000-000040710000}"/>
    <cellStyle name="Normal 2 13" xfId="42944" xr:uid="{00000000-0005-0000-0000-000041710000}"/>
    <cellStyle name="Normal 2 14" xfId="42945" xr:uid="{00000000-0005-0000-0000-000042710000}"/>
    <cellStyle name="Normal 2 15" xfId="42946" xr:uid="{00000000-0005-0000-0000-000043710000}"/>
    <cellStyle name="Normal 2 16" xfId="42947" xr:uid="{00000000-0005-0000-0000-000044710000}"/>
    <cellStyle name="Normal 2 17" xfId="42948" xr:uid="{00000000-0005-0000-0000-000045710000}"/>
    <cellStyle name="Normal 2 18" xfId="42949" xr:uid="{00000000-0005-0000-0000-000046710000}"/>
    <cellStyle name="Normal 2 19" xfId="42950" xr:uid="{00000000-0005-0000-0000-000047710000}"/>
    <cellStyle name="Normal 2 2" xfId="87" xr:uid="{00000000-0005-0000-0000-000048710000}"/>
    <cellStyle name="Normal 2 2 2" xfId="40731" xr:uid="{00000000-0005-0000-0000-000049710000}"/>
    <cellStyle name="Normal 2 2 3" xfId="40732" xr:uid="{00000000-0005-0000-0000-00004A710000}"/>
    <cellStyle name="Normal 2 2 4" xfId="42951" xr:uid="{00000000-0005-0000-0000-00004B710000}"/>
    <cellStyle name="Normal 2 2 5" xfId="42952" xr:uid="{00000000-0005-0000-0000-00004C710000}"/>
    <cellStyle name="Normal 2 2 6" xfId="42953" xr:uid="{00000000-0005-0000-0000-00004D710000}"/>
    <cellStyle name="Normal 2 20" xfId="42954" xr:uid="{00000000-0005-0000-0000-00004E710000}"/>
    <cellStyle name="Normal 2 21" xfId="42955" xr:uid="{00000000-0005-0000-0000-00004F710000}"/>
    <cellStyle name="Normal 2 22" xfId="42956" xr:uid="{00000000-0005-0000-0000-000050710000}"/>
    <cellStyle name="Normal 2 23" xfId="42957" xr:uid="{00000000-0005-0000-0000-000051710000}"/>
    <cellStyle name="Normal 2 23 2" xfId="42958" xr:uid="{00000000-0005-0000-0000-000052710000}"/>
    <cellStyle name="Normal 2 23 3" xfId="42959" xr:uid="{00000000-0005-0000-0000-000053710000}"/>
    <cellStyle name="Normal 2 24" xfId="43851" xr:uid="{00000000-0005-0000-0000-000054710000}"/>
    <cellStyle name="Normal 2 25" xfId="43852" xr:uid="{00000000-0005-0000-0000-000055710000}"/>
    <cellStyle name="Normal 2 3" xfId="88" xr:uid="{00000000-0005-0000-0000-000056710000}"/>
    <cellStyle name="Normal 2 4" xfId="40733" xr:uid="{00000000-0005-0000-0000-000057710000}"/>
    <cellStyle name="Normal 2 5" xfId="40734" xr:uid="{00000000-0005-0000-0000-000058710000}"/>
    <cellStyle name="Normal 2 6" xfId="42960" xr:uid="{00000000-0005-0000-0000-000059710000}"/>
    <cellStyle name="Normal 2 7" xfId="42961" xr:uid="{00000000-0005-0000-0000-00005A710000}"/>
    <cellStyle name="Normal 2 8" xfId="42962" xr:uid="{00000000-0005-0000-0000-00005B710000}"/>
    <cellStyle name="Normal 2 9" xfId="42963" xr:uid="{00000000-0005-0000-0000-00005C710000}"/>
    <cellStyle name="Normal 20" xfId="40735" xr:uid="{00000000-0005-0000-0000-00005D710000}"/>
    <cellStyle name="Normal 21" xfId="20" xr:uid="{00000000-0005-0000-0000-00005E710000}"/>
    <cellStyle name="Normal 21 2" xfId="42964" xr:uid="{00000000-0005-0000-0000-00005F710000}"/>
    <cellStyle name="Normal 21 2 2" xfId="42965" xr:uid="{00000000-0005-0000-0000-000060710000}"/>
    <cellStyle name="Normal 21 2 2 2" xfId="42966" xr:uid="{00000000-0005-0000-0000-000061710000}"/>
    <cellStyle name="Normal 21 2 2 2 2" xfId="42967" xr:uid="{00000000-0005-0000-0000-000062710000}"/>
    <cellStyle name="Normal 21 2 2 2 3" xfId="42968" xr:uid="{00000000-0005-0000-0000-000063710000}"/>
    <cellStyle name="Normal 21 2 2 3" xfId="42969" xr:uid="{00000000-0005-0000-0000-000064710000}"/>
    <cellStyle name="Normal 21 2 2 3 2" xfId="42970" xr:uid="{00000000-0005-0000-0000-000065710000}"/>
    <cellStyle name="Normal 21 2 2 3 3" xfId="42971" xr:uid="{00000000-0005-0000-0000-000066710000}"/>
    <cellStyle name="Normal 21 2 2 4" xfId="42972" xr:uid="{00000000-0005-0000-0000-000067710000}"/>
    <cellStyle name="Normal 21 2 2 5" xfId="42973" xr:uid="{00000000-0005-0000-0000-000068710000}"/>
    <cellStyle name="Normal 21 2 3" xfId="42974" xr:uid="{00000000-0005-0000-0000-000069710000}"/>
    <cellStyle name="Normal 21 2 3 2" xfId="42975" xr:uid="{00000000-0005-0000-0000-00006A710000}"/>
    <cellStyle name="Normal 21 2 3 3" xfId="42976" xr:uid="{00000000-0005-0000-0000-00006B710000}"/>
    <cellStyle name="Normal 21 2 4" xfId="42977" xr:uid="{00000000-0005-0000-0000-00006C710000}"/>
    <cellStyle name="Normal 21 2 4 2" xfId="42978" xr:uid="{00000000-0005-0000-0000-00006D710000}"/>
    <cellStyle name="Normal 21 2 4 3" xfId="42979" xr:uid="{00000000-0005-0000-0000-00006E710000}"/>
    <cellStyle name="Normal 21 2 5" xfId="42980" xr:uid="{00000000-0005-0000-0000-00006F710000}"/>
    <cellStyle name="Normal 21 2 6" xfId="42981" xr:uid="{00000000-0005-0000-0000-000070710000}"/>
    <cellStyle name="Normal 22" xfId="40736" xr:uid="{00000000-0005-0000-0000-000071710000}"/>
    <cellStyle name="Normal 23" xfId="40737" xr:uid="{00000000-0005-0000-0000-000072710000}"/>
    <cellStyle name="Normal 23 2" xfId="42982" xr:uid="{00000000-0005-0000-0000-000073710000}"/>
    <cellStyle name="Normal 23 2 2" xfId="42983" xr:uid="{00000000-0005-0000-0000-000074710000}"/>
    <cellStyle name="Normal 23 2 2 2" xfId="42984" xr:uid="{00000000-0005-0000-0000-000075710000}"/>
    <cellStyle name="Normal 23 2 2 2 2" xfId="42985" xr:uid="{00000000-0005-0000-0000-000076710000}"/>
    <cellStyle name="Normal 23 2 2 2 3" xfId="42986" xr:uid="{00000000-0005-0000-0000-000077710000}"/>
    <cellStyle name="Normal 23 2 2 3" xfId="42987" xr:uid="{00000000-0005-0000-0000-000078710000}"/>
    <cellStyle name="Normal 23 2 2 3 2" xfId="42988" xr:uid="{00000000-0005-0000-0000-000079710000}"/>
    <cellStyle name="Normal 23 2 2 3 3" xfId="42989" xr:uid="{00000000-0005-0000-0000-00007A710000}"/>
    <cellStyle name="Normal 23 2 2 4" xfId="42990" xr:uid="{00000000-0005-0000-0000-00007B710000}"/>
    <cellStyle name="Normal 23 2 2 5" xfId="42991" xr:uid="{00000000-0005-0000-0000-00007C710000}"/>
    <cellStyle name="Normal 23 2 3" xfId="42992" xr:uid="{00000000-0005-0000-0000-00007D710000}"/>
    <cellStyle name="Normal 23 2 3 2" xfId="42993" xr:uid="{00000000-0005-0000-0000-00007E710000}"/>
    <cellStyle name="Normal 23 2 3 3" xfId="42994" xr:uid="{00000000-0005-0000-0000-00007F710000}"/>
    <cellStyle name="Normal 23 2 4" xfId="42995" xr:uid="{00000000-0005-0000-0000-000080710000}"/>
    <cellStyle name="Normal 23 2 4 2" xfId="42996" xr:uid="{00000000-0005-0000-0000-000081710000}"/>
    <cellStyle name="Normal 23 2 4 3" xfId="42997" xr:uid="{00000000-0005-0000-0000-000082710000}"/>
    <cellStyle name="Normal 23 2 5" xfId="42998" xr:uid="{00000000-0005-0000-0000-000083710000}"/>
    <cellStyle name="Normal 23 2 6" xfId="42999" xr:uid="{00000000-0005-0000-0000-000084710000}"/>
    <cellStyle name="Normal 23 3" xfId="43000" xr:uid="{00000000-0005-0000-0000-000085710000}"/>
    <cellStyle name="Normal 23 3 2" xfId="43001" xr:uid="{00000000-0005-0000-0000-000086710000}"/>
    <cellStyle name="Normal 23 3 2 2" xfId="43002" xr:uid="{00000000-0005-0000-0000-000087710000}"/>
    <cellStyle name="Normal 23 3 2 3" xfId="43003" xr:uid="{00000000-0005-0000-0000-000088710000}"/>
    <cellStyle name="Normal 23 3 3" xfId="43004" xr:uid="{00000000-0005-0000-0000-000089710000}"/>
    <cellStyle name="Normal 23 3 3 2" xfId="43005" xr:uid="{00000000-0005-0000-0000-00008A710000}"/>
    <cellStyle name="Normal 23 3 3 3" xfId="43006" xr:uid="{00000000-0005-0000-0000-00008B710000}"/>
    <cellStyle name="Normal 23 3 4" xfId="43007" xr:uid="{00000000-0005-0000-0000-00008C710000}"/>
    <cellStyle name="Normal 23 3 5" xfId="43008" xr:uid="{00000000-0005-0000-0000-00008D710000}"/>
    <cellStyle name="Normal 23 4" xfId="43009" xr:uid="{00000000-0005-0000-0000-00008E710000}"/>
    <cellStyle name="Normal 23 4 2" xfId="43010" xr:uid="{00000000-0005-0000-0000-00008F710000}"/>
    <cellStyle name="Normal 23 4 2 2" xfId="43011" xr:uid="{00000000-0005-0000-0000-000090710000}"/>
    <cellStyle name="Normal 23 4 2 2 2" xfId="43012" xr:uid="{00000000-0005-0000-0000-000091710000}"/>
    <cellStyle name="Normal 23 4 2 2 3" xfId="43013" xr:uid="{00000000-0005-0000-0000-000092710000}"/>
    <cellStyle name="Normal 23 4 2 3" xfId="43014" xr:uid="{00000000-0005-0000-0000-000093710000}"/>
    <cellStyle name="Normal 23 4 2 4" xfId="43015" xr:uid="{00000000-0005-0000-0000-000094710000}"/>
    <cellStyle name="Normal 23 4 3" xfId="43016" xr:uid="{00000000-0005-0000-0000-000095710000}"/>
    <cellStyle name="Normal 23 4 3 2" xfId="43017" xr:uid="{00000000-0005-0000-0000-000096710000}"/>
    <cellStyle name="Normal 23 4 3 3" xfId="43018" xr:uid="{00000000-0005-0000-0000-000097710000}"/>
    <cellStyle name="Normal 23 4 4" xfId="43019" xr:uid="{00000000-0005-0000-0000-000098710000}"/>
    <cellStyle name="Normal 23 4 4 2" xfId="43020" xr:uid="{00000000-0005-0000-0000-000099710000}"/>
    <cellStyle name="Normal 23 4 4 3" xfId="43021" xr:uid="{00000000-0005-0000-0000-00009A710000}"/>
    <cellStyle name="Normal 23 4 5" xfId="43022" xr:uid="{00000000-0005-0000-0000-00009B710000}"/>
    <cellStyle name="Normal 23 4 6" xfId="43023" xr:uid="{00000000-0005-0000-0000-00009C710000}"/>
    <cellStyle name="Normal 23 5" xfId="43024" xr:uid="{00000000-0005-0000-0000-00009D710000}"/>
    <cellStyle name="Normal 23 5 2" xfId="43025" xr:uid="{00000000-0005-0000-0000-00009E710000}"/>
    <cellStyle name="Normal 23 5 2 2" xfId="43026" xr:uid="{00000000-0005-0000-0000-00009F710000}"/>
    <cellStyle name="Normal 23 5 2 3" xfId="43027" xr:uid="{00000000-0005-0000-0000-0000A0710000}"/>
    <cellStyle name="Normal 23 5 3" xfId="43028" xr:uid="{00000000-0005-0000-0000-0000A1710000}"/>
    <cellStyle name="Normal 23 5 4" xfId="43029" xr:uid="{00000000-0005-0000-0000-0000A2710000}"/>
    <cellStyle name="Normal 23 6" xfId="43030" xr:uid="{00000000-0005-0000-0000-0000A3710000}"/>
    <cellStyle name="Normal 23 6 2" xfId="43031" xr:uid="{00000000-0005-0000-0000-0000A4710000}"/>
    <cellStyle name="Normal 23 6 3" xfId="43032" xr:uid="{00000000-0005-0000-0000-0000A5710000}"/>
    <cellStyle name="Normal 23 7" xfId="43033" xr:uid="{00000000-0005-0000-0000-0000A6710000}"/>
    <cellStyle name="Normal 23 8" xfId="43034" xr:uid="{00000000-0005-0000-0000-0000A7710000}"/>
    <cellStyle name="Normal 23 9" xfId="43035" xr:uid="{00000000-0005-0000-0000-0000A8710000}"/>
    <cellStyle name="Normal 24" xfId="40738" xr:uid="{00000000-0005-0000-0000-0000A9710000}"/>
    <cellStyle name="Normal 24 2" xfId="43036" xr:uid="{00000000-0005-0000-0000-0000AA710000}"/>
    <cellStyle name="Normal 24 2 2" xfId="43037" xr:uid="{00000000-0005-0000-0000-0000AB710000}"/>
    <cellStyle name="Normal 24 2 2 2" xfId="43038" xr:uid="{00000000-0005-0000-0000-0000AC710000}"/>
    <cellStyle name="Normal 24 2 2 2 2" xfId="43039" xr:uid="{00000000-0005-0000-0000-0000AD710000}"/>
    <cellStyle name="Normal 24 2 2 2 3" xfId="43040" xr:uid="{00000000-0005-0000-0000-0000AE710000}"/>
    <cellStyle name="Normal 24 2 2 3" xfId="43041" xr:uid="{00000000-0005-0000-0000-0000AF710000}"/>
    <cellStyle name="Normal 24 2 2 3 2" xfId="43042" xr:uid="{00000000-0005-0000-0000-0000B0710000}"/>
    <cellStyle name="Normal 24 2 2 3 3" xfId="43043" xr:uid="{00000000-0005-0000-0000-0000B1710000}"/>
    <cellStyle name="Normal 24 2 2 4" xfId="43044" xr:uid="{00000000-0005-0000-0000-0000B2710000}"/>
    <cellStyle name="Normal 24 2 2 5" xfId="43045" xr:uid="{00000000-0005-0000-0000-0000B3710000}"/>
    <cellStyle name="Normal 24 2 3" xfId="43046" xr:uid="{00000000-0005-0000-0000-0000B4710000}"/>
    <cellStyle name="Normal 24 2 3 2" xfId="43047" xr:uid="{00000000-0005-0000-0000-0000B5710000}"/>
    <cellStyle name="Normal 24 2 3 3" xfId="43048" xr:uid="{00000000-0005-0000-0000-0000B6710000}"/>
    <cellStyle name="Normal 24 2 4" xfId="43049" xr:uid="{00000000-0005-0000-0000-0000B7710000}"/>
    <cellStyle name="Normal 24 2 4 2" xfId="43050" xr:uid="{00000000-0005-0000-0000-0000B8710000}"/>
    <cellStyle name="Normal 24 2 4 3" xfId="43051" xr:uid="{00000000-0005-0000-0000-0000B9710000}"/>
    <cellStyle name="Normal 24 2 5" xfId="43052" xr:uid="{00000000-0005-0000-0000-0000BA710000}"/>
    <cellStyle name="Normal 24 2 6" xfId="43053" xr:uid="{00000000-0005-0000-0000-0000BB710000}"/>
    <cellStyle name="Normal 24 3" xfId="43054" xr:uid="{00000000-0005-0000-0000-0000BC710000}"/>
    <cellStyle name="Normal 24 3 2" xfId="43055" xr:uid="{00000000-0005-0000-0000-0000BD710000}"/>
    <cellStyle name="Normal 24 3 2 2" xfId="43056" xr:uid="{00000000-0005-0000-0000-0000BE710000}"/>
    <cellStyle name="Normal 24 3 2 3" xfId="43057" xr:uid="{00000000-0005-0000-0000-0000BF710000}"/>
    <cellStyle name="Normal 24 3 3" xfId="43058" xr:uid="{00000000-0005-0000-0000-0000C0710000}"/>
    <cellStyle name="Normal 24 3 3 2" xfId="43059" xr:uid="{00000000-0005-0000-0000-0000C1710000}"/>
    <cellStyle name="Normal 24 3 3 3" xfId="43060" xr:uid="{00000000-0005-0000-0000-0000C2710000}"/>
    <cellStyle name="Normal 24 3 4" xfId="43061" xr:uid="{00000000-0005-0000-0000-0000C3710000}"/>
    <cellStyle name="Normal 24 3 5" xfId="43062" xr:uid="{00000000-0005-0000-0000-0000C4710000}"/>
    <cellStyle name="Normal 24 4" xfId="43063" xr:uid="{00000000-0005-0000-0000-0000C5710000}"/>
    <cellStyle name="Normal 24 4 2" xfId="43064" xr:uid="{00000000-0005-0000-0000-0000C6710000}"/>
    <cellStyle name="Normal 24 4 3" xfId="43065" xr:uid="{00000000-0005-0000-0000-0000C7710000}"/>
    <cellStyle name="Normal 24 5" xfId="43066" xr:uid="{00000000-0005-0000-0000-0000C8710000}"/>
    <cellStyle name="Normal 24 5 2" xfId="43067" xr:uid="{00000000-0005-0000-0000-0000C9710000}"/>
    <cellStyle name="Normal 24 5 3" xfId="43068" xr:uid="{00000000-0005-0000-0000-0000CA710000}"/>
    <cellStyle name="Normal 24 6" xfId="43069" xr:uid="{00000000-0005-0000-0000-0000CB710000}"/>
    <cellStyle name="Normal 24 7" xfId="43070" xr:uid="{00000000-0005-0000-0000-0000CC710000}"/>
    <cellStyle name="Normal 25" xfId="40739" xr:uid="{00000000-0005-0000-0000-0000CD710000}"/>
    <cellStyle name="Normal 26" xfId="40740" xr:uid="{00000000-0005-0000-0000-0000CE710000}"/>
    <cellStyle name="Normal 26 2" xfId="43071" xr:uid="{00000000-0005-0000-0000-0000CF710000}"/>
    <cellStyle name="Normal 26 2 2" xfId="43072" xr:uid="{00000000-0005-0000-0000-0000D0710000}"/>
    <cellStyle name="Normal 26 2 2 2" xfId="43073" xr:uid="{00000000-0005-0000-0000-0000D1710000}"/>
    <cellStyle name="Normal 26 2 2 3" xfId="43074" xr:uid="{00000000-0005-0000-0000-0000D2710000}"/>
    <cellStyle name="Normal 26 2 3" xfId="43075" xr:uid="{00000000-0005-0000-0000-0000D3710000}"/>
    <cellStyle name="Normal 26 2 3 2" xfId="43076" xr:uid="{00000000-0005-0000-0000-0000D4710000}"/>
    <cellStyle name="Normal 26 2 3 3" xfId="43077" xr:uid="{00000000-0005-0000-0000-0000D5710000}"/>
    <cellStyle name="Normal 26 2 4" xfId="43078" xr:uid="{00000000-0005-0000-0000-0000D6710000}"/>
    <cellStyle name="Normal 26 2 5" xfId="43079" xr:uid="{00000000-0005-0000-0000-0000D7710000}"/>
    <cellStyle name="Normal 26 3" xfId="43080" xr:uid="{00000000-0005-0000-0000-0000D8710000}"/>
    <cellStyle name="Normal 26 3 2" xfId="43081" xr:uid="{00000000-0005-0000-0000-0000D9710000}"/>
    <cellStyle name="Normal 26 3 3" xfId="43082" xr:uid="{00000000-0005-0000-0000-0000DA710000}"/>
    <cellStyle name="Normal 26 4" xfId="43083" xr:uid="{00000000-0005-0000-0000-0000DB710000}"/>
    <cellStyle name="Normal 26 4 2" xfId="43084" xr:uid="{00000000-0005-0000-0000-0000DC710000}"/>
    <cellStyle name="Normal 26 4 3" xfId="43085" xr:uid="{00000000-0005-0000-0000-0000DD710000}"/>
    <cellStyle name="Normal 26 5" xfId="43086" xr:uid="{00000000-0005-0000-0000-0000DE710000}"/>
    <cellStyle name="Normal 26 6" xfId="43087" xr:uid="{00000000-0005-0000-0000-0000DF710000}"/>
    <cellStyle name="Normal 27" xfId="40741" xr:uid="{00000000-0005-0000-0000-0000E0710000}"/>
    <cellStyle name="Normal 27 2" xfId="43088" xr:uid="{00000000-0005-0000-0000-0000E1710000}"/>
    <cellStyle name="Normal 27 2 2" xfId="43089" xr:uid="{00000000-0005-0000-0000-0000E2710000}"/>
    <cellStyle name="Normal 27 2 2 2" xfId="43090" xr:uid="{00000000-0005-0000-0000-0000E3710000}"/>
    <cellStyle name="Normal 27 2 2 3" xfId="43091" xr:uid="{00000000-0005-0000-0000-0000E4710000}"/>
    <cellStyle name="Normal 27 2 3" xfId="43092" xr:uid="{00000000-0005-0000-0000-0000E5710000}"/>
    <cellStyle name="Normal 27 2 3 2" xfId="43093" xr:uid="{00000000-0005-0000-0000-0000E6710000}"/>
    <cellStyle name="Normal 27 2 3 3" xfId="43094" xr:uid="{00000000-0005-0000-0000-0000E7710000}"/>
    <cellStyle name="Normal 27 2 4" xfId="43095" xr:uid="{00000000-0005-0000-0000-0000E8710000}"/>
    <cellStyle name="Normal 27 2 5" xfId="43096" xr:uid="{00000000-0005-0000-0000-0000E9710000}"/>
    <cellStyle name="Normal 27 3" xfId="43097" xr:uid="{00000000-0005-0000-0000-0000EA710000}"/>
    <cellStyle name="Normal 27 3 2" xfId="43098" xr:uid="{00000000-0005-0000-0000-0000EB710000}"/>
    <cellStyle name="Normal 27 3 3" xfId="43099" xr:uid="{00000000-0005-0000-0000-0000EC710000}"/>
    <cellStyle name="Normal 27 4" xfId="43100" xr:uid="{00000000-0005-0000-0000-0000ED710000}"/>
    <cellStyle name="Normal 27 4 2" xfId="43101" xr:uid="{00000000-0005-0000-0000-0000EE710000}"/>
    <cellStyle name="Normal 27 4 3" xfId="43102" xr:uid="{00000000-0005-0000-0000-0000EF710000}"/>
    <cellStyle name="Normal 27 5" xfId="43103" xr:uid="{00000000-0005-0000-0000-0000F0710000}"/>
    <cellStyle name="Normal 27 6" xfId="43104" xr:uid="{00000000-0005-0000-0000-0000F1710000}"/>
    <cellStyle name="Normal 28" xfId="40742" xr:uid="{00000000-0005-0000-0000-0000F2710000}"/>
    <cellStyle name="Normal 28 2" xfId="43105" xr:uid="{00000000-0005-0000-0000-0000F3710000}"/>
    <cellStyle name="Normal 28 2 2" xfId="43106" xr:uid="{00000000-0005-0000-0000-0000F4710000}"/>
    <cellStyle name="Normal 28 2 2 2" xfId="43107" xr:uid="{00000000-0005-0000-0000-0000F5710000}"/>
    <cellStyle name="Normal 28 2 2 3" xfId="43108" xr:uid="{00000000-0005-0000-0000-0000F6710000}"/>
    <cellStyle name="Normal 28 2 3" xfId="43109" xr:uid="{00000000-0005-0000-0000-0000F7710000}"/>
    <cellStyle name="Normal 28 2 3 2" xfId="43110" xr:uid="{00000000-0005-0000-0000-0000F8710000}"/>
    <cellStyle name="Normal 28 2 3 3" xfId="43111" xr:uid="{00000000-0005-0000-0000-0000F9710000}"/>
    <cellStyle name="Normal 28 2 4" xfId="43112" xr:uid="{00000000-0005-0000-0000-0000FA710000}"/>
    <cellStyle name="Normal 28 2 5" xfId="43113" xr:uid="{00000000-0005-0000-0000-0000FB710000}"/>
    <cellStyle name="Normal 28 3" xfId="43114" xr:uid="{00000000-0005-0000-0000-0000FC710000}"/>
    <cellStyle name="Normal 28 3 2" xfId="43115" xr:uid="{00000000-0005-0000-0000-0000FD710000}"/>
    <cellStyle name="Normal 28 3 3" xfId="43116" xr:uid="{00000000-0005-0000-0000-0000FE710000}"/>
    <cellStyle name="Normal 28 4" xfId="43117" xr:uid="{00000000-0005-0000-0000-0000FF710000}"/>
    <cellStyle name="Normal 28 4 2" xfId="43118" xr:uid="{00000000-0005-0000-0000-000000720000}"/>
    <cellStyle name="Normal 28 4 3" xfId="43119" xr:uid="{00000000-0005-0000-0000-000001720000}"/>
    <cellStyle name="Normal 28 5" xfId="43120" xr:uid="{00000000-0005-0000-0000-000002720000}"/>
    <cellStyle name="Normal 28 6" xfId="43121" xr:uid="{00000000-0005-0000-0000-000003720000}"/>
    <cellStyle name="Normal 29" xfId="89" xr:uid="{00000000-0005-0000-0000-000004720000}"/>
    <cellStyle name="Normal 29 2" xfId="43122" xr:uid="{00000000-0005-0000-0000-000005720000}"/>
    <cellStyle name="Normal 29 2 2" xfId="43123" xr:uid="{00000000-0005-0000-0000-000006720000}"/>
    <cellStyle name="Normal 29 2 2 2" xfId="43124" xr:uid="{00000000-0005-0000-0000-000007720000}"/>
    <cellStyle name="Normal 29 2 2 3" xfId="43125" xr:uid="{00000000-0005-0000-0000-000008720000}"/>
    <cellStyle name="Normal 29 2 3" xfId="43126" xr:uid="{00000000-0005-0000-0000-000009720000}"/>
    <cellStyle name="Normal 29 2 3 2" xfId="43127" xr:uid="{00000000-0005-0000-0000-00000A720000}"/>
    <cellStyle name="Normal 29 2 3 3" xfId="43128" xr:uid="{00000000-0005-0000-0000-00000B720000}"/>
    <cellStyle name="Normal 29 2 4" xfId="43129" xr:uid="{00000000-0005-0000-0000-00000C720000}"/>
    <cellStyle name="Normal 29 2 5" xfId="43130" xr:uid="{00000000-0005-0000-0000-00000D720000}"/>
    <cellStyle name="Normal 29 3" xfId="43131" xr:uid="{00000000-0005-0000-0000-00000E720000}"/>
    <cellStyle name="Normal 29 3 2" xfId="43132" xr:uid="{00000000-0005-0000-0000-00000F720000}"/>
    <cellStyle name="Normal 29 3 3" xfId="43133" xr:uid="{00000000-0005-0000-0000-000010720000}"/>
    <cellStyle name="Normal 29 4" xfId="43134" xr:uid="{00000000-0005-0000-0000-000011720000}"/>
    <cellStyle name="Normal 29 4 2" xfId="43135" xr:uid="{00000000-0005-0000-0000-000012720000}"/>
    <cellStyle name="Normal 29 4 3" xfId="43136" xr:uid="{00000000-0005-0000-0000-000013720000}"/>
    <cellStyle name="Normal 29 5" xfId="43137" xr:uid="{00000000-0005-0000-0000-000014720000}"/>
    <cellStyle name="Normal 29 6" xfId="43138" xr:uid="{00000000-0005-0000-0000-000015720000}"/>
    <cellStyle name="Normal 3" xfId="13" xr:uid="{00000000-0005-0000-0000-000016720000}"/>
    <cellStyle name="Normal 3 10" xfId="43139" xr:uid="{00000000-0005-0000-0000-000017720000}"/>
    <cellStyle name="Normal 3 2" xfId="90" xr:uid="{00000000-0005-0000-0000-000018720000}"/>
    <cellStyle name="Normal 3 2 2" xfId="40743" xr:uid="{00000000-0005-0000-0000-000019720000}"/>
    <cellStyle name="Normal 3 2 2 2" xfId="43140" xr:uid="{00000000-0005-0000-0000-00001A720000}"/>
    <cellStyle name="Normal 3 2 2 2 2" xfId="43141" xr:uid="{00000000-0005-0000-0000-00001B720000}"/>
    <cellStyle name="Normal 3 2 2 2 2 2" xfId="43142" xr:uid="{00000000-0005-0000-0000-00001C720000}"/>
    <cellStyle name="Normal 3 2 2 2 2 3" xfId="43143" xr:uid="{00000000-0005-0000-0000-00001D720000}"/>
    <cellStyle name="Normal 3 2 2 2 3" xfId="43144" xr:uid="{00000000-0005-0000-0000-00001E720000}"/>
    <cellStyle name="Normal 3 2 2 2 3 2" xfId="43145" xr:uid="{00000000-0005-0000-0000-00001F720000}"/>
    <cellStyle name="Normal 3 2 2 2 3 3" xfId="43146" xr:uid="{00000000-0005-0000-0000-000020720000}"/>
    <cellStyle name="Normal 3 2 2 2 4" xfId="43147" xr:uid="{00000000-0005-0000-0000-000021720000}"/>
    <cellStyle name="Normal 3 2 2 2 5" xfId="43148" xr:uid="{00000000-0005-0000-0000-000022720000}"/>
    <cellStyle name="Normal 3 2 2 3" xfId="43149" xr:uid="{00000000-0005-0000-0000-000023720000}"/>
    <cellStyle name="Normal 3 2 2 3 2" xfId="43150" xr:uid="{00000000-0005-0000-0000-000024720000}"/>
    <cellStyle name="Normal 3 2 2 3 3" xfId="43151" xr:uid="{00000000-0005-0000-0000-000025720000}"/>
    <cellStyle name="Normal 3 2 2 4" xfId="43152" xr:uid="{00000000-0005-0000-0000-000026720000}"/>
    <cellStyle name="Normal 3 2 2 4 2" xfId="43153" xr:uid="{00000000-0005-0000-0000-000027720000}"/>
    <cellStyle name="Normal 3 2 2 4 3" xfId="43154" xr:uid="{00000000-0005-0000-0000-000028720000}"/>
    <cellStyle name="Normal 3 2 2 5" xfId="43155" xr:uid="{00000000-0005-0000-0000-000029720000}"/>
    <cellStyle name="Normal 3 2 2 6" xfId="43156" xr:uid="{00000000-0005-0000-0000-00002A720000}"/>
    <cellStyle name="Normal 3 2 3" xfId="40744" xr:uid="{00000000-0005-0000-0000-00002B720000}"/>
    <cellStyle name="Normal 3 2 3 2" xfId="43157" xr:uid="{00000000-0005-0000-0000-00002C720000}"/>
    <cellStyle name="Normal 3 2 3 2 2" xfId="43158" xr:uid="{00000000-0005-0000-0000-00002D720000}"/>
    <cellStyle name="Normal 3 2 3 2 3" xfId="43159" xr:uid="{00000000-0005-0000-0000-00002E720000}"/>
    <cellStyle name="Normal 3 2 3 3" xfId="43160" xr:uid="{00000000-0005-0000-0000-00002F720000}"/>
    <cellStyle name="Normal 3 2 3 3 2" xfId="43161" xr:uid="{00000000-0005-0000-0000-000030720000}"/>
    <cellStyle name="Normal 3 2 3 3 3" xfId="43162" xr:uid="{00000000-0005-0000-0000-000031720000}"/>
    <cellStyle name="Normal 3 2 3 4" xfId="43163" xr:uid="{00000000-0005-0000-0000-000032720000}"/>
    <cellStyle name="Normal 3 2 3 5" xfId="43164" xr:uid="{00000000-0005-0000-0000-000033720000}"/>
    <cellStyle name="Normal 3 2 4" xfId="43165" xr:uid="{00000000-0005-0000-0000-000034720000}"/>
    <cellStyle name="Normal 3 2 4 2" xfId="43166" xr:uid="{00000000-0005-0000-0000-000035720000}"/>
    <cellStyle name="Normal 3 2 4 3" xfId="43167" xr:uid="{00000000-0005-0000-0000-000036720000}"/>
    <cellStyle name="Normal 3 2 5" xfId="43168" xr:uid="{00000000-0005-0000-0000-000037720000}"/>
    <cellStyle name="Normal 3 2 5 2" xfId="43169" xr:uid="{00000000-0005-0000-0000-000038720000}"/>
    <cellStyle name="Normal 3 2 5 3" xfId="43170" xr:uid="{00000000-0005-0000-0000-000039720000}"/>
    <cellStyle name="Normal 3 2 6" xfId="43171" xr:uid="{00000000-0005-0000-0000-00003A720000}"/>
    <cellStyle name="Normal 3 2 7" xfId="43172" xr:uid="{00000000-0005-0000-0000-00003B720000}"/>
    <cellStyle name="Normal 3 3" xfId="91" xr:uid="{00000000-0005-0000-0000-00003C720000}"/>
    <cellStyle name="Normal 3 3 2" xfId="43173" xr:uid="{00000000-0005-0000-0000-00003D720000}"/>
    <cellStyle name="Normal 3 3 2 2" xfId="43174" xr:uid="{00000000-0005-0000-0000-00003E720000}"/>
    <cellStyle name="Normal 3 3 2 2 2" xfId="43175" xr:uid="{00000000-0005-0000-0000-00003F720000}"/>
    <cellStyle name="Normal 3 3 2 2 3" xfId="43176" xr:uid="{00000000-0005-0000-0000-000040720000}"/>
    <cellStyle name="Normal 3 3 2 3" xfId="43177" xr:uid="{00000000-0005-0000-0000-000041720000}"/>
    <cellStyle name="Normal 3 3 2 3 2" xfId="43178" xr:uid="{00000000-0005-0000-0000-000042720000}"/>
    <cellStyle name="Normal 3 3 2 3 3" xfId="43179" xr:uid="{00000000-0005-0000-0000-000043720000}"/>
    <cellStyle name="Normal 3 3 2 4" xfId="43180" xr:uid="{00000000-0005-0000-0000-000044720000}"/>
    <cellStyle name="Normal 3 3 2 5" xfId="43181" xr:uid="{00000000-0005-0000-0000-000045720000}"/>
    <cellStyle name="Normal 3 3 3" xfId="43182" xr:uid="{00000000-0005-0000-0000-000046720000}"/>
    <cellStyle name="Normal 3 3 3 2" xfId="43183" xr:uid="{00000000-0005-0000-0000-000047720000}"/>
    <cellStyle name="Normal 3 3 3 3" xfId="43184" xr:uid="{00000000-0005-0000-0000-000048720000}"/>
    <cellStyle name="Normal 3 3 4" xfId="43185" xr:uid="{00000000-0005-0000-0000-000049720000}"/>
    <cellStyle name="Normal 3 3 4 2" xfId="43186" xr:uid="{00000000-0005-0000-0000-00004A720000}"/>
    <cellStyle name="Normal 3 3 4 3" xfId="43187" xr:uid="{00000000-0005-0000-0000-00004B720000}"/>
    <cellStyle name="Normal 3 3 5" xfId="43188" xr:uid="{00000000-0005-0000-0000-00004C720000}"/>
    <cellStyle name="Normal 3 3 6" xfId="43189" xr:uid="{00000000-0005-0000-0000-00004D720000}"/>
    <cellStyle name="Normal 3 4" xfId="186" xr:uid="{00000000-0005-0000-0000-00004E720000}"/>
    <cellStyle name="Normal 3 5" xfId="220" xr:uid="{00000000-0005-0000-0000-00004F720000}"/>
    <cellStyle name="Normal 3 5 2" xfId="40745" xr:uid="{00000000-0005-0000-0000-000050720000}"/>
    <cellStyle name="Normal 3 5 2 2" xfId="43190" xr:uid="{00000000-0005-0000-0000-000051720000}"/>
    <cellStyle name="Normal 3 5 2 3" xfId="43191" xr:uid="{00000000-0005-0000-0000-000052720000}"/>
    <cellStyle name="Normal 3 5 3" xfId="43192" xr:uid="{00000000-0005-0000-0000-000053720000}"/>
    <cellStyle name="Normal 3 5 3 2" xfId="43193" xr:uid="{00000000-0005-0000-0000-000054720000}"/>
    <cellStyle name="Normal 3 5 3 3" xfId="43194" xr:uid="{00000000-0005-0000-0000-000055720000}"/>
    <cellStyle name="Normal 3 5 4" xfId="43195" xr:uid="{00000000-0005-0000-0000-000056720000}"/>
    <cellStyle name="Normal 3 5 5" xfId="43196" xr:uid="{00000000-0005-0000-0000-000057720000}"/>
    <cellStyle name="Normal 3 6" xfId="40746" xr:uid="{00000000-0005-0000-0000-000058720000}"/>
    <cellStyle name="Normal 3 6 2" xfId="43197" xr:uid="{00000000-0005-0000-0000-000059720000}"/>
    <cellStyle name="Normal 3 6 2 2" xfId="43198" xr:uid="{00000000-0005-0000-0000-00005A720000}"/>
    <cellStyle name="Normal 3 6 2 3" xfId="43199" xr:uid="{00000000-0005-0000-0000-00005B720000}"/>
    <cellStyle name="Normal 3 6 3" xfId="43200" xr:uid="{00000000-0005-0000-0000-00005C720000}"/>
    <cellStyle name="Normal 3 6 3 2" xfId="43201" xr:uid="{00000000-0005-0000-0000-00005D720000}"/>
    <cellStyle name="Normal 3 6 3 3" xfId="43202" xr:uid="{00000000-0005-0000-0000-00005E720000}"/>
    <cellStyle name="Normal 3 6 4" xfId="43203" xr:uid="{00000000-0005-0000-0000-00005F720000}"/>
    <cellStyle name="Normal 3 6 5" xfId="43204" xr:uid="{00000000-0005-0000-0000-000060720000}"/>
    <cellStyle name="Normal 3 7" xfId="43205" xr:uid="{00000000-0005-0000-0000-000061720000}"/>
    <cellStyle name="Normal 3 7 2" xfId="43206" xr:uid="{00000000-0005-0000-0000-000062720000}"/>
    <cellStyle name="Normal 3 7 3" xfId="43207" xr:uid="{00000000-0005-0000-0000-000063720000}"/>
    <cellStyle name="Normal 3 8" xfId="43208" xr:uid="{00000000-0005-0000-0000-000064720000}"/>
    <cellStyle name="Normal 3 8 2" xfId="43209" xr:uid="{00000000-0005-0000-0000-000065720000}"/>
    <cellStyle name="Normal 3 8 3" xfId="43210" xr:uid="{00000000-0005-0000-0000-000066720000}"/>
    <cellStyle name="Normal 3 9" xfId="43211" xr:uid="{00000000-0005-0000-0000-000067720000}"/>
    <cellStyle name="Normal 30" xfId="40747" xr:uid="{00000000-0005-0000-0000-000068720000}"/>
    <cellStyle name="Normal 30 2" xfId="43212" xr:uid="{00000000-0005-0000-0000-000069720000}"/>
    <cellStyle name="Normal 30 2 2" xfId="43213" xr:uid="{00000000-0005-0000-0000-00006A720000}"/>
    <cellStyle name="Normal 30 2 3" xfId="43214" xr:uid="{00000000-0005-0000-0000-00006B720000}"/>
    <cellStyle name="Normal 30 3" xfId="43215" xr:uid="{00000000-0005-0000-0000-00006C720000}"/>
    <cellStyle name="Normal 30 3 2" xfId="43216" xr:uid="{00000000-0005-0000-0000-00006D720000}"/>
    <cellStyle name="Normal 30 3 3" xfId="43217" xr:uid="{00000000-0005-0000-0000-00006E720000}"/>
    <cellStyle name="Normal 30 4" xfId="43218" xr:uid="{00000000-0005-0000-0000-00006F720000}"/>
    <cellStyle name="Normal 30 5" xfId="43219" xr:uid="{00000000-0005-0000-0000-000070720000}"/>
    <cellStyle name="Normal 31" xfId="40748" xr:uid="{00000000-0005-0000-0000-000071720000}"/>
    <cellStyle name="Normal 31 2" xfId="43220" xr:uid="{00000000-0005-0000-0000-000072720000}"/>
    <cellStyle name="Normal 31 2 2" xfId="43221" xr:uid="{00000000-0005-0000-0000-000073720000}"/>
    <cellStyle name="Normal 31 2 3" xfId="43222" xr:uid="{00000000-0005-0000-0000-000074720000}"/>
    <cellStyle name="Normal 31 3" xfId="43223" xr:uid="{00000000-0005-0000-0000-000075720000}"/>
    <cellStyle name="Normal 31 3 2" xfId="43224" xr:uid="{00000000-0005-0000-0000-000076720000}"/>
    <cellStyle name="Normal 31 3 3" xfId="43225" xr:uid="{00000000-0005-0000-0000-000077720000}"/>
    <cellStyle name="Normal 31 4" xfId="43226" xr:uid="{00000000-0005-0000-0000-000078720000}"/>
    <cellStyle name="Normal 31 5" xfId="43227" xr:uid="{00000000-0005-0000-0000-000079720000}"/>
    <cellStyle name="Normal 32" xfId="40749" xr:uid="{00000000-0005-0000-0000-00007A720000}"/>
    <cellStyle name="Normal 32 2" xfId="43228" xr:uid="{00000000-0005-0000-0000-00007B720000}"/>
    <cellStyle name="Normal 32 2 2" xfId="43229" xr:uid="{00000000-0005-0000-0000-00007C720000}"/>
    <cellStyle name="Normal 32 2 3" xfId="43230" xr:uid="{00000000-0005-0000-0000-00007D720000}"/>
    <cellStyle name="Normal 32 3" xfId="43231" xr:uid="{00000000-0005-0000-0000-00007E720000}"/>
    <cellStyle name="Normal 32 3 2" xfId="43232" xr:uid="{00000000-0005-0000-0000-00007F720000}"/>
    <cellStyle name="Normal 32 3 3" xfId="43233" xr:uid="{00000000-0005-0000-0000-000080720000}"/>
    <cellStyle name="Normal 32 4" xfId="43234" xr:uid="{00000000-0005-0000-0000-000081720000}"/>
    <cellStyle name="Normal 32 5" xfId="43235" xr:uid="{00000000-0005-0000-0000-000082720000}"/>
    <cellStyle name="Normal 33" xfId="40750" xr:uid="{00000000-0005-0000-0000-000083720000}"/>
    <cellStyle name="Normal 33 2" xfId="43236" xr:uid="{00000000-0005-0000-0000-000084720000}"/>
    <cellStyle name="Normal 33 2 2" xfId="43237" xr:uid="{00000000-0005-0000-0000-000085720000}"/>
    <cellStyle name="Normal 33 2 3" xfId="43238" xr:uid="{00000000-0005-0000-0000-000086720000}"/>
    <cellStyle name="Normal 33 3" xfId="43239" xr:uid="{00000000-0005-0000-0000-000087720000}"/>
    <cellStyle name="Normal 33 3 2" xfId="43240" xr:uid="{00000000-0005-0000-0000-000088720000}"/>
    <cellStyle name="Normal 33 3 3" xfId="43241" xr:uid="{00000000-0005-0000-0000-000089720000}"/>
    <cellStyle name="Normal 33 4" xfId="43242" xr:uid="{00000000-0005-0000-0000-00008A720000}"/>
    <cellStyle name="Normal 33 5" xfId="43243" xr:uid="{00000000-0005-0000-0000-00008B720000}"/>
    <cellStyle name="Normal 34" xfId="40751" xr:uid="{00000000-0005-0000-0000-00008C720000}"/>
    <cellStyle name="Normal 34 2" xfId="43244" xr:uid="{00000000-0005-0000-0000-00008D720000}"/>
    <cellStyle name="Normal 34 2 2" xfId="43245" xr:uid="{00000000-0005-0000-0000-00008E720000}"/>
    <cellStyle name="Normal 34 2 3" xfId="43246" xr:uid="{00000000-0005-0000-0000-00008F720000}"/>
    <cellStyle name="Normal 34 3" xfId="43247" xr:uid="{00000000-0005-0000-0000-000090720000}"/>
    <cellStyle name="Normal 34 3 2" xfId="43248" xr:uid="{00000000-0005-0000-0000-000091720000}"/>
    <cellStyle name="Normal 34 3 3" xfId="43249" xr:uid="{00000000-0005-0000-0000-000092720000}"/>
    <cellStyle name="Normal 34 4" xfId="43250" xr:uid="{00000000-0005-0000-0000-000093720000}"/>
    <cellStyle name="Normal 34 5" xfId="43251" xr:uid="{00000000-0005-0000-0000-000094720000}"/>
    <cellStyle name="Normal 35" xfId="40752" xr:uid="{00000000-0005-0000-0000-000095720000}"/>
    <cellStyle name="Normal 35 2" xfId="43252" xr:uid="{00000000-0005-0000-0000-000096720000}"/>
    <cellStyle name="Normal 35 2 2" xfId="43253" xr:uid="{00000000-0005-0000-0000-000097720000}"/>
    <cellStyle name="Normal 35 2 3" xfId="43254" xr:uid="{00000000-0005-0000-0000-000098720000}"/>
    <cellStyle name="Normal 35 3" xfId="43255" xr:uid="{00000000-0005-0000-0000-000099720000}"/>
    <cellStyle name="Normal 35 3 2" xfId="43256" xr:uid="{00000000-0005-0000-0000-00009A720000}"/>
    <cellStyle name="Normal 35 3 3" xfId="43257" xr:uid="{00000000-0005-0000-0000-00009B720000}"/>
    <cellStyle name="Normal 35 4" xfId="43258" xr:uid="{00000000-0005-0000-0000-00009C720000}"/>
    <cellStyle name="Normal 35 5" xfId="43259" xr:uid="{00000000-0005-0000-0000-00009D720000}"/>
    <cellStyle name="Normal 36" xfId="40753" xr:uid="{00000000-0005-0000-0000-00009E720000}"/>
    <cellStyle name="Normal 36 2" xfId="43260" xr:uid="{00000000-0005-0000-0000-00009F720000}"/>
    <cellStyle name="Normal 36 2 2" xfId="43261" xr:uid="{00000000-0005-0000-0000-0000A0720000}"/>
    <cellStyle name="Normal 36 2 3" xfId="43262" xr:uid="{00000000-0005-0000-0000-0000A1720000}"/>
    <cellStyle name="Normal 36 3" xfId="43263" xr:uid="{00000000-0005-0000-0000-0000A2720000}"/>
    <cellStyle name="Normal 36 3 2" xfId="43264" xr:uid="{00000000-0005-0000-0000-0000A3720000}"/>
    <cellStyle name="Normal 36 3 3" xfId="43265" xr:uid="{00000000-0005-0000-0000-0000A4720000}"/>
    <cellStyle name="Normal 36 4" xfId="43266" xr:uid="{00000000-0005-0000-0000-0000A5720000}"/>
    <cellStyle name="Normal 36 5" xfId="43267" xr:uid="{00000000-0005-0000-0000-0000A6720000}"/>
    <cellStyle name="Normal 37" xfId="40754" xr:uid="{00000000-0005-0000-0000-0000A7720000}"/>
    <cellStyle name="Normal 37 2" xfId="43268" xr:uid="{00000000-0005-0000-0000-0000A8720000}"/>
    <cellStyle name="Normal 37 2 2" xfId="43269" xr:uid="{00000000-0005-0000-0000-0000A9720000}"/>
    <cellStyle name="Normal 37 2 3" xfId="43270" xr:uid="{00000000-0005-0000-0000-0000AA720000}"/>
    <cellStyle name="Normal 37 3" xfId="43271" xr:uid="{00000000-0005-0000-0000-0000AB720000}"/>
    <cellStyle name="Normal 37 3 2" xfId="43272" xr:uid="{00000000-0005-0000-0000-0000AC720000}"/>
    <cellStyle name="Normal 37 3 3" xfId="43273" xr:uid="{00000000-0005-0000-0000-0000AD720000}"/>
    <cellStyle name="Normal 37 4" xfId="43274" xr:uid="{00000000-0005-0000-0000-0000AE720000}"/>
    <cellStyle name="Normal 37 5" xfId="43275" xr:uid="{00000000-0005-0000-0000-0000AF720000}"/>
    <cellStyle name="Normal 38" xfId="40755" xr:uid="{00000000-0005-0000-0000-0000B0720000}"/>
    <cellStyle name="Normal 38 2" xfId="43276" xr:uid="{00000000-0005-0000-0000-0000B1720000}"/>
    <cellStyle name="Normal 38 2 2" xfId="43277" xr:uid="{00000000-0005-0000-0000-0000B2720000}"/>
    <cellStyle name="Normal 38 2 3" xfId="43278" xr:uid="{00000000-0005-0000-0000-0000B3720000}"/>
    <cellStyle name="Normal 38 3" xfId="43279" xr:uid="{00000000-0005-0000-0000-0000B4720000}"/>
    <cellStyle name="Normal 38 3 2" xfId="43280" xr:uid="{00000000-0005-0000-0000-0000B5720000}"/>
    <cellStyle name="Normal 38 3 3" xfId="43281" xr:uid="{00000000-0005-0000-0000-0000B6720000}"/>
    <cellStyle name="Normal 38 4" xfId="43282" xr:uid="{00000000-0005-0000-0000-0000B7720000}"/>
    <cellStyle name="Normal 38 5" xfId="43283" xr:uid="{00000000-0005-0000-0000-0000B8720000}"/>
    <cellStyle name="Normal 39" xfId="40756" xr:uid="{00000000-0005-0000-0000-0000B9720000}"/>
    <cellStyle name="Normal 39 2" xfId="43284" xr:uid="{00000000-0005-0000-0000-0000BA720000}"/>
    <cellStyle name="Normal 39 2 2" xfId="43285" xr:uid="{00000000-0005-0000-0000-0000BB720000}"/>
    <cellStyle name="Normal 39 2 3" xfId="43286" xr:uid="{00000000-0005-0000-0000-0000BC720000}"/>
    <cellStyle name="Normal 39 3" xfId="43287" xr:uid="{00000000-0005-0000-0000-0000BD720000}"/>
    <cellStyle name="Normal 39 3 2" xfId="43288" xr:uid="{00000000-0005-0000-0000-0000BE720000}"/>
    <cellStyle name="Normal 39 3 3" xfId="43289" xr:uid="{00000000-0005-0000-0000-0000BF720000}"/>
    <cellStyle name="Normal 39 4" xfId="43290" xr:uid="{00000000-0005-0000-0000-0000C0720000}"/>
    <cellStyle name="Normal 39 5" xfId="43291" xr:uid="{00000000-0005-0000-0000-0000C1720000}"/>
    <cellStyle name="Normal 4" xfId="11" xr:uid="{00000000-0005-0000-0000-0000C2720000}"/>
    <cellStyle name="Normal 4 2" xfId="26918" xr:uid="{00000000-0005-0000-0000-0000C3720000}"/>
    <cellStyle name="Normal 4 3" xfId="40757" xr:uid="{00000000-0005-0000-0000-0000C4720000}"/>
    <cellStyle name="Normal 4 4" xfId="43292" xr:uid="{00000000-0005-0000-0000-0000C5720000}"/>
    <cellStyle name="Normal 40" xfId="40758" xr:uid="{00000000-0005-0000-0000-0000C6720000}"/>
    <cellStyle name="Normal 40 2" xfId="43293" xr:uid="{00000000-0005-0000-0000-0000C7720000}"/>
    <cellStyle name="Normal 40 2 2" xfId="43294" xr:uid="{00000000-0005-0000-0000-0000C8720000}"/>
    <cellStyle name="Normal 40 2 3" xfId="43295" xr:uid="{00000000-0005-0000-0000-0000C9720000}"/>
    <cellStyle name="Normal 40 3" xfId="43296" xr:uid="{00000000-0005-0000-0000-0000CA720000}"/>
    <cellStyle name="Normal 40 3 2" xfId="43297" xr:uid="{00000000-0005-0000-0000-0000CB720000}"/>
    <cellStyle name="Normal 40 3 3" xfId="43298" xr:uid="{00000000-0005-0000-0000-0000CC720000}"/>
    <cellStyle name="Normal 40 4" xfId="43299" xr:uid="{00000000-0005-0000-0000-0000CD720000}"/>
    <cellStyle name="Normal 40 5" xfId="43300" xr:uid="{00000000-0005-0000-0000-0000CE720000}"/>
    <cellStyle name="Normal 41" xfId="40759" xr:uid="{00000000-0005-0000-0000-0000CF720000}"/>
    <cellStyle name="Normal 41 2" xfId="43301" xr:uid="{00000000-0005-0000-0000-0000D0720000}"/>
    <cellStyle name="Normal 41 2 2" xfId="43302" xr:uid="{00000000-0005-0000-0000-0000D1720000}"/>
    <cellStyle name="Normal 41 2 3" xfId="43303" xr:uid="{00000000-0005-0000-0000-0000D2720000}"/>
    <cellStyle name="Normal 41 3" xfId="43304" xr:uid="{00000000-0005-0000-0000-0000D3720000}"/>
    <cellStyle name="Normal 41 3 2" xfId="43305" xr:uid="{00000000-0005-0000-0000-0000D4720000}"/>
    <cellStyle name="Normal 41 3 3" xfId="43306" xr:uid="{00000000-0005-0000-0000-0000D5720000}"/>
    <cellStyle name="Normal 41 4" xfId="43307" xr:uid="{00000000-0005-0000-0000-0000D6720000}"/>
    <cellStyle name="Normal 41 5" xfId="43308" xr:uid="{00000000-0005-0000-0000-0000D7720000}"/>
    <cellStyle name="Normal 42" xfId="40760" xr:uid="{00000000-0005-0000-0000-0000D8720000}"/>
    <cellStyle name="Normal 42 2" xfId="43309" xr:uid="{00000000-0005-0000-0000-0000D9720000}"/>
    <cellStyle name="Normal 42 2 2" xfId="43310" xr:uid="{00000000-0005-0000-0000-0000DA720000}"/>
    <cellStyle name="Normal 42 2 3" xfId="43311" xr:uid="{00000000-0005-0000-0000-0000DB720000}"/>
    <cellStyle name="Normal 42 3" xfId="43312" xr:uid="{00000000-0005-0000-0000-0000DC720000}"/>
    <cellStyle name="Normal 42 3 2" xfId="43313" xr:uid="{00000000-0005-0000-0000-0000DD720000}"/>
    <cellStyle name="Normal 42 3 3" xfId="43314" xr:uid="{00000000-0005-0000-0000-0000DE720000}"/>
    <cellStyle name="Normal 42 4" xfId="43315" xr:uid="{00000000-0005-0000-0000-0000DF720000}"/>
    <cellStyle name="Normal 42 5" xfId="43316" xr:uid="{00000000-0005-0000-0000-0000E0720000}"/>
    <cellStyle name="Normal 43" xfId="40761" xr:uid="{00000000-0005-0000-0000-0000E1720000}"/>
    <cellStyle name="Normal 43 2" xfId="43317" xr:uid="{00000000-0005-0000-0000-0000E2720000}"/>
    <cellStyle name="Normal 43 2 2" xfId="43318" xr:uid="{00000000-0005-0000-0000-0000E3720000}"/>
    <cellStyle name="Normal 43 2 3" xfId="43319" xr:uid="{00000000-0005-0000-0000-0000E4720000}"/>
    <cellStyle name="Normal 43 3" xfId="43320" xr:uid="{00000000-0005-0000-0000-0000E5720000}"/>
    <cellStyle name="Normal 43 3 2" xfId="43321" xr:uid="{00000000-0005-0000-0000-0000E6720000}"/>
    <cellStyle name="Normal 43 3 3" xfId="43322" xr:uid="{00000000-0005-0000-0000-0000E7720000}"/>
    <cellStyle name="Normal 43 4" xfId="43323" xr:uid="{00000000-0005-0000-0000-0000E8720000}"/>
    <cellStyle name="Normal 43 5" xfId="43324" xr:uid="{00000000-0005-0000-0000-0000E9720000}"/>
    <cellStyle name="Normal 44" xfId="40762" xr:uid="{00000000-0005-0000-0000-0000EA720000}"/>
    <cellStyle name="Normal 45" xfId="40763" xr:uid="{00000000-0005-0000-0000-0000EB720000}"/>
    <cellStyle name="Normal 46" xfId="40764" xr:uid="{00000000-0005-0000-0000-0000EC720000}"/>
    <cellStyle name="Normal 47" xfId="40765" xr:uid="{00000000-0005-0000-0000-0000ED720000}"/>
    <cellStyle name="Normal 48" xfId="40766" xr:uid="{00000000-0005-0000-0000-0000EE720000}"/>
    <cellStyle name="Normal 49" xfId="40767" xr:uid="{00000000-0005-0000-0000-0000EF720000}"/>
    <cellStyle name="Normal 5" xfId="92" xr:uid="{00000000-0005-0000-0000-0000F0720000}"/>
    <cellStyle name="Normal 5 2" xfId="216" xr:uid="{00000000-0005-0000-0000-0000F1720000}"/>
    <cellStyle name="Normal 5 3" xfId="43325" xr:uid="{00000000-0005-0000-0000-0000F2720000}"/>
    <cellStyle name="Normal 50" xfId="40768" xr:uid="{00000000-0005-0000-0000-0000F3720000}"/>
    <cellStyle name="Normal 51" xfId="40769" xr:uid="{00000000-0005-0000-0000-0000F4720000}"/>
    <cellStyle name="Normal 52" xfId="40770" xr:uid="{00000000-0005-0000-0000-0000F5720000}"/>
    <cellStyle name="Normal 53" xfId="40771" xr:uid="{00000000-0005-0000-0000-0000F6720000}"/>
    <cellStyle name="Normal 54" xfId="40772" xr:uid="{00000000-0005-0000-0000-0000F7720000}"/>
    <cellStyle name="Normal 55" xfId="40773" xr:uid="{00000000-0005-0000-0000-0000F8720000}"/>
    <cellStyle name="Normal 56" xfId="40774" xr:uid="{00000000-0005-0000-0000-0000F9720000}"/>
    <cellStyle name="Normal 56 2" xfId="43326" xr:uid="{00000000-0005-0000-0000-0000FA720000}"/>
    <cellStyle name="Normal 56 2 2" xfId="43327" xr:uid="{00000000-0005-0000-0000-0000FB720000}"/>
    <cellStyle name="Normal 56 2 3" xfId="43328" xr:uid="{00000000-0005-0000-0000-0000FC720000}"/>
    <cellStyle name="Normal 56 3" xfId="43329" xr:uid="{00000000-0005-0000-0000-0000FD720000}"/>
    <cellStyle name="Normal 56 3 2" xfId="43330" xr:uid="{00000000-0005-0000-0000-0000FE720000}"/>
    <cellStyle name="Normal 56 3 3" xfId="43331" xr:uid="{00000000-0005-0000-0000-0000FF720000}"/>
    <cellStyle name="Normal 56 4" xfId="43332" xr:uid="{00000000-0005-0000-0000-000000730000}"/>
    <cellStyle name="Normal 56 5" xfId="43333" xr:uid="{00000000-0005-0000-0000-000001730000}"/>
    <cellStyle name="Normal 57" xfId="40775" xr:uid="{00000000-0005-0000-0000-000002730000}"/>
    <cellStyle name="Normal 57 2" xfId="43334" xr:uid="{00000000-0005-0000-0000-000003730000}"/>
    <cellStyle name="Normal 57 2 2" xfId="43335" xr:uid="{00000000-0005-0000-0000-000004730000}"/>
    <cellStyle name="Normal 57 2 3" xfId="43336" xr:uid="{00000000-0005-0000-0000-000005730000}"/>
    <cellStyle name="Normal 57 3" xfId="43337" xr:uid="{00000000-0005-0000-0000-000006730000}"/>
    <cellStyle name="Normal 57 3 2" xfId="43338" xr:uid="{00000000-0005-0000-0000-000007730000}"/>
    <cellStyle name="Normal 57 3 3" xfId="43339" xr:uid="{00000000-0005-0000-0000-000008730000}"/>
    <cellStyle name="Normal 57 4" xfId="43340" xr:uid="{00000000-0005-0000-0000-000009730000}"/>
    <cellStyle name="Normal 57 5" xfId="43341" xr:uid="{00000000-0005-0000-0000-00000A730000}"/>
    <cellStyle name="Normal 58" xfId="40776" xr:uid="{00000000-0005-0000-0000-00000B730000}"/>
    <cellStyle name="Normal 58 2" xfId="43342" xr:uid="{00000000-0005-0000-0000-00000C730000}"/>
    <cellStyle name="Normal 58 2 2" xfId="43343" xr:uid="{00000000-0005-0000-0000-00000D730000}"/>
    <cellStyle name="Normal 58 2 3" xfId="43344" xr:uid="{00000000-0005-0000-0000-00000E730000}"/>
    <cellStyle name="Normal 58 3" xfId="43345" xr:uid="{00000000-0005-0000-0000-00000F730000}"/>
    <cellStyle name="Normal 58 3 2" xfId="43346" xr:uid="{00000000-0005-0000-0000-000010730000}"/>
    <cellStyle name="Normal 58 3 3" xfId="43347" xr:uid="{00000000-0005-0000-0000-000011730000}"/>
    <cellStyle name="Normal 58 4" xfId="43348" xr:uid="{00000000-0005-0000-0000-000012730000}"/>
    <cellStyle name="Normal 58 5" xfId="43349" xr:uid="{00000000-0005-0000-0000-000013730000}"/>
    <cellStyle name="Normal 59" xfId="40777" xr:uid="{00000000-0005-0000-0000-000014730000}"/>
    <cellStyle name="Normal 6" xfId="93" xr:uid="{00000000-0005-0000-0000-000015730000}"/>
    <cellStyle name="Normal 6 2" xfId="40778" xr:uid="{00000000-0005-0000-0000-000016730000}"/>
    <cellStyle name="Normal 6 3" xfId="40779" xr:uid="{00000000-0005-0000-0000-000017730000}"/>
    <cellStyle name="Normal 60" xfId="40780" xr:uid="{00000000-0005-0000-0000-000018730000}"/>
    <cellStyle name="Normal 61" xfId="40781" xr:uid="{00000000-0005-0000-0000-000019730000}"/>
    <cellStyle name="Normal 62" xfId="40782" xr:uid="{00000000-0005-0000-0000-00001A730000}"/>
    <cellStyle name="Normal 62 2" xfId="43350" xr:uid="{00000000-0005-0000-0000-00001B730000}"/>
    <cellStyle name="Normal 62 2 2" xfId="43351" xr:uid="{00000000-0005-0000-0000-00001C730000}"/>
    <cellStyle name="Normal 62 2 3" xfId="43352" xr:uid="{00000000-0005-0000-0000-00001D730000}"/>
    <cellStyle name="Normal 62 3" xfId="43353" xr:uid="{00000000-0005-0000-0000-00001E730000}"/>
    <cellStyle name="Normal 62 3 2" xfId="43354" xr:uid="{00000000-0005-0000-0000-00001F730000}"/>
    <cellStyle name="Normal 62 3 3" xfId="43355" xr:uid="{00000000-0005-0000-0000-000020730000}"/>
    <cellStyle name="Normal 62 4" xfId="43356" xr:uid="{00000000-0005-0000-0000-000021730000}"/>
    <cellStyle name="Normal 62 5" xfId="43357" xr:uid="{00000000-0005-0000-0000-000022730000}"/>
    <cellStyle name="Normal 63" xfId="40783" xr:uid="{00000000-0005-0000-0000-000023730000}"/>
    <cellStyle name="Normal 63 2" xfId="43358" xr:uid="{00000000-0005-0000-0000-000024730000}"/>
    <cellStyle name="Normal 63 2 2" xfId="43359" xr:uid="{00000000-0005-0000-0000-000025730000}"/>
    <cellStyle name="Normal 63 2 3" xfId="43360" xr:uid="{00000000-0005-0000-0000-000026730000}"/>
    <cellStyle name="Normal 63 3" xfId="43361" xr:uid="{00000000-0005-0000-0000-000027730000}"/>
    <cellStyle name="Normal 63 3 2" xfId="43362" xr:uid="{00000000-0005-0000-0000-000028730000}"/>
    <cellStyle name="Normal 63 3 3" xfId="43363" xr:uid="{00000000-0005-0000-0000-000029730000}"/>
    <cellStyle name="Normal 63 4" xfId="43364" xr:uid="{00000000-0005-0000-0000-00002A730000}"/>
    <cellStyle name="Normal 63 5" xfId="43365" xr:uid="{00000000-0005-0000-0000-00002B730000}"/>
    <cellStyle name="Normal 64" xfId="40784" xr:uid="{00000000-0005-0000-0000-00002C730000}"/>
    <cellStyle name="Normal 64 2" xfId="43366" xr:uid="{00000000-0005-0000-0000-00002D730000}"/>
    <cellStyle name="Normal 64 2 2" xfId="43367" xr:uid="{00000000-0005-0000-0000-00002E730000}"/>
    <cellStyle name="Normal 64 2 3" xfId="43368" xr:uid="{00000000-0005-0000-0000-00002F730000}"/>
    <cellStyle name="Normal 64 3" xfId="43369" xr:uid="{00000000-0005-0000-0000-000030730000}"/>
    <cellStyle name="Normal 64 3 2" xfId="43370" xr:uid="{00000000-0005-0000-0000-000031730000}"/>
    <cellStyle name="Normal 64 3 3" xfId="43371" xr:uid="{00000000-0005-0000-0000-000032730000}"/>
    <cellStyle name="Normal 64 4" xfId="43372" xr:uid="{00000000-0005-0000-0000-000033730000}"/>
    <cellStyle name="Normal 64 5" xfId="43373" xr:uid="{00000000-0005-0000-0000-000034730000}"/>
    <cellStyle name="Normal 65" xfId="40785" xr:uid="{00000000-0005-0000-0000-000035730000}"/>
    <cellStyle name="Normal 65 2" xfId="43374" xr:uid="{00000000-0005-0000-0000-000036730000}"/>
    <cellStyle name="Normal 65 2 2" xfId="43375" xr:uid="{00000000-0005-0000-0000-000037730000}"/>
    <cellStyle name="Normal 65 2 3" xfId="43376" xr:uid="{00000000-0005-0000-0000-000038730000}"/>
    <cellStyle name="Normal 65 3" xfId="43377" xr:uid="{00000000-0005-0000-0000-000039730000}"/>
    <cellStyle name="Normal 65 3 2" xfId="43378" xr:uid="{00000000-0005-0000-0000-00003A730000}"/>
    <cellStyle name="Normal 65 3 3" xfId="43379" xr:uid="{00000000-0005-0000-0000-00003B730000}"/>
    <cellStyle name="Normal 65 4" xfId="43380" xr:uid="{00000000-0005-0000-0000-00003C730000}"/>
    <cellStyle name="Normal 65 5" xfId="43381" xr:uid="{00000000-0005-0000-0000-00003D730000}"/>
    <cellStyle name="Normal 66" xfId="40786" xr:uid="{00000000-0005-0000-0000-00003E730000}"/>
    <cellStyle name="Normal 66 2" xfId="43382" xr:uid="{00000000-0005-0000-0000-00003F730000}"/>
    <cellStyle name="Normal 66 2 2" xfId="43383" xr:uid="{00000000-0005-0000-0000-000040730000}"/>
    <cellStyle name="Normal 66 2 3" xfId="43384" xr:uid="{00000000-0005-0000-0000-000041730000}"/>
    <cellStyle name="Normal 66 3" xfId="43385" xr:uid="{00000000-0005-0000-0000-000042730000}"/>
    <cellStyle name="Normal 66 3 2" xfId="43386" xr:uid="{00000000-0005-0000-0000-000043730000}"/>
    <cellStyle name="Normal 66 3 3" xfId="43387" xr:uid="{00000000-0005-0000-0000-000044730000}"/>
    <cellStyle name="Normal 66 4" xfId="43388" xr:uid="{00000000-0005-0000-0000-000045730000}"/>
    <cellStyle name="Normal 66 5" xfId="43389" xr:uid="{00000000-0005-0000-0000-000046730000}"/>
    <cellStyle name="Normal 67" xfId="40787" xr:uid="{00000000-0005-0000-0000-000047730000}"/>
    <cellStyle name="Normal 67 2" xfId="43390" xr:uid="{00000000-0005-0000-0000-000048730000}"/>
    <cellStyle name="Normal 67 2 2" xfId="43391" xr:uid="{00000000-0005-0000-0000-000049730000}"/>
    <cellStyle name="Normal 67 2 3" xfId="43392" xr:uid="{00000000-0005-0000-0000-00004A730000}"/>
    <cellStyle name="Normal 67 3" xfId="43393" xr:uid="{00000000-0005-0000-0000-00004B730000}"/>
    <cellStyle name="Normal 67 3 2" xfId="43394" xr:uid="{00000000-0005-0000-0000-00004C730000}"/>
    <cellStyle name="Normal 67 3 3" xfId="43395" xr:uid="{00000000-0005-0000-0000-00004D730000}"/>
    <cellStyle name="Normal 67 4" xfId="43396" xr:uid="{00000000-0005-0000-0000-00004E730000}"/>
    <cellStyle name="Normal 67 5" xfId="43397" xr:uid="{00000000-0005-0000-0000-00004F730000}"/>
    <cellStyle name="Normal 68" xfId="40788" xr:uid="{00000000-0005-0000-0000-000050730000}"/>
    <cellStyle name="Normal 68 2" xfId="43398" xr:uid="{00000000-0005-0000-0000-000051730000}"/>
    <cellStyle name="Normal 68 2 2" xfId="43399" xr:uid="{00000000-0005-0000-0000-000052730000}"/>
    <cellStyle name="Normal 68 2 3" xfId="43400" xr:uid="{00000000-0005-0000-0000-000053730000}"/>
    <cellStyle name="Normal 68 3" xfId="43401" xr:uid="{00000000-0005-0000-0000-000054730000}"/>
    <cellStyle name="Normal 68 3 2" xfId="43402" xr:uid="{00000000-0005-0000-0000-000055730000}"/>
    <cellStyle name="Normal 68 3 3" xfId="43403" xr:uid="{00000000-0005-0000-0000-000056730000}"/>
    <cellStyle name="Normal 68 4" xfId="43404" xr:uid="{00000000-0005-0000-0000-000057730000}"/>
    <cellStyle name="Normal 68 5" xfId="43405" xr:uid="{00000000-0005-0000-0000-000058730000}"/>
    <cellStyle name="Normal 69" xfId="40789" xr:uid="{00000000-0005-0000-0000-000059730000}"/>
    <cellStyle name="Normal 69 2" xfId="43406" xr:uid="{00000000-0005-0000-0000-00005A730000}"/>
    <cellStyle name="Normal 69 2 2" xfId="43407" xr:uid="{00000000-0005-0000-0000-00005B730000}"/>
    <cellStyle name="Normal 69 2 3" xfId="43408" xr:uid="{00000000-0005-0000-0000-00005C730000}"/>
    <cellStyle name="Normal 69 3" xfId="43409" xr:uid="{00000000-0005-0000-0000-00005D730000}"/>
    <cellStyle name="Normal 69 3 2" xfId="43410" xr:uid="{00000000-0005-0000-0000-00005E730000}"/>
    <cellStyle name="Normal 69 3 3" xfId="43411" xr:uid="{00000000-0005-0000-0000-00005F730000}"/>
    <cellStyle name="Normal 69 4" xfId="43412" xr:uid="{00000000-0005-0000-0000-000060730000}"/>
    <cellStyle name="Normal 69 5" xfId="43413" xr:uid="{00000000-0005-0000-0000-000061730000}"/>
    <cellStyle name="Normal 7" xfId="94" xr:uid="{00000000-0005-0000-0000-000062730000}"/>
    <cellStyle name="Normal 7 2" xfId="217" xr:uid="{00000000-0005-0000-0000-000063730000}"/>
    <cellStyle name="Normal 7 3" xfId="40790" xr:uid="{00000000-0005-0000-0000-000064730000}"/>
    <cellStyle name="Normal 7 4" xfId="40791" xr:uid="{00000000-0005-0000-0000-000065730000}"/>
    <cellStyle name="Normal 70" xfId="187" xr:uid="{00000000-0005-0000-0000-000066730000}"/>
    <cellStyle name="Normal 70 2" xfId="43414" xr:uid="{00000000-0005-0000-0000-000067730000}"/>
    <cellStyle name="Normal 70 2 2" xfId="43415" xr:uid="{00000000-0005-0000-0000-000068730000}"/>
    <cellStyle name="Normal 70 2 2 2" xfId="43416" xr:uid="{00000000-0005-0000-0000-000069730000}"/>
    <cellStyle name="Normal 70 2 2 3" xfId="43417" xr:uid="{00000000-0005-0000-0000-00006A730000}"/>
    <cellStyle name="Normal 70 2 3" xfId="43418" xr:uid="{00000000-0005-0000-0000-00006B730000}"/>
    <cellStyle name="Normal 70 2 3 2" xfId="43419" xr:uid="{00000000-0005-0000-0000-00006C730000}"/>
    <cellStyle name="Normal 70 2 3 3" xfId="43420" xr:uid="{00000000-0005-0000-0000-00006D730000}"/>
    <cellStyle name="Normal 70 2 4" xfId="43421" xr:uid="{00000000-0005-0000-0000-00006E730000}"/>
    <cellStyle name="Normal 70 2 5" xfId="43422" xr:uid="{00000000-0005-0000-0000-00006F730000}"/>
    <cellStyle name="Normal 70 3" xfId="43423" xr:uid="{00000000-0005-0000-0000-000070730000}"/>
    <cellStyle name="Normal 70 3 2" xfId="43424" xr:uid="{00000000-0005-0000-0000-000071730000}"/>
    <cellStyle name="Normal 70 3 3" xfId="43425" xr:uid="{00000000-0005-0000-0000-000072730000}"/>
    <cellStyle name="Normal 70 4" xfId="43426" xr:uid="{00000000-0005-0000-0000-000073730000}"/>
    <cellStyle name="Normal 70 4 2" xfId="43427" xr:uid="{00000000-0005-0000-0000-000074730000}"/>
    <cellStyle name="Normal 70 4 3" xfId="43428" xr:uid="{00000000-0005-0000-0000-000075730000}"/>
    <cellStyle name="Normal 70 5" xfId="43429" xr:uid="{00000000-0005-0000-0000-000076730000}"/>
    <cellStyle name="Normal 70 6" xfId="43430" xr:uid="{00000000-0005-0000-0000-000077730000}"/>
    <cellStyle name="Normal 71" xfId="40792" xr:uid="{00000000-0005-0000-0000-000078730000}"/>
    <cellStyle name="Normal 71 2" xfId="43431" xr:uid="{00000000-0005-0000-0000-000079730000}"/>
    <cellStyle name="Normal 71 2 2" xfId="43432" xr:uid="{00000000-0005-0000-0000-00007A730000}"/>
    <cellStyle name="Normal 71 2 3" xfId="43433" xr:uid="{00000000-0005-0000-0000-00007B730000}"/>
    <cellStyle name="Normal 71 3" xfId="43434" xr:uid="{00000000-0005-0000-0000-00007C730000}"/>
    <cellStyle name="Normal 71 3 2" xfId="43435" xr:uid="{00000000-0005-0000-0000-00007D730000}"/>
    <cellStyle name="Normal 71 3 3" xfId="43436" xr:uid="{00000000-0005-0000-0000-00007E730000}"/>
    <cellStyle name="Normal 71 4" xfId="43437" xr:uid="{00000000-0005-0000-0000-00007F730000}"/>
    <cellStyle name="Normal 71 5" xfId="43438" xr:uid="{00000000-0005-0000-0000-000080730000}"/>
    <cellStyle name="Normal 72" xfId="40793" xr:uid="{00000000-0005-0000-0000-000081730000}"/>
    <cellStyle name="Normal 72 2" xfId="43439" xr:uid="{00000000-0005-0000-0000-000082730000}"/>
    <cellStyle name="Normal 72 2 2" xfId="43440" xr:uid="{00000000-0005-0000-0000-000083730000}"/>
    <cellStyle name="Normal 72 2 3" xfId="43441" xr:uid="{00000000-0005-0000-0000-000084730000}"/>
    <cellStyle name="Normal 72 3" xfId="43442" xr:uid="{00000000-0005-0000-0000-000085730000}"/>
    <cellStyle name="Normal 72 3 2" xfId="43443" xr:uid="{00000000-0005-0000-0000-000086730000}"/>
    <cellStyle name="Normal 72 3 3" xfId="43444" xr:uid="{00000000-0005-0000-0000-000087730000}"/>
    <cellStyle name="Normal 72 4" xfId="43445" xr:uid="{00000000-0005-0000-0000-000088730000}"/>
    <cellStyle name="Normal 72 5" xfId="43446" xr:uid="{00000000-0005-0000-0000-000089730000}"/>
    <cellStyle name="Normal 73" xfId="40794" xr:uid="{00000000-0005-0000-0000-00008A730000}"/>
    <cellStyle name="Normal 73 2" xfId="43447" xr:uid="{00000000-0005-0000-0000-00008B730000}"/>
    <cellStyle name="Normal 73 2 2" xfId="43448" xr:uid="{00000000-0005-0000-0000-00008C730000}"/>
    <cellStyle name="Normal 73 2 3" xfId="43449" xr:uid="{00000000-0005-0000-0000-00008D730000}"/>
    <cellStyle name="Normal 73 3" xfId="43450" xr:uid="{00000000-0005-0000-0000-00008E730000}"/>
    <cellStyle name="Normal 73 3 2" xfId="43451" xr:uid="{00000000-0005-0000-0000-00008F730000}"/>
    <cellStyle name="Normal 73 3 3" xfId="43452" xr:uid="{00000000-0005-0000-0000-000090730000}"/>
    <cellStyle name="Normal 73 4" xfId="43453" xr:uid="{00000000-0005-0000-0000-000091730000}"/>
    <cellStyle name="Normal 73 5" xfId="43454" xr:uid="{00000000-0005-0000-0000-000092730000}"/>
    <cellStyle name="Normal 74" xfId="40795" xr:uid="{00000000-0005-0000-0000-000093730000}"/>
    <cellStyle name="Normal 74 2" xfId="43455" xr:uid="{00000000-0005-0000-0000-000094730000}"/>
    <cellStyle name="Normal 74 2 2" xfId="43456" xr:uid="{00000000-0005-0000-0000-000095730000}"/>
    <cellStyle name="Normal 74 2 3" xfId="43457" xr:uid="{00000000-0005-0000-0000-000096730000}"/>
    <cellStyle name="Normal 74 3" xfId="43458" xr:uid="{00000000-0005-0000-0000-000097730000}"/>
    <cellStyle name="Normal 74 3 2" xfId="43459" xr:uid="{00000000-0005-0000-0000-000098730000}"/>
    <cellStyle name="Normal 74 3 3" xfId="43460" xr:uid="{00000000-0005-0000-0000-000099730000}"/>
    <cellStyle name="Normal 74 4" xfId="43461" xr:uid="{00000000-0005-0000-0000-00009A730000}"/>
    <cellStyle name="Normal 74 4 2" xfId="43462" xr:uid="{00000000-0005-0000-0000-00009B730000}"/>
    <cellStyle name="Normal 74 4 3" xfId="43463" xr:uid="{00000000-0005-0000-0000-00009C730000}"/>
    <cellStyle name="Normal 74 4 4" xfId="43464" xr:uid="{00000000-0005-0000-0000-00009D730000}"/>
    <cellStyle name="Normal 74 5" xfId="43465" xr:uid="{00000000-0005-0000-0000-00009E730000}"/>
    <cellStyle name="Normal 74 6" xfId="43466" xr:uid="{00000000-0005-0000-0000-00009F730000}"/>
    <cellStyle name="Normal 74 7" xfId="43467" xr:uid="{00000000-0005-0000-0000-0000A0730000}"/>
    <cellStyle name="Normal 75" xfId="40796" xr:uid="{00000000-0005-0000-0000-0000A1730000}"/>
    <cellStyle name="Normal 75 2" xfId="43468" xr:uid="{00000000-0005-0000-0000-0000A2730000}"/>
    <cellStyle name="Normal 75 2 2" xfId="43469" xr:uid="{00000000-0005-0000-0000-0000A3730000}"/>
    <cellStyle name="Normal 75 2 2 2" xfId="43470" xr:uid="{00000000-0005-0000-0000-0000A4730000}"/>
    <cellStyle name="Normal 75 2 3" xfId="43471" xr:uid="{00000000-0005-0000-0000-0000A5730000}"/>
    <cellStyle name="Normal 75 3" xfId="43472" xr:uid="{00000000-0005-0000-0000-0000A6730000}"/>
    <cellStyle name="Normal 75 3 2" xfId="43473" xr:uid="{00000000-0005-0000-0000-0000A7730000}"/>
    <cellStyle name="Normal 75 3 3" xfId="43474" xr:uid="{00000000-0005-0000-0000-0000A8730000}"/>
    <cellStyle name="Normal 75 4" xfId="43475" xr:uid="{00000000-0005-0000-0000-0000A9730000}"/>
    <cellStyle name="Normal 75 5" xfId="43476" xr:uid="{00000000-0005-0000-0000-0000AA730000}"/>
    <cellStyle name="Normal 76" xfId="40797" xr:uid="{00000000-0005-0000-0000-0000AB730000}"/>
    <cellStyle name="Normal 76 2" xfId="43477" xr:uid="{00000000-0005-0000-0000-0000AC730000}"/>
    <cellStyle name="Normal 77" xfId="43478" xr:uid="{00000000-0005-0000-0000-0000AD730000}"/>
    <cellStyle name="Normal 77 2" xfId="43479" xr:uid="{00000000-0005-0000-0000-0000AE730000}"/>
    <cellStyle name="Normal 77 2 2" xfId="43480" xr:uid="{00000000-0005-0000-0000-0000AF730000}"/>
    <cellStyle name="Normal 77 2 3" xfId="43481" xr:uid="{00000000-0005-0000-0000-0000B0730000}"/>
    <cellStyle name="Normal 77 3" xfId="43482" xr:uid="{00000000-0005-0000-0000-0000B1730000}"/>
    <cellStyle name="Normal 77 4" xfId="43483" xr:uid="{00000000-0005-0000-0000-0000B2730000}"/>
    <cellStyle name="Normal 78" xfId="43484" xr:uid="{00000000-0005-0000-0000-0000B3730000}"/>
    <cellStyle name="Normal 78 2" xfId="43485" xr:uid="{00000000-0005-0000-0000-0000B4730000}"/>
    <cellStyle name="Normal 78 2 2" xfId="43486" xr:uid="{00000000-0005-0000-0000-0000B5730000}"/>
    <cellStyle name="Normal 78 2 3" xfId="43487" xr:uid="{00000000-0005-0000-0000-0000B6730000}"/>
    <cellStyle name="Normal 78 3" xfId="43488" xr:uid="{00000000-0005-0000-0000-0000B7730000}"/>
    <cellStyle name="Normal 78 4" xfId="43489" xr:uid="{00000000-0005-0000-0000-0000B8730000}"/>
    <cellStyle name="Normal 78 5" xfId="43490" xr:uid="{00000000-0005-0000-0000-0000B9730000}"/>
    <cellStyle name="Normal 79" xfId="40802" xr:uid="{00000000-0005-0000-0000-0000BA730000}"/>
    <cellStyle name="Normal 8" xfId="8" xr:uid="{00000000-0005-0000-0000-0000BB730000}"/>
    <cellStyle name="Normal 8 2" xfId="218" xr:uid="{00000000-0005-0000-0000-0000BC730000}"/>
    <cellStyle name="Normal 8 3" xfId="40798" xr:uid="{00000000-0005-0000-0000-0000BD730000}"/>
    <cellStyle name="Normal 8 4" xfId="40799" xr:uid="{00000000-0005-0000-0000-0000BE730000}"/>
    <cellStyle name="Normal 80" xfId="43491" xr:uid="{00000000-0005-0000-0000-0000BF730000}"/>
    <cellStyle name="Normal 81" xfId="43492" xr:uid="{00000000-0005-0000-0000-0000C0730000}"/>
    <cellStyle name="Normal 81 2" xfId="43493" xr:uid="{00000000-0005-0000-0000-0000C1730000}"/>
    <cellStyle name="Normal 81 3" xfId="43494" xr:uid="{00000000-0005-0000-0000-0000C2730000}"/>
    <cellStyle name="Normal 82" xfId="43495" xr:uid="{00000000-0005-0000-0000-0000C3730000}"/>
    <cellStyle name="Normal 83" xfId="43496" xr:uid="{00000000-0005-0000-0000-0000C4730000}"/>
    <cellStyle name="Normal 84" xfId="43497" xr:uid="{00000000-0005-0000-0000-0000C5730000}"/>
    <cellStyle name="Normal 85" xfId="43498" xr:uid="{00000000-0005-0000-0000-0000C6730000}"/>
    <cellStyle name="Normal 85 2" xfId="43499" xr:uid="{00000000-0005-0000-0000-0000C7730000}"/>
    <cellStyle name="Normal 85 3" xfId="43500" xr:uid="{00000000-0005-0000-0000-0000C8730000}"/>
    <cellStyle name="Normal 86" xfId="43501" xr:uid="{00000000-0005-0000-0000-0000C9730000}"/>
    <cellStyle name="Normal 86 2" xfId="43502" xr:uid="{00000000-0005-0000-0000-0000CA730000}"/>
    <cellStyle name="Normal 86 3" xfId="43503" xr:uid="{00000000-0005-0000-0000-0000CB730000}"/>
    <cellStyle name="Normal 87" xfId="43504" xr:uid="{00000000-0005-0000-0000-0000CC730000}"/>
    <cellStyle name="Normal 88" xfId="43505" xr:uid="{00000000-0005-0000-0000-0000CD730000}"/>
    <cellStyle name="Normal 89" xfId="43506" xr:uid="{00000000-0005-0000-0000-0000CE730000}"/>
    <cellStyle name="Normal 9" xfId="14" xr:uid="{00000000-0005-0000-0000-0000CF730000}"/>
    <cellStyle name="Normal 9 2" xfId="219" xr:uid="{00000000-0005-0000-0000-0000D0730000}"/>
    <cellStyle name="Normal 9 3" xfId="40800" xr:uid="{00000000-0005-0000-0000-0000D1730000}"/>
    <cellStyle name="Normal 9 4" xfId="40801" xr:uid="{00000000-0005-0000-0000-0000D2730000}"/>
    <cellStyle name="Normal 90" xfId="43507" xr:uid="{00000000-0005-0000-0000-0000D3730000}"/>
    <cellStyle name="Normal 91" xfId="43508" xr:uid="{00000000-0005-0000-0000-0000D4730000}"/>
    <cellStyle name="Normal 92" xfId="43509" xr:uid="{00000000-0005-0000-0000-0000D5730000}"/>
    <cellStyle name="Normal 93" xfId="43510" xr:uid="{00000000-0005-0000-0000-0000D6730000}"/>
    <cellStyle name="Normal 94" xfId="43511" xr:uid="{00000000-0005-0000-0000-0000D7730000}"/>
    <cellStyle name="Normal 95" xfId="43512" xr:uid="{00000000-0005-0000-0000-0000D8730000}"/>
    <cellStyle name="Normal 96" xfId="43513" xr:uid="{00000000-0005-0000-0000-0000D9730000}"/>
    <cellStyle name="Normal 97" xfId="43514" xr:uid="{00000000-0005-0000-0000-0000DA730000}"/>
    <cellStyle name="Normal 98" xfId="43515" xr:uid="{00000000-0005-0000-0000-0000DB730000}"/>
    <cellStyle name="Normal 99" xfId="43854" xr:uid="{D63C0AB6-D782-4DAC-833D-EC25A8F381C3}"/>
    <cellStyle name="Note 10" xfId="43516" xr:uid="{00000000-0005-0000-0000-0000DD730000}"/>
    <cellStyle name="Note 11" xfId="43517" xr:uid="{00000000-0005-0000-0000-0000DE730000}"/>
    <cellStyle name="Note 12" xfId="43518" xr:uid="{00000000-0005-0000-0000-0000DF730000}"/>
    <cellStyle name="Note 13" xfId="43519" xr:uid="{00000000-0005-0000-0000-0000E0730000}"/>
    <cellStyle name="Note 14" xfId="43520" xr:uid="{00000000-0005-0000-0000-0000E1730000}"/>
    <cellStyle name="Note 15" xfId="43521" xr:uid="{00000000-0005-0000-0000-0000E2730000}"/>
    <cellStyle name="Note 16" xfId="43522" xr:uid="{00000000-0005-0000-0000-0000E3730000}"/>
    <cellStyle name="Note 17" xfId="43523" xr:uid="{00000000-0005-0000-0000-0000E4730000}"/>
    <cellStyle name="Note 18" xfId="43524" xr:uid="{00000000-0005-0000-0000-0000E5730000}"/>
    <cellStyle name="Note 19" xfId="43525" xr:uid="{00000000-0005-0000-0000-0000E6730000}"/>
    <cellStyle name="Note 2" xfId="95" xr:uid="{00000000-0005-0000-0000-0000E7730000}"/>
    <cellStyle name="Note 2 2" xfId="43526" xr:uid="{00000000-0005-0000-0000-0000E8730000}"/>
    <cellStyle name="Note 2 3" xfId="43527" xr:uid="{00000000-0005-0000-0000-0000E9730000}"/>
    <cellStyle name="Note 2 3 2" xfId="43528" xr:uid="{00000000-0005-0000-0000-0000EA730000}"/>
    <cellStyle name="Note 2 3 2 2" xfId="43529" xr:uid="{00000000-0005-0000-0000-0000EB730000}"/>
    <cellStyle name="Note 2 3 2 3" xfId="43530" xr:uid="{00000000-0005-0000-0000-0000EC730000}"/>
    <cellStyle name="Note 2 3 3" xfId="43531" xr:uid="{00000000-0005-0000-0000-0000ED730000}"/>
    <cellStyle name="Note 2 3 3 2" xfId="43532" xr:uid="{00000000-0005-0000-0000-0000EE730000}"/>
    <cellStyle name="Note 2 3 3 3" xfId="43533" xr:uid="{00000000-0005-0000-0000-0000EF730000}"/>
    <cellStyle name="Note 2 3 4" xfId="43534" xr:uid="{00000000-0005-0000-0000-0000F0730000}"/>
    <cellStyle name="Note 2 3 5" xfId="43535" xr:uid="{00000000-0005-0000-0000-0000F1730000}"/>
    <cellStyle name="Note 20" xfId="43536" xr:uid="{00000000-0005-0000-0000-0000F2730000}"/>
    <cellStyle name="Note 21" xfId="43537" xr:uid="{00000000-0005-0000-0000-0000F3730000}"/>
    <cellStyle name="Note 22" xfId="43538" xr:uid="{00000000-0005-0000-0000-0000F4730000}"/>
    <cellStyle name="Note 23" xfId="43539" xr:uid="{00000000-0005-0000-0000-0000F5730000}"/>
    <cellStyle name="Note 24" xfId="43540" xr:uid="{00000000-0005-0000-0000-0000F6730000}"/>
    <cellStyle name="Note 25" xfId="43541" xr:uid="{00000000-0005-0000-0000-0000F7730000}"/>
    <cellStyle name="Note 25 2" xfId="43542" xr:uid="{00000000-0005-0000-0000-0000F8730000}"/>
    <cellStyle name="Note 25 2 2" xfId="43543" xr:uid="{00000000-0005-0000-0000-0000F9730000}"/>
    <cellStyle name="Note 25 2 3" xfId="43544" xr:uid="{00000000-0005-0000-0000-0000FA730000}"/>
    <cellStyle name="Note 25 3" xfId="43545" xr:uid="{00000000-0005-0000-0000-0000FB730000}"/>
    <cellStyle name="Note 25 3 2" xfId="43546" xr:uid="{00000000-0005-0000-0000-0000FC730000}"/>
    <cellStyle name="Note 25 3 3" xfId="43547" xr:uid="{00000000-0005-0000-0000-0000FD730000}"/>
    <cellStyle name="Note 25 4" xfId="43548" xr:uid="{00000000-0005-0000-0000-0000FE730000}"/>
    <cellStyle name="Note 25 5" xfId="43549" xr:uid="{00000000-0005-0000-0000-0000FF730000}"/>
    <cellStyle name="Note 26" xfId="43550" xr:uid="{00000000-0005-0000-0000-000000740000}"/>
    <cellStyle name="Note 3" xfId="43551" xr:uid="{00000000-0005-0000-0000-000001740000}"/>
    <cellStyle name="Note 4" xfId="43552" xr:uid="{00000000-0005-0000-0000-000002740000}"/>
    <cellStyle name="Note 5" xfId="43553" xr:uid="{00000000-0005-0000-0000-000003740000}"/>
    <cellStyle name="Note 6" xfId="43554" xr:uid="{00000000-0005-0000-0000-000004740000}"/>
    <cellStyle name="Note 7" xfId="43555" xr:uid="{00000000-0005-0000-0000-000005740000}"/>
    <cellStyle name="Note 8" xfId="43556" xr:uid="{00000000-0005-0000-0000-000006740000}"/>
    <cellStyle name="Note 9" xfId="43557" xr:uid="{00000000-0005-0000-0000-000007740000}"/>
    <cellStyle name="Œ…‹æØ‚è [0.00]_PRODUCT DETAIL Q1" xfId="188" xr:uid="{00000000-0005-0000-0000-000008740000}"/>
    <cellStyle name="Œ…‹æØ‚è_PRODUCT DETAIL Q1" xfId="189" xr:uid="{00000000-0005-0000-0000-000009740000}"/>
    <cellStyle name="Output 10" xfId="43558" xr:uid="{00000000-0005-0000-0000-00000A740000}"/>
    <cellStyle name="Output 11" xfId="43559" xr:uid="{00000000-0005-0000-0000-00000B740000}"/>
    <cellStyle name="Output 12" xfId="43560" xr:uid="{00000000-0005-0000-0000-00000C740000}"/>
    <cellStyle name="Output 13" xfId="43561" xr:uid="{00000000-0005-0000-0000-00000D740000}"/>
    <cellStyle name="Output 14" xfId="43562" xr:uid="{00000000-0005-0000-0000-00000E740000}"/>
    <cellStyle name="Output 15" xfId="43563" xr:uid="{00000000-0005-0000-0000-00000F740000}"/>
    <cellStyle name="Output 16" xfId="43564" xr:uid="{00000000-0005-0000-0000-000010740000}"/>
    <cellStyle name="Output 17" xfId="43565" xr:uid="{00000000-0005-0000-0000-000011740000}"/>
    <cellStyle name="Output 18" xfId="43566" xr:uid="{00000000-0005-0000-0000-000012740000}"/>
    <cellStyle name="Output 19" xfId="43567" xr:uid="{00000000-0005-0000-0000-000013740000}"/>
    <cellStyle name="Output 2" xfId="96" xr:uid="{00000000-0005-0000-0000-000014740000}"/>
    <cellStyle name="Output 2 2" xfId="43568" xr:uid="{00000000-0005-0000-0000-000015740000}"/>
    <cellStyle name="Output 20" xfId="43569" xr:uid="{00000000-0005-0000-0000-000016740000}"/>
    <cellStyle name="Output 21" xfId="43570" xr:uid="{00000000-0005-0000-0000-000017740000}"/>
    <cellStyle name="Output 22" xfId="43571" xr:uid="{00000000-0005-0000-0000-000018740000}"/>
    <cellStyle name="Output 23" xfId="43572" xr:uid="{00000000-0005-0000-0000-000019740000}"/>
    <cellStyle name="Output 3" xfId="43573" xr:uid="{00000000-0005-0000-0000-00001A740000}"/>
    <cellStyle name="Output 4" xfId="43574" xr:uid="{00000000-0005-0000-0000-00001B740000}"/>
    <cellStyle name="Output 5" xfId="43575" xr:uid="{00000000-0005-0000-0000-00001C740000}"/>
    <cellStyle name="Output 6" xfId="43576" xr:uid="{00000000-0005-0000-0000-00001D740000}"/>
    <cellStyle name="Output 7" xfId="43577" xr:uid="{00000000-0005-0000-0000-00001E740000}"/>
    <cellStyle name="Output 8" xfId="43578" xr:uid="{00000000-0005-0000-0000-00001F740000}"/>
    <cellStyle name="Output 9" xfId="43579" xr:uid="{00000000-0005-0000-0000-000020740000}"/>
    <cellStyle name="Parent row" xfId="97" xr:uid="{00000000-0005-0000-0000-000021740000}"/>
    <cellStyle name="Percent" xfId="1" builtinId="5"/>
    <cellStyle name="Percent [2]" xfId="190" xr:uid="{00000000-0005-0000-0000-000023740000}"/>
    <cellStyle name="Percent [2] 10" xfId="43580" xr:uid="{00000000-0005-0000-0000-000024740000}"/>
    <cellStyle name="Percent [2] 11" xfId="43581" xr:uid="{00000000-0005-0000-0000-000025740000}"/>
    <cellStyle name="Percent [2] 12" xfId="43582" xr:uid="{00000000-0005-0000-0000-000026740000}"/>
    <cellStyle name="Percent [2] 13" xfId="43583" xr:uid="{00000000-0005-0000-0000-000027740000}"/>
    <cellStyle name="Percent [2] 14" xfId="43584" xr:uid="{00000000-0005-0000-0000-000028740000}"/>
    <cellStyle name="Percent [2] 15" xfId="43585" xr:uid="{00000000-0005-0000-0000-000029740000}"/>
    <cellStyle name="Percent [2] 16" xfId="43586" xr:uid="{00000000-0005-0000-0000-00002A740000}"/>
    <cellStyle name="Percent [2] 17" xfId="43587" xr:uid="{00000000-0005-0000-0000-00002B740000}"/>
    <cellStyle name="Percent [2] 18" xfId="43588" xr:uid="{00000000-0005-0000-0000-00002C740000}"/>
    <cellStyle name="Percent [2] 19" xfId="43589" xr:uid="{00000000-0005-0000-0000-00002D740000}"/>
    <cellStyle name="Percent [2] 2" xfId="43590" xr:uid="{00000000-0005-0000-0000-00002E740000}"/>
    <cellStyle name="Percent [2] 20" xfId="43591" xr:uid="{00000000-0005-0000-0000-00002F740000}"/>
    <cellStyle name="Percent [2] 21" xfId="43592" xr:uid="{00000000-0005-0000-0000-000030740000}"/>
    <cellStyle name="Percent [2] 22" xfId="43593" xr:uid="{00000000-0005-0000-0000-000031740000}"/>
    <cellStyle name="Percent [2] 3" xfId="43594" xr:uid="{00000000-0005-0000-0000-000032740000}"/>
    <cellStyle name="Percent [2] 4" xfId="43595" xr:uid="{00000000-0005-0000-0000-000033740000}"/>
    <cellStyle name="Percent [2] 5" xfId="43596" xr:uid="{00000000-0005-0000-0000-000034740000}"/>
    <cellStyle name="Percent [2] 6" xfId="43597" xr:uid="{00000000-0005-0000-0000-000035740000}"/>
    <cellStyle name="Percent [2] 7" xfId="43598" xr:uid="{00000000-0005-0000-0000-000036740000}"/>
    <cellStyle name="Percent [2] 8" xfId="43599" xr:uid="{00000000-0005-0000-0000-000037740000}"/>
    <cellStyle name="Percent [2] 9" xfId="43600" xr:uid="{00000000-0005-0000-0000-000038740000}"/>
    <cellStyle name="Percent 10" xfId="22" xr:uid="{00000000-0005-0000-0000-000039740000}"/>
    <cellStyle name="Percent 10 2" xfId="43601" xr:uid="{00000000-0005-0000-0000-00003A740000}"/>
    <cellStyle name="Percent 10 2 2" xfId="43602" xr:uid="{00000000-0005-0000-0000-00003B740000}"/>
    <cellStyle name="Percent 10 2 2 2" xfId="43603" xr:uid="{00000000-0005-0000-0000-00003C740000}"/>
    <cellStyle name="Percent 10 2 2 3" xfId="43604" xr:uid="{00000000-0005-0000-0000-00003D740000}"/>
    <cellStyle name="Percent 10 2 3" xfId="43605" xr:uid="{00000000-0005-0000-0000-00003E740000}"/>
    <cellStyle name="Percent 10 2 3 2" xfId="43606" xr:uid="{00000000-0005-0000-0000-00003F740000}"/>
    <cellStyle name="Percent 10 2 3 3" xfId="43607" xr:uid="{00000000-0005-0000-0000-000040740000}"/>
    <cellStyle name="Percent 10 2 4" xfId="43608" xr:uid="{00000000-0005-0000-0000-000041740000}"/>
    <cellStyle name="Percent 10 2 5" xfId="43609" xr:uid="{00000000-0005-0000-0000-000042740000}"/>
    <cellStyle name="Percent 11" xfId="43610" xr:uid="{00000000-0005-0000-0000-000043740000}"/>
    <cellStyle name="Percent 12" xfId="43611" xr:uid="{00000000-0005-0000-0000-000044740000}"/>
    <cellStyle name="Percent 13" xfId="43612" xr:uid="{00000000-0005-0000-0000-000045740000}"/>
    <cellStyle name="Percent 13 2" xfId="43613" xr:uid="{00000000-0005-0000-0000-000046740000}"/>
    <cellStyle name="Percent 13 2 2" xfId="43614" xr:uid="{00000000-0005-0000-0000-000047740000}"/>
    <cellStyle name="Percent 13 2 2 2" xfId="43615" xr:uid="{00000000-0005-0000-0000-000048740000}"/>
    <cellStyle name="Percent 13 2 2 3" xfId="43616" xr:uid="{00000000-0005-0000-0000-000049740000}"/>
    <cellStyle name="Percent 13 2 3" xfId="43617" xr:uid="{00000000-0005-0000-0000-00004A740000}"/>
    <cellStyle name="Percent 13 2 3 2" xfId="43618" xr:uid="{00000000-0005-0000-0000-00004B740000}"/>
    <cellStyle name="Percent 13 2 3 3" xfId="43619" xr:uid="{00000000-0005-0000-0000-00004C740000}"/>
    <cellStyle name="Percent 13 2 4" xfId="43620" xr:uid="{00000000-0005-0000-0000-00004D740000}"/>
    <cellStyle name="Percent 13 2 5" xfId="43621" xr:uid="{00000000-0005-0000-0000-00004E740000}"/>
    <cellStyle name="Percent 14" xfId="43622" xr:uid="{00000000-0005-0000-0000-00004F740000}"/>
    <cellStyle name="Percent 15" xfId="43623" xr:uid="{00000000-0005-0000-0000-000050740000}"/>
    <cellStyle name="Percent 16" xfId="43624" xr:uid="{00000000-0005-0000-0000-000051740000}"/>
    <cellStyle name="Percent 17" xfId="43625" xr:uid="{00000000-0005-0000-0000-000052740000}"/>
    <cellStyle name="Percent 17 2" xfId="43626" xr:uid="{00000000-0005-0000-0000-000053740000}"/>
    <cellStyle name="Percent 17 2 2" xfId="43627" xr:uid="{00000000-0005-0000-0000-000054740000}"/>
    <cellStyle name="Percent 17 2 3" xfId="43628" xr:uid="{00000000-0005-0000-0000-000055740000}"/>
    <cellStyle name="Percent 17 3" xfId="43629" xr:uid="{00000000-0005-0000-0000-000056740000}"/>
    <cellStyle name="Percent 17 3 2" xfId="43630" xr:uid="{00000000-0005-0000-0000-000057740000}"/>
    <cellStyle name="Percent 17 3 3" xfId="43631" xr:uid="{00000000-0005-0000-0000-000058740000}"/>
    <cellStyle name="Percent 17 4" xfId="43632" xr:uid="{00000000-0005-0000-0000-000059740000}"/>
    <cellStyle name="Percent 17 5" xfId="43633" xr:uid="{00000000-0005-0000-0000-00005A740000}"/>
    <cellStyle name="Percent 18" xfId="43634" xr:uid="{00000000-0005-0000-0000-00005B740000}"/>
    <cellStyle name="Percent 18 2" xfId="43635" xr:uid="{00000000-0005-0000-0000-00005C740000}"/>
    <cellStyle name="Percent 18 2 2" xfId="43636" xr:uid="{00000000-0005-0000-0000-00005D740000}"/>
    <cellStyle name="Percent 18 2 3" xfId="43637" xr:uid="{00000000-0005-0000-0000-00005E740000}"/>
    <cellStyle name="Percent 18 3" xfId="43638" xr:uid="{00000000-0005-0000-0000-00005F740000}"/>
    <cellStyle name="Percent 18 3 2" xfId="43639" xr:uid="{00000000-0005-0000-0000-000060740000}"/>
    <cellStyle name="Percent 18 3 3" xfId="43640" xr:uid="{00000000-0005-0000-0000-000061740000}"/>
    <cellStyle name="Percent 18 4" xfId="43641" xr:uid="{00000000-0005-0000-0000-000062740000}"/>
    <cellStyle name="Percent 18 5" xfId="43642" xr:uid="{00000000-0005-0000-0000-000063740000}"/>
    <cellStyle name="Percent 19" xfId="43643" xr:uid="{00000000-0005-0000-0000-000064740000}"/>
    <cellStyle name="Percent 19 2" xfId="43644" xr:uid="{00000000-0005-0000-0000-000065740000}"/>
    <cellStyle name="Percent 2" xfId="98" xr:uid="{00000000-0005-0000-0000-000066740000}"/>
    <cellStyle name="Percent 2 2" xfId="99" xr:uid="{00000000-0005-0000-0000-000067740000}"/>
    <cellStyle name="Percent 2 2 2" xfId="43645" xr:uid="{00000000-0005-0000-0000-000068740000}"/>
    <cellStyle name="Percent 2 3" xfId="43646" xr:uid="{00000000-0005-0000-0000-000069740000}"/>
    <cellStyle name="Percent 20" xfId="43647" xr:uid="{00000000-0005-0000-0000-00006A740000}"/>
    <cellStyle name="Percent 21" xfId="43648" xr:uid="{00000000-0005-0000-0000-00006B740000}"/>
    <cellStyle name="Percent 22" xfId="43649" xr:uid="{00000000-0005-0000-0000-00006C740000}"/>
    <cellStyle name="Percent 23" xfId="43650" xr:uid="{00000000-0005-0000-0000-00006D740000}"/>
    <cellStyle name="Percent 24" xfId="43651" xr:uid="{00000000-0005-0000-0000-00006E740000}"/>
    <cellStyle name="Percent 3" xfId="100" xr:uid="{00000000-0005-0000-0000-00006F740000}"/>
    <cellStyle name="Percent 4" xfId="101" xr:uid="{00000000-0005-0000-0000-000070740000}"/>
    <cellStyle name="Percent 4 2" xfId="26919" xr:uid="{00000000-0005-0000-0000-000071740000}"/>
    <cellStyle name="Percent 5" xfId="191" xr:uid="{00000000-0005-0000-0000-000072740000}"/>
    <cellStyle name="Percent 6" xfId="40803" xr:uid="{00000000-0005-0000-0000-000073740000}"/>
    <cellStyle name="Percent 66" xfId="43652" xr:uid="{00000000-0005-0000-0000-000074740000}"/>
    <cellStyle name="Percent 7" xfId="43653" xr:uid="{00000000-0005-0000-0000-000075740000}"/>
    <cellStyle name="Percent 8" xfId="43654" xr:uid="{00000000-0005-0000-0000-000076740000}"/>
    <cellStyle name="Percent 9" xfId="43655" xr:uid="{00000000-0005-0000-0000-000077740000}"/>
    <cellStyle name="Percent.00" xfId="192" xr:uid="{00000000-0005-0000-0000-000078740000}"/>
    <cellStyle name="producto" xfId="193" xr:uid="{00000000-0005-0000-0000-000079740000}"/>
    <cellStyle name="Reference" xfId="102" xr:uid="{00000000-0005-0000-0000-00007A740000}"/>
    <cellStyle name="RISKbottomEdge" xfId="194" xr:uid="{00000000-0005-0000-0000-00007B740000}"/>
    <cellStyle name="RISKbottomEdge 10" xfId="43656" xr:uid="{00000000-0005-0000-0000-00007C740000}"/>
    <cellStyle name="RISKbottomEdge 11" xfId="43657" xr:uid="{00000000-0005-0000-0000-00007D740000}"/>
    <cellStyle name="RISKbottomEdge 12" xfId="43658" xr:uid="{00000000-0005-0000-0000-00007E740000}"/>
    <cellStyle name="RISKbottomEdge 13" xfId="43659" xr:uid="{00000000-0005-0000-0000-00007F740000}"/>
    <cellStyle name="RISKbottomEdge 14" xfId="43660" xr:uid="{00000000-0005-0000-0000-000080740000}"/>
    <cellStyle name="RISKbottomEdge 15" xfId="43661" xr:uid="{00000000-0005-0000-0000-000081740000}"/>
    <cellStyle name="RISKbottomEdge 16" xfId="43662" xr:uid="{00000000-0005-0000-0000-000082740000}"/>
    <cellStyle name="RISKbottomEdge 17" xfId="43663" xr:uid="{00000000-0005-0000-0000-000083740000}"/>
    <cellStyle name="RISKbottomEdge 18" xfId="43664" xr:uid="{00000000-0005-0000-0000-000084740000}"/>
    <cellStyle name="RISKbottomEdge 19" xfId="43665" xr:uid="{00000000-0005-0000-0000-000085740000}"/>
    <cellStyle name="RISKbottomEdge 2" xfId="195" xr:uid="{00000000-0005-0000-0000-000086740000}"/>
    <cellStyle name="RISKbottomEdge 2 2" xfId="26920" xr:uid="{00000000-0005-0000-0000-000087740000}"/>
    <cellStyle name="RISKbottomEdge 2 2 10" xfId="26921" xr:uid="{00000000-0005-0000-0000-000088740000}"/>
    <cellStyle name="RISKbottomEdge 2 2 10 2" xfId="26922" xr:uid="{00000000-0005-0000-0000-000089740000}"/>
    <cellStyle name="RISKbottomEdge 2 2 10 2 2" xfId="26923" xr:uid="{00000000-0005-0000-0000-00008A740000}"/>
    <cellStyle name="RISKbottomEdge 2 2 10 3" xfId="26924" xr:uid="{00000000-0005-0000-0000-00008B740000}"/>
    <cellStyle name="RISKbottomEdge 2 2 10 3 2" xfId="26925" xr:uid="{00000000-0005-0000-0000-00008C740000}"/>
    <cellStyle name="RISKbottomEdge 2 2 10 4" xfId="26926" xr:uid="{00000000-0005-0000-0000-00008D740000}"/>
    <cellStyle name="RISKbottomEdge 2 2 10 4 2" xfId="26927" xr:uid="{00000000-0005-0000-0000-00008E740000}"/>
    <cellStyle name="RISKbottomEdge 2 2 10 5" xfId="26928" xr:uid="{00000000-0005-0000-0000-00008F740000}"/>
    <cellStyle name="RISKbottomEdge 2 2 10 5 2" xfId="26929" xr:uid="{00000000-0005-0000-0000-000090740000}"/>
    <cellStyle name="RISKbottomEdge 2 2 10 6" xfId="26930" xr:uid="{00000000-0005-0000-0000-000091740000}"/>
    <cellStyle name="RISKbottomEdge 2 2 10 6 2" xfId="26931" xr:uid="{00000000-0005-0000-0000-000092740000}"/>
    <cellStyle name="RISKbottomEdge 2 2 10 7" xfId="26932" xr:uid="{00000000-0005-0000-0000-000093740000}"/>
    <cellStyle name="RISKbottomEdge 2 2 10 7 2" xfId="26933" xr:uid="{00000000-0005-0000-0000-000094740000}"/>
    <cellStyle name="RISKbottomEdge 2 2 10 8" xfId="26934" xr:uid="{00000000-0005-0000-0000-000095740000}"/>
    <cellStyle name="RISKbottomEdge 2 2 10 8 2" xfId="26935" xr:uid="{00000000-0005-0000-0000-000096740000}"/>
    <cellStyle name="RISKbottomEdge 2 2 10 9" xfId="26936" xr:uid="{00000000-0005-0000-0000-000097740000}"/>
    <cellStyle name="RISKbottomEdge 2 2 11" xfId="26937" xr:uid="{00000000-0005-0000-0000-000098740000}"/>
    <cellStyle name="RISKbottomEdge 2 2 11 2" xfId="26938" xr:uid="{00000000-0005-0000-0000-000099740000}"/>
    <cellStyle name="RISKbottomEdge 2 2 12" xfId="26939" xr:uid="{00000000-0005-0000-0000-00009A740000}"/>
    <cellStyle name="RISKbottomEdge 2 2 12 2" xfId="26940" xr:uid="{00000000-0005-0000-0000-00009B740000}"/>
    <cellStyle name="RISKbottomEdge 2 2 13" xfId="26941" xr:uid="{00000000-0005-0000-0000-00009C740000}"/>
    <cellStyle name="RISKbottomEdge 2 2 13 2" xfId="26942" xr:uid="{00000000-0005-0000-0000-00009D740000}"/>
    <cellStyle name="RISKbottomEdge 2 2 14" xfId="26943" xr:uid="{00000000-0005-0000-0000-00009E740000}"/>
    <cellStyle name="RISKbottomEdge 2 2 14 2" xfId="26944" xr:uid="{00000000-0005-0000-0000-00009F740000}"/>
    <cellStyle name="RISKbottomEdge 2 2 15" xfId="26945" xr:uid="{00000000-0005-0000-0000-0000A0740000}"/>
    <cellStyle name="RISKbottomEdge 2 2 15 2" xfId="26946" xr:uid="{00000000-0005-0000-0000-0000A1740000}"/>
    <cellStyle name="RISKbottomEdge 2 2 16" xfId="26947" xr:uid="{00000000-0005-0000-0000-0000A2740000}"/>
    <cellStyle name="RISKbottomEdge 2 2 16 2" xfId="26948" xr:uid="{00000000-0005-0000-0000-0000A3740000}"/>
    <cellStyle name="RISKbottomEdge 2 2 17" xfId="26949" xr:uid="{00000000-0005-0000-0000-0000A4740000}"/>
    <cellStyle name="RISKbottomEdge 2 2 17 2" xfId="26950" xr:uid="{00000000-0005-0000-0000-0000A5740000}"/>
    <cellStyle name="RISKbottomEdge 2 2 18" xfId="26951" xr:uid="{00000000-0005-0000-0000-0000A6740000}"/>
    <cellStyle name="RISKbottomEdge 2 2 2" xfId="26952" xr:uid="{00000000-0005-0000-0000-0000A7740000}"/>
    <cellStyle name="RISKbottomEdge 2 2 2 10" xfId="26953" xr:uid="{00000000-0005-0000-0000-0000A8740000}"/>
    <cellStyle name="RISKbottomEdge 2 2 2 2" xfId="26954" xr:uid="{00000000-0005-0000-0000-0000A9740000}"/>
    <cellStyle name="RISKbottomEdge 2 2 2 2 2" xfId="26955" xr:uid="{00000000-0005-0000-0000-0000AA740000}"/>
    <cellStyle name="RISKbottomEdge 2 2 2 3" xfId="26956" xr:uid="{00000000-0005-0000-0000-0000AB740000}"/>
    <cellStyle name="RISKbottomEdge 2 2 2 3 2" xfId="26957" xr:uid="{00000000-0005-0000-0000-0000AC740000}"/>
    <cellStyle name="RISKbottomEdge 2 2 2 4" xfId="26958" xr:uid="{00000000-0005-0000-0000-0000AD740000}"/>
    <cellStyle name="RISKbottomEdge 2 2 2 4 2" xfId="26959" xr:uid="{00000000-0005-0000-0000-0000AE740000}"/>
    <cellStyle name="RISKbottomEdge 2 2 2 5" xfId="26960" xr:uid="{00000000-0005-0000-0000-0000AF740000}"/>
    <cellStyle name="RISKbottomEdge 2 2 2 5 2" xfId="26961" xr:uid="{00000000-0005-0000-0000-0000B0740000}"/>
    <cellStyle name="RISKbottomEdge 2 2 2 6" xfId="26962" xr:uid="{00000000-0005-0000-0000-0000B1740000}"/>
    <cellStyle name="RISKbottomEdge 2 2 2 6 2" xfId="26963" xr:uid="{00000000-0005-0000-0000-0000B2740000}"/>
    <cellStyle name="RISKbottomEdge 2 2 2 7" xfId="26964" xr:uid="{00000000-0005-0000-0000-0000B3740000}"/>
    <cellStyle name="RISKbottomEdge 2 2 2 7 2" xfId="26965" xr:uid="{00000000-0005-0000-0000-0000B4740000}"/>
    <cellStyle name="RISKbottomEdge 2 2 2 8" xfId="26966" xr:uid="{00000000-0005-0000-0000-0000B5740000}"/>
    <cellStyle name="RISKbottomEdge 2 2 2 8 2" xfId="26967" xr:uid="{00000000-0005-0000-0000-0000B6740000}"/>
    <cellStyle name="RISKbottomEdge 2 2 2 9" xfId="26968" xr:uid="{00000000-0005-0000-0000-0000B7740000}"/>
    <cellStyle name="RISKbottomEdge 2 2 2 9 2" xfId="26969" xr:uid="{00000000-0005-0000-0000-0000B8740000}"/>
    <cellStyle name="RISKbottomEdge 2 2 3" xfId="26970" xr:uid="{00000000-0005-0000-0000-0000B9740000}"/>
    <cellStyle name="RISKbottomEdge 2 2 3 10" xfId="26971" xr:uid="{00000000-0005-0000-0000-0000BA740000}"/>
    <cellStyle name="RISKbottomEdge 2 2 3 2" xfId="26972" xr:uid="{00000000-0005-0000-0000-0000BB740000}"/>
    <cellStyle name="RISKbottomEdge 2 2 3 2 2" xfId="26973" xr:uid="{00000000-0005-0000-0000-0000BC740000}"/>
    <cellStyle name="RISKbottomEdge 2 2 3 3" xfId="26974" xr:uid="{00000000-0005-0000-0000-0000BD740000}"/>
    <cellStyle name="RISKbottomEdge 2 2 3 3 2" xfId="26975" xr:uid="{00000000-0005-0000-0000-0000BE740000}"/>
    <cellStyle name="RISKbottomEdge 2 2 3 4" xfId="26976" xr:uid="{00000000-0005-0000-0000-0000BF740000}"/>
    <cellStyle name="RISKbottomEdge 2 2 3 4 2" xfId="26977" xr:uid="{00000000-0005-0000-0000-0000C0740000}"/>
    <cellStyle name="RISKbottomEdge 2 2 3 5" xfId="26978" xr:uid="{00000000-0005-0000-0000-0000C1740000}"/>
    <cellStyle name="RISKbottomEdge 2 2 3 5 2" xfId="26979" xr:uid="{00000000-0005-0000-0000-0000C2740000}"/>
    <cellStyle name="RISKbottomEdge 2 2 3 6" xfId="26980" xr:uid="{00000000-0005-0000-0000-0000C3740000}"/>
    <cellStyle name="RISKbottomEdge 2 2 3 6 2" xfId="26981" xr:uid="{00000000-0005-0000-0000-0000C4740000}"/>
    <cellStyle name="RISKbottomEdge 2 2 3 7" xfId="26982" xr:uid="{00000000-0005-0000-0000-0000C5740000}"/>
    <cellStyle name="RISKbottomEdge 2 2 3 7 2" xfId="26983" xr:uid="{00000000-0005-0000-0000-0000C6740000}"/>
    <cellStyle name="RISKbottomEdge 2 2 3 8" xfId="26984" xr:uid="{00000000-0005-0000-0000-0000C7740000}"/>
    <cellStyle name="RISKbottomEdge 2 2 3 8 2" xfId="26985" xr:uid="{00000000-0005-0000-0000-0000C8740000}"/>
    <cellStyle name="RISKbottomEdge 2 2 3 9" xfId="26986" xr:uid="{00000000-0005-0000-0000-0000C9740000}"/>
    <cellStyle name="RISKbottomEdge 2 2 3 9 2" xfId="26987" xr:uid="{00000000-0005-0000-0000-0000CA740000}"/>
    <cellStyle name="RISKbottomEdge 2 2 4" xfId="26988" xr:uid="{00000000-0005-0000-0000-0000CB740000}"/>
    <cellStyle name="RISKbottomEdge 2 2 4 10" xfId="26989" xr:uid="{00000000-0005-0000-0000-0000CC740000}"/>
    <cellStyle name="RISKbottomEdge 2 2 4 2" xfId="26990" xr:uid="{00000000-0005-0000-0000-0000CD740000}"/>
    <cellStyle name="RISKbottomEdge 2 2 4 2 2" xfId="26991" xr:uid="{00000000-0005-0000-0000-0000CE740000}"/>
    <cellStyle name="RISKbottomEdge 2 2 4 3" xfId="26992" xr:uid="{00000000-0005-0000-0000-0000CF740000}"/>
    <cellStyle name="RISKbottomEdge 2 2 4 3 2" xfId="26993" xr:uid="{00000000-0005-0000-0000-0000D0740000}"/>
    <cellStyle name="RISKbottomEdge 2 2 4 4" xfId="26994" xr:uid="{00000000-0005-0000-0000-0000D1740000}"/>
    <cellStyle name="RISKbottomEdge 2 2 4 4 2" xfId="26995" xr:uid="{00000000-0005-0000-0000-0000D2740000}"/>
    <cellStyle name="RISKbottomEdge 2 2 4 5" xfId="26996" xr:uid="{00000000-0005-0000-0000-0000D3740000}"/>
    <cellStyle name="RISKbottomEdge 2 2 4 5 2" xfId="26997" xr:uid="{00000000-0005-0000-0000-0000D4740000}"/>
    <cellStyle name="RISKbottomEdge 2 2 4 6" xfId="26998" xr:uid="{00000000-0005-0000-0000-0000D5740000}"/>
    <cellStyle name="RISKbottomEdge 2 2 4 6 2" xfId="26999" xr:uid="{00000000-0005-0000-0000-0000D6740000}"/>
    <cellStyle name="RISKbottomEdge 2 2 4 7" xfId="27000" xr:uid="{00000000-0005-0000-0000-0000D7740000}"/>
    <cellStyle name="RISKbottomEdge 2 2 4 7 2" xfId="27001" xr:uid="{00000000-0005-0000-0000-0000D8740000}"/>
    <cellStyle name="RISKbottomEdge 2 2 4 8" xfId="27002" xr:uid="{00000000-0005-0000-0000-0000D9740000}"/>
    <cellStyle name="RISKbottomEdge 2 2 4 8 2" xfId="27003" xr:uid="{00000000-0005-0000-0000-0000DA740000}"/>
    <cellStyle name="RISKbottomEdge 2 2 4 9" xfId="27004" xr:uid="{00000000-0005-0000-0000-0000DB740000}"/>
    <cellStyle name="RISKbottomEdge 2 2 4 9 2" xfId="27005" xr:uid="{00000000-0005-0000-0000-0000DC740000}"/>
    <cellStyle name="RISKbottomEdge 2 2 5" xfId="27006" xr:uid="{00000000-0005-0000-0000-0000DD740000}"/>
    <cellStyle name="RISKbottomEdge 2 2 5 10" xfId="27007" xr:uid="{00000000-0005-0000-0000-0000DE740000}"/>
    <cellStyle name="RISKbottomEdge 2 2 5 2" xfId="27008" xr:uid="{00000000-0005-0000-0000-0000DF740000}"/>
    <cellStyle name="RISKbottomEdge 2 2 5 2 2" xfId="27009" xr:uid="{00000000-0005-0000-0000-0000E0740000}"/>
    <cellStyle name="RISKbottomEdge 2 2 5 3" xfId="27010" xr:uid="{00000000-0005-0000-0000-0000E1740000}"/>
    <cellStyle name="RISKbottomEdge 2 2 5 3 2" xfId="27011" xr:uid="{00000000-0005-0000-0000-0000E2740000}"/>
    <cellStyle name="RISKbottomEdge 2 2 5 4" xfId="27012" xr:uid="{00000000-0005-0000-0000-0000E3740000}"/>
    <cellStyle name="RISKbottomEdge 2 2 5 4 2" xfId="27013" xr:uid="{00000000-0005-0000-0000-0000E4740000}"/>
    <cellStyle name="RISKbottomEdge 2 2 5 5" xfId="27014" xr:uid="{00000000-0005-0000-0000-0000E5740000}"/>
    <cellStyle name="RISKbottomEdge 2 2 5 5 2" xfId="27015" xr:uid="{00000000-0005-0000-0000-0000E6740000}"/>
    <cellStyle name="RISKbottomEdge 2 2 5 6" xfId="27016" xr:uid="{00000000-0005-0000-0000-0000E7740000}"/>
    <cellStyle name="RISKbottomEdge 2 2 5 6 2" xfId="27017" xr:uid="{00000000-0005-0000-0000-0000E8740000}"/>
    <cellStyle name="RISKbottomEdge 2 2 5 7" xfId="27018" xr:uid="{00000000-0005-0000-0000-0000E9740000}"/>
    <cellStyle name="RISKbottomEdge 2 2 5 7 2" xfId="27019" xr:uid="{00000000-0005-0000-0000-0000EA740000}"/>
    <cellStyle name="RISKbottomEdge 2 2 5 8" xfId="27020" xr:uid="{00000000-0005-0000-0000-0000EB740000}"/>
    <cellStyle name="RISKbottomEdge 2 2 5 8 2" xfId="27021" xr:uid="{00000000-0005-0000-0000-0000EC740000}"/>
    <cellStyle name="RISKbottomEdge 2 2 5 9" xfId="27022" xr:uid="{00000000-0005-0000-0000-0000ED740000}"/>
    <cellStyle name="RISKbottomEdge 2 2 5 9 2" xfId="27023" xr:uid="{00000000-0005-0000-0000-0000EE740000}"/>
    <cellStyle name="RISKbottomEdge 2 2 6" xfId="27024" xr:uid="{00000000-0005-0000-0000-0000EF740000}"/>
    <cellStyle name="RISKbottomEdge 2 2 6 10" xfId="27025" xr:uid="{00000000-0005-0000-0000-0000F0740000}"/>
    <cellStyle name="RISKbottomEdge 2 2 6 2" xfId="27026" xr:uid="{00000000-0005-0000-0000-0000F1740000}"/>
    <cellStyle name="RISKbottomEdge 2 2 6 2 2" xfId="27027" xr:uid="{00000000-0005-0000-0000-0000F2740000}"/>
    <cellStyle name="RISKbottomEdge 2 2 6 3" xfId="27028" xr:uid="{00000000-0005-0000-0000-0000F3740000}"/>
    <cellStyle name="RISKbottomEdge 2 2 6 3 2" xfId="27029" xr:uid="{00000000-0005-0000-0000-0000F4740000}"/>
    <cellStyle name="RISKbottomEdge 2 2 6 4" xfId="27030" xr:uid="{00000000-0005-0000-0000-0000F5740000}"/>
    <cellStyle name="RISKbottomEdge 2 2 6 4 2" xfId="27031" xr:uid="{00000000-0005-0000-0000-0000F6740000}"/>
    <cellStyle name="RISKbottomEdge 2 2 6 5" xfId="27032" xr:uid="{00000000-0005-0000-0000-0000F7740000}"/>
    <cellStyle name="RISKbottomEdge 2 2 6 5 2" xfId="27033" xr:uid="{00000000-0005-0000-0000-0000F8740000}"/>
    <cellStyle name="RISKbottomEdge 2 2 6 6" xfId="27034" xr:uid="{00000000-0005-0000-0000-0000F9740000}"/>
    <cellStyle name="RISKbottomEdge 2 2 6 6 2" xfId="27035" xr:uid="{00000000-0005-0000-0000-0000FA740000}"/>
    <cellStyle name="RISKbottomEdge 2 2 6 7" xfId="27036" xr:uid="{00000000-0005-0000-0000-0000FB740000}"/>
    <cellStyle name="RISKbottomEdge 2 2 6 7 2" xfId="27037" xr:uid="{00000000-0005-0000-0000-0000FC740000}"/>
    <cellStyle name="RISKbottomEdge 2 2 6 8" xfId="27038" xr:uid="{00000000-0005-0000-0000-0000FD740000}"/>
    <cellStyle name="RISKbottomEdge 2 2 6 8 2" xfId="27039" xr:uid="{00000000-0005-0000-0000-0000FE740000}"/>
    <cellStyle name="RISKbottomEdge 2 2 6 9" xfId="27040" xr:uid="{00000000-0005-0000-0000-0000FF740000}"/>
    <cellStyle name="RISKbottomEdge 2 2 6 9 2" xfId="27041" xr:uid="{00000000-0005-0000-0000-000000750000}"/>
    <cellStyle name="RISKbottomEdge 2 2 7" xfId="27042" xr:uid="{00000000-0005-0000-0000-000001750000}"/>
    <cellStyle name="RISKbottomEdge 2 2 7 10" xfId="27043" xr:uid="{00000000-0005-0000-0000-000002750000}"/>
    <cellStyle name="RISKbottomEdge 2 2 7 2" xfId="27044" xr:uid="{00000000-0005-0000-0000-000003750000}"/>
    <cellStyle name="RISKbottomEdge 2 2 7 2 2" xfId="27045" xr:uid="{00000000-0005-0000-0000-000004750000}"/>
    <cellStyle name="RISKbottomEdge 2 2 7 3" xfId="27046" xr:uid="{00000000-0005-0000-0000-000005750000}"/>
    <cellStyle name="RISKbottomEdge 2 2 7 3 2" xfId="27047" xr:uid="{00000000-0005-0000-0000-000006750000}"/>
    <cellStyle name="RISKbottomEdge 2 2 7 4" xfId="27048" xr:uid="{00000000-0005-0000-0000-000007750000}"/>
    <cellStyle name="RISKbottomEdge 2 2 7 4 2" xfId="27049" xr:uid="{00000000-0005-0000-0000-000008750000}"/>
    <cellStyle name="RISKbottomEdge 2 2 7 5" xfId="27050" xr:uid="{00000000-0005-0000-0000-000009750000}"/>
    <cellStyle name="RISKbottomEdge 2 2 7 5 2" xfId="27051" xr:uid="{00000000-0005-0000-0000-00000A750000}"/>
    <cellStyle name="RISKbottomEdge 2 2 7 6" xfId="27052" xr:uid="{00000000-0005-0000-0000-00000B750000}"/>
    <cellStyle name="RISKbottomEdge 2 2 7 6 2" xfId="27053" xr:uid="{00000000-0005-0000-0000-00000C750000}"/>
    <cellStyle name="RISKbottomEdge 2 2 7 7" xfId="27054" xr:uid="{00000000-0005-0000-0000-00000D750000}"/>
    <cellStyle name="RISKbottomEdge 2 2 7 7 2" xfId="27055" xr:uid="{00000000-0005-0000-0000-00000E750000}"/>
    <cellStyle name="RISKbottomEdge 2 2 7 8" xfId="27056" xr:uid="{00000000-0005-0000-0000-00000F750000}"/>
    <cellStyle name="RISKbottomEdge 2 2 7 8 2" xfId="27057" xr:uid="{00000000-0005-0000-0000-000010750000}"/>
    <cellStyle name="RISKbottomEdge 2 2 7 9" xfId="27058" xr:uid="{00000000-0005-0000-0000-000011750000}"/>
    <cellStyle name="RISKbottomEdge 2 2 7 9 2" xfId="27059" xr:uid="{00000000-0005-0000-0000-000012750000}"/>
    <cellStyle name="RISKbottomEdge 2 2 8" xfId="27060" xr:uid="{00000000-0005-0000-0000-000013750000}"/>
    <cellStyle name="RISKbottomEdge 2 2 8 10" xfId="27061" xr:uid="{00000000-0005-0000-0000-000014750000}"/>
    <cellStyle name="RISKbottomEdge 2 2 8 2" xfId="27062" xr:uid="{00000000-0005-0000-0000-000015750000}"/>
    <cellStyle name="RISKbottomEdge 2 2 8 2 2" xfId="27063" xr:uid="{00000000-0005-0000-0000-000016750000}"/>
    <cellStyle name="RISKbottomEdge 2 2 8 3" xfId="27064" xr:uid="{00000000-0005-0000-0000-000017750000}"/>
    <cellStyle name="RISKbottomEdge 2 2 8 3 2" xfId="27065" xr:uid="{00000000-0005-0000-0000-000018750000}"/>
    <cellStyle name="RISKbottomEdge 2 2 8 4" xfId="27066" xr:uid="{00000000-0005-0000-0000-000019750000}"/>
    <cellStyle name="RISKbottomEdge 2 2 8 4 2" xfId="27067" xr:uid="{00000000-0005-0000-0000-00001A750000}"/>
    <cellStyle name="RISKbottomEdge 2 2 8 5" xfId="27068" xr:uid="{00000000-0005-0000-0000-00001B750000}"/>
    <cellStyle name="RISKbottomEdge 2 2 8 5 2" xfId="27069" xr:uid="{00000000-0005-0000-0000-00001C750000}"/>
    <cellStyle name="RISKbottomEdge 2 2 8 6" xfId="27070" xr:uid="{00000000-0005-0000-0000-00001D750000}"/>
    <cellStyle name="RISKbottomEdge 2 2 8 6 2" xfId="27071" xr:uid="{00000000-0005-0000-0000-00001E750000}"/>
    <cellStyle name="RISKbottomEdge 2 2 8 7" xfId="27072" xr:uid="{00000000-0005-0000-0000-00001F750000}"/>
    <cellStyle name="RISKbottomEdge 2 2 8 7 2" xfId="27073" xr:uid="{00000000-0005-0000-0000-000020750000}"/>
    <cellStyle name="RISKbottomEdge 2 2 8 8" xfId="27074" xr:uid="{00000000-0005-0000-0000-000021750000}"/>
    <cellStyle name="RISKbottomEdge 2 2 8 8 2" xfId="27075" xr:uid="{00000000-0005-0000-0000-000022750000}"/>
    <cellStyle name="RISKbottomEdge 2 2 8 9" xfId="27076" xr:uid="{00000000-0005-0000-0000-000023750000}"/>
    <cellStyle name="RISKbottomEdge 2 2 8 9 2" xfId="27077" xr:uid="{00000000-0005-0000-0000-000024750000}"/>
    <cellStyle name="RISKbottomEdge 2 2 9" xfId="27078" xr:uid="{00000000-0005-0000-0000-000025750000}"/>
    <cellStyle name="RISKbottomEdge 2 2 9 10" xfId="27079" xr:uid="{00000000-0005-0000-0000-000026750000}"/>
    <cellStyle name="RISKbottomEdge 2 2 9 2" xfId="27080" xr:uid="{00000000-0005-0000-0000-000027750000}"/>
    <cellStyle name="RISKbottomEdge 2 2 9 2 2" xfId="27081" xr:uid="{00000000-0005-0000-0000-000028750000}"/>
    <cellStyle name="RISKbottomEdge 2 2 9 3" xfId="27082" xr:uid="{00000000-0005-0000-0000-000029750000}"/>
    <cellStyle name="RISKbottomEdge 2 2 9 3 2" xfId="27083" xr:uid="{00000000-0005-0000-0000-00002A750000}"/>
    <cellStyle name="RISKbottomEdge 2 2 9 4" xfId="27084" xr:uid="{00000000-0005-0000-0000-00002B750000}"/>
    <cellStyle name="RISKbottomEdge 2 2 9 4 2" xfId="27085" xr:uid="{00000000-0005-0000-0000-00002C750000}"/>
    <cellStyle name="RISKbottomEdge 2 2 9 5" xfId="27086" xr:uid="{00000000-0005-0000-0000-00002D750000}"/>
    <cellStyle name="RISKbottomEdge 2 2 9 5 2" xfId="27087" xr:uid="{00000000-0005-0000-0000-00002E750000}"/>
    <cellStyle name="RISKbottomEdge 2 2 9 6" xfId="27088" xr:uid="{00000000-0005-0000-0000-00002F750000}"/>
    <cellStyle name="RISKbottomEdge 2 2 9 6 2" xfId="27089" xr:uid="{00000000-0005-0000-0000-000030750000}"/>
    <cellStyle name="RISKbottomEdge 2 2 9 7" xfId="27090" xr:uid="{00000000-0005-0000-0000-000031750000}"/>
    <cellStyle name="RISKbottomEdge 2 2 9 7 2" xfId="27091" xr:uid="{00000000-0005-0000-0000-000032750000}"/>
    <cellStyle name="RISKbottomEdge 2 2 9 8" xfId="27092" xr:uid="{00000000-0005-0000-0000-000033750000}"/>
    <cellStyle name="RISKbottomEdge 2 2 9 8 2" xfId="27093" xr:uid="{00000000-0005-0000-0000-000034750000}"/>
    <cellStyle name="RISKbottomEdge 2 2 9 9" xfId="27094" xr:uid="{00000000-0005-0000-0000-000035750000}"/>
    <cellStyle name="RISKbottomEdge 2 2 9 9 2" xfId="27095" xr:uid="{00000000-0005-0000-0000-000036750000}"/>
    <cellStyle name="RISKbottomEdge 20" xfId="43666" xr:uid="{00000000-0005-0000-0000-000037750000}"/>
    <cellStyle name="RISKbottomEdge 21" xfId="43667" xr:uid="{00000000-0005-0000-0000-000038750000}"/>
    <cellStyle name="RISKbottomEdge 22" xfId="43668" xr:uid="{00000000-0005-0000-0000-000039750000}"/>
    <cellStyle name="RISKbottomEdge 3" xfId="27096" xr:uid="{00000000-0005-0000-0000-00003A750000}"/>
    <cellStyle name="RISKbottomEdge 3 10" xfId="27097" xr:uid="{00000000-0005-0000-0000-00003B750000}"/>
    <cellStyle name="RISKbottomEdge 3 10 2" xfId="27098" xr:uid="{00000000-0005-0000-0000-00003C750000}"/>
    <cellStyle name="RISKbottomEdge 3 10 2 2" xfId="27099" xr:uid="{00000000-0005-0000-0000-00003D750000}"/>
    <cellStyle name="RISKbottomEdge 3 10 3" xfId="27100" xr:uid="{00000000-0005-0000-0000-00003E750000}"/>
    <cellStyle name="RISKbottomEdge 3 10 3 2" xfId="27101" xr:uid="{00000000-0005-0000-0000-00003F750000}"/>
    <cellStyle name="RISKbottomEdge 3 10 4" xfId="27102" xr:uid="{00000000-0005-0000-0000-000040750000}"/>
    <cellStyle name="RISKbottomEdge 3 10 4 2" xfId="27103" xr:uid="{00000000-0005-0000-0000-000041750000}"/>
    <cellStyle name="RISKbottomEdge 3 10 5" xfId="27104" xr:uid="{00000000-0005-0000-0000-000042750000}"/>
    <cellStyle name="RISKbottomEdge 3 10 5 2" xfId="27105" xr:uid="{00000000-0005-0000-0000-000043750000}"/>
    <cellStyle name="RISKbottomEdge 3 10 6" xfId="27106" xr:uid="{00000000-0005-0000-0000-000044750000}"/>
    <cellStyle name="RISKbottomEdge 3 10 6 2" xfId="27107" xr:uid="{00000000-0005-0000-0000-000045750000}"/>
    <cellStyle name="RISKbottomEdge 3 10 7" xfId="27108" xr:uid="{00000000-0005-0000-0000-000046750000}"/>
    <cellStyle name="RISKbottomEdge 3 10 7 2" xfId="27109" xr:uid="{00000000-0005-0000-0000-000047750000}"/>
    <cellStyle name="RISKbottomEdge 3 10 8" xfId="27110" xr:uid="{00000000-0005-0000-0000-000048750000}"/>
    <cellStyle name="RISKbottomEdge 3 10 8 2" xfId="27111" xr:uid="{00000000-0005-0000-0000-000049750000}"/>
    <cellStyle name="RISKbottomEdge 3 10 9" xfId="27112" xr:uid="{00000000-0005-0000-0000-00004A750000}"/>
    <cellStyle name="RISKbottomEdge 3 11" xfId="27113" xr:uid="{00000000-0005-0000-0000-00004B750000}"/>
    <cellStyle name="RISKbottomEdge 3 11 2" xfId="27114" xr:uid="{00000000-0005-0000-0000-00004C750000}"/>
    <cellStyle name="RISKbottomEdge 3 12" xfId="27115" xr:uid="{00000000-0005-0000-0000-00004D750000}"/>
    <cellStyle name="RISKbottomEdge 3 12 2" xfId="27116" xr:uid="{00000000-0005-0000-0000-00004E750000}"/>
    <cellStyle name="RISKbottomEdge 3 13" xfId="27117" xr:uid="{00000000-0005-0000-0000-00004F750000}"/>
    <cellStyle name="RISKbottomEdge 3 13 2" xfId="27118" xr:uid="{00000000-0005-0000-0000-000050750000}"/>
    <cellStyle name="RISKbottomEdge 3 14" xfId="27119" xr:uid="{00000000-0005-0000-0000-000051750000}"/>
    <cellStyle name="RISKbottomEdge 3 14 2" xfId="27120" xr:uid="{00000000-0005-0000-0000-000052750000}"/>
    <cellStyle name="RISKbottomEdge 3 15" xfId="27121" xr:uid="{00000000-0005-0000-0000-000053750000}"/>
    <cellStyle name="RISKbottomEdge 3 15 2" xfId="27122" xr:uid="{00000000-0005-0000-0000-000054750000}"/>
    <cellStyle name="RISKbottomEdge 3 16" xfId="27123" xr:uid="{00000000-0005-0000-0000-000055750000}"/>
    <cellStyle name="RISKbottomEdge 3 16 2" xfId="27124" xr:uid="{00000000-0005-0000-0000-000056750000}"/>
    <cellStyle name="RISKbottomEdge 3 17" xfId="27125" xr:uid="{00000000-0005-0000-0000-000057750000}"/>
    <cellStyle name="RISKbottomEdge 3 17 2" xfId="27126" xr:uid="{00000000-0005-0000-0000-000058750000}"/>
    <cellStyle name="RISKbottomEdge 3 18" xfId="27127" xr:uid="{00000000-0005-0000-0000-000059750000}"/>
    <cellStyle name="RISKbottomEdge 3 2" xfId="27128" xr:uid="{00000000-0005-0000-0000-00005A750000}"/>
    <cellStyle name="RISKbottomEdge 3 2 10" xfId="27129" xr:uid="{00000000-0005-0000-0000-00005B750000}"/>
    <cellStyle name="RISKbottomEdge 3 2 2" xfId="27130" xr:uid="{00000000-0005-0000-0000-00005C750000}"/>
    <cellStyle name="RISKbottomEdge 3 2 2 2" xfId="27131" xr:uid="{00000000-0005-0000-0000-00005D750000}"/>
    <cellStyle name="RISKbottomEdge 3 2 3" xfId="27132" xr:uid="{00000000-0005-0000-0000-00005E750000}"/>
    <cellStyle name="RISKbottomEdge 3 2 3 2" xfId="27133" xr:uid="{00000000-0005-0000-0000-00005F750000}"/>
    <cellStyle name="RISKbottomEdge 3 2 4" xfId="27134" xr:uid="{00000000-0005-0000-0000-000060750000}"/>
    <cellStyle name="RISKbottomEdge 3 2 4 2" xfId="27135" xr:uid="{00000000-0005-0000-0000-000061750000}"/>
    <cellStyle name="RISKbottomEdge 3 2 5" xfId="27136" xr:uid="{00000000-0005-0000-0000-000062750000}"/>
    <cellStyle name="RISKbottomEdge 3 2 5 2" xfId="27137" xr:uid="{00000000-0005-0000-0000-000063750000}"/>
    <cellStyle name="RISKbottomEdge 3 2 6" xfId="27138" xr:uid="{00000000-0005-0000-0000-000064750000}"/>
    <cellStyle name="RISKbottomEdge 3 2 6 2" xfId="27139" xr:uid="{00000000-0005-0000-0000-000065750000}"/>
    <cellStyle name="RISKbottomEdge 3 2 7" xfId="27140" xr:uid="{00000000-0005-0000-0000-000066750000}"/>
    <cellStyle name="RISKbottomEdge 3 2 7 2" xfId="27141" xr:uid="{00000000-0005-0000-0000-000067750000}"/>
    <cellStyle name="RISKbottomEdge 3 2 8" xfId="27142" xr:uid="{00000000-0005-0000-0000-000068750000}"/>
    <cellStyle name="RISKbottomEdge 3 2 8 2" xfId="27143" xr:uid="{00000000-0005-0000-0000-000069750000}"/>
    <cellStyle name="RISKbottomEdge 3 2 9" xfId="27144" xr:uid="{00000000-0005-0000-0000-00006A750000}"/>
    <cellStyle name="RISKbottomEdge 3 2 9 2" xfId="27145" xr:uid="{00000000-0005-0000-0000-00006B750000}"/>
    <cellStyle name="RISKbottomEdge 3 3" xfId="27146" xr:uid="{00000000-0005-0000-0000-00006C750000}"/>
    <cellStyle name="RISKbottomEdge 3 3 10" xfId="27147" xr:uid="{00000000-0005-0000-0000-00006D750000}"/>
    <cellStyle name="RISKbottomEdge 3 3 2" xfId="27148" xr:uid="{00000000-0005-0000-0000-00006E750000}"/>
    <cellStyle name="RISKbottomEdge 3 3 2 2" xfId="27149" xr:uid="{00000000-0005-0000-0000-00006F750000}"/>
    <cellStyle name="RISKbottomEdge 3 3 3" xfId="27150" xr:uid="{00000000-0005-0000-0000-000070750000}"/>
    <cellStyle name="RISKbottomEdge 3 3 3 2" xfId="27151" xr:uid="{00000000-0005-0000-0000-000071750000}"/>
    <cellStyle name="RISKbottomEdge 3 3 4" xfId="27152" xr:uid="{00000000-0005-0000-0000-000072750000}"/>
    <cellStyle name="RISKbottomEdge 3 3 4 2" xfId="27153" xr:uid="{00000000-0005-0000-0000-000073750000}"/>
    <cellStyle name="RISKbottomEdge 3 3 5" xfId="27154" xr:uid="{00000000-0005-0000-0000-000074750000}"/>
    <cellStyle name="RISKbottomEdge 3 3 5 2" xfId="27155" xr:uid="{00000000-0005-0000-0000-000075750000}"/>
    <cellStyle name="RISKbottomEdge 3 3 6" xfId="27156" xr:uid="{00000000-0005-0000-0000-000076750000}"/>
    <cellStyle name="RISKbottomEdge 3 3 6 2" xfId="27157" xr:uid="{00000000-0005-0000-0000-000077750000}"/>
    <cellStyle name="RISKbottomEdge 3 3 7" xfId="27158" xr:uid="{00000000-0005-0000-0000-000078750000}"/>
    <cellStyle name="RISKbottomEdge 3 3 7 2" xfId="27159" xr:uid="{00000000-0005-0000-0000-000079750000}"/>
    <cellStyle name="RISKbottomEdge 3 3 8" xfId="27160" xr:uid="{00000000-0005-0000-0000-00007A750000}"/>
    <cellStyle name="RISKbottomEdge 3 3 8 2" xfId="27161" xr:uid="{00000000-0005-0000-0000-00007B750000}"/>
    <cellStyle name="RISKbottomEdge 3 3 9" xfId="27162" xr:uid="{00000000-0005-0000-0000-00007C750000}"/>
    <cellStyle name="RISKbottomEdge 3 3 9 2" xfId="27163" xr:uid="{00000000-0005-0000-0000-00007D750000}"/>
    <cellStyle name="RISKbottomEdge 3 4" xfId="27164" xr:uid="{00000000-0005-0000-0000-00007E750000}"/>
    <cellStyle name="RISKbottomEdge 3 4 10" xfId="27165" xr:uid="{00000000-0005-0000-0000-00007F750000}"/>
    <cellStyle name="RISKbottomEdge 3 4 2" xfId="27166" xr:uid="{00000000-0005-0000-0000-000080750000}"/>
    <cellStyle name="RISKbottomEdge 3 4 2 2" xfId="27167" xr:uid="{00000000-0005-0000-0000-000081750000}"/>
    <cellStyle name="RISKbottomEdge 3 4 3" xfId="27168" xr:uid="{00000000-0005-0000-0000-000082750000}"/>
    <cellStyle name="RISKbottomEdge 3 4 3 2" xfId="27169" xr:uid="{00000000-0005-0000-0000-000083750000}"/>
    <cellStyle name="RISKbottomEdge 3 4 4" xfId="27170" xr:uid="{00000000-0005-0000-0000-000084750000}"/>
    <cellStyle name="RISKbottomEdge 3 4 4 2" xfId="27171" xr:uid="{00000000-0005-0000-0000-000085750000}"/>
    <cellStyle name="RISKbottomEdge 3 4 5" xfId="27172" xr:uid="{00000000-0005-0000-0000-000086750000}"/>
    <cellStyle name="RISKbottomEdge 3 4 5 2" xfId="27173" xr:uid="{00000000-0005-0000-0000-000087750000}"/>
    <cellStyle name="RISKbottomEdge 3 4 6" xfId="27174" xr:uid="{00000000-0005-0000-0000-000088750000}"/>
    <cellStyle name="RISKbottomEdge 3 4 6 2" xfId="27175" xr:uid="{00000000-0005-0000-0000-000089750000}"/>
    <cellStyle name="RISKbottomEdge 3 4 7" xfId="27176" xr:uid="{00000000-0005-0000-0000-00008A750000}"/>
    <cellStyle name="RISKbottomEdge 3 4 7 2" xfId="27177" xr:uid="{00000000-0005-0000-0000-00008B750000}"/>
    <cellStyle name="RISKbottomEdge 3 4 8" xfId="27178" xr:uid="{00000000-0005-0000-0000-00008C750000}"/>
    <cellStyle name="RISKbottomEdge 3 4 8 2" xfId="27179" xr:uid="{00000000-0005-0000-0000-00008D750000}"/>
    <cellStyle name="RISKbottomEdge 3 4 9" xfId="27180" xr:uid="{00000000-0005-0000-0000-00008E750000}"/>
    <cellStyle name="RISKbottomEdge 3 4 9 2" xfId="27181" xr:uid="{00000000-0005-0000-0000-00008F750000}"/>
    <cellStyle name="RISKbottomEdge 3 5" xfId="27182" xr:uid="{00000000-0005-0000-0000-000090750000}"/>
    <cellStyle name="RISKbottomEdge 3 5 10" xfId="27183" xr:uid="{00000000-0005-0000-0000-000091750000}"/>
    <cellStyle name="RISKbottomEdge 3 5 2" xfId="27184" xr:uid="{00000000-0005-0000-0000-000092750000}"/>
    <cellStyle name="RISKbottomEdge 3 5 2 2" xfId="27185" xr:uid="{00000000-0005-0000-0000-000093750000}"/>
    <cellStyle name="RISKbottomEdge 3 5 3" xfId="27186" xr:uid="{00000000-0005-0000-0000-000094750000}"/>
    <cellStyle name="RISKbottomEdge 3 5 3 2" xfId="27187" xr:uid="{00000000-0005-0000-0000-000095750000}"/>
    <cellStyle name="RISKbottomEdge 3 5 4" xfId="27188" xr:uid="{00000000-0005-0000-0000-000096750000}"/>
    <cellStyle name="RISKbottomEdge 3 5 4 2" xfId="27189" xr:uid="{00000000-0005-0000-0000-000097750000}"/>
    <cellStyle name="RISKbottomEdge 3 5 5" xfId="27190" xr:uid="{00000000-0005-0000-0000-000098750000}"/>
    <cellStyle name="RISKbottomEdge 3 5 5 2" xfId="27191" xr:uid="{00000000-0005-0000-0000-000099750000}"/>
    <cellStyle name="RISKbottomEdge 3 5 6" xfId="27192" xr:uid="{00000000-0005-0000-0000-00009A750000}"/>
    <cellStyle name="RISKbottomEdge 3 5 6 2" xfId="27193" xr:uid="{00000000-0005-0000-0000-00009B750000}"/>
    <cellStyle name="RISKbottomEdge 3 5 7" xfId="27194" xr:uid="{00000000-0005-0000-0000-00009C750000}"/>
    <cellStyle name="RISKbottomEdge 3 5 7 2" xfId="27195" xr:uid="{00000000-0005-0000-0000-00009D750000}"/>
    <cellStyle name="RISKbottomEdge 3 5 8" xfId="27196" xr:uid="{00000000-0005-0000-0000-00009E750000}"/>
    <cellStyle name="RISKbottomEdge 3 5 8 2" xfId="27197" xr:uid="{00000000-0005-0000-0000-00009F750000}"/>
    <cellStyle name="RISKbottomEdge 3 5 9" xfId="27198" xr:uid="{00000000-0005-0000-0000-0000A0750000}"/>
    <cellStyle name="RISKbottomEdge 3 5 9 2" xfId="27199" xr:uid="{00000000-0005-0000-0000-0000A1750000}"/>
    <cellStyle name="RISKbottomEdge 3 6" xfId="27200" xr:uid="{00000000-0005-0000-0000-0000A2750000}"/>
    <cellStyle name="RISKbottomEdge 3 6 10" xfId="27201" xr:uid="{00000000-0005-0000-0000-0000A3750000}"/>
    <cellStyle name="RISKbottomEdge 3 6 2" xfId="27202" xr:uid="{00000000-0005-0000-0000-0000A4750000}"/>
    <cellStyle name="RISKbottomEdge 3 6 2 2" xfId="27203" xr:uid="{00000000-0005-0000-0000-0000A5750000}"/>
    <cellStyle name="RISKbottomEdge 3 6 3" xfId="27204" xr:uid="{00000000-0005-0000-0000-0000A6750000}"/>
    <cellStyle name="RISKbottomEdge 3 6 3 2" xfId="27205" xr:uid="{00000000-0005-0000-0000-0000A7750000}"/>
    <cellStyle name="RISKbottomEdge 3 6 4" xfId="27206" xr:uid="{00000000-0005-0000-0000-0000A8750000}"/>
    <cellStyle name="RISKbottomEdge 3 6 4 2" xfId="27207" xr:uid="{00000000-0005-0000-0000-0000A9750000}"/>
    <cellStyle name="RISKbottomEdge 3 6 5" xfId="27208" xr:uid="{00000000-0005-0000-0000-0000AA750000}"/>
    <cellStyle name="RISKbottomEdge 3 6 5 2" xfId="27209" xr:uid="{00000000-0005-0000-0000-0000AB750000}"/>
    <cellStyle name="RISKbottomEdge 3 6 6" xfId="27210" xr:uid="{00000000-0005-0000-0000-0000AC750000}"/>
    <cellStyle name="RISKbottomEdge 3 6 6 2" xfId="27211" xr:uid="{00000000-0005-0000-0000-0000AD750000}"/>
    <cellStyle name="RISKbottomEdge 3 6 7" xfId="27212" xr:uid="{00000000-0005-0000-0000-0000AE750000}"/>
    <cellStyle name="RISKbottomEdge 3 6 7 2" xfId="27213" xr:uid="{00000000-0005-0000-0000-0000AF750000}"/>
    <cellStyle name="RISKbottomEdge 3 6 8" xfId="27214" xr:uid="{00000000-0005-0000-0000-0000B0750000}"/>
    <cellStyle name="RISKbottomEdge 3 6 8 2" xfId="27215" xr:uid="{00000000-0005-0000-0000-0000B1750000}"/>
    <cellStyle name="RISKbottomEdge 3 6 9" xfId="27216" xr:uid="{00000000-0005-0000-0000-0000B2750000}"/>
    <cellStyle name="RISKbottomEdge 3 6 9 2" xfId="27217" xr:uid="{00000000-0005-0000-0000-0000B3750000}"/>
    <cellStyle name="RISKbottomEdge 3 7" xfId="27218" xr:uid="{00000000-0005-0000-0000-0000B4750000}"/>
    <cellStyle name="RISKbottomEdge 3 7 10" xfId="27219" xr:uid="{00000000-0005-0000-0000-0000B5750000}"/>
    <cellStyle name="RISKbottomEdge 3 7 2" xfId="27220" xr:uid="{00000000-0005-0000-0000-0000B6750000}"/>
    <cellStyle name="RISKbottomEdge 3 7 2 2" xfId="27221" xr:uid="{00000000-0005-0000-0000-0000B7750000}"/>
    <cellStyle name="RISKbottomEdge 3 7 3" xfId="27222" xr:uid="{00000000-0005-0000-0000-0000B8750000}"/>
    <cellStyle name="RISKbottomEdge 3 7 3 2" xfId="27223" xr:uid="{00000000-0005-0000-0000-0000B9750000}"/>
    <cellStyle name="RISKbottomEdge 3 7 4" xfId="27224" xr:uid="{00000000-0005-0000-0000-0000BA750000}"/>
    <cellStyle name="RISKbottomEdge 3 7 4 2" xfId="27225" xr:uid="{00000000-0005-0000-0000-0000BB750000}"/>
    <cellStyle name="RISKbottomEdge 3 7 5" xfId="27226" xr:uid="{00000000-0005-0000-0000-0000BC750000}"/>
    <cellStyle name="RISKbottomEdge 3 7 5 2" xfId="27227" xr:uid="{00000000-0005-0000-0000-0000BD750000}"/>
    <cellStyle name="RISKbottomEdge 3 7 6" xfId="27228" xr:uid="{00000000-0005-0000-0000-0000BE750000}"/>
    <cellStyle name="RISKbottomEdge 3 7 6 2" xfId="27229" xr:uid="{00000000-0005-0000-0000-0000BF750000}"/>
    <cellStyle name="RISKbottomEdge 3 7 7" xfId="27230" xr:uid="{00000000-0005-0000-0000-0000C0750000}"/>
    <cellStyle name="RISKbottomEdge 3 7 7 2" xfId="27231" xr:uid="{00000000-0005-0000-0000-0000C1750000}"/>
    <cellStyle name="RISKbottomEdge 3 7 8" xfId="27232" xr:uid="{00000000-0005-0000-0000-0000C2750000}"/>
    <cellStyle name="RISKbottomEdge 3 7 8 2" xfId="27233" xr:uid="{00000000-0005-0000-0000-0000C3750000}"/>
    <cellStyle name="RISKbottomEdge 3 7 9" xfId="27234" xr:uid="{00000000-0005-0000-0000-0000C4750000}"/>
    <cellStyle name="RISKbottomEdge 3 7 9 2" xfId="27235" xr:uid="{00000000-0005-0000-0000-0000C5750000}"/>
    <cellStyle name="RISKbottomEdge 3 8" xfId="27236" xr:uid="{00000000-0005-0000-0000-0000C6750000}"/>
    <cellStyle name="RISKbottomEdge 3 8 10" xfId="27237" xr:uid="{00000000-0005-0000-0000-0000C7750000}"/>
    <cellStyle name="RISKbottomEdge 3 8 2" xfId="27238" xr:uid="{00000000-0005-0000-0000-0000C8750000}"/>
    <cellStyle name="RISKbottomEdge 3 8 2 2" xfId="27239" xr:uid="{00000000-0005-0000-0000-0000C9750000}"/>
    <cellStyle name="RISKbottomEdge 3 8 3" xfId="27240" xr:uid="{00000000-0005-0000-0000-0000CA750000}"/>
    <cellStyle name="RISKbottomEdge 3 8 3 2" xfId="27241" xr:uid="{00000000-0005-0000-0000-0000CB750000}"/>
    <cellStyle name="RISKbottomEdge 3 8 4" xfId="27242" xr:uid="{00000000-0005-0000-0000-0000CC750000}"/>
    <cellStyle name="RISKbottomEdge 3 8 4 2" xfId="27243" xr:uid="{00000000-0005-0000-0000-0000CD750000}"/>
    <cellStyle name="RISKbottomEdge 3 8 5" xfId="27244" xr:uid="{00000000-0005-0000-0000-0000CE750000}"/>
    <cellStyle name="RISKbottomEdge 3 8 5 2" xfId="27245" xr:uid="{00000000-0005-0000-0000-0000CF750000}"/>
    <cellStyle name="RISKbottomEdge 3 8 6" xfId="27246" xr:uid="{00000000-0005-0000-0000-0000D0750000}"/>
    <cellStyle name="RISKbottomEdge 3 8 6 2" xfId="27247" xr:uid="{00000000-0005-0000-0000-0000D1750000}"/>
    <cellStyle name="RISKbottomEdge 3 8 7" xfId="27248" xr:uid="{00000000-0005-0000-0000-0000D2750000}"/>
    <cellStyle name="RISKbottomEdge 3 8 7 2" xfId="27249" xr:uid="{00000000-0005-0000-0000-0000D3750000}"/>
    <cellStyle name="RISKbottomEdge 3 8 8" xfId="27250" xr:uid="{00000000-0005-0000-0000-0000D4750000}"/>
    <cellStyle name="RISKbottomEdge 3 8 8 2" xfId="27251" xr:uid="{00000000-0005-0000-0000-0000D5750000}"/>
    <cellStyle name="RISKbottomEdge 3 8 9" xfId="27252" xr:uid="{00000000-0005-0000-0000-0000D6750000}"/>
    <cellStyle name="RISKbottomEdge 3 8 9 2" xfId="27253" xr:uid="{00000000-0005-0000-0000-0000D7750000}"/>
    <cellStyle name="RISKbottomEdge 3 9" xfId="27254" xr:uid="{00000000-0005-0000-0000-0000D8750000}"/>
    <cellStyle name="RISKbottomEdge 3 9 10" xfId="27255" xr:uid="{00000000-0005-0000-0000-0000D9750000}"/>
    <cellStyle name="RISKbottomEdge 3 9 2" xfId="27256" xr:uid="{00000000-0005-0000-0000-0000DA750000}"/>
    <cellStyle name="RISKbottomEdge 3 9 2 2" xfId="27257" xr:uid="{00000000-0005-0000-0000-0000DB750000}"/>
    <cellStyle name="RISKbottomEdge 3 9 3" xfId="27258" xr:uid="{00000000-0005-0000-0000-0000DC750000}"/>
    <cellStyle name="RISKbottomEdge 3 9 3 2" xfId="27259" xr:uid="{00000000-0005-0000-0000-0000DD750000}"/>
    <cellStyle name="RISKbottomEdge 3 9 4" xfId="27260" xr:uid="{00000000-0005-0000-0000-0000DE750000}"/>
    <cellStyle name="RISKbottomEdge 3 9 4 2" xfId="27261" xr:uid="{00000000-0005-0000-0000-0000DF750000}"/>
    <cellStyle name="RISKbottomEdge 3 9 5" xfId="27262" xr:uid="{00000000-0005-0000-0000-0000E0750000}"/>
    <cellStyle name="RISKbottomEdge 3 9 5 2" xfId="27263" xr:uid="{00000000-0005-0000-0000-0000E1750000}"/>
    <cellStyle name="RISKbottomEdge 3 9 6" xfId="27264" xr:uid="{00000000-0005-0000-0000-0000E2750000}"/>
    <cellStyle name="RISKbottomEdge 3 9 6 2" xfId="27265" xr:uid="{00000000-0005-0000-0000-0000E3750000}"/>
    <cellStyle name="RISKbottomEdge 3 9 7" xfId="27266" xr:uid="{00000000-0005-0000-0000-0000E4750000}"/>
    <cellStyle name="RISKbottomEdge 3 9 7 2" xfId="27267" xr:uid="{00000000-0005-0000-0000-0000E5750000}"/>
    <cellStyle name="RISKbottomEdge 3 9 8" xfId="27268" xr:uid="{00000000-0005-0000-0000-0000E6750000}"/>
    <cellStyle name="RISKbottomEdge 3 9 8 2" xfId="27269" xr:uid="{00000000-0005-0000-0000-0000E7750000}"/>
    <cellStyle name="RISKbottomEdge 3 9 9" xfId="27270" xr:uid="{00000000-0005-0000-0000-0000E8750000}"/>
    <cellStyle name="RISKbottomEdge 3 9 9 2" xfId="27271" xr:uid="{00000000-0005-0000-0000-0000E9750000}"/>
    <cellStyle name="RISKbottomEdge 4" xfId="43669" xr:uid="{00000000-0005-0000-0000-0000EA750000}"/>
    <cellStyle name="RISKbottomEdge 5" xfId="43670" xr:uid="{00000000-0005-0000-0000-0000EB750000}"/>
    <cellStyle name="RISKbottomEdge 6" xfId="43671" xr:uid="{00000000-0005-0000-0000-0000EC750000}"/>
    <cellStyle name="RISKbottomEdge 7" xfId="43672" xr:uid="{00000000-0005-0000-0000-0000ED750000}"/>
    <cellStyle name="RISKbottomEdge 8" xfId="43673" xr:uid="{00000000-0005-0000-0000-0000EE750000}"/>
    <cellStyle name="RISKbottomEdge 9" xfId="43674" xr:uid="{00000000-0005-0000-0000-0000EF750000}"/>
    <cellStyle name="RISKleftEdge" xfId="196" xr:uid="{00000000-0005-0000-0000-0000F0750000}"/>
    <cellStyle name="RISKleftEdge 10" xfId="43675" xr:uid="{00000000-0005-0000-0000-0000F1750000}"/>
    <cellStyle name="RISKleftEdge 10 2" xfId="43676" xr:uid="{00000000-0005-0000-0000-0000F2750000}"/>
    <cellStyle name="RISKleftEdge 10 3" xfId="43677" xr:uid="{00000000-0005-0000-0000-0000F3750000}"/>
    <cellStyle name="RISKleftEdge 11" xfId="43678" xr:uid="{00000000-0005-0000-0000-0000F4750000}"/>
    <cellStyle name="RISKleftEdge 11 2" xfId="43679" xr:uid="{00000000-0005-0000-0000-0000F5750000}"/>
    <cellStyle name="RISKleftEdge 11 3" xfId="43680" xr:uid="{00000000-0005-0000-0000-0000F6750000}"/>
    <cellStyle name="RISKleftEdge 12" xfId="43681" xr:uid="{00000000-0005-0000-0000-0000F7750000}"/>
    <cellStyle name="RISKleftEdge 12 2" xfId="43682" xr:uid="{00000000-0005-0000-0000-0000F8750000}"/>
    <cellStyle name="RISKleftEdge 12 3" xfId="43683" xr:uid="{00000000-0005-0000-0000-0000F9750000}"/>
    <cellStyle name="RISKleftEdge 13" xfId="43684" xr:uid="{00000000-0005-0000-0000-0000FA750000}"/>
    <cellStyle name="RISKleftEdge 13 2" xfId="43685" xr:uid="{00000000-0005-0000-0000-0000FB750000}"/>
    <cellStyle name="RISKleftEdge 13 3" xfId="43686" xr:uid="{00000000-0005-0000-0000-0000FC750000}"/>
    <cellStyle name="RISKleftEdge 14" xfId="43687" xr:uid="{00000000-0005-0000-0000-0000FD750000}"/>
    <cellStyle name="RISKleftEdge 14 2" xfId="43688" xr:uid="{00000000-0005-0000-0000-0000FE750000}"/>
    <cellStyle name="RISKleftEdge 14 3" xfId="43689" xr:uid="{00000000-0005-0000-0000-0000FF750000}"/>
    <cellStyle name="RISKleftEdge 15" xfId="43690" xr:uid="{00000000-0005-0000-0000-000000760000}"/>
    <cellStyle name="RISKleftEdge 15 2" xfId="43691" xr:uid="{00000000-0005-0000-0000-000001760000}"/>
    <cellStyle name="RISKleftEdge 15 3" xfId="43692" xr:uid="{00000000-0005-0000-0000-000002760000}"/>
    <cellStyle name="RISKleftEdge 16" xfId="43693" xr:uid="{00000000-0005-0000-0000-000003760000}"/>
    <cellStyle name="RISKleftEdge 16 2" xfId="43694" xr:uid="{00000000-0005-0000-0000-000004760000}"/>
    <cellStyle name="RISKleftEdge 16 3" xfId="43695" xr:uid="{00000000-0005-0000-0000-000005760000}"/>
    <cellStyle name="RISKleftEdge 17" xfId="43696" xr:uid="{00000000-0005-0000-0000-000006760000}"/>
    <cellStyle name="RISKleftEdge 17 2" xfId="43697" xr:uid="{00000000-0005-0000-0000-000007760000}"/>
    <cellStyle name="RISKleftEdge 17 3" xfId="43698" xr:uid="{00000000-0005-0000-0000-000008760000}"/>
    <cellStyle name="RISKleftEdge 18" xfId="43699" xr:uid="{00000000-0005-0000-0000-000009760000}"/>
    <cellStyle name="RISKleftEdge 18 2" xfId="43700" xr:uid="{00000000-0005-0000-0000-00000A760000}"/>
    <cellStyle name="RISKleftEdge 18 3" xfId="43701" xr:uid="{00000000-0005-0000-0000-00000B760000}"/>
    <cellStyle name="RISKleftEdge 19" xfId="43702" xr:uid="{00000000-0005-0000-0000-00000C760000}"/>
    <cellStyle name="RISKleftEdge 19 2" xfId="43703" xr:uid="{00000000-0005-0000-0000-00000D760000}"/>
    <cellStyle name="RISKleftEdge 19 3" xfId="43704" xr:uid="{00000000-0005-0000-0000-00000E760000}"/>
    <cellStyle name="RISKleftEdge 2" xfId="43705" xr:uid="{00000000-0005-0000-0000-00000F760000}"/>
    <cellStyle name="RISKleftEdge 2 2" xfId="43706" xr:uid="{00000000-0005-0000-0000-000010760000}"/>
    <cellStyle name="RISKleftEdge 2 3" xfId="43707" xr:uid="{00000000-0005-0000-0000-000011760000}"/>
    <cellStyle name="RISKleftEdge 20" xfId="43708" xr:uid="{00000000-0005-0000-0000-000012760000}"/>
    <cellStyle name="RISKleftEdge 20 2" xfId="43709" xr:uid="{00000000-0005-0000-0000-000013760000}"/>
    <cellStyle name="RISKleftEdge 20 3" xfId="43710" xr:uid="{00000000-0005-0000-0000-000014760000}"/>
    <cellStyle name="RISKleftEdge 21" xfId="43711" xr:uid="{00000000-0005-0000-0000-000015760000}"/>
    <cellStyle name="RISKleftEdge 21 2" xfId="43712" xr:uid="{00000000-0005-0000-0000-000016760000}"/>
    <cellStyle name="RISKleftEdge 21 3" xfId="43713" xr:uid="{00000000-0005-0000-0000-000017760000}"/>
    <cellStyle name="RISKleftEdge 22" xfId="43714" xr:uid="{00000000-0005-0000-0000-000018760000}"/>
    <cellStyle name="RISKleftEdge 22 2" xfId="43715" xr:uid="{00000000-0005-0000-0000-000019760000}"/>
    <cellStyle name="RISKleftEdge 22 3" xfId="43716" xr:uid="{00000000-0005-0000-0000-00001A760000}"/>
    <cellStyle name="RISKleftEdge 23" xfId="43717" xr:uid="{00000000-0005-0000-0000-00001B760000}"/>
    <cellStyle name="RISKleftEdge 24" xfId="43718" xr:uid="{00000000-0005-0000-0000-00001C760000}"/>
    <cellStyle name="RISKleftEdge 3" xfId="43719" xr:uid="{00000000-0005-0000-0000-00001D760000}"/>
    <cellStyle name="RISKleftEdge 3 2" xfId="43720" xr:uid="{00000000-0005-0000-0000-00001E760000}"/>
    <cellStyle name="RISKleftEdge 3 3" xfId="43721" xr:uid="{00000000-0005-0000-0000-00001F760000}"/>
    <cellStyle name="RISKleftEdge 4" xfId="43722" xr:uid="{00000000-0005-0000-0000-000020760000}"/>
    <cellStyle name="RISKleftEdge 4 2" xfId="43723" xr:uid="{00000000-0005-0000-0000-000021760000}"/>
    <cellStyle name="RISKleftEdge 4 3" xfId="43724" xr:uid="{00000000-0005-0000-0000-000022760000}"/>
    <cellStyle name="RISKleftEdge 5" xfId="43725" xr:uid="{00000000-0005-0000-0000-000023760000}"/>
    <cellStyle name="RISKleftEdge 5 2" xfId="43726" xr:uid="{00000000-0005-0000-0000-000024760000}"/>
    <cellStyle name="RISKleftEdge 5 3" xfId="43727" xr:uid="{00000000-0005-0000-0000-000025760000}"/>
    <cellStyle name="RISKleftEdge 6" xfId="43728" xr:uid="{00000000-0005-0000-0000-000026760000}"/>
    <cellStyle name="RISKleftEdge 6 2" xfId="43729" xr:uid="{00000000-0005-0000-0000-000027760000}"/>
    <cellStyle name="RISKleftEdge 6 3" xfId="43730" xr:uid="{00000000-0005-0000-0000-000028760000}"/>
    <cellStyle name="RISKleftEdge 7" xfId="43731" xr:uid="{00000000-0005-0000-0000-000029760000}"/>
    <cellStyle name="RISKleftEdge 7 2" xfId="43732" xr:uid="{00000000-0005-0000-0000-00002A760000}"/>
    <cellStyle name="RISKleftEdge 7 3" xfId="43733" xr:uid="{00000000-0005-0000-0000-00002B760000}"/>
    <cellStyle name="RISKleftEdge 8" xfId="43734" xr:uid="{00000000-0005-0000-0000-00002C760000}"/>
    <cellStyle name="RISKleftEdge 8 2" xfId="43735" xr:uid="{00000000-0005-0000-0000-00002D760000}"/>
    <cellStyle name="RISKleftEdge 8 3" xfId="43736" xr:uid="{00000000-0005-0000-0000-00002E760000}"/>
    <cellStyle name="RISKleftEdge 9" xfId="43737" xr:uid="{00000000-0005-0000-0000-00002F760000}"/>
    <cellStyle name="RISKleftEdge 9 2" xfId="43738" xr:uid="{00000000-0005-0000-0000-000030760000}"/>
    <cellStyle name="RISKleftEdge 9 3" xfId="43739" xr:uid="{00000000-0005-0000-0000-000031760000}"/>
    <cellStyle name="RISKnormBoxed" xfId="197" xr:uid="{00000000-0005-0000-0000-000032760000}"/>
    <cellStyle name="RISKnormBoxed 10" xfId="43740" xr:uid="{00000000-0005-0000-0000-000033760000}"/>
    <cellStyle name="RISKnormBoxed 11" xfId="43741" xr:uid="{00000000-0005-0000-0000-000034760000}"/>
    <cellStyle name="RISKnormBoxed 12" xfId="43742" xr:uid="{00000000-0005-0000-0000-000035760000}"/>
    <cellStyle name="RISKnormBoxed 13" xfId="43743" xr:uid="{00000000-0005-0000-0000-000036760000}"/>
    <cellStyle name="RISKnormBoxed 14" xfId="43744" xr:uid="{00000000-0005-0000-0000-000037760000}"/>
    <cellStyle name="RISKnormBoxed 15" xfId="43745" xr:uid="{00000000-0005-0000-0000-000038760000}"/>
    <cellStyle name="RISKnormBoxed 16" xfId="43746" xr:uid="{00000000-0005-0000-0000-000039760000}"/>
    <cellStyle name="RISKnormBoxed 17" xfId="43747" xr:uid="{00000000-0005-0000-0000-00003A760000}"/>
    <cellStyle name="RISKnormBoxed 18" xfId="43748" xr:uid="{00000000-0005-0000-0000-00003B760000}"/>
    <cellStyle name="RISKnormBoxed 19" xfId="43749" xr:uid="{00000000-0005-0000-0000-00003C760000}"/>
    <cellStyle name="RISKnormBoxed 2" xfId="43750" xr:uid="{00000000-0005-0000-0000-00003D760000}"/>
    <cellStyle name="RISKnormBoxed 20" xfId="43751" xr:uid="{00000000-0005-0000-0000-00003E760000}"/>
    <cellStyle name="RISKnormBoxed 21" xfId="43752" xr:uid="{00000000-0005-0000-0000-00003F760000}"/>
    <cellStyle name="RISKnormBoxed 22" xfId="43753" xr:uid="{00000000-0005-0000-0000-000040760000}"/>
    <cellStyle name="RISKnormBoxed 3" xfId="43754" xr:uid="{00000000-0005-0000-0000-000041760000}"/>
    <cellStyle name="RISKnormBoxed 4" xfId="43755" xr:uid="{00000000-0005-0000-0000-000042760000}"/>
    <cellStyle name="RISKnormBoxed 5" xfId="43756" xr:uid="{00000000-0005-0000-0000-000043760000}"/>
    <cellStyle name="RISKnormBoxed 6" xfId="43757" xr:uid="{00000000-0005-0000-0000-000044760000}"/>
    <cellStyle name="RISKnormBoxed 7" xfId="43758" xr:uid="{00000000-0005-0000-0000-000045760000}"/>
    <cellStyle name="RISKnormBoxed 8" xfId="43759" xr:uid="{00000000-0005-0000-0000-000046760000}"/>
    <cellStyle name="RISKnormBoxed 9" xfId="43760" xr:uid="{00000000-0005-0000-0000-000047760000}"/>
    <cellStyle name="RISKnormHeading" xfId="198" xr:uid="{00000000-0005-0000-0000-000048760000}"/>
    <cellStyle name="RISKnormLabel" xfId="199" xr:uid="{00000000-0005-0000-0000-000049760000}"/>
    <cellStyle name="RISKnormTitle" xfId="200" xr:uid="{00000000-0005-0000-0000-00004A760000}"/>
    <cellStyle name="RISKtopEdge" xfId="201" xr:uid="{00000000-0005-0000-0000-00004B760000}"/>
    <cellStyle name="RISKtopEdge 10" xfId="43761" xr:uid="{00000000-0005-0000-0000-00004C760000}"/>
    <cellStyle name="RISKtopEdge 11" xfId="43762" xr:uid="{00000000-0005-0000-0000-00004D760000}"/>
    <cellStyle name="RISKtopEdge 12" xfId="43763" xr:uid="{00000000-0005-0000-0000-00004E760000}"/>
    <cellStyle name="RISKtopEdge 13" xfId="43764" xr:uid="{00000000-0005-0000-0000-00004F760000}"/>
    <cellStyle name="RISKtopEdge 14" xfId="43765" xr:uid="{00000000-0005-0000-0000-000050760000}"/>
    <cellStyle name="RISKtopEdge 15" xfId="43766" xr:uid="{00000000-0005-0000-0000-000051760000}"/>
    <cellStyle name="RISKtopEdge 16" xfId="43767" xr:uid="{00000000-0005-0000-0000-000052760000}"/>
    <cellStyle name="RISKtopEdge 17" xfId="43768" xr:uid="{00000000-0005-0000-0000-000053760000}"/>
    <cellStyle name="RISKtopEdge 18" xfId="43769" xr:uid="{00000000-0005-0000-0000-000054760000}"/>
    <cellStyle name="RISKtopEdge 19" xfId="43770" xr:uid="{00000000-0005-0000-0000-000055760000}"/>
    <cellStyle name="RISKtopEdge 2" xfId="43771" xr:uid="{00000000-0005-0000-0000-000056760000}"/>
    <cellStyle name="RISKtopEdge 20" xfId="43772" xr:uid="{00000000-0005-0000-0000-000057760000}"/>
    <cellStyle name="RISKtopEdge 21" xfId="43773" xr:uid="{00000000-0005-0000-0000-000058760000}"/>
    <cellStyle name="RISKtopEdge 22" xfId="43774" xr:uid="{00000000-0005-0000-0000-000059760000}"/>
    <cellStyle name="RISKtopEdge 3" xfId="43775" xr:uid="{00000000-0005-0000-0000-00005A760000}"/>
    <cellStyle name="RISKtopEdge 4" xfId="43776" xr:uid="{00000000-0005-0000-0000-00005B760000}"/>
    <cellStyle name="RISKtopEdge 5" xfId="43777" xr:uid="{00000000-0005-0000-0000-00005C760000}"/>
    <cellStyle name="RISKtopEdge 6" xfId="43778" xr:uid="{00000000-0005-0000-0000-00005D760000}"/>
    <cellStyle name="RISKtopEdge 7" xfId="43779" xr:uid="{00000000-0005-0000-0000-00005E760000}"/>
    <cellStyle name="RISKtopEdge 8" xfId="43780" xr:uid="{00000000-0005-0000-0000-00005F760000}"/>
    <cellStyle name="RISKtopEdge 9" xfId="43781" xr:uid="{00000000-0005-0000-0000-000060760000}"/>
    <cellStyle name="Row heading" xfId="103" xr:uid="{00000000-0005-0000-0000-000061760000}"/>
    <cellStyle name="Sheet Title" xfId="202" xr:uid="{00000000-0005-0000-0000-000062760000}"/>
    <cellStyle name="Source Hed" xfId="104" xr:uid="{00000000-0005-0000-0000-000063760000}"/>
    <cellStyle name="Source Letter" xfId="105" xr:uid="{00000000-0005-0000-0000-000064760000}"/>
    <cellStyle name="Source Superscript" xfId="106" xr:uid="{00000000-0005-0000-0000-000065760000}"/>
    <cellStyle name="Source Superscript 2" xfId="107" xr:uid="{00000000-0005-0000-0000-000066760000}"/>
    <cellStyle name="Source Text" xfId="108" xr:uid="{00000000-0005-0000-0000-000067760000}"/>
    <cellStyle name="Source Text 2" xfId="109" xr:uid="{00000000-0005-0000-0000-000068760000}"/>
    <cellStyle name="State" xfId="110" xr:uid="{00000000-0005-0000-0000-000069760000}"/>
    <cellStyle name="Style 27" xfId="43782" xr:uid="{00000000-0005-0000-0000-00006A760000}"/>
    <cellStyle name="Superscript" xfId="111" xr:uid="{00000000-0005-0000-0000-00006B760000}"/>
    <cellStyle name="Superscript 2" xfId="203" xr:uid="{00000000-0005-0000-0000-00006C760000}"/>
    <cellStyle name="Superscript 2 2" xfId="27272" xr:uid="{00000000-0005-0000-0000-00006D760000}"/>
    <cellStyle name="Superscript 2 2 10" xfId="27273" xr:uid="{00000000-0005-0000-0000-00006E760000}"/>
    <cellStyle name="Superscript 2 2 10 10" xfId="27274" xr:uid="{00000000-0005-0000-0000-00006F760000}"/>
    <cellStyle name="Superscript 2 2 10 2" xfId="27275" xr:uid="{00000000-0005-0000-0000-000070760000}"/>
    <cellStyle name="Superscript 2 2 10 2 2" xfId="27276" xr:uid="{00000000-0005-0000-0000-000071760000}"/>
    <cellStyle name="Superscript 2 2 10 3" xfId="27277" xr:uid="{00000000-0005-0000-0000-000072760000}"/>
    <cellStyle name="Superscript 2 2 10 3 2" xfId="27278" xr:uid="{00000000-0005-0000-0000-000073760000}"/>
    <cellStyle name="Superscript 2 2 10 4" xfId="27279" xr:uid="{00000000-0005-0000-0000-000074760000}"/>
    <cellStyle name="Superscript 2 2 10 4 2" xfId="27280" xr:uid="{00000000-0005-0000-0000-000075760000}"/>
    <cellStyle name="Superscript 2 2 10 5" xfId="27281" xr:uid="{00000000-0005-0000-0000-000076760000}"/>
    <cellStyle name="Superscript 2 2 10 5 2" xfId="27282" xr:uid="{00000000-0005-0000-0000-000077760000}"/>
    <cellStyle name="Superscript 2 2 10 6" xfId="27283" xr:uid="{00000000-0005-0000-0000-000078760000}"/>
    <cellStyle name="Superscript 2 2 10 6 2" xfId="27284" xr:uid="{00000000-0005-0000-0000-000079760000}"/>
    <cellStyle name="Superscript 2 2 10 7" xfId="27285" xr:uid="{00000000-0005-0000-0000-00007A760000}"/>
    <cellStyle name="Superscript 2 2 10 7 2" xfId="27286" xr:uid="{00000000-0005-0000-0000-00007B760000}"/>
    <cellStyle name="Superscript 2 2 10 8" xfId="27287" xr:uid="{00000000-0005-0000-0000-00007C760000}"/>
    <cellStyle name="Superscript 2 2 10 8 2" xfId="27288" xr:uid="{00000000-0005-0000-0000-00007D760000}"/>
    <cellStyle name="Superscript 2 2 10 9" xfId="27289" xr:uid="{00000000-0005-0000-0000-00007E760000}"/>
    <cellStyle name="Superscript 2 2 10 9 2" xfId="27290" xr:uid="{00000000-0005-0000-0000-00007F760000}"/>
    <cellStyle name="Superscript 2 2 11" xfId="27291" xr:uid="{00000000-0005-0000-0000-000080760000}"/>
    <cellStyle name="Superscript 2 2 11 2" xfId="27292" xr:uid="{00000000-0005-0000-0000-000081760000}"/>
    <cellStyle name="Superscript 2 2 11 2 2" xfId="27293" xr:uid="{00000000-0005-0000-0000-000082760000}"/>
    <cellStyle name="Superscript 2 2 11 3" xfId="27294" xr:uid="{00000000-0005-0000-0000-000083760000}"/>
    <cellStyle name="Superscript 2 2 11 3 2" xfId="27295" xr:uid="{00000000-0005-0000-0000-000084760000}"/>
    <cellStyle name="Superscript 2 2 11 4" xfId="27296" xr:uid="{00000000-0005-0000-0000-000085760000}"/>
    <cellStyle name="Superscript 2 2 11 4 2" xfId="27297" xr:uid="{00000000-0005-0000-0000-000086760000}"/>
    <cellStyle name="Superscript 2 2 11 5" xfId="27298" xr:uid="{00000000-0005-0000-0000-000087760000}"/>
    <cellStyle name="Superscript 2 2 11 5 2" xfId="27299" xr:uid="{00000000-0005-0000-0000-000088760000}"/>
    <cellStyle name="Superscript 2 2 11 6" xfId="27300" xr:uid="{00000000-0005-0000-0000-000089760000}"/>
    <cellStyle name="Superscript 2 2 11 6 2" xfId="27301" xr:uid="{00000000-0005-0000-0000-00008A760000}"/>
    <cellStyle name="Superscript 2 2 11 7" xfId="27302" xr:uid="{00000000-0005-0000-0000-00008B760000}"/>
    <cellStyle name="Superscript 2 2 11 7 2" xfId="27303" xr:uid="{00000000-0005-0000-0000-00008C760000}"/>
    <cellStyle name="Superscript 2 2 11 8" xfId="27304" xr:uid="{00000000-0005-0000-0000-00008D760000}"/>
    <cellStyle name="Superscript 2 2 11 8 2" xfId="27305" xr:uid="{00000000-0005-0000-0000-00008E760000}"/>
    <cellStyle name="Superscript 2 2 11 9" xfId="27306" xr:uid="{00000000-0005-0000-0000-00008F760000}"/>
    <cellStyle name="Superscript 2 2 2" xfId="27307" xr:uid="{00000000-0005-0000-0000-000090760000}"/>
    <cellStyle name="Superscript 2 2 2 10" xfId="27308" xr:uid="{00000000-0005-0000-0000-000091760000}"/>
    <cellStyle name="Superscript 2 2 2 2" xfId="27309" xr:uid="{00000000-0005-0000-0000-000092760000}"/>
    <cellStyle name="Superscript 2 2 2 2 2" xfId="27310" xr:uid="{00000000-0005-0000-0000-000093760000}"/>
    <cellStyle name="Superscript 2 2 2 3" xfId="27311" xr:uid="{00000000-0005-0000-0000-000094760000}"/>
    <cellStyle name="Superscript 2 2 2 3 2" xfId="27312" xr:uid="{00000000-0005-0000-0000-000095760000}"/>
    <cellStyle name="Superscript 2 2 2 4" xfId="27313" xr:uid="{00000000-0005-0000-0000-000096760000}"/>
    <cellStyle name="Superscript 2 2 2 4 2" xfId="27314" xr:uid="{00000000-0005-0000-0000-000097760000}"/>
    <cellStyle name="Superscript 2 2 2 5" xfId="27315" xr:uid="{00000000-0005-0000-0000-000098760000}"/>
    <cellStyle name="Superscript 2 2 2 5 2" xfId="27316" xr:uid="{00000000-0005-0000-0000-000099760000}"/>
    <cellStyle name="Superscript 2 2 2 6" xfId="27317" xr:uid="{00000000-0005-0000-0000-00009A760000}"/>
    <cellStyle name="Superscript 2 2 2 6 2" xfId="27318" xr:uid="{00000000-0005-0000-0000-00009B760000}"/>
    <cellStyle name="Superscript 2 2 2 7" xfId="27319" xr:uid="{00000000-0005-0000-0000-00009C760000}"/>
    <cellStyle name="Superscript 2 2 2 7 2" xfId="27320" xr:uid="{00000000-0005-0000-0000-00009D760000}"/>
    <cellStyle name="Superscript 2 2 2 8" xfId="27321" xr:uid="{00000000-0005-0000-0000-00009E760000}"/>
    <cellStyle name="Superscript 2 2 2 8 2" xfId="27322" xr:uid="{00000000-0005-0000-0000-00009F760000}"/>
    <cellStyle name="Superscript 2 2 2 9" xfId="27323" xr:uid="{00000000-0005-0000-0000-0000A0760000}"/>
    <cellStyle name="Superscript 2 2 2 9 2" xfId="27324" xr:uid="{00000000-0005-0000-0000-0000A1760000}"/>
    <cellStyle name="Superscript 2 2 3" xfId="27325" xr:uid="{00000000-0005-0000-0000-0000A2760000}"/>
    <cellStyle name="Superscript 2 2 3 10" xfId="27326" xr:uid="{00000000-0005-0000-0000-0000A3760000}"/>
    <cellStyle name="Superscript 2 2 3 2" xfId="27327" xr:uid="{00000000-0005-0000-0000-0000A4760000}"/>
    <cellStyle name="Superscript 2 2 3 2 2" xfId="27328" xr:uid="{00000000-0005-0000-0000-0000A5760000}"/>
    <cellStyle name="Superscript 2 2 3 3" xfId="27329" xr:uid="{00000000-0005-0000-0000-0000A6760000}"/>
    <cellStyle name="Superscript 2 2 3 3 2" xfId="27330" xr:uid="{00000000-0005-0000-0000-0000A7760000}"/>
    <cellStyle name="Superscript 2 2 3 4" xfId="27331" xr:uid="{00000000-0005-0000-0000-0000A8760000}"/>
    <cellStyle name="Superscript 2 2 3 4 2" xfId="27332" xr:uid="{00000000-0005-0000-0000-0000A9760000}"/>
    <cellStyle name="Superscript 2 2 3 5" xfId="27333" xr:uid="{00000000-0005-0000-0000-0000AA760000}"/>
    <cellStyle name="Superscript 2 2 3 5 2" xfId="27334" xr:uid="{00000000-0005-0000-0000-0000AB760000}"/>
    <cellStyle name="Superscript 2 2 3 6" xfId="27335" xr:uid="{00000000-0005-0000-0000-0000AC760000}"/>
    <cellStyle name="Superscript 2 2 3 6 2" xfId="27336" xr:uid="{00000000-0005-0000-0000-0000AD760000}"/>
    <cellStyle name="Superscript 2 2 3 7" xfId="27337" xr:uid="{00000000-0005-0000-0000-0000AE760000}"/>
    <cellStyle name="Superscript 2 2 3 7 2" xfId="27338" xr:uid="{00000000-0005-0000-0000-0000AF760000}"/>
    <cellStyle name="Superscript 2 2 3 8" xfId="27339" xr:uid="{00000000-0005-0000-0000-0000B0760000}"/>
    <cellStyle name="Superscript 2 2 3 8 2" xfId="27340" xr:uid="{00000000-0005-0000-0000-0000B1760000}"/>
    <cellStyle name="Superscript 2 2 3 9" xfId="27341" xr:uid="{00000000-0005-0000-0000-0000B2760000}"/>
    <cellStyle name="Superscript 2 2 3 9 2" xfId="27342" xr:uid="{00000000-0005-0000-0000-0000B3760000}"/>
    <cellStyle name="Superscript 2 2 4" xfId="27343" xr:uid="{00000000-0005-0000-0000-0000B4760000}"/>
    <cellStyle name="Superscript 2 2 4 10" xfId="27344" xr:uid="{00000000-0005-0000-0000-0000B5760000}"/>
    <cellStyle name="Superscript 2 2 4 2" xfId="27345" xr:uid="{00000000-0005-0000-0000-0000B6760000}"/>
    <cellStyle name="Superscript 2 2 4 2 2" xfId="27346" xr:uid="{00000000-0005-0000-0000-0000B7760000}"/>
    <cellStyle name="Superscript 2 2 4 3" xfId="27347" xr:uid="{00000000-0005-0000-0000-0000B8760000}"/>
    <cellStyle name="Superscript 2 2 4 3 2" xfId="27348" xr:uid="{00000000-0005-0000-0000-0000B9760000}"/>
    <cellStyle name="Superscript 2 2 4 4" xfId="27349" xr:uid="{00000000-0005-0000-0000-0000BA760000}"/>
    <cellStyle name="Superscript 2 2 4 4 2" xfId="27350" xr:uid="{00000000-0005-0000-0000-0000BB760000}"/>
    <cellStyle name="Superscript 2 2 4 5" xfId="27351" xr:uid="{00000000-0005-0000-0000-0000BC760000}"/>
    <cellStyle name="Superscript 2 2 4 5 2" xfId="27352" xr:uid="{00000000-0005-0000-0000-0000BD760000}"/>
    <cellStyle name="Superscript 2 2 4 6" xfId="27353" xr:uid="{00000000-0005-0000-0000-0000BE760000}"/>
    <cellStyle name="Superscript 2 2 4 6 2" xfId="27354" xr:uid="{00000000-0005-0000-0000-0000BF760000}"/>
    <cellStyle name="Superscript 2 2 4 7" xfId="27355" xr:uid="{00000000-0005-0000-0000-0000C0760000}"/>
    <cellStyle name="Superscript 2 2 4 7 2" xfId="27356" xr:uid="{00000000-0005-0000-0000-0000C1760000}"/>
    <cellStyle name="Superscript 2 2 4 8" xfId="27357" xr:uid="{00000000-0005-0000-0000-0000C2760000}"/>
    <cellStyle name="Superscript 2 2 4 8 2" xfId="27358" xr:uid="{00000000-0005-0000-0000-0000C3760000}"/>
    <cellStyle name="Superscript 2 2 4 9" xfId="27359" xr:uid="{00000000-0005-0000-0000-0000C4760000}"/>
    <cellStyle name="Superscript 2 2 4 9 2" xfId="27360" xr:uid="{00000000-0005-0000-0000-0000C5760000}"/>
    <cellStyle name="Superscript 2 2 5" xfId="27361" xr:uid="{00000000-0005-0000-0000-0000C6760000}"/>
    <cellStyle name="Superscript 2 2 5 10" xfId="27362" xr:uid="{00000000-0005-0000-0000-0000C7760000}"/>
    <cellStyle name="Superscript 2 2 5 2" xfId="27363" xr:uid="{00000000-0005-0000-0000-0000C8760000}"/>
    <cellStyle name="Superscript 2 2 5 2 2" xfId="27364" xr:uid="{00000000-0005-0000-0000-0000C9760000}"/>
    <cellStyle name="Superscript 2 2 5 3" xfId="27365" xr:uid="{00000000-0005-0000-0000-0000CA760000}"/>
    <cellStyle name="Superscript 2 2 5 3 2" xfId="27366" xr:uid="{00000000-0005-0000-0000-0000CB760000}"/>
    <cellStyle name="Superscript 2 2 5 4" xfId="27367" xr:uid="{00000000-0005-0000-0000-0000CC760000}"/>
    <cellStyle name="Superscript 2 2 5 4 2" xfId="27368" xr:uid="{00000000-0005-0000-0000-0000CD760000}"/>
    <cellStyle name="Superscript 2 2 5 5" xfId="27369" xr:uid="{00000000-0005-0000-0000-0000CE760000}"/>
    <cellStyle name="Superscript 2 2 5 5 2" xfId="27370" xr:uid="{00000000-0005-0000-0000-0000CF760000}"/>
    <cellStyle name="Superscript 2 2 5 6" xfId="27371" xr:uid="{00000000-0005-0000-0000-0000D0760000}"/>
    <cellStyle name="Superscript 2 2 5 6 2" xfId="27372" xr:uid="{00000000-0005-0000-0000-0000D1760000}"/>
    <cellStyle name="Superscript 2 2 5 7" xfId="27373" xr:uid="{00000000-0005-0000-0000-0000D2760000}"/>
    <cellStyle name="Superscript 2 2 5 7 2" xfId="27374" xr:uid="{00000000-0005-0000-0000-0000D3760000}"/>
    <cellStyle name="Superscript 2 2 5 8" xfId="27375" xr:uid="{00000000-0005-0000-0000-0000D4760000}"/>
    <cellStyle name="Superscript 2 2 5 8 2" xfId="27376" xr:uid="{00000000-0005-0000-0000-0000D5760000}"/>
    <cellStyle name="Superscript 2 2 5 9" xfId="27377" xr:uid="{00000000-0005-0000-0000-0000D6760000}"/>
    <cellStyle name="Superscript 2 2 5 9 2" xfId="27378" xr:uid="{00000000-0005-0000-0000-0000D7760000}"/>
    <cellStyle name="Superscript 2 2 6" xfId="27379" xr:uid="{00000000-0005-0000-0000-0000D8760000}"/>
    <cellStyle name="Superscript 2 2 6 10" xfId="27380" xr:uid="{00000000-0005-0000-0000-0000D9760000}"/>
    <cellStyle name="Superscript 2 2 6 2" xfId="27381" xr:uid="{00000000-0005-0000-0000-0000DA760000}"/>
    <cellStyle name="Superscript 2 2 6 2 2" xfId="27382" xr:uid="{00000000-0005-0000-0000-0000DB760000}"/>
    <cellStyle name="Superscript 2 2 6 3" xfId="27383" xr:uid="{00000000-0005-0000-0000-0000DC760000}"/>
    <cellStyle name="Superscript 2 2 6 3 2" xfId="27384" xr:uid="{00000000-0005-0000-0000-0000DD760000}"/>
    <cellStyle name="Superscript 2 2 6 4" xfId="27385" xr:uid="{00000000-0005-0000-0000-0000DE760000}"/>
    <cellStyle name="Superscript 2 2 6 4 2" xfId="27386" xr:uid="{00000000-0005-0000-0000-0000DF760000}"/>
    <cellStyle name="Superscript 2 2 6 5" xfId="27387" xr:uid="{00000000-0005-0000-0000-0000E0760000}"/>
    <cellStyle name="Superscript 2 2 6 5 2" xfId="27388" xr:uid="{00000000-0005-0000-0000-0000E1760000}"/>
    <cellStyle name="Superscript 2 2 6 6" xfId="27389" xr:uid="{00000000-0005-0000-0000-0000E2760000}"/>
    <cellStyle name="Superscript 2 2 6 6 2" xfId="27390" xr:uid="{00000000-0005-0000-0000-0000E3760000}"/>
    <cellStyle name="Superscript 2 2 6 7" xfId="27391" xr:uid="{00000000-0005-0000-0000-0000E4760000}"/>
    <cellStyle name="Superscript 2 2 6 7 2" xfId="27392" xr:uid="{00000000-0005-0000-0000-0000E5760000}"/>
    <cellStyle name="Superscript 2 2 6 8" xfId="27393" xr:uid="{00000000-0005-0000-0000-0000E6760000}"/>
    <cellStyle name="Superscript 2 2 6 8 2" xfId="27394" xr:uid="{00000000-0005-0000-0000-0000E7760000}"/>
    <cellStyle name="Superscript 2 2 6 9" xfId="27395" xr:uid="{00000000-0005-0000-0000-0000E8760000}"/>
    <cellStyle name="Superscript 2 2 6 9 2" xfId="27396" xr:uid="{00000000-0005-0000-0000-0000E9760000}"/>
    <cellStyle name="Superscript 2 2 7" xfId="27397" xr:uid="{00000000-0005-0000-0000-0000EA760000}"/>
    <cellStyle name="Superscript 2 2 7 10" xfId="27398" xr:uid="{00000000-0005-0000-0000-0000EB760000}"/>
    <cellStyle name="Superscript 2 2 7 2" xfId="27399" xr:uid="{00000000-0005-0000-0000-0000EC760000}"/>
    <cellStyle name="Superscript 2 2 7 2 2" xfId="27400" xr:uid="{00000000-0005-0000-0000-0000ED760000}"/>
    <cellStyle name="Superscript 2 2 7 3" xfId="27401" xr:uid="{00000000-0005-0000-0000-0000EE760000}"/>
    <cellStyle name="Superscript 2 2 7 3 2" xfId="27402" xr:uid="{00000000-0005-0000-0000-0000EF760000}"/>
    <cellStyle name="Superscript 2 2 7 4" xfId="27403" xr:uid="{00000000-0005-0000-0000-0000F0760000}"/>
    <cellStyle name="Superscript 2 2 7 4 2" xfId="27404" xr:uid="{00000000-0005-0000-0000-0000F1760000}"/>
    <cellStyle name="Superscript 2 2 7 5" xfId="27405" xr:uid="{00000000-0005-0000-0000-0000F2760000}"/>
    <cellStyle name="Superscript 2 2 7 5 2" xfId="27406" xr:uid="{00000000-0005-0000-0000-0000F3760000}"/>
    <cellStyle name="Superscript 2 2 7 6" xfId="27407" xr:uid="{00000000-0005-0000-0000-0000F4760000}"/>
    <cellStyle name="Superscript 2 2 7 6 2" xfId="27408" xr:uid="{00000000-0005-0000-0000-0000F5760000}"/>
    <cellStyle name="Superscript 2 2 7 7" xfId="27409" xr:uid="{00000000-0005-0000-0000-0000F6760000}"/>
    <cellStyle name="Superscript 2 2 7 7 2" xfId="27410" xr:uid="{00000000-0005-0000-0000-0000F7760000}"/>
    <cellStyle name="Superscript 2 2 7 8" xfId="27411" xr:uid="{00000000-0005-0000-0000-0000F8760000}"/>
    <cellStyle name="Superscript 2 2 7 8 2" xfId="27412" xr:uid="{00000000-0005-0000-0000-0000F9760000}"/>
    <cellStyle name="Superscript 2 2 7 9" xfId="27413" xr:uid="{00000000-0005-0000-0000-0000FA760000}"/>
    <cellStyle name="Superscript 2 2 7 9 2" xfId="27414" xr:uid="{00000000-0005-0000-0000-0000FB760000}"/>
    <cellStyle name="Superscript 2 2 8" xfId="27415" xr:uid="{00000000-0005-0000-0000-0000FC760000}"/>
    <cellStyle name="Superscript 2 2 8 10" xfId="27416" xr:uid="{00000000-0005-0000-0000-0000FD760000}"/>
    <cellStyle name="Superscript 2 2 8 2" xfId="27417" xr:uid="{00000000-0005-0000-0000-0000FE760000}"/>
    <cellStyle name="Superscript 2 2 8 2 2" xfId="27418" xr:uid="{00000000-0005-0000-0000-0000FF760000}"/>
    <cellStyle name="Superscript 2 2 8 3" xfId="27419" xr:uid="{00000000-0005-0000-0000-000000770000}"/>
    <cellStyle name="Superscript 2 2 8 3 2" xfId="27420" xr:uid="{00000000-0005-0000-0000-000001770000}"/>
    <cellStyle name="Superscript 2 2 8 4" xfId="27421" xr:uid="{00000000-0005-0000-0000-000002770000}"/>
    <cellStyle name="Superscript 2 2 8 4 2" xfId="27422" xr:uid="{00000000-0005-0000-0000-000003770000}"/>
    <cellStyle name="Superscript 2 2 8 5" xfId="27423" xr:uid="{00000000-0005-0000-0000-000004770000}"/>
    <cellStyle name="Superscript 2 2 8 5 2" xfId="27424" xr:uid="{00000000-0005-0000-0000-000005770000}"/>
    <cellStyle name="Superscript 2 2 8 6" xfId="27425" xr:uid="{00000000-0005-0000-0000-000006770000}"/>
    <cellStyle name="Superscript 2 2 8 6 2" xfId="27426" xr:uid="{00000000-0005-0000-0000-000007770000}"/>
    <cellStyle name="Superscript 2 2 8 7" xfId="27427" xr:uid="{00000000-0005-0000-0000-000008770000}"/>
    <cellStyle name="Superscript 2 2 8 7 2" xfId="27428" xr:uid="{00000000-0005-0000-0000-000009770000}"/>
    <cellStyle name="Superscript 2 2 8 8" xfId="27429" xr:uid="{00000000-0005-0000-0000-00000A770000}"/>
    <cellStyle name="Superscript 2 2 8 8 2" xfId="27430" xr:uid="{00000000-0005-0000-0000-00000B770000}"/>
    <cellStyle name="Superscript 2 2 8 9" xfId="27431" xr:uid="{00000000-0005-0000-0000-00000C770000}"/>
    <cellStyle name="Superscript 2 2 8 9 2" xfId="27432" xr:uid="{00000000-0005-0000-0000-00000D770000}"/>
    <cellStyle name="Superscript 2 2 9" xfId="27433" xr:uid="{00000000-0005-0000-0000-00000E770000}"/>
    <cellStyle name="Superscript 2 2 9 10" xfId="27434" xr:uid="{00000000-0005-0000-0000-00000F770000}"/>
    <cellStyle name="Superscript 2 2 9 2" xfId="27435" xr:uid="{00000000-0005-0000-0000-000010770000}"/>
    <cellStyle name="Superscript 2 2 9 2 2" xfId="27436" xr:uid="{00000000-0005-0000-0000-000011770000}"/>
    <cellStyle name="Superscript 2 2 9 3" xfId="27437" xr:uid="{00000000-0005-0000-0000-000012770000}"/>
    <cellStyle name="Superscript 2 2 9 3 2" xfId="27438" xr:uid="{00000000-0005-0000-0000-000013770000}"/>
    <cellStyle name="Superscript 2 2 9 4" xfId="27439" xr:uid="{00000000-0005-0000-0000-000014770000}"/>
    <cellStyle name="Superscript 2 2 9 4 2" xfId="27440" xr:uid="{00000000-0005-0000-0000-000015770000}"/>
    <cellStyle name="Superscript 2 2 9 5" xfId="27441" xr:uid="{00000000-0005-0000-0000-000016770000}"/>
    <cellStyle name="Superscript 2 2 9 5 2" xfId="27442" xr:uid="{00000000-0005-0000-0000-000017770000}"/>
    <cellStyle name="Superscript 2 2 9 6" xfId="27443" xr:uid="{00000000-0005-0000-0000-000018770000}"/>
    <cellStyle name="Superscript 2 2 9 6 2" xfId="27444" xr:uid="{00000000-0005-0000-0000-000019770000}"/>
    <cellStyle name="Superscript 2 2 9 7" xfId="27445" xr:uid="{00000000-0005-0000-0000-00001A770000}"/>
    <cellStyle name="Superscript 2 2 9 7 2" xfId="27446" xr:uid="{00000000-0005-0000-0000-00001B770000}"/>
    <cellStyle name="Superscript 2 2 9 8" xfId="27447" xr:uid="{00000000-0005-0000-0000-00001C770000}"/>
    <cellStyle name="Superscript 2 2 9 8 2" xfId="27448" xr:uid="{00000000-0005-0000-0000-00001D770000}"/>
    <cellStyle name="Superscript 2 2 9 9" xfId="27449" xr:uid="{00000000-0005-0000-0000-00001E770000}"/>
    <cellStyle name="Superscript 2 2 9 9 2" xfId="27450" xr:uid="{00000000-0005-0000-0000-00001F770000}"/>
    <cellStyle name="Superscript 2 3" xfId="27451" xr:uid="{00000000-0005-0000-0000-000020770000}"/>
    <cellStyle name="Superscript 2 3 10" xfId="27452" xr:uid="{00000000-0005-0000-0000-000021770000}"/>
    <cellStyle name="Superscript 2 3 10 10" xfId="27453" xr:uid="{00000000-0005-0000-0000-000022770000}"/>
    <cellStyle name="Superscript 2 3 10 2" xfId="27454" xr:uid="{00000000-0005-0000-0000-000023770000}"/>
    <cellStyle name="Superscript 2 3 10 2 2" xfId="27455" xr:uid="{00000000-0005-0000-0000-000024770000}"/>
    <cellStyle name="Superscript 2 3 10 3" xfId="27456" xr:uid="{00000000-0005-0000-0000-000025770000}"/>
    <cellStyle name="Superscript 2 3 10 3 2" xfId="27457" xr:uid="{00000000-0005-0000-0000-000026770000}"/>
    <cellStyle name="Superscript 2 3 10 4" xfId="27458" xr:uid="{00000000-0005-0000-0000-000027770000}"/>
    <cellStyle name="Superscript 2 3 10 4 2" xfId="27459" xr:uid="{00000000-0005-0000-0000-000028770000}"/>
    <cellStyle name="Superscript 2 3 10 5" xfId="27460" xr:uid="{00000000-0005-0000-0000-000029770000}"/>
    <cellStyle name="Superscript 2 3 10 5 2" xfId="27461" xr:uid="{00000000-0005-0000-0000-00002A770000}"/>
    <cellStyle name="Superscript 2 3 10 6" xfId="27462" xr:uid="{00000000-0005-0000-0000-00002B770000}"/>
    <cellStyle name="Superscript 2 3 10 6 2" xfId="27463" xr:uid="{00000000-0005-0000-0000-00002C770000}"/>
    <cellStyle name="Superscript 2 3 10 7" xfId="27464" xr:uid="{00000000-0005-0000-0000-00002D770000}"/>
    <cellStyle name="Superscript 2 3 10 7 2" xfId="27465" xr:uid="{00000000-0005-0000-0000-00002E770000}"/>
    <cellStyle name="Superscript 2 3 10 8" xfId="27466" xr:uid="{00000000-0005-0000-0000-00002F770000}"/>
    <cellStyle name="Superscript 2 3 10 8 2" xfId="27467" xr:uid="{00000000-0005-0000-0000-000030770000}"/>
    <cellStyle name="Superscript 2 3 10 9" xfId="27468" xr:uid="{00000000-0005-0000-0000-000031770000}"/>
    <cellStyle name="Superscript 2 3 10 9 2" xfId="27469" xr:uid="{00000000-0005-0000-0000-000032770000}"/>
    <cellStyle name="Superscript 2 3 11" xfId="27470" xr:uid="{00000000-0005-0000-0000-000033770000}"/>
    <cellStyle name="Superscript 2 3 11 2" xfId="27471" xr:uid="{00000000-0005-0000-0000-000034770000}"/>
    <cellStyle name="Superscript 2 3 11 2 2" xfId="27472" xr:uid="{00000000-0005-0000-0000-000035770000}"/>
    <cellStyle name="Superscript 2 3 11 3" xfId="27473" xr:uid="{00000000-0005-0000-0000-000036770000}"/>
    <cellStyle name="Superscript 2 3 11 3 2" xfId="27474" xr:uid="{00000000-0005-0000-0000-000037770000}"/>
    <cellStyle name="Superscript 2 3 11 4" xfId="27475" xr:uid="{00000000-0005-0000-0000-000038770000}"/>
    <cellStyle name="Superscript 2 3 11 4 2" xfId="27476" xr:uid="{00000000-0005-0000-0000-000039770000}"/>
    <cellStyle name="Superscript 2 3 11 5" xfId="27477" xr:uid="{00000000-0005-0000-0000-00003A770000}"/>
    <cellStyle name="Superscript 2 3 11 5 2" xfId="27478" xr:uid="{00000000-0005-0000-0000-00003B770000}"/>
    <cellStyle name="Superscript 2 3 11 6" xfId="27479" xr:uid="{00000000-0005-0000-0000-00003C770000}"/>
    <cellStyle name="Superscript 2 3 11 6 2" xfId="27480" xr:uid="{00000000-0005-0000-0000-00003D770000}"/>
    <cellStyle name="Superscript 2 3 11 7" xfId="27481" xr:uid="{00000000-0005-0000-0000-00003E770000}"/>
    <cellStyle name="Superscript 2 3 11 7 2" xfId="27482" xr:uid="{00000000-0005-0000-0000-00003F770000}"/>
    <cellStyle name="Superscript 2 3 11 8" xfId="27483" xr:uid="{00000000-0005-0000-0000-000040770000}"/>
    <cellStyle name="Superscript 2 3 11 8 2" xfId="27484" xr:uid="{00000000-0005-0000-0000-000041770000}"/>
    <cellStyle name="Superscript 2 3 11 9" xfId="27485" xr:uid="{00000000-0005-0000-0000-000042770000}"/>
    <cellStyle name="Superscript 2 3 2" xfId="27486" xr:uid="{00000000-0005-0000-0000-000043770000}"/>
    <cellStyle name="Superscript 2 3 2 10" xfId="27487" xr:uid="{00000000-0005-0000-0000-000044770000}"/>
    <cellStyle name="Superscript 2 3 2 2" xfId="27488" xr:uid="{00000000-0005-0000-0000-000045770000}"/>
    <cellStyle name="Superscript 2 3 2 2 2" xfId="27489" xr:uid="{00000000-0005-0000-0000-000046770000}"/>
    <cellStyle name="Superscript 2 3 2 3" xfId="27490" xr:uid="{00000000-0005-0000-0000-000047770000}"/>
    <cellStyle name="Superscript 2 3 2 3 2" xfId="27491" xr:uid="{00000000-0005-0000-0000-000048770000}"/>
    <cellStyle name="Superscript 2 3 2 4" xfId="27492" xr:uid="{00000000-0005-0000-0000-000049770000}"/>
    <cellStyle name="Superscript 2 3 2 4 2" xfId="27493" xr:uid="{00000000-0005-0000-0000-00004A770000}"/>
    <cellStyle name="Superscript 2 3 2 5" xfId="27494" xr:uid="{00000000-0005-0000-0000-00004B770000}"/>
    <cellStyle name="Superscript 2 3 2 5 2" xfId="27495" xr:uid="{00000000-0005-0000-0000-00004C770000}"/>
    <cellStyle name="Superscript 2 3 2 6" xfId="27496" xr:uid="{00000000-0005-0000-0000-00004D770000}"/>
    <cellStyle name="Superscript 2 3 2 6 2" xfId="27497" xr:uid="{00000000-0005-0000-0000-00004E770000}"/>
    <cellStyle name="Superscript 2 3 2 7" xfId="27498" xr:uid="{00000000-0005-0000-0000-00004F770000}"/>
    <cellStyle name="Superscript 2 3 2 7 2" xfId="27499" xr:uid="{00000000-0005-0000-0000-000050770000}"/>
    <cellStyle name="Superscript 2 3 2 8" xfId="27500" xr:uid="{00000000-0005-0000-0000-000051770000}"/>
    <cellStyle name="Superscript 2 3 2 8 2" xfId="27501" xr:uid="{00000000-0005-0000-0000-000052770000}"/>
    <cellStyle name="Superscript 2 3 2 9" xfId="27502" xr:uid="{00000000-0005-0000-0000-000053770000}"/>
    <cellStyle name="Superscript 2 3 2 9 2" xfId="27503" xr:uid="{00000000-0005-0000-0000-000054770000}"/>
    <cellStyle name="Superscript 2 3 3" xfId="27504" xr:uid="{00000000-0005-0000-0000-000055770000}"/>
    <cellStyle name="Superscript 2 3 3 10" xfId="27505" xr:uid="{00000000-0005-0000-0000-000056770000}"/>
    <cellStyle name="Superscript 2 3 3 2" xfId="27506" xr:uid="{00000000-0005-0000-0000-000057770000}"/>
    <cellStyle name="Superscript 2 3 3 2 2" xfId="27507" xr:uid="{00000000-0005-0000-0000-000058770000}"/>
    <cellStyle name="Superscript 2 3 3 3" xfId="27508" xr:uid="{00000000-0005-0000-0000-000059770000}"/>
    <cellStyle name="Superscript 2 3 3 3 2" xfId="27509" xr:uid="{00000000-0005-0000-0000-00005A770000}"/>
    <cellStyle name="Superscript 2 3 3 4" xfId="27510" xr:uid="{00000000-0005-0000-0000-00005B770000}"/>
    <cellStyle name="Superscript 2 3 3 4 2" xfId="27511" xr:uid="{00000000-0005-0000-0000-00005C770000}"/>
    <cellStyle name="Superscript 2 3 3 5" xfId="27512" xr:uid="{00000000-0005-0000-0000-00005D770000}"/>
    <cellStyle name="Superscript 2 3 3 5 2" xfId="27513" xr:uid="{00000000-0005-0000-0000-00005E770000}"/>
    <cellStyle name="Superscript 2 3 3 6" xfId="27514" xr:uid="{00000000-0005-0000-0000-00005F770000}"/>
    <cellStyle name="Superscript 2 3 3 6 2" xfId="27515" xr:uid="{00000000-0005-0000-0000-000060770000}"/>
    <cellStyle name="Superscript 2 3 3 7" xfId="27516" xr:uid="{00000000-0005-0000-0000-000061770000}"/>
    <cellStyle name="Superscript 2 3 3 7 2" xfId="27517" xr:uid="{00000000-0005-0000-0000-000062770000}"/>
    <cellStyle name="Superscript 2 3 3 8" xfId="27518" xr:uid="{00000000-0005-0000-0000-000063770000}"/>
    <cellStyle name="Superscript 2 3 3 8 2" xfId="27519" xr:uid="{00000000-0005-0000-0000-000064770000}"/>
    <cellStyle name="Superscript 2 3 3 9" xfId="27520" xr:uid="{00000000-0005-0000-0000-000065770000}"/>
    <cellStyle name="Superscript 2 3 3 9 2" xfId="27521" xr:uid="{00000000-0005-0000-0000-000066770000}"/>
    <cellStyle name="Superscript 2 3 4" xfId="27522" xr:uid="{00000000-0005-0000-0000-000067770000}"/>
    <cellStyle name="Superscript 2 3 4 10" xfId="27523" xr:uid="{00000000-0005-0000-0000-000068770000}"/>
    <cellStyle name="Superscript 2 3 4 2" xfId="27524" xr:uid="{00000000-0005-0000-0000-000069770000}"/>
    <cellStyle name="Superscript 2 3 4 2 2" xfId="27525" xr:uid="{00000000-0005-0000-0000-00006A770000}"/>
    <cellStyle name="Superscript 2 3 4 3" xfId="27526" xr:uid="{00000000-0005-0000-0000-00006B770000}"/>
    <cellStyle name="Superscript 2 3 4 3 2" xfId="27527" xr:uid="{00000000-0005-0000-0000-00006C770000}"/>
    <cellStyle name="Superscript 2 3 4 4" xfId="27528" xr:uid="{00000000-0005-0000-0000-00006D770000}"/>
    <cellStyle name="Superscript 2 3 4 4 2" xfId="27529" xr:uid="{00000000-0005-0000-0000-00006E770000}"/>
    <cellStyle name="Superscript 2 3 4 5" xfId="27530" xr:uid="{00000000-0005-0000-0000-00006F770000}"/>
    <cellStyle name="Superscript 2 3 4 5 2" xfId="27531" xr:uid="{00000000-0005-0000-0000-000070770000}"/>
    <cellStyle name="Superscript 2 3 4 6" xfId="27532" xr:uid="{00000000-0005-0000-0000-000071770000}"/>
    <cellStyle name="Superscript 2 3 4 6 2" xfId="27533" xr:uid="{00000000-0005-0000-0000-000072770000}"/>
    <cellStyle name="Superscript 2 3 4 7" xfId="27534" xr:uid="{00000000-0005-0000-0000-000073770000}"/>
    <cellStyle name="Superscript 2 3 4 7 2" xfId="27535" xr:uid="{00000000-0005-0000-0000-000074770000}"/>
    <cellStyle name="Superscript 2 3 4 8" xfId="27536" xr:uid="{00000000-0005-0000-0000-000075770000}"/>
    <cellStyle name="Superscript 2 3 4 8 2" xfId="27537" xr:uid="{00000000-0005-0000-0000-000076770000}"/>
    <cellStyle name="Superscript 2 3 4 9" xfId="27538" xr:uid="{00000000-0005-0000-0000-000077770000}"/>
    <cellStyle name="Superscript 2 3 4 9 2" xfId="27539" xr:uid="{00000000-0005-0000-0000-000078770000}"/>
    <cellStyle name="Superscript 2 3 5" xfId="27540" xr:uid="{00000000-0005-0000-0000-000079770000}"/>
    <cellStyle name="Superscript 2 3 5 10" xfId="27541" xr:uid="{00000000-0005-0000-0000-00007A770000}"/>
    <cellStyle name="Superscript 2 3 5 2" xfId="27542" xr:uid="{00000000-0005-0000-0000-00007B770000}"/>
    <cellStyle name="Superscript 2 3 5 2 2" xfId="27543" xr:uid="{00000000-0005-0000-0000-00007C770000}"/>
    <cellStyle name="Superscript 2 3 5 3" xfId="27544" xr:uid="{00000000-0005-0000-0000-00007D770000}"/>
    <cellStyle name="Superscript 2 3 5 3 2" xfId="27545" xr:uid="{00000000-0005-0000-0000-00007E770000}"/>
    <cellStyle name="Superscript 2 3 5 4" xfId="27546" xr:uid="{00000000-0005-0000-0000-00007F770000}"/>
    <cellStyle name="Superscript 2 3 5 4 2" xfId="27547" xr:uid="{00000000-0005-0000-0000-000080770000}"/>
    <cellStyle name="Superscript 2 3 5 5" xfId="27548" xr:uid="{00000000-0005-0000-0000-000081770000}"/>
    <cellStyle name="Superscript 2 3 5 5 2" xfId="27549" xr:uid="{00000000-0005-0000-0000-000082770000}"/>
    <cellStyle name="Superscript 2 3 5 6" xfId="27550" xr:uid="{00000000-0005-0000-0000-000083770000}"/>
    <cellStyle name="Superscript 2 3 5 6 2" xfId="27551" xr:uid="{00000000-0005-0000-0000-000084770000}"/>
    <cellStyle name="Superscript 2 3 5 7" xfId="27552" xr:uid="{00000000-0005-0000-0000-000085770000}"/>
    <cellStyle name="Superscript 2 3 5 7 2" xfId="27553" xr:uid="{00000000-0005-0000-0000-000086770000}"/>
    <cellStyle name="Superscript 2 3 5 8" xfId="27554" xr:uid="{00000000-0005-0000-0000-000087770000}"/>
    <cellStyle name="Superscript 2 3 5 8 2" xfId="27555" xr:uid="{00000000-0005-0000-0000-000088770000}"/>
    <cellStyle name="Superscript 2 3 5 9" xfId="27556" xr:uid="{00000000-0005-0000-0000-000089770000}"/>
    <cellStyle name="Superscript 2 3 5 9 2" xfId="27557" xr:uid="{00000000-0005-0000-0000-00008A770000}"/>
    <cellStyle name="Superscript 2 3 6" xfId="27558" xr:uid="{00000000-0005-0000-0000-00008B770000}"/>
    <cellStyle name="Superscript 2 3 6 10" xfId="27559" xr:uid="{00000000-0005-0000-0000-00008C770000}"/>
    <cellStyle name="Superscript 2 3 6 2" xfId="27560" xr:uid="{00000000-0005-0000-0000-00008D770000}"/>
    <cellStyle name="Superscript 2 3 6 2 2" xfId="27561" xr:uid="{00000000-0005-0000-0000-00008E770000}"/>
    <cellStyle name="Superscript 2 3 6 3" xfId="27562" xr:uid="{00000000-0005-0000-0000-00008F770000}"/>
    <cellStyle name="Superscript 2 3 6 3 2" xfId="27563" xr:uid="{00000000-0005-0000-0000-000090770000}"/>
    <cellStyle name="Superscript 2 3 6 4" xfId="27564" xr:uid="{00000000-0005-0000-0000-000091770000}"/>
    <cellStyle name="Superscript 2 3 6 4 2" xfId="27565" xr:uid="{00000000-0005-0000-0000-000092770000}"/>
    <cellStyle name="Superscript 2 3 6 5" xfId="27566" xr:uid="{00000000-0005-0000-0000-000093770000}"/>
    <cellStyle name="Superscript 2 3 6 5 2" xfId="27567" xr:uid="{00000000-0005-0000-0000-000094770000}"/>
    <cellStyle name="Superscript 2 3 6 6" xfId="27568" xr:uid="{00000000-0005-0000-0000-000095770000}"/>
    <cellStyle name="Superscript 2 3 6 6 2" xfId="27569" xr:uid="{00000000-0005-0000-0000-000096770000}"/>
    <cellStyle name="Superscript 2 3 6 7" xfId="27570" xr:uid="{00000000-0005-0000-0000-000097770000}"/>
    <cellStyle name="Superscript 2 3 6 7 2" xfId="27571" xr:uid="{00000000-0005-0000-0000-000098770000}"/>
    <cellStyle name="Superscript 2 3 6 8" xfId="27572" xr:uid="{00000000-0005-0000-0000-000099770000}"/>
    <cellStyle name="Superscript 2 3 6 8 2" xfId="27573" xr:uid="{00000000-0005-0000-0000-00009A770000}"/>
    <cellStyle name="Superscript 2 3 6 9" xfId="27574" xr:uid="{00000000-0005-0000-0000-00009B770000}"/>
    <cellStyle name="Superscript 2 3 6 9 2" xfId="27575" xr:uid="{00000000-0005-0000-0000-00009C770000}"/>
    <cellStyle name="Superscript 2 3 7" xfId="27576" xr:uid="{00000000-0005-0000-0000-00009D770000}"/>
    <cellStyle name="Superscript 2 3 7 10" xfId="27577" xr:uid="{00000000-0005-0000-0000-00009E770000}"/>
    <cellStyle name="Superscript 2 3 7 2" xfId="27578" xr:uid="{00000000-0005-0000-0000-00009F770000}"/>
    <cellStyle name="Superscript 2 3 7 2 2" xfId="27579" xr:uid="{00000000-0005-0000-0000-0000A0770000}"/>
    <cellStyle name="Superscript 2 3 7 3" xfId="27580" xr:uid="{00000000-0005-0000-0000-0000A1770000}"/>
    <cellStyle name="Superscript 2 3 7 3 2" xfId="27581" xr:uid="{00000000-0005-0000-0000-0000A2770000}"/>
    <cellStyle name="Superscript 2 3 7 4" xfId="27582" xr:uid="{00000000-0005-0000-0000-0000A3770000}"/>
    <cellStyle name="Superscript 2 3 7 4 2" xfId="27583" xr:uid="{00000000-0005-0000-0000-0000A4770000}"/>
    <cellStyle name="Superscript 2 3 7 5" xfId="27584" xr:uid="{00000000-0005-0000-0000-0000A5770000}"/>
    <cellStyle name="Superscript 2 3 7 5 2" xfId="27585" xr:uid="{00000000-0005-0000-0000-0000A6770000}"/>
    <cellStyle name="Superscript 2 3 7 6" xfId="27586" xr:uid="{00000000-0005-0000-0000-0000A7770000}"/>
    <cellStyle name="Superscript 2 3 7 6 2" xfId="27587" xr:uid="{00000000-0005-0000-0000-0000A8770000}"/>
    <cellStyle name="Superscript 2 3 7 7" xfId="27588" xr:uid="{00000000-0005-0000-0000-0000A9770000}"/>
    <cellStyle name="Superscript 2 3 7 7 2" xfId="27589" xr:uid="{00000000-0005-0000-0000-0000AA770000}"/>
    <cellStyle name="Superscript 2 3 7 8" xfId="27590" xr:uid="{00000000-0005-0000-0000-0000AB770000}"/>
    <cellStyle name="Superscript 2 3 7 8 2" xfId="27591" xr:uid="{00000000-0005-0000-0000-0000AC770000}"/>
    <cellStyle name="Superscript 2 3 7 9" xfId="27592" xr:uid="{00000000-0005-0000-0000-0000AD770000}"/>
    <cellStyle name="Superscript 2 3 7 9 2" xfId="27593" xr:uid="{00000000-0005-0000-0000-0000AE770000}"/>
    <cellStyle name="Superscript 2 3 8" xfId="27594" xr:uid="{00000000-0005-0000-0000-0000AF770000}"/>
    <cellStyle name="Superscript 2 3 8 10" xfId="27595" xr:uid="{00000000-0005-0000-0000-0000B0770000}"/>
    <cellStyle name="Superscript 2 3 8 2" xfId="27596" xr:uid="{00000000-0005-0000-0000-0000B1770000}"/>
    <cellStyle name="Superscript 2 3 8 2 2" xfId="27597" xr:uid="{00000000-0005-0000-0000-0000B2770000}"/>
    <cellStyle name="Superscript 2 3 8 3" xfId="27598" xr:uid="{00000000-0005-0000-0000-0000B3770000}"/>
    <cellStyle name="Superscript 2 3 8 3 2" xfId="27599" xr:uid="{00000000-0005-0000-0000-0000B4770000}"/>
    <cellStyle name="Superscript 2 3 8 4" xfId="27600" xr:uid="{00000000-0005-0000-0000-0000B5770000}"/>
    <cellStyle name="Superscript 2 3 8 4 2" xfId="27601" xr:uid="{00000000-0005-0000-0000-0000B6770000}"/>
    <cellStyle name="Superscript 2 3 8 5" xfId="27602" xr:uid="{00000000-0005-0000-0000-0000B7770000}"/>
    <cellStyle name="Superscript 2 3 8 5 2" xfId="27603" xr:uid="{00000000-0005-0000-0000-0000B8770000}"/>
    <cellStyle name="Superscript 2 3 8 6" xfId="27604" xr:uid="{00000000-0005-0000-0000-0000B9770000}"/>
    <cellStyle name="Superscript 2 3 8 6 2" xfId="27605" xr:uid="{00000000-0005-0000-0000-0000BA770000}"/>
    <cellStyle name="Superscript 2 3 8 7" xfId="27606" xr:uid="{00000000-0005-0000-0000-0000BB770000}"/>
    <cellStyle name="Superscript 2 3 8 7 2" xfId="27607" xr:uid="{00000000-0005-0000-0000-0000BC770000}"/>
    <cellStyle name="Superscript 2 3 8 8" xfId="27608" xr:uid="{00000000-0005-0000-0000-0000BD770000}"/>
    <cellStyle name="Superscript 2 3 8 8 2" xfId="27609" xr:uid="{00000000-0005-0000-0000-0000BE770000}"/>
    <cellStyle name="Superscript 2 3 8 9" xfId="27610" xr:uid="{00000000-0005-0000-0000-0000BF770000}"/>
    <cellStyle name="Superscript 2 3 8 9 2" xfId="27611" xr:uid="{00000000-0005-0000-0000-0000C0770000}"/>
    <cellStyle name="Superscript 2 3 9" xfId="27612" xr:uid="{00000000-0005-0000-0000-0000C1770000}"/>
    <cellStyle name="Superscript 2 3 9 10" xfId="27613" xr:uid="{00000000-0005-0000-0000-0000C2770000}"/>
    <cellStyle name="Superscript 2 3 9 2" xfId="27614" xr:uid="{00000000-0005-0000-0000-0000C3770000}"/>
    <cellStyle name="Superscript 2 3 9 2 2" xfId="27615" xr:uid="{00000000-0005-0000-0000-0000C4770000}"/>
    <cellStyle name="Superscript 2 3 9 3" xfId="27616" xr:uid="{00000000-0005-0000-0000-0000C5770000}"/>
    <cellStyle name="Superscript 2 3 9 3 2" xfId="27617" xr:uid="{00000000-0005-0000-0000-0000C6770000}"/>
    <cellStyle name="Superscript 2 3 9 4" xfId="27618" xr:uid="{00000000-0005-0000-0000-0000C7770000}"/>
    <cellStyle name="Superscript 2 3 9 4 2" xfId="27619" xr:uid="{00000000-0005-0000-0000-0000C8770000}"/>
    <cellStyle name="Superscript 2 3 9 5" xfId="27620" xr:uid="{00000000-0005-0000-0000-0000C9770000}"/>
    <cellStyle name="Superscript 2 3 9 5 2" xfId="27621" xr:uid="{00000000-0005-0000-0000-0000CA770000}"/>
    <cellStyle name="Superscript 2 3 9 6" xfId="27622" xr:uid="{00000000-0005-0000-0000-0000CB770000}"/>
    <cellStyle name="Superscript 2 3 9 6 2" xfId="27623" xr:uid="{00000000-0005-0000-0000-0000CC770000}"/>
    <cellStyle name="Superscript 2 3 9 7" xfId="27624" xr:uid="{00000000-0005-0000-0000-0000CD770000}"/>
    <cellStyle name="Superscript 2 3 9 7 2" xfId="27625" xr:uid="{00000000-0005-0000-0000-0000CE770000}"/>
    <cellStyle name="Superscript 2 3 9 8" xfId="27626" xr:uid="{00000000-0005-0000-0000-0000CF770000}"/>
    <cellStyle name="Superscript 2 3 9 8 2" xfId="27627" xr:uid="{00000000-0005-0000-0000-0000D0770000}"/>
    <cellStyle name="Superscript 2 3 9 9" xfId="27628" xr:uid="{00000000-0005-0000-0000-0000D1770000}"/>
    <cellStyle name="Superscript 2 3 9 9 2" xfId="27629" xr:uid="{00000000-0005-0000-0000-0000D2770000}"/>
    <cellStyle name="Superscript 2 4" xfId="27630" xr:uid="{00000000-0005-0000-0000-0000D3770000}"/>
    <cellStyle name="Superscript 2 4 10" xfId="27631" xr:uid="{00000000-0005-0000-0000-0000D4770000}"/>
    <cellStyle name="Superscript 2 4 10 2" xfId="27632" xr:uid="{00000000-0005-0000-0000-0000D5770000}"/>
    <cellStyle name="Superscript 2 4 10 2 2" xfId="27633" xr:uid="{00000000-0005-0000-0000-0000D6770000}"/>
    <cellStyle name="Superscript 2 4 10 3" xfId="27634" xr:uid="{00000000-0005-0000-0000-0000D7770000}"/>
    <cellStyle name="Superscript 2 4 10 3 2" xfId="27635" xr:uid="{00000000-0005-0000-0000-0000D8770000}"/>
    <cellStyle name="Superscript 2 4 10 4" xfId="27636" xr:uid="{00000000-0005-0000-0000-0000D9770000}"/>
    <cellStyle name="Superscript 2 4 10 4 2" xfId="27637" xr:uid="{00000000-0005-0000-0000-0000DA770000}"/>
    <cellStyle name="Superscript 2 4 10 5" xfId="27638" xr:uid="{00000000-0005-0000-0000-0000DB770000}"/>
    <cellStyle name="Superscript 2 4 10 5 2" xfId="27639" xr:uid="{00000000-0005-0000-0000-0000DC770000}"/>
    <cellStyle name="Superscript 2 4 10 6" xfId="27640" xr:uid="{00000000-0005-0000-0000-0000DD770000}"/>
    <cellStyle name="Superscript 2 4 10 6 2" xfId="27641" xr:uid="{00000000-0005-0000-0000-0000DE770000}"/>
    <cellStyle name="Superscript 2 4 10 7" xfId="27642" xr:uid="{00000000-0005-0000-0000-0000DF770000}"/>
    <cellStyle name="Superscript 2 4 10 7 2" xfId="27643" xr:uid="{00000000-0005-0000-0000-0000E0770000}"/>
    <cellStyle name="Superscript 2 4 10 8" xfId="27644" xr:uid="{00000000-0005-0000-0000-0000E1770000}"/>
    <cellStyle name="Superscript 2 4 10 8 2" xfId="27645" xr:uid="{00000000-0005-0000-0000-0000E2770000}"/>
    <cellStyle name="Superscript 2 4 10 9" xfId="27646" xr:uid="{00000000-0005-0000-0000-0000E3770000}"/>
    <cellStyle name="Superscript 2 4 11" xfId="27647" xr:uid="{00000000-0005-0000-0000-0000E4770000}"/>
    <cellStyle name="Superscript 2 4 11 2" xfId="27648" xr:uid="{00000000-0005-0000-0000-0000E5770000}"/>
    <cellStyle name="Superscript 2 4 12" xfId="27649" xr:uid="{00000000-0005-0000-0000-0000E6770000}"/>
    <cellStyle name="Superscript 2 4 12 2" xfId="27650" xr:uid="{00000000-0005-0000-0000-0000E7770000}"/>
    <cellStyle name="Superscript 2 4 13" xfId="27651" xr:uid="{00000000-0005-0000-0000-0000E8770000}"/>
    <cellStyle name="Superscript 2 4 13 2" xfId="27652" xr:uid="{00000000-0005-0000-0000-0000E9770000}"/>
    <cellStyle name="Superscript 2 4 14" xfId="27653" xr:uid="{00000000-0005-0000-0000-0000EA770000}"/>
    <cellStyle name="Superscript 2 4 14 2" xfId="27654" xr:uid="{00000000-0005-0000-0000-0000EB770000}"/>
    <cellStyle name="Superscript 2 4 15" xfId="27655" xr:uid="{00000000-0005-0000-0000-0000EC770000}"/>
    <cellStyle name="Superscript 2 4 15 2" xfId="27656" xr:uid="{00000000-0005-0000-0000-0000ED770000}"/>
    <cellStyle name="Superscript 2 4 16" xfId="27657" xr:uid="{00000000-0005-0000-0000-0000EE770000}"/>
    <cellStyle name="Superscript 2 4 16 2" xfId="27658" xr:uid="{00000000-0005-0000-0000-0000EF770000}"/>
    <cellStyle name="Superscript 2 4 17" xfId="27659" xr:uid="{00000000-0005-0000-0000-0000F0770000}"/>
    <cellStyle name="Superscript 2 4 17 2" xfId="27660" xr:uid="{00000000-0005-0000-0000-0000F1770000}"/>
    <cellStyle name="Superscript 2 4 18" xfId="27661" xr:uid="{00000000-0005-0000-0000-0000F2770000}"/>
    <cellStyle name="Superscript 2 4 2" xfId="27662" xr:uid="{00000000-0005-0000-0000-0000F3770000}"/>
    <cellStyle name="Superscript 2 4 2 10" xfId="27663" xr:uid="{00000000-0005-0000-0000-0000F4770000}"/>
    <cellStyle name="Superscript 2 4 2 2" xfId="27664" xr:uid="{00000000-0005-0000-0000-0000F5770000}"/>
    <cellStyle name="Superscript 2 4 2 2 2" xfId="27665" xr:uid="{00000000-0005-0000-0000-0000F6770000}"/>
    <cellStyle name="Superscript 2 4 2 3" xfId="27666" xr:uid="{00000000-0005-0000-0000-0000F7770000}"/>
    <cellStyle name="Superscript 2 4 2 3 2" xfId="27667" xr:uid="{00000000-0005-0000-0000-0000F8770000}"/>
    <cellStyle name="Superscript 2 4 2 4" xfId="27668" xr:uid="{00000000-0005-0000-0000-0000F9770000}"/>
    <cellStyle name="Superscript 2 4 2 4 2" xfId="27669" xr:uid="{00000000-0005-0000-0000-0000FA770000}"/>
    <cellStyle name="Superscript 2 4 2 5" xfId="27670" xr:uid="{00000000-0005-0000-0000-0000FB770000}"/>
    <cellStyle name="Superscript 2 4 2 5 2" xfId="27671" xr:uid="{00000000-0005-0000-0000-0000FC770000}"/>
    <cellStyle name="Superscript 2 4 2 6" xfId="27672" xr:uid="{00000000-0005-0000-0000-0000FD770000}"/>
    <cellStyle name="Superscript 2 4 2 6 2" xfId="27673" xr:uid="{00000000-0005-0000-0000-0000FE770000}"/>
    <cellStyle name="Superscript 2 4 2 7" xfId="27674" xr:uid="{00000000-0005-0000-0000-0000FF770000}"/>
    <cellStyle name="Superscript 2 4 2 7 2" xfId="27675" xr:uid="{00000000-0005-0000-0000-000000780000}"/>
    <cellStyle name="Superscript 2 4 2 8" xfId="27676" xr:uid="{00000000-0005-0000-0000-000001780000}"/>
    <cellStyle name="Superscript 2 4 2 8 2" xfId="27677" xr:uid="{00000000-0005-0000-0000-000002780000}"/>
    <cellStyle name="Superscript 2 4 2 9" xfId="27678" xr:uid="{00000000-0005-0000-0000-000003780000}"/>
    <cellStyle name="Superscript 2 4 2 9 2" xfId="27679" xr:uid="{00000000-0005-0000-0000-000004780000}"/>
    <cellStyle name="Superscript 2 4 3" xfId="27680" xr:uid="{00000000-0005-0000-0000-000005780000}"/>
    <cellStyle name="Superscript 2 4 3 10" xfId="27681" xr:uid="{00000000-0005-0000-0000-000006780000}"/>
    <cellStyle name="Superscript 2 4 3 2" xfId="27682" xr:uid="{00000000-0005-0000-0000-000007780000}"/>
    <cellStyle name="Superscript 2 4 3 2 2" xfId="27683" xr:uid="{00000000-0005-0000-0000-000008780000}"/>
    <cellStyle name="Superscript 2 4 3 3" xfId="27684" xr:uid="{00000000-0005-0000-0000-000009780000}"/>
    <cellStyle name="Superscript 2 4 3 3 2" xfId="27685" xr:uid="{00000000-0005-0000-0000-00000A780000}"/>
    <cellStyle name="Superscript 2 4 3 4" xfId="27686" xr:uid="{00000000-0005-0000-0000-00000B780000}"/>
    <cellStyle name="Superscript 2 4 3 4 2" xfId="27687" xr:uid="{00000000-0005-0000-0000-00000C780000}"/>
    <cellStyle name="Superscript 2 4 3 5" xfId="27688" xr:uid="{00000000-0005-0000-0000-00000D780000}"/>
    <cellStyle name="Superscript 2 4 3 5 2" xfId="27689" xr:uid="{00000000-0005-0000-0000-00000E780000}"/>
    <cellStyle name="Superscript 2 4 3 6" xfId="27690" xr:uid="{00000000-0005-0000-0000-00000F780000}"/>
    <cellStyle name="Superscript 2 4 3 6 2" xfId="27691" xr:uid="{00000000-0005-0000-0000-000010780000}"/>
    <cellStyle name="Superscript 2 4 3 7" xfId="27692" xr:uid="{00000000-0005-0000-0000-000011780000}"/>
    <cellStyle name="Superscript 2 4 3 7 2" xfId="27693" xr:uid="{00000000-0005-0000-0000-000012780000}"/>
    <cellStyle name="Superscript 2 4 3 8" xfId="27694" xr:uid="{00000000-0005-0000-0000-000013780000}"/>
    <cellStyle name="Superscript 2 4 3 8 2" xfId="27695" xr:uid="{00000000-0005-0000-0000-000014780000}"/>
    <cellStyle name="Superscript 2 4 3 9" xfId="27696" xr:uid="{00000000-0005-0000-0000-000015780000}"/>
    <cellStyle name="Superscript 2 4 3 9 2" xfId="27697" xr:uid="{00000000-0005-0000-0000-000016780000}"/>
    <cellStyle name="Superscript 2 4 4" xfId="27698" xr:uid="{00000000-0005-0000-0000-000017780000}"/>
    <cellStyle name="Superscript 2 4 4 10" xfId="27699" xr:uid="{00000000-0005-0000-0000-000018780000}"/>
    <cellStyle name="Superscript 2 4 4 2" xfId="27700" xr:uid="{00000000-0005-0000-0000-000019780000}"/>
    <cellStyle name="Superscript 2 4 4 2 2" xfId="27701" xr:uid="{00000000-0005-0000-0000-00001A780000}"/>
    <cellStyle name="Superscript 2 4 4 3" xfId="27702" xr:uid="{00000000-0005-0000-0000-00001B780000}"/>
    <cellStyle name="Superscript 2 4 4 3 2" xfId="27703" xr:uid="{00000000-0005-0000-0000-00001C780000}"/>
    <cellStyle name="Superscript 2 4 4 4" xfId="27704" xr:uid="{00000000-0005-0000-0000-00001D780000}"/>
    <cellStyle name="Superscript 2 4 4 4 2" xfId="27705" xr:uid="{00000000-0005-0000-0000-00001E780000}"/>
    <cellStyle name="Superscript 2 4 4 5" xfId="27706" xr:uid="{00000000-0005-0000-0000-00001F780000}"/>
    <cellStyle name="Superscript 2 4 4 5 2" xfId="27707" xr:uid="{00000000-0005-0000-0000-000020780000}"/>
    <cellStyle name="Superscript 2 4 4 6" xfId="27708" xr:uid="{00000000-0005-0000-0000-000021780000}"/>
    <cellStyle name="Superscript 2 4 4 6 2" xfId="27709" xr:uid="{00000000-0005-0000-0000-000022780000}"/>
    <cellStyle name="Superscript 2 4 4 7" xfId="27710" xr:uid="{00000000-0005-0000-0000-000023780000}"/>
    <cellStyle name="Superscript 2 4 4 7 2" xfId="27711" xr:uid="{00000000-0005-0000-0000-000024780000}"/>
    <cellStyle name="Superscript 2 4 4 8" xfId="27712" xr:uid="{00000000-0005-0000-0000-000025780000}"/>
    <cellStyle name="Superscript 2 4 4 8 2" xfId="27713" xr:uid="{00000000-0005-0000-0000-000026780000}"/>
    <cellStyle name="Superscript 2 4 4 9" xfId="27714" xr:uid="{00000000-0005-0000-0000-000027780000}"/>
    <cellStyle name="Superscript 2 4 4 9 2" xfId="27715" xr:uid="{00000000-0005-0000-0000-000028780000}"/>
    <cellStyle name="Superscript 2 4 5" xfId="27716" xr:uid="{00000000-0005-0000-0000-000029780000}"/>
    <cellStyle name="Superscript 2 4 5 10" xfId="27717" xr:uid="{00000000-0005-0000-0000-00002A780000}"/>
    <cellStyle name="Superscript 2 4 5 2" xfId="27718" xr:uid="{00000000-0005-0000-0000-00002B780000}"/>
    <cellStyle name="Superscript 2 4 5 2 2" xfId="27719" xr:uid="{00000000-0005-0000-0000-00002C780000}"/>
    <cellStyle name="Superscript 2 4 5 3" xfId="27720" xr:uid="{00000000-0005-0000-0000-00002D780000}"/>
    <cellStyle name="Superscript 2 4 5 3 2" xfId="27721" xr:uid="{00000000-0005-0000-0000-00002E780000}"/>
    <cellStyle name="Superscript 2 4 5 4" xfId="27722" xr:uid="{00000000-0005-0000-0000-00002F780000}"/>
    <cellStyle name="Superscript 2 4 5 4 2" xfId="27723" xr:uid="{00000000-0005-0000-0000-000030780000}"/>
    <cellStyle name="Superscript 2 4 5 5" xfId="27724" xr:uid="{00000000-0005-0000-0000-000031780000}"/>
    <cellStyle name="Superscript 2 4 5 5 2" xfId="27725" xr:uid="{00000000-0005-0000-0000-000032780000}"/>
    <cellStyle name="Superscript 2 4 5 6" xfId="27726" xr:uid="{00000000-0005-0000-0000-000033780000}"/>
    <cellStyle name="Superscript 2 4 5 6 2" xfId="27727" xr:uid="{00000000-0005-0000-0000-000034780000}"/>
    <cellStyle name="Superscript 2 4 5 7" xfId="27728" xr:uid="{00000000-0005-0000-0000-000035780000}"/>
    <cellStyle name="Superscript 2 4 5 7 2" xfId="27729" xr:uid="{00000000-0005-0000-0000-000036780000}"/>
    <cellStyle name="Superscript 2 4 5 8" xfId="27730" xr:uid="{00000000-0005-0000-0000-000037780000}"/>
    <cellStyle name="Superscript 2 4 5 8 2" xfId="27731" xr:uid="{00000000-0005-0000-0000-000038780000}"/>
    <cellStyle name="Superscript 2 4 5 9" xfId="27732" xr:uid="{00000000-0005-0000-0000-000039780000}"/>
    <cellStyle name="Superscript 2 4 5 9 2" xfId="27733" xr:uid="{00000000-0005-0000-0000-00003A780000}"/>
    <cellStyle name="Superscript 2 4 6" xfId="27734" xr:uid="{00000000-0005-0000-0000-00003B780000}"/>
    <cellStyle name="Superscript 2 4 6 10" xfId="27735" xr:uid="{00000000-0005-0000-0000-00003C780000}"/>
    <cellStyle name="Superscript 2 4 6 2" xfId="27736" xr:uid="{00000000-0005-0000-0000-00003D780000}"/>
    <cellStyle name="Superscript 2 4 6 2 2" xfId="27737" xr:uid="{00000000-0005-0000-0000-00003E780000}"/>
    <cellStyle name="Superscript 2 4 6 3" xfId="27738" xr:uid="{00000000-0005-0000-0000-00003F780000}"/>
    <cellStyle name="Superscript 2 4 6 3 2" xfId="27739" xr:uid="{00000000-0005-0000-0000-000040780000}"/>
    <cellStyle name="Superscript 2 4 6 4" xfId="27740" xr:uid="{00000000-0005-0000-0000-000041780000}"/>
    <cellStyle name="Superscript 2 4 6 4 2" xfId="27741" xr:uid="{00000000-0005-0000-0000-000042780000}"/>
    <cellStyle name="Superscript 2 4 6 5" xfId="27742" xr:uid="{00000000-0005-0000-0000-000043780000}"/>
    <cellStyle name="Superscript 2 4 6 5 2" xfId="27743" xr:uid="{00000000-0005-0000-0000-000044780000}"/>
    <cellStyle name="Superscript 2 4 6 6" xfId="27744" xr:uid="{00000000-0005-0000-0000-000045780000}"/>
    <cellStyle name="Superscript 2 4 6 6 2" xfId="27745" xr:uid="{00000000-0005-0000-0000-000046780000}"/>
    <cellStyle name="Superscript 2 4 6 7" xfId="27746" xr:uid="{00000000-0005-0000-0000-000047780000}"/>
    <cellStyle name="Superscript 2 4 6 7 2" xfId="27747" xr:uid="{00000000-0005-0000-0000-000048780000}"/>
    <cellStyle name="Superscript 2 4 6 8" xfId="27748" xr:uid="{00000000-0005-0000-0000-000049780000}"/>
    <cellStyle name="Superscript 2 4 6 8 2" xfId="27749" xr:uid="{00000000-0005-0000-0000-00004A780000}"/>
    <cellStyle name="Superscript 2 4 6 9" xfId="27750" xr:uid="{00000000-0005-0000-0000-00004B780000}"/>
    <cellStyle name="Superscript 2 4 6 9 2" xfId="27751" xr:uid="{00000000-0005-0000-0000-00004C780000}"/>
    <cellStyle name="Superscript 2 4 7" xfId="27752" xr:uid="{00000000-0005-0000-0000-00004D780000}"/>
    <cellStyle name="Superscript 2 4 7 10" xfId="27753" xr:uid="{00000000-0005-0000-0000-00004E780000}"/>
    <cellStyle name="Superscript 2 4 7 2" xfId="27754" xr:uid="{00000000-0005-0000-0000-00004F780000}"/>
    <cellStyle name="Superscript 2 4 7 2 2" xfId="27755" xr:uid="{00000000-0005-0000-0000-000050780000}"/>
    <cellStyle name="Superscript 2 4 7 3" xfId="27756" xr:uid="{00000000-0005-0000-0000-000051780000}"/>
    <cellStyle name="Superscript 2 4 7 3 2" xfId="27757" xr:uid="{00000000-0005-0000-0000-000052780000}"/>
    <cellStyle name="Superscript 2 4 7 4" xfId="27758" xr:uid="{00000000-0005-0000-0000-000053780000}"/>
    <cellStyle name="Superscript 2 4 7 4 2" xfId="27759" xr:uid="{00000000-0005-0000-0000-000054780000}"/>
    <cellStyle name="Superscript 2 4 7 5" xfId="27760" xr:uid="{00000000-0005-0000-0000-000055780000}"/>
    <cellStyle name="Superscript 2 4 7 5 2" xfId="27761" xr:uid="{00000000-0005-0000-0000-000056780000}"/>
    <cellStyle name="Superscript 2 4 7 6" xfId="27762" xr:uid="{00000000-0005-0000-0000-000057780000}"/>
    <cellStyle name="Superscript 2 4 7 6 2" xfId="27763" xr:uid="{00000000-0005-0000-0000-000058780000}"/>
    <cellStyle name="Superscript 2 4 7 7" xfId="27764" xr:uid="{00000000-0005-0000-0000-000059780000}"/>
    <cellStyle name="Superscript 2 4 7 7 2" xfId="27765" xr:uid="{00000000-0005-0000-0000-00005A780000}"/>
    <cellStyle name="Superscript 2 4 7 8" xfId="27766" xr:uid="{00000000-0005-0000-0000-00005B780000}"/>
    <cellStyle name="Superscript 2 4 7 8 2" xfId="27767" xr:uid="{00000000-0005-0000-0000-00005C780000}"/>
    <cellStyle name="Superscript 2 4 7 9" xfId="27768" xr:uid="{00000000-0005-0000-0000-00005D780000}"/>
    <cellStyle name="Superscript 2 4 7 9 2" xfId="27769" xr:uid="{00000000-0005-0000-0000-00005E780000}"/>
    <cellStyle name="Superscript 2 4 8" xfId="27770" xr:uid="{00000000-0005-0000-0000-00005F780000}"/>
    <cellStyle name="Superscript 2 4 8 10" xfId="27771" xr:uid="{00000000-0005-0000-0000-000060780000}"/>
    <cellStyle name="Superscript 2 4 8 2" xfId="27772" xr:uid="{00000000-0005-0000-0000-000061780000}"/>
    <cellStyle name="Superscript 2 4 8 2 2" xfId="27773" xr:uid="{00000000-0005-0000-0000-000062780000}"/>
    <cellStyle name="Superscript 2 4 8 3" xfId="27774" xr:uid="{00000000-0005-0000-0000-000063780000}"/>
    <cellStyle name="Superscript 2 4 8 3 2" xfId="27775" xr:uid="{00000000-0005-0000-0000-000064780000}"/>
    <cellStyle name="Superscript 2 4 8 4" xfId="27776" xr:uid="{00000000-0005-0000-0000-000065780000}"/>
    <cellStyle name="Superscript 2 4 8 4 2" xfId="27777" xr:uid="{00000000-0005-0000-0000-000066780000}"/>
    <cellStyle name="Superscript 2 4 8 5" xfId="27778" xr:uid="{00000000-0005-0000-0000-000067780000}"/>
    <cellStyle name="Superscript 2 4 8 5 2" xfId="27779" xr:uid="{00000000-0005-0000-0000-000068780000}"/>
    <cellStyle name="Superscript 2 4 8 6" xfId="27780" xr:uid="{00000000-0005-0000-0000-000069780000}"/>
    <cellStyle name="Superscript 2 4 8 6 2" xfId="27781" xr:uid="{00000000-0005-0000-0000-00006A780000}"/>
    <cellStyle name="Superscript 2 4 8 7" xfId="27782" xr:uid="{00000000-0005-0000-0000-00006B780000}"/>
    <cellStyle name="Superscript 2 4 8 7 2" xfId="27783" xr:uid="{00000000-0005-0000-0000-00006C780000}"/>
    <cellStyle name="Superscript 2 4 8 8" xfId="27784" xr:uid="{00000000-0005-0000-0000-00006D780000}"/>
    <cellStyle name="Superscript 2 4 8 8 2" xfId="27785" xr:uid="{00000000-0005-0000-0000-00006E780000}"/>
    <cellStyle name="Superscript 2 4 8 9" xfId="27786" xr:uid="{00000000-0005-0000-0000-00006F780000}"/>
    <cellStyle name="Superscript 2 4 8 9 2" xfId="27787" xr:uid="{00000000-0005-0000-0000-000070780000}"/>
    <cellStyle name="Superscript 2 4 9" xfId="27788" xr:uid="{00000000-0005-0000-0000-000071780000}"/>
    <cellStyle name="Superscript 2 4 9 10" xfId="27789" xr:uid="{00000000-0005-0000-0000-000072780000}"/>
    <cellStyle name="Superscript 2 4 9 2" xfId="27790" xr:uid="{00000000-0005-0000-0000-000073780000}"/>
    <cellStyle name="Superscript 2 4 9 2 2" xfId="27791" xr:uid="{00000000-0005-0000-0000-000074780000}"/>
    <cellStyle name="Superscript 2 4 9 3" xfId="27792" xr:uid="{00000000-0005-0000-0000-000075780000}"/>
    <cellStyle name="Superscript 2 4 9 3 2" xfId="27793" xr:uid="{00000000-0005-0000-0000-000076780000}"/>
    <cellStyle name="Superscript 2 4 9 4" xfId="27794" xr:uid="{00000000-0005-0000-0000-000077780000}"/>
    <cellStyle name="Superscript 2 4 9 4 2" xfId="27795" xr:uid="{00000000-0005-0000-0000-000078780000}"/>
    <cellStyle name="Superscript 2 4 9 5" xfId="27796" xr:uid="{00000000-0005-0000-0000-000079780000}"/>
    <cellStyle name="Superscript 2 4 9 5 2" xfId="27797" xr:uid="{00000000-0005-0000-0000-00007A780000}"/>
    <cellStyle name="Superscript 2 4 9 6" xfId="27798" xr:uid="{00000000-0005-0000-0000-00007B780000}"/>
    <cellStyle name="Superscript 2 4 9 6 2" xfId="27799" xr:uid="{00000000-0005-0000-0000-00007C780000}"/>
    <cellStyle name="Superscript 2 4 9 7" xfId="27800" xr:uid="{00000000-0005-0000-0000-00007D780000}"/>
    <cellStyle name="Superscript 2 4 9 7 2" xfId="27801" xr:uid="{00000000-0005-0000-0000-00007E780000}"/>
    <cellStyle name="Superscript 2 4 9 8" xfId="27802" xr:uid="{00000000-0005-0000-0000-00007F780000}"/>
    <cellStyle name="Superscript 2 4 9 8 2" xfId="27803" xr:uid="{00000000-0005-0000-0000-000080780000}"/>
    <cellStyle name="Superscript 2 4 9 9" xfId="27804" xr:uid="{00000000-0005-0000-0000-000081780000}"/>
    <cellStyle name="Superscript 2 4 9 9 2" xfId="27805" xr:uid="{00000000-0005-0000-0000-000082780000}"/>
    <cellStyle name="Superscript 2 5" xfId="27806" xr:uid="{00000000-0005-0000-0000-000083780000}"/>
    <cellStyle name="Superscript 2 5 10" xfId="27807" xr:uid="{00000000-0005-0000-0000-000084780000}"/>
    <cellStyle name="Superscript 2 5 10 2" xfId="27808" xr:uid="{00000000-0005-0000-0000-000085780000}"/>
    <cellStyle name="Superscript 2 5 10 2 2" xfId="27809" xr:uid="{00000000-0005-0000-0000-000086780000}"/>
    <cellStyle name="Superscript 2 5 10 3" xfId="27810" xr:uid="{00000000-0005-0000-0000-000087780000}"/>
    <cellStyle name="Superscript 2 5 10 3 2" xfId="27811" xr:uid="{00000000-0005-0000-0000-000088780000}"/>
    <cellStyle name="Superscript 2 5 10 4" xfId="27812" xr:uid="{00000000-0005-0000-0000-000089780000}"/>
    <cellStyle name="Superscript 2 5 10 4 2" xfId="27813" xr:uid="{00000000-0005-0000-0000-00008A780000}"/>
    <cellStyle name="Superscript 2 5 10 5" xfId="27814" xr:uid="{00000000-0005-0000-0000-00008B780000}"/>
    <cellStyle name="Superscript 2 5 10 5 2" xfId="27815" xr:uid="{00000000-0005-0000-0000-00008C780000}"/>
    <cellStyle name="Superscript 2 5 10 6" xfId="27816" xr:uid="{00000000-0005-0000-0000-00008D780000}"/>
    <cellStyle name="Superscript 2 5 10 6 2" xfId="27817" xr:uid="{00000000-0005-0000-0000-00008E780000}"/>
    <cellStyle name="Superscript 2 5 10 7" xfId="27818" xr:uid="{00000000-0005-0000-0000-00008F780000}"/>
    <cellStyle name="Superscript 2 5 10 7 2" xfId="27819" xr:uid="{00000000-0005-0000-0000-000090780000}"/>
    <cellStyle name="Superscript 2 5 10 8" xfId="27820" xr:uid="{00000000-0005-0000-0000-000091780000}"/>
    <cellStyle name="Superscript 2 5 10 8 2" xfId="27821" xr:uid="{00000000-0005-0000-0000-000092780000}"/>
    <cellStyle name="Superscript 2 5 10 9" xfId="27822" xr:uid="{00000000-0005-0000-0000-000093780000}"/>
    <cellStyle name="Superscript 2 5 11" xfId="27823" xr:uid="{00000000-0005-0000-0000-000094780000}"/>
    <cellStyle name="Superscript 2 5 11 2" xfId="27824" xr:uid="{00000000-0005-0000-0000-000095780000}"/>
    <cellStyle name="Superscript 2 5 12" xfId="27825" xr:uid="{00000000-0005-0000-0000-000096780000}"/>
    <cellStyle name="Superscript 2 5 12 2" xfId="27826" xr:uid="{00000000-0005-0000-0000-000097780000}"/>
    <cellStyle name="Superscript 2 5 13" xfId="27827" xr:uid="{00000000-0005-0000-0000-000098780000}"/>
    <cellStyle name="Superscript 2 5 13 2" xfId="27828" xr:uid="{00000000-0005-0000-0000-000099780000}"/>
    <cellStyle name="Superscript 2 5 14" xfId="27829" xr:uid="{00000000-0005-0000-0000-00009A780000}"/>
    <cellStyle name="Superscript 2 5 14 2" xfId="27830" xr:uid="{00000000-0005-0000-0000-00009B780000}"/>
    <cellStyle name="Superscript 2 5 15" xfId="27831" xr:uid="{00000000-0005-0000-0000-00009C780000}"/>
    <cellStyle name="Superscript 2 5 15 2" xfId="27832" xr:uid="{00000000-0005-0000-0000-00009D780000}"/>
    <cellStyle name="Superscript 2 5 16" xfId="27833" xr:uid="{00000000-0005-0000-0000-00009E780000}"/>
    <cellStyle name="Superscript 2 5 16 2" xfId="27834" xr:uid="{00000000-0005-0000-0000-00009F780000}"/>
    <cellStyle name="Superscript 2 5 17" xfId="27835" xr:uid="{00000000-0005-0000-0000-0000A0780000}"/>
    <cellStyle name="Superscript 2 5 17 2" xfId="27836" xr:uid="{00000000-0005-0000-0000-0000A1780000}"/>
    <cellStyle name="Superscript 2 5 18" xfId="27837" xr:uid="{00000000-0005-0000-0000-0000A2780000}"/>
    <cellStyle name="Superscript 2 5 2" xfId="27838" xr:uid="{00000000-0005-0000-0000-0000A3780000}"/>
    <cellStyle name="Superscript 2 5 2 10" xfId="27839" xr:uid="{00000000-0005-0000-0000-0000A4780000}"/>
    <cellStyle name="Superscript 2 5 2 2" xfId="27840" xr:uid="{00000000-0005-0000-0000-0000A5780000}"/>
    <cellStyle name="Superscript 2 5 2 2 2" xfId="27841" xr:uid="{00000000-0005-0000-0000-0000A6780000}"/>
    <cellStyle name="Superscript 2 5 2 3" xfId="27842" xr:uid="{00000000-0005-0000-0000-0000A7780000}"/>
    <cellStyle name="Superscript 2 5 2 3 2" xfId="27843" xr:uid="{00000000-0005-0000-0000-0000A8780000}"/>
    <cellStyle name="Superscript 2 5 2 4" xfId="27844" xr:uid="{00000000-0005-0000-0000-0000A9780000}"/>
    <cellStyle name="Superscript 2 5 2 4 2" xfId="27845" xr:uid="{00000000-0005-0000-0000-0000AA780000}"/>
    <cellStyle name="Superscript 2 5 2 5" xfId="27846" xr:uid="{00000000-0005-0000-0000-0000AB780000}"/>
    <cellStyle name="Superscript 2 5 2 5 2" xfId="27847" xr:uid="{00000000-0005-0000-0000-0000AC780000}"/>
    <cellStyle name="Superscript 2 5 2 6" xfId="27848" xr:uid="{00000000-0005-0000-0000-0000AD780000}"/>
    <cellStyle name="Superscript 2 5 2 6 2" xfId="27849" xr:uid="{00000000-0005-0000-0000-0000AE780000}"/>
    <cellStyle name="Superscript 2 5 2 7" xfId="27850" xr:uid="{00000000-0005-0000-0000-0000AF780000}"/>
    <cellStyle name="Superscript 2 5 2 7 2" xfId="27851" xr:uid="{00000000-0005-0000-0000-0000B0780000}"/>
    <cellStyle name="Superscript 2 5 2 8" xfId="27852" xr:uid="{00000000-0005-0000-0000-0000B1780000}"/>
    <cellStyle name="Superscript 2 5 2 8 2" xfId="27853" xr:uid="{00000000-0005-0000-0000-0000B2780000}"/>
    <cellStyle name="Superscript 2 5 2 9" xfId="27854" xr:uid="{00000000-0005-0000-0000-0000B3780000}"/>
    <cellStyle name="Superscript 2 5 2 9 2" xfId="27855" xr:uid="{00000000-0005-0000-0000-0000B4780000}"/>
    <cellStyle name="Superscript 2 5 3" xfId="27856" xr:uid="{00000000-0005-0000-0000-0000B5780000}"/>
    <cellStyle name="Superscript 2 5 3 10" xfId="27857" xr:uid="{00000000-0005-0000-0000-0000B6780000}"/>
    <cellStyle name="Superscript 2 5 3 2" xfId="27858" xr:uid="{00000000-0005-0000-0000-0000B7780000}"/>
    <cellStyle name="Superscript 2 5 3 2 2" xfId="27859" xr:uid="{00000000-0005-0000-0000-0000B8780000}"/>
    <cellStyle name="Superscript 2 5 3 3" xfId="27860" xr:uid="{00000000-0005-0000-0000-0000B9780000}"/>
    <cellStyle name="Superscript 2 5 3 3 2" xfId="27861" xr:uid="{00000000-0005-0000-0000-0000BA780000}"/>
    <cellStyle name="Superscript 2 5 3 4" xfId="27862" xr:uid="{00000000-0005-0000-0000-0000BB780000}"/>
    <cellStyle name="Superscript 2 5 3 4 2" xfId="27863" xr:uid="{00000000-0005-0000-0000-0000BC780000}"/>
    <cellStyle name="Superscript 2 5 3 5" xfId="27864" xr:uid="{00000000-0005-0000-0000-0000BD780000}"/>
    <cellStyle name="Superscript 2 5 3 5 2" xfId="27865" xr:uid="{00000000-0005-0000-0000-0000BE780000}"/>
    <cellStyle name="Superscript 2 5 3 6" xfId="27866" xr:uid="{00000000-0005-0000-0000-0000BF780000}"/>
    <cellStyle name="Superscript 2 5 3 6 2" xfId="27867" xr:uid="{00000000-0005-0000-0000-0000C0780000}"/>
    <cellStyle name="Superscript 2 5 3 7" xfId="27868" xr:uid="{00000000-0005-0000-0000-0000C1780000}"/>
    <cellStyle name="Superscript 2 5 3 7 2" xfId="27869" xr:uid="{00000000-0005-0000-0000-0000C2780000}"/>
    <cellStyle name="Superscript 2 5 3 8" xfId="27870" xr:uid="{00000000-0005-0000-0000-0000C3780000}"/>
    <cellStyle name="Superscript 2 5 3 8 2" xfId="27871" xr:uid="{00000000-0005-0000-0000-0000C4780000}"/>
    <cellStyle name="Superscript 2 5 3 9" xfId="27872" xr:uid="{00000000-0005-0000-0000-0000C5780000}"/>
    <cellStyle name="Superscript 2 5 3 9 2" xfId="27873" xr:uid="{00000000-0005-0000-0000-0000C6780000}"/>
    <cellStyle name="Superscript 2 5 4" xfId="27874" xr:uid="{00000000-0005-0000-0000-0000C7780000}"/>
    <cellStyle name="Superscript 2 5 4 10" xfId="27875" xr:uid="{00000000-0005-0000-0000-0000C8780000}"/>
    <cellStyle name="Superscript 2 5 4 2" xfId="27876" xr:uid="{00000000-0005-0000-0000-0000C9780000}"/>
    <cellStyle name="Superscript 2 5 4 2 2" xfId="27877" xr:uid="{00000000-0005-0000-0000-0000CA780000}"/>
    <cellStyle name="Superscript 2 5 4 3" xfId="27878" xr:uid="{00000000-0005-0000-0000-0000CB780000}"/>
    <cellStyle name="Superscript 2 5 4 3 2" xfId="27879" xr:uid="{00000000-0005-0000-0000-0000CC780000}"/>
    <cellStyle name="Superscript 2 5 4 4" xfId="27880" xr:uid="{00000000-0005-0000-0000-0000CD780000}"/>
    <cellStyle name="Superscript 2 5 4 4 2" xfId="27881" xr:uid="{00000000-0005-0000-0000-0000CE780000}"/>
    <cellStyle name="Superscript 2 5 4 5" xfId="27882" xr:uid="{00000000-0005-0000-0000-0000CF780000}"/>
    <cellStyle name="Superscript 2 5 4 5 2" xfId="27883" xr:uid="{00000000-0005-0000-0000-0000D0780000}"/>
    <cellStyle name="Superscript 2 5 4 6" xfId="27884" xr:uid="{00000000-0005-0000-0000-0000D1780000}"/>
    <cellStyle name="Superscript 2 5 4 6 2" xfId="27885" xr:uid="{00000000-0005-0000-0000-0000D2780000}"/>
    <cellStyle name="Superscript 2 5 4 7" xfId="27886" xr:uid="{00000000-0005-0000-0000-0000D3780000}"/>
    <cellStyle name="Superscript 2 5 4 7 2" xfId="27887" xr:uid="{00000000-0005-0000-0000-0000D4780000}"/>
    <cellStyle name="Superscript 2 5 4 8" xfId="27888" xr:uid="{00000000-0005-0000-0000-0000D5780000}"/>
    <cellStyle name="Superscript 2 5 4 8 2" xfId="27889" xr:uid="{00000000-0005-0000-0000-0000D6780000}"/>
    <cellStyle name="Superscript 2 5 4 9" xfId="27890" xr:uid="{00000000-0005-0000-0000-0000D7780000}"/>
    <cellStyle name="Superscript 2 5 4 9 2" xfId="27891" xr:uid="{00000000-0005-0000-0000-0000D8780000}"/>
    <cellStyle name="Superscript 2 5 5" xfId="27892" xr:uid="{00000000-0005-0000-0000-0000D9780000}"/>
    <cellStyle name="Superscript 2 5 5 10" xfId="27893" xr:uid="{00000000-0005-0000-0000-0000DA780000}"/>
    <cellStyle name="Superscript 2 5 5 2" xfId="27894" xr:uid="{00000000-0005-0000-0000-0000DB780000}"/>
    <cellStyle name="Superscript 2 5 5 2 2" xfId="27895" xr:uid="{00000000-0005-0000-0000-0000DC780000}"/>
    <cellStyle name="Superscript 2 5 5 3" xfId="27896" xr:uid="{00000000-0005-0000-0000-0000DD780000}"/>
    <cellStyle name="Superscript 2 5 5 3 2" xfId="27897" xr:uid="{00000000-0005-0000-0000-0000DE780000}"/>
    <cellStyle name="Superscript 2 5 5 4" xfId="27898" xr:uid="{00000000-0005-0000-0000-0000DF780000}"/>
    <cellStyle name="Superscript 2 5 5 4 2" xfId="27899" xr:uid="{00000000-0005-0000-0000-0000E0780000}"/>
    <cellStyle name="Superscript 2 5 5 5" xfId="27900" xr:uid="{00000000-0005-0000-0000-0000E1780000}"/>
    <cellStyle name="Superscript 2 5 5 5 2" xfId="27901" xr:uid="{00000000-0005-0000-0000-0000E2780000}"/>
    <cellStyle name="Superscript 2 5 5 6" xfId="27902" xr:uid="{00000000-0005-0000-0000-0000E3780000}"/>
    <cellStyle name="Superscript 2 5 5 6 2" xfId="27903" xr:uid="{00000000-0005-0000-0000-0000E4780000}"/>
    <cellStyle name="Superscript 2 5 5 7" xfId="27904" xr:uid="{00000000-0005-0000-0000-0000E5780000}"/>
    <cellStyle name="Superscript 2 5 5 7 2" xfId="27905" xr:uid="{00000000-0005-0000-0000-0000E6780000}"/>
    <cellStyle name="Superscript 2 5 5 8" xfId="27906" xr:uid="{00000000-0005-0000-0000-0000E7780000}"/>
    <cellStyle name="Superscript 2 5 5 8 2" xfId="27907" xr:uid="{00000000-0005-0000-0000-0000E8780000}"/>
    <cellStyle name="Superscript 2 5 5 9" xfId="27908" xr:uid="{00000000-0005-0000-0000-0000E9780000}"/>
    <cellStyle name="Superscript 2 5 5 9 2" xfId="27909" xr:uid="{00000000-0005-0000-0000-0000EA780000}"/>
    <cellStyle name="Superscript 2 5 6" xfId="27910" xr:uid="{00000000-0005-0000-0000-0000EB780000}"/>
    <cellStyle name="Superscript 2 5 6 10" xfId="27911" xr:uid="{00000000-0005-0000-0000-0000EC780000}"/>
    <cellStyle name="Superscript 2 5 6 2" xfId="27912" xr:uid="{00000000-0005-0000-0000-0000ED780000}"/>
    <cellStyle name="Superscript 2 5 6 2 2" xfId="27913" xr:uid="{00000000-0005-0000-0000-0000EE780000}"/>
    <cellStyle name="Superscript 2 5 6 3" xfId="27914" xr:uid="{00000000-0005-0000-0000-0000EF780000}"/>
    <cellStyle name="Superscript 2 5 6 3 2" xfId="27915" xr:uid="{00000000-0005-0000-0000-0000F0780000}"/>
    <cellStyle name="Superscript 2 5 6 4" xfId="27916" xr:uid="{00000000-0005-0000-0000-0000F1780000}"/>
    <cellStyle name="Superscript 2 5 6 4 2" xfId="27917" xr:uid="{00000000-0005-0000-0000-0000F2780000}"/>
    <cellStyle name="Superscript 2 5 6 5" xfId="27918" xr:uid="{00000000-0005-0000-0000-0000F3780000}"/>
    <cellStyle name="Superscript 2 5 6 5 2" xfId="27919" xr:uid="{00000000-0005-0000-0000-0000F4780000}"/>
    <cellStyle name="Superscript 2 5 6 6" xfId="27920" xr:uid="{00000000-0005-0000-0000-0000F5780000}"/>
    <cellStyle name="Superscript 2 5 6 6 2" xfId="27921" xr:uid="{00000000-0005-0000-0000-0000F6780000}"/>
    <cellStyle name="Superscript 2 5 6 7" xfId="27922" xr:uid="{00000000-0005-0000-0000-0000F7780000}"/>
    <cellStyle name="Superscript 2 5 6 7 2" xfId="27923" xr:uid="{00000000-0005-0000-0000-0000F8780000}"/>
    <cellStyle name="Superscript 2 5 6 8" xfId="27924" xr:uid="{00000000-0005-0000-0000-0000F9780000}"/>
    <cellStyle name="Superscript 2 5 6 8 2" xfId="27925" xr:uid="{00000000-0005-0000-0000-0000FA780000}"/>
    <cellStyle name="Superscript 2 5 6 9" xfId="27926" xr:uid="{00000000-0005-0000-0000-0000FB780000}"/>
    <cellStyle name="Superscript 2 5 6 9 2" xfId="27927" xr:uid="{00000000-0005-0000-0000-0000FC780000}"/>
    <cellStyle name="Superscript 2 5 7" xfId="27928" xr:uid="{00000000-0005-0000-0000-0000FD780000}"/>
    <cellStyle name="Superscript 2 5 7 10" xfId="27929" xr:uid="{00000000-0005-0000-0000-0000FE780000}"/>
    <cellStyle name="Superscript 2 5 7 2" xfId="27930" xr:uid="{00000000-0005-0000-0000-0000FF780000}"/>
    <cellStyle name="Superscript 2 5 7 2 2" xfId="27931" xr:uid="{00000000-0005-0000-0000-000000790000}"/>
    <cellStyle name="Superscript 2 5 7 3" xfId="27932" xr:uid="{00000000-0005-0000-0000-000001790000}"/>
    <cellStyle name="Superscript 2 5 7 3 2" xfId="27933" xr:uid="{00000000-0005-0000-0000-000002790000}"/>
    <cellStyle name="Superscript 2 5 7 4" xfId="27934" xr:uid="{00000000-0005-0000-0000-000003790000}"/>
    <cellStyle name="Superscript 2 5 7 4 2" xfId="27935" xr:uid="{00000000-0005-0000-0000-000004790000}"/>
    <cellStyle name="Superscript 2 5 7 5" xfId="27936" xr:uid="{00000000-0005-0000-0000-000005790000}"/>
    <cellStyle name="Superscript 2 5 7 5 2" xfId="27937" xr:uid="{00000000-0005-0000-0000-000006790000}"/>
    <cellStyle name="Superscript 2 5 7 6" xfId="27938" xr:uid="{00000000-0005-0000-0000-000007790000}"/>
    <cellStyle name="Superscript 2 5 7 6 2" xfId="27939" xr:uid="{00000000-0005-0000-0000-000008790000}"/>
    <cellStyle name="Superscript 2 5 7 7" xfId="27940" xr:uid="{00000000-0005-0000-0000-000009790000}"/>
    <cellStyle name="Superscript 2 5 7 7 2" xfId="27941" xr:uid="{00000000-0005-0000-0000-00000A790000}"/>
    <cellStyle name="Superscript 2 5 7 8" xfId="27942" xr:uid="{00000000-0005-0000-0000-00000B790000}"/>
    <cellStyle name="Superscript 2 5 7 8 2" xfId="27943" xr:uid="{00000000-0005-0000-0000-00000C790000}"/>
    <cellStyle name="Superscript 2 5 7 9" xfId="27944" xr:uid="{00000000-0005-0000-0000-00000D790000}"/>
    <cellStyle name="Superscript 2 5 7 9 2" xfId="27945" xr:uid="{00000000-0005-0000-0000-00000E790000}"/>
    <cellStyle name="Superscript 2 5 8" xfId="27946" xr:uid="{00000000-0005-0000-0000-00000F790000}"/>
    <cellStyle name="Superscript 2 5 8 10" xfId="27947" xr:uid="{00000000-0005-0000-0000-000010790000}"/>
    <cellStyle name="Superscript 2 5 8 2" xfId="27948" xr:uid="{00000000-0005-0000-0000-000011790000}"/>
    <cellStyle name="Superscript 2 5 8 2 2" xfId="27949" xr:uid="{00000000-0005-0000-0000-000012790000}"/>
    <cellStyle name="Superscript 2 5 8 3" xfId="27950" xr:uid="{00000000-0005-0000-0000-000013790000}"/>
    <cellStyle name="Superscript 2 5 8 3 2" xfId="27951" xr:uid="{00000000-0005-0000-0000-000014790000}"/>
    <cellStyle name="Superscript 2 5 8 4" xfId="27952" xr:uid="{00000000-0005-0000-0000-000015790000}"/>
    <cellStyle name="Superscript 2 5 8 4 2" xfId="27953" xr:uid="{00000000-0005-0000-0000-000016790000}"/>
    <cellStyle name="Superscript 2 5 8 5" xfId="27954" xr:uid="{00000000-0005-0000-0000-000017790000}"/>
    <cellStyle name="Superscript 2 5 8 5 2" xfId="27955" xr:uid="{00000000-0005-0000-0000-000018790000}"/>
    <cellStyle name="Superscript 2 5 8 6" xfId="27956" xr:uid="{00000000-0005-0000-0000-000019790000}"/>
    <cellStyle name="Superscript 2 5 8 6 2" xfId="27957" xr:uid="{00000000-0005-0000-0000-00001A790000}"/>
    <cellStyle name="Superscript 2 5 8 7" xfId="27958" xr:uid="{00000000-0005-0000-0000-00001B790000}"/>
    <cellStyle name="Superscript 2 5 8 7 2" xfId="27959" xr:uid="{00000000-0005-0000-0000-00001C790000}"/>
    <cellStyle name="Superscript 2 5 8 8" xfId="27960" xr:uid="{00000000-0005-0000-0000-00001D790000}"/>
    <cellStyle name="Superscript 2 5 8 8 2" xfId="27961" xr:uid="{00000000-0005-0000-0000-00001E790000}"/>
    <cellStyle name="Superscript 2 5 8 9" xfId="27962" xr:uid="{00000000-0005-0000-0000-00001F790000}"/>
    <cellStyle name="Superscript 2 5 8 9 2" xfId="27963" xr:uid="{00000000-0005-0000-0000-000020790000}"/>
    <cellStyle name="Superscript 2 5 9" xfId="27964" xr:uid="{00000000-0005-0000-0000-000021790000}"/>
    <cellStyle name="Superscript 2 5 9 10" xfId="27965" xr:uid="{00000000-0005-0000-0000-000022790000}"/>
    <cellStyle name="Superscript 2 5 9 2" xfId="27966" xr:uid="{00000000-0005-0000-0000-000023790000}"/>
    <cellStyle name="Superscript 2 5 9 2 2" xfId="27967" xr:uid="{00000000-0005-0000-0000-000024790000}"/>
    <cellStyle name="Superscript 2 5 9 3" xfId="27968" xr:uid="{00000000-0005-0000-0000-000025790000}"/>
    <cellStyle name="Superscript 2 5 9 3 2" xfId="27969" xr:uid="{00000000-0005-0000-0000-000026790000}"/>
    <cellStyle name="Superscript 2 5 9 4" xfId="27970" xr:uid="{00000000-0005-0000-0000-000027790000}"/>
    <cellStyle name="Superscript 2 5 9 4 2" xfId="27971" xr:uid="{00000000-0005-0000-0000-000028790000}"/>
    <cellStyle name="Superscript 2 5 9 5" xfId="27972" xr:uid="{00000000-0005-0000-0000-000029790000}"/>
    <cellStyle name="Superscript 2 5 9 5 2" xfId="27973" xr:uid="{00000000-0005-0000-0000-00002A790000}"/>
    <cellStyle name="Superscript 2 5 9 6" xfId="27974" xr:uid="{00000000-0005-0000-0000-00002B790000}"/>
    <cellStyle name="Superscript 2 5 9 6 2" xfId="27975" xr:uid="{00000000-0005-0000-0000-00002C790000}"/>
    <cellStyle name="Superscript 2 5 9 7" xfId="27976" xr:uid="{00000000-0005-0000-0000-00002D790000}"/>
    <cellStyle name="Superscript 2 5 9 7 2" xfId="27977" xr:uid="{00000000-0005-0000-0000-00002E790000}"/>
    <cellStyle name="Superscript 2 5 9 8" xfId="27978" xr:uid="{00000000-0005-0000-0000-00002F790000}"/>
    <cellStyle name="Superscript 2 5 9 8 2" xfId="27979" xr:uid="{00000000-0005-0000-0000-000030790000}"/>
    <cellStyle name="Superscript 2 5 9 9" xfId="27980" xr:uid="{00000000-0005-0000-0000-000031790000}"/>
    <cellStyle name="Superscript 2 5 9 9 2" xfId="27981" xr:uid="{00000000-0005-0000-0000-000032790000}"/>
    <cellStyle name="Superscript 2 6" xfId="27982" xr:uid="{00000000-0005-0000-0000-000033790000}"/>
    <cellStyle name="Superscript 2 6 10" xfId="27983" xr:uid="{00000000-0005-0000-0000-000034790000}"/>
    <cellStyle name="Superscript 2 6 10 2" xfId="27984" xr:uid="{00000000-0005-0000-0000-000035790000}"/>
    <cellStyle name="Superscript 2 6 10 2 2" xfId="27985" xr:uid="{00000000-0005-0000-0000-000036790000}"/>
    <cellStyle name="Superscript 2 6 10 3" xfId="27986" xr:uid="{00000000-0005-0000-0000-000037790000}"/>
    <cellStyle name="Superscript 2 6 10 3 2" xfId="27987" xr:uid="{00000000-0005-0000-0000-000038790000}"/>
    <cellStyle name="Superscript 2 6 10 4" xfId="27988" xr:uid="{00000000-0005-0000-0000-000039790000}"/>
    <cellStyle name="Superscript 2 6 10 4 2" xfId="27989" xr:uid="{00000000-0005-0000-0000-00003A790000}"/>
    <cellStyle name="Superscript 2 6 10 5" xfId="27990" xr:uid="{00000000-0005-0000-0000-00003B790000}"/>
    <cellStyle name="Superscript 2 6 10 5 2" xfId="27991" xr:uid="{00000000-0005-0000-0000-00003C790000}"/>
    <cellStyle name="Superscript 2 6 10 6" xfId="27992" xr:uid="{00000000-0005-0000-0000-00003D790000}"/>
    <cellStyle name="Superscript 2 6 10 6 2" xfId="27993" xr:uid="{00000000-0005-0000-0000-00003E790000}"/>
    <cellStyle name="Superscript 2 6 10 7" xfId="27994" xr:uid="{00000000-0005-0000-0000-00003F790000}"/>
    <cellStyle name="Superscript 2 6 10 7 2" xfId="27995" xr:uid="{00000000-0005-0000-0000-000040790000}"/>
    <cellStyle name="Superscript 2 6 10 8" xfId="27996" xr:uid="{00000000-0005-0000-0000-000041790000}"/>
    <cellStyle name="Superscript 2 6 10 8 2" xfId="27997" xr:uid="{00000000-0005-0000-0000-000042790000}"/>
    <cellStyle name="Superscript 2 6 10 9" xfId="27998" xr:uid="{00000000-0005-0000-0000-000043790000}"/>
    <cellStyle name="Superscript 2 6 11" xfId="27999" xr:uid="{00000000-0005-0000-0000-000044790000}"/>
    <cellStyle name="Superscript 2 6 11 2" xfId="28000" xr:uid="{00000000-0005-0000-0000-000045790000}"/>
    <cellStyle name="Superscript 2 6 12" xfId="28001" xr:uid="{00000000-0005-0000-0000-000046790000}"/>
    <cellStyle name="Superscript 2 6 12 2" xfId="28002" xr:uid="{00000000-0005-0000-0000-000047790000}"/>
    <cellStyle name="Superscript 2 6 13" xfId="28003" xr:uid="{00000000-0005-0000-0000-000048790000}"/>
    <cellStyle name="Superscript 2 6 13 2" xfId="28004" xr:uid="{00000000-0005-0000-0000-000049790000}"/>
    <cellStyle name="Superscript 2 6 14" xfId="28005" xr:uid="{00000000-0005-0000-0000-00004A790000}"/>
    <cellStyle name="Superscript 2 6 14 2" xfId="28006" xr:uid="{00000000-0005-0000-0000-00004B790000}"/>
    <cellStyle name="Superscript 2 6 15" xfId="28007" xr:uid="{00000000-0005-0000-0000-00004C790000}"/>
    <cellStyle name="Superscript 2 6 15 2" xfId="28008" xr:uid="{00000000-0005-0000-0000-00004D790000}"/>
    <cellStyle name="Superscript 2 6 16" xfId="28009" xr:uid="{00000000-0005-0000-0000-00004E790000}"/>
    <cellStyle name="Superscript 2 6 16 2" xfId="28010" xr:uid="{00000000-0005-0000-0000-00004F790000}"/>
    <cellStyle name="Superscript 2 6 17" xfId="28011" xr:uid="{00000000-0005-0000-0000-000050790000}"/>
    <cellStyle name="Superscript 2 6 17 2" xfId="28012" xr:uid="{00000000-0005-0000-0000-000051790000}"/>
    <cellStyle name="Superscript 2 6 18" xfId="28013" xr:uid="{00000000-0005-0000-0000-000052790000}"/>
    <cellStyle name="Superscript 2 6 2" xfId="28014" xr:uid="{00000000-0005-0000-0000-000053790000}"/>
    <cellStyle name="Superscript 2 6 2 10" xfId="28015" xr:uid="{00000000-0005-0000-0000-000054790000}"/>
    <cellStyle name="Superscript 2 6 2 2" xfId="28016" xr:uid="{00000000-0005-0000-0000-000055790000}"/>
    <cellStyle name="Superscript 2 6 2 2 2" xfId="28017" xr:uid="{00000000-0005-0000-0000-000056790000}"/>
    <cellStyle name="Superscript 2 6 2 3" xfId="28018" xr:uid="{00000000-0005-0000-0000-000057790000}"/>
    <cellStyle name="Superscript 2 6 2 3 2" xfId="28019" xr:uid="{00000000-0005-0000-0000-000058790000}"/>
    <cellStyle name="Superscript 2 6 2 4" xfId="28020" xr:uid="{00000000-0005-0000-0000-000059790000}"/>
    <cellStyle name="Superscript 2 6 2 4 2" xfId="28021" xr:uid="{00000000-0005-0000-0000-00005A790000}"/>
    <cellStyle name="Superscript 2 6 2 5" xfId="28022" xr:uid="{00000000-0005-0000-0000-00005B790000}"/>
    <cellStyle name="Superscript 2 6 2 5 2" xfId="28023" xr:uid="{00000000-0005-0000-0000-00005C790000}"/>
    <cellStyle name="Superscript 2 6 2 6" xfId="28024" xr:uid="{00000000-0005-0000-0000-00005D790000}"/>
    <cellStyle name="Superscript 2 6 2 6 2" xfId="28025" xr:uid="{00000000-0005-0000-0000-00005E790000}"/>
    <cellStyle name="Superscript 2 6 2 7" xfId="28026" xr:uid="{00000000-0005-0000-0000-00005F790000}"/>
    <cellStyle name="Superscript 2 6 2 7 2" xfId="28027" xr:uid="{00000000-0005-0000-0000-000060790000}"/>
    <cellStyle name="Superscript 2 6 2 8" xfId="28028" xr:uid="{00000000-0005-0000-0000-000061790000}"/>
    <cellStyle name="Superscript 2 6 2 8 2" xfId="28029" xr:uid="{00000000-0005-0000-0000-000062790000}"/>
    <cellStyle name="Superscript 2 6 2 9" xfId="28030" xr:uid="{00000000-0005-0000-0000-000063790000}"/>
    <cellStyle name="Superscript 2 6 2 9 2" xfId="28031" xr:uid="{00000000-0005-0000-0000-000064790000}"/>
    <cellStyle name="Superscript 2 6 3" xfId="28032" xr:uid="{00000000-0005-0000-0000-000065790000}"/>
    <cellStyle name="Superscript 2 6 3 10" xfId="28033" xr:uid="{00000000-0005-0000-0000-000066790000}"/>
    <cellStyle name="Superscript 2 6 3 2" xfId="28034" xr:uid="{00000000-0005-0000-0000-000067790000}"/>
    <cellStyle name="Superscript 2 6 3 2 2" xfId="28035" xr:uid="{00000000-0005-0000-0000-000068790000}"/>
    <cellStyle name="Superscript 2 6 3 3" xfId="28036" xr:uid="{00000000-0005-0000-0000-000069790000}"/>
    <cellStyle name="Superscript 2 6 3 3 2" xfId="28037" xr:uid="{00000000-0005-0000-0000-00006A790000}"/>
    <cellStyle name="Superscript 2 6 3 4" xfId="28038" xr:uid="{00000000-0005-0000-0000-00006B790000}"/>
    <cellStyle name="Superscript 2 6 3 4 2" xfId="28039" xr:uid="{00000000-0005-0000-0000-00006C790000}"/>
    <cellStyle name="Superscript 2 6 3 5" xfId="28040" xr:uid="{00000000-0005-0000-0000-00006D790000}"/>
    <cellStyle name="Superscript 2 6 3 5 2" xfId="28041" xr:uid="{00000000-0005-0000-0000-00006E790000}"/>
    <cellStyle name="Superscript 2 6 3 6" xfId="28042" xr:uid="{00000000-0005-0000-0000-00006F790000}"/>
    <cellStyle name="Superscript 2 6 3 6 2" xfId="28043" xr:uid="{00000000-0005-0000-0000-000070790000}"/>
    <cellStyle name="Superscript 2 6 3 7" xfId="28044" xr:uid="{00000000-0005-0000-0000-000071790000}"/>
    <cellStyle name="Superscript 2 6 3 7 2" xfId="28045" xr:uid="{00000000-0005-0000-0000-000072790000}"/>
    <cellStyle name="Superscript 2 6 3 8" xfId="28046" xr:uid="{00000000-0005-0000-0000-000073790000}"/>
    <cellStyle name="Superscript 2 6 3 8 2" xfId="28047" xr:uid="{00000000-0005-0000-0000-000074790000}"/>
    <cellStyle name="Superscript 2 6 3 9" xfId="28048" xr:uid="{00000000-0005-0000-0000-000075790000}"/>
    <cellStyle name="Superscript 2 6 3 9 2" xfId="28049" xr:uid="{00000000-0005-0000-0000-000076790000}"/>
    <cellStyle name="Superscript 2 6 4" xfId="28050" xr:uid="{00000000-0005-0000-0000-000077790000}"/>
    <cellStyle name="Superscript 2 6 4 10" xfId="28051" xr:uid="{00000000-0005-0000-0000-000078790000}"/>
    <cellStyle name="Superscript 2 6 4 2" xfId="28052" xr:uid="{00000000-0005-0000-0000-000079790000}"/>
    <cellStyle name="Superscript 2 6 4 2 2" xfId="28053" xr:uid="{00000000-0005-0000-0000-00007A790000}"/>
    <cellStyle name="Superscript 2 6 4 3" xfId="28054" xr:uid="{00000000-0005-0000-0000-00007B790000}"/>
    <cellStyle name="Superscript 2 6 4 3 2" xfId="28055" xr:uid="{00000000-0005-0000-0000-00007C790000}"/>
    <cellStyle name="Superscript 2 6 4 4" xfId="28056" xr:uid="{00000000-0005-0000-0000-00007D790000}"/>
    <cellStyle name="Superscript 2 6 4 4 2" xfId="28057" xr:uid="{00000000-0005-0000-0000-00007E790000}"/>
    <cellStyle name="Superscript 2 6 4 5" xfId="28058" xr:uid="{00000000-0005-0000-0000-00007F790000}"/>
    <cellStyle name="Superscript 2 6 4 5 2" xfId="28059" xr:uid="{00000000-0005-0000-0000-000080790000}"/>
    <cellStyle name="Superscript 2 6 4 6" xfId="28060" xr:uid="{00000000-0005-0000-0000-000081790000}"/>
    <cellStyle name="Superscript 2 6 4 6 2" xfId="28061" xr:uid="{00000000-0005-0000-0000-000082790000}"/>
    <cellStyle name="Superscript 2 6 4 7" xfId="28062" xr:uid="{00000000-0005-0000-0000-000083790000}"/>
    <cellStyle name="Superscript 2 6 4 7 2" xfId="28063" xr:uid="{00000000-0005-0000-0000-000084790000}"/>
    <cellStyle name="Superscript 2 6 4 8" xfId="28064" xr:uid="{00000000-0005-0000-0000-000085790000}"/>
    <cellStyle name="Superscript 2 6 4 8 2" xfId="28065" xr:uid="{00000000-0005-0000-0000-000086790000}"/>
    <cellStyle name="Superscript 2 6 4 9" xfId="28066" xr:uid="{00000000-0005-0000-0000-000087790000}"/>
    <cellStyle name="Superscript 2 6 4 9 2" xfId="28067" xr:uid="{00000000-0005-0000-0000-000088790000}"/>
    <cellStyle name="Superscript 2 6 5" xfId="28068" xr:uid="{00000000-0005-0000-0000-000089790000}"/>
    <cellStyle name="Superscript 2 6 5 10" xfId="28069" xr:uid="{00000000-0005-0000-0000-00008A790000}"/>
    <cellStyle name="Superscript 2 6 5 2" xfId="28070" xr:uid="{00000000-0005-0000-0000-00008B790000}"/>
    <cellStyle name="Superscript 2 6 5 2 2" xfId="28071" xr:uid="{00000000-0005-0000-0000-00008C790000}"/>
    <cellStyle name="Superscript 2 6 5 3" xfId="28072" xr:uid="{00000000-0005-0000-0000-00008D790000}"/>
    <cellStyle name="Superscript 2 6 5 3 2" xfId="28073" xr:uid="{00000000-0005-0000-0000-00008E790000}"/>
    <cellStyle name="Superscript 2 6 5 4" xfId="28074" xr:uid="{00000000-0005-0000-0000-00008F790000}"/>
    <cellStyle name="Superscript 2 6 5 4 2" xfId="28075" xr:uid="{00000000-0005-0000-0000-000090790000}"/>
    <cellStyle name="Superscript 2 6 5 5" xfId="28076" xr:uid="{00000000-0005-0000-0000-000091790000}"/>
    <cellStyle name="Superscript 2 6 5 5 2" xfId="28077" xr:uid="{00000000-0005-0000-0000-000092790000}"/>
    <cellStyle name="Superscript 2 6 5 6" xfId="28078" xr:uid="{00000000-0005-0000-0000-000093790000}"/>
    <cellStyle name="Superscript 2 6 5 6 2" xfId="28079" xr:uid="{00000000-0005-0000-0000-000094790000}"/>
    <cellStyle name="Superscript 2 6 5 7" xfId="28080" xr:uid="{00000000-0005-0000-0000-000095790000}"/>
    <cellStyle name="Superscript 2 6 5 7 2" xfId="28081" xr:uid="{00000000-0005-0000-0000-000096790000}"/>
    <cellStyle name="Superscript 2 6 5 8" xfId="28082" xr:uid="{00000000-0005-0000-0000-000097790000}"/>
    <cellStyle name="Superscript 2 6 5 8 2" xfId="28083" xr:uid="{00000000-0005-0000-0000-000098790000}"/>
    <cellStyle name="Superscript 2 6 5 9" xfId="28084" xr:uid="{00000000-0005-0000-0000-000099790000}"/>
    <cellStyle name="Superscript 2 6 5 9 2" xfId="28085" xr:uid="{00000000-0005-0000-0000-00009A790000}"/>
    <cellStyle name="Superscript 2 6 6" xfId="28086" xr:uid="{00000000-0005-0000-0000-00009B790000}"/>
    <cellStyle name="Superscript 2 6 6 10" xfId="28087" xr:uid="{00000000-0005-0000-0000-00009C790000}"/>
    <cellStyle name="Superscript 2 6 6 2" xfId="28088" xr:uid="{00000000-0005-0000-0000-00009D790000}"/>
    <cellStyle name="Superscript 2 6 6 2 2" xfId="28089" xr:uid="{00000000-0005-0000-0000-00009E790000}"/>
    <cellStyle name="Superscript 2 6 6 3" xfId="28090" xr:uid="{00000000-0005-0000-0000-00009F790000}"/>
    <cellStyle name="Superscript 2 6 6 3 2" xfId="28091" xr:uid="{00000000-0005-0000-0000-0000A0790000}"/>
    <cellStyle name="Superscript 2 6 6 4" xfId="28092" xr:uid="{00000000-0005-0000-0000-0000A1790000}"/>
    <cellStyle name="Superscript 2 6 6 4 2" xfId="28093" xr:uid="{00000000-0005-0000-0000-0000A2790000}"/>
    <cellStyle name="Superscript 2 6 6 5" xfId="28094" xr:uid="{00000000-0005-0000-0000-0000A3790000}"/>
    <cellStyle name="Superscript 2 6 6 5 2" xfId="28095" xr:uid="{00000000-0005-0000-0000-0000A4790000}"/>
    <cellStyle name="Superscript 2 6 6 6" xfId="28096" xr:uid="{00000000-0005-0000-0000-0000A5790000}"/>
    <cellStyle name="Superscript 2 6 6 6 2" xfId="28097" xr:uid="{00000000-0005-0000-0000-0000A6790000}"/>
    <cellStyle name="Superscript 2 6 6 7" xfId="28098" xr:uid="{00000000-0005-0000-0000-0000A7790000}"/>
    <cellStyle name="Superscript 2 6 6 7 2" xfId="28099" xr:uid="{00000000-0005-0000-0000-0000A8790000}"/>
    <cellStyle name="Superscript 2 6 6 8" xfId="28100" xr:uid="{00000000-0005-0000-0000-0000A9790000}"/>
    <cellStyle name="Superscript 2 6 6 8 2" xfId="28101" xr:uid="{00000000-0005-0000-0000-0000AA790000}"/>
    <cellStyle name="Superscript 2 6 6 9" xfId="28102" xr:uid="{00000000-0005-0000-0000-0000AB790000}"/>
    <cellStyle name="Superscript 2 6 6 9 2" xfId="28103" xr:uid="{00000000-0005-0000-0000-0000AC790000}"/>
    <cellStyle name="Superscript 2 6 7" xfId="28104" xr:uid="{00000000-0005-0000-0000-0000AD790000}"/>
    <cellStyle name="Superscript 2 6 7 10" xfId="28105" xr:uid="{00000000-0005-0000-0000-0000AE790000}"/>
    <cellStyle name="Superscript 2 6 7 2" xfId="28106" xr:uid="{00000000-0005-0000-0000-0000AF790000}"/>
    <cellStyle name="Superscript 2 6 7 2 2" xfId="28107" xr:uid="{00000000-0005-0000-0000-0000B0790000}"/>
    <cellStyle name="Superscript 2 6 7 3" xfId="28108" xr:uid="{00000000-0005-0000-0000-0000B1790000}"/>
    <cellStyle name="Superscript 2 6 7 3 2" xfId="28109" xr:uid="{00000000-0005-0000-0000-0000B2790000}"/>
    <cellStyle name="Superscript 2 6 7 4" xfId="28110" xr:uid="{00000000-0005-0000-0000-0000B3790000}"/>
    <cellStyle name="Superscript 2 6 7 4 2" xfId="28111" xr:uid="{00000000-0005-0000-0000-0000B4790000}"/>
    <cellStyle name="Superscript 2 6 7 5" xfId="28112" xr:uid="{00000000-0005-0000-0000-0000B5790000}"/>
    <cellStyle name="Superscript 2 6 7 5 2" xfId="28113" xr:uid="{00000000-0005-0000-0000-0000B6790000}"/>
    <cellStyle name="Superscript 2 6 7 6" xfId="28114" xr:uid="{00000000-0005-0000-0000-0000B7790000}"/>
    <cellStyle name="Superscript 2 6 7 6 2" xfId="28115" xr:uid="{00000000-0005-0000-0000-0000B8790000}"/>
    <cellStyle name="Superscript 2 6 7 7" xfId="28116" xr:uid="{00000000-0005-0000-0000-0000B9790000}"/>
    <cellStyle name="Superscript 2 6 7 7 2" xfId="28117" xr:uid="{00000000-0005-0000-0000-0000BA790000}"/>
    <cellStyle name="Superscript 2 6 7 8" xfId="28118" xr:uid="{00000000-0005-0000-0000-0000BB790000}"/>
    <cellStyle name="Superscript 2 6 7 8 2" xfId="28119" xr:uid="{00000000-0005-0000-0000-0000BC790000}"/>
    <cellStyle name="Superscript 2 6 7 9" xfId="28120" xr:uid="{00000000-0005-0000-0000-0000BD790000}"/>
    <cellStyle name="Superscript 2 6 7 9 2" xfId="28121" xr:uid="{00000000-0005-0000-0000-0000BE790000}"/>
    <cellStyle name="Superscript 2 6 8" xfId="28122" xr:uid="{00000000-0005-0000-0000-0000BF790000}"/>
    <cellStyle name="Superscript 2 6 8 10" xfId="28123" xr:uid="{00000000-0005-0000-0000-0000C0790000}"/>
    <cellStyle name="Superscript 2 6 8 2" xfId="28124" xr:uid="{00000000-0005-0000-0000-0000C1790000}"/>
    <cellStyle name="Superscript 2 6 8 2 2" xfId="28125" xr:uid="{00000000-0005-0000-0000-0000C2790000}"/>
    <cellStyle name="Superscript 2 6 8 3" xfId="28126" xr:uid="{00000000-0005-0000-0000-0000C3790000}"/>
    <cellStyle name="Superscript 2 6 8 3 2" xfId="28127" xr:uid="{00000000-0005-0000-0000-0000C4790000}"/>
    <cellStyle name="Superscript 2 6 8 4" xfId="28128" xr:uid="{00000000-0005-0000-0000-0000C5790000}"/>
    <cellStyle name="Superscript 2 6 8 4 2" xfId="28129" xr:uid="{00000000-0005-0000-0000-0000C6790000}"/>
    <cellStyle name="Superscript 2 6 8 5" xfId="28130" xr:uid="{00000000-0005-0000-0000-0000C7790000}"/>
    <cellStyle name="Superscript 2 6 8 5 2" xfId="28131" xr:uid="{00000000-0005-0000-0000-0000C8790000}"/>
    <cellStyle name="Superscript 2 6 8 6" xfId="28132" xr:uid="{00000000-0005-0000-0000-0000C9790000}"/>
    <cellStyle name="Superscript 2 6 8 6 2" xfId="28133" xr:uid="{00000000-0005-0000-0000-0000CA790000}"/>
    <cellStyle name="Superscript 2 6 8 7" xfId="28134" xr:uid="{00000000-0005-0000-0000-0000CB790000}"/>
    <cellStyle name="Superscript 2 6 8 7 2" xfId="28135" xr:uid="{00000000-0005-0000-0000-0000CC790000}"/>
    <cellStyle name="Superscript 2 6 8 8" xfId="28136" xr:uid="{00000000-0005-0000-0000-0000CD790000}"/>
    <cellStyle name="Superscript 2 6 8 8 2" xfId="28137" xr:uid="{00000000-0005-0000-0000-0000CE790000}"/>
    <cellStyle name="Superscript 2 6 8 9" xfId="28138" xr:uid="{00000000-0005-0000-0000-0000CF790000}"/>
    <cellStyle name="Superscript 2 6 8 9 2" xfId="28139" xr:uid="{00000000-0005-0000-0000-0000D0790000}"/>
    <cellStyle name="Superscript 2 6 9" xfId="28140" xr:uid="{00000000-0005-0000-0000-0000D1790000}"/>
    <cellStyle name="Superscript 2 6 9 10" xfId="28141" xr:uid="{00000000-0005-0000-0000-0000D2790000}"/>
    <cellStyle name="Superscript 2 6 9 2" xfId="28142" xr:uid="{00000000-0005-0000-0000-0000D3790000}"/>
    <cellStyle name="Superscript 2 6 9 2 2" xfId="28143" xr:uid="{00000000-0005-0000-0000-0000D4790000}"/>
    <cellStyle name="Superscript 2 6 9 3" xfId="28144" xr:uid="{00000000-0005-0000-0000-0000D5790000}"/>
    <cellStyle name="Superscript 2 6 9 3 2" xfId="28145" xr:uid="{00000000-0005-0000-0000-0000D6790000}"/>
    <cellStyle name="Superscript 2 6 9 4" xfId="28146" xr:uid="{00000000-0005-0000-0000-0000D7790000}"/>
    <cellStyle name="Superscript 2 6 9 4 2" xfId="28147" xr:uid="{00000000-0005-0000-0000-0000D8790000}"/>
    <cellStyle name="Superscript 2 6 9 5" xfId="28148" xr:uid="{00000000-0005-0000-0000-0000D9790000}"/>
    <cellStyle name="Superscript 2 6 9 5 2" xfId="28149" xr:uid="{00000000-0005-0000-0000-0000DA790000}"/>
    <cellStyle name="Superscript 2 6 9 6" xfId="28150" xr:uid="{00000000-0005-0000-0000-0000DB790000}"/>
    <cellStyle name="Superscript 2 6 9 6 2" xfId="28151" xr:uid="{00000000-0005-0000-0000-0000DC790000}"/>
    <cellStyle name="Superscript 2 6 9 7" xfId="28152" xr:uid="{00000000-0005-0000-0000-0000DD790000}"/>
    <cellStyle name="Superscript 2 6 9 7 2" xfId="28153" xr:uid="{00000000-0005-0000-0000-0000DE790000}"/>
    <cellStyle name="Superscript 2 6 9 8" xfId="28154" xr:uid="{00000000-0005-0000-0000-0000DF790000}"/>
    <cellStyle name="Superscript 2 6 9 8 2" xfId="28155" xr:uid="{00000000-0005-0000-0000-0000E0790000}"/>
    <cellStyle name="Superscript 2 6 9 9" xfId="28156" xr:uid="{00000000-0005-0000-0000-0000E1790000}"/>
    <cellStyle name="Superscript 2 6 9 9 2" xfId="28157" xr:uid="{00000000-0005-0000-0000-0000E2790000}"/>
    <cellStyle name="Superscript 2 7" xfId="28158" xr:uid="{00000000-0005-0000-0000-0000E3790000}"/>
    <cellStyle name="Superscript 2 7 10" xfId="28159" xr:uid="{00000000-0005-0000-0000-0000E4790000}"/>
    <cellStyle name="Superscript 2 7 10 2" xfId="28160" xr:uid="{00000000-0005-0000-0000-0000E5790000}"/>
    <cellStyle name="Superscript 2 7 10 2 2" xfId="28161" xr:uid="{00000000-0005-0000-0000-0000E6790000}"/>
    <cellStyle name="Superscript 2 7 10 3" xfId="28162" xr:uid="{00000000-0005-0000-0000-0000E7790000}"/>
    <cellStyle name="Superscript 2 7 10 3 2" xfId="28163" xr:uid="{00000000-0005-0000-0000-0000E8790000}"/>
    <cellStyle name="Superscript 2 7 10 4" xfId="28164" xr:uid="{00000000-0005-0000-0000-0000E9790000}"/>
    <cellStyle name="Superscript 2 7 10 4 2" xfId="28165" xr:uid="{00000000-0005-0000-0000-0000EA790000}"/>
    <cellStyle name="Superscript 2 7 10 5" xfId="28166" xr:uid="{00000000-0005-0000-0000-0000EB790000}"/>
    <cellStyle name="Superscript 2 7 10 5 2" xfId="28167" xr:uid="{00000000-0005-0000-0000-0000EC790000}"/>
    <cellStyle name="Superscript 2 7 10 6" xfId="28168" xr:uid="{00000000-0005-0000-0000-0000ED790000}"/>
    <cellStyle name="Superscript 2 7 10 6 2" xfId="28169" xr:uid="{00000000-0005-0000-0000-0000EE790000}"/>
    <cellStyle name="Superscript 2 7 10 7" xfId="28170" xr:uid="{00000000-0005-0000-0000-0000EF790000}"/>
    <cellStyle name="Superscript 2 7 10 7 2" xfId="28171" xr:uid="{00000000-0005-0000-0000-0000F0790000}"/>
    <cellStyle name="Superscript 2 7 10 8" xfId="28172" xr:uid="{00000000-0005-0000-0000-0000F1790000}"/>
    <cellStyle name="Superscript 2 7 10 8 2" xfId="28173" xr:uid="{00000000-0005-0000-0000-0000F2790000}"/>
    <cellStyle name="Superscript 2 7 10 9" xfId="28174" xr:uid="{00000000-0005-0000-0000-0000F3790000}"/>
    <cellStyle name="Superscript 2 7 11" xfId="28175" xr:uid="{00000000-0005-0000-0000-0000F4790000}"/>
    <cellStyle name="Superscript 2 7 11 2" xfId="28176" xr:uid="{00000000-0005-0000-0000-0000F5790000}"/>
    <cellStyle name="Superscript 2 7 12" xfId="28177" xr:uid="{00000000-0005-0000-0000-0000F6790000}"/>
    <cellStyle name="Superscript 2 7 12 2" xfId="28178" xr:uid="{00000000-0005-0000-0000-0000F7790000}"/>
    <cellStyle name="Superscript 2 7 13" xfId="28179" xr:uid="{00000000-0005-0000-0000-0000F8790000}"/>
    <cellStyle name="Superscript 2 7 13 2" xfId="28180" xr:uid="{00000000-0005-0000-0000-0000F9790000}"/>
    <cellStyle name="Superscript 2 7 14" xfId="28181" xr:uid="{00000000-0005-0000-0000-0000FA790000}"/>
    <cellStyle name="Superscript 2 7 14 2" xfId="28182" xr:uid="{00000000-0005-0000-0000-0000FB790000}"/>
    <cellStyle name="Superscript 2 7 15" xfId="28183" xr:uid="{00000000-0005-0000-0000-0000FC790000}"/>
    <cellStyle name="Superscript 2 7 15 2" xfId="28184" xr:uid="{00000000-0005-0000-0000-0000FD790000}"/>
    <cellStyle name="Superscript 2 7 16" xfId="28185" xr:uid="{00000000-0005-0000-0000-0000FE790000}"/>
    <cellStyle name="Superscript 2 7 16 2" xfId="28186" xr:uid="{00000000-0005-0000-0000-0000FF790000}"/>
    <cellStyle name="Superscript 2 7 17" xfId="28187" xr:uid="{00000000-0005-0000-0000-0000007A0000}"/>
    <cellStyle name="Superscript 2 7 17 2" xfId="28188" xr:uid="{00000000-0005-0000-0000-0000017A0000}"/>
    <cellStyle name="Superscript 2 7 18" xfId="28189" xr:uid="{00000000-0005-0000-0000-0000027A0000}"/>
    <cellStyle name="Superscript 2 7 2" xfId="28190" xr:uid="{00000000-0005-0000-0000-0000037A0000}"/>
    <cellStyle name="Superscript 2 7 2 10" xfId="28191" xr:uid="{00000000-0005-0000-0000-0000047A0000}"/>
    <cellStyle name="Superscript 2 7 2 2" xfId="28192" xr:uid="{00000000-0005-0000-0000-0000057A0000}"/>
    <cellStyle name="Superscript 2 7 2 2 2" xfId="28193" xr:uid="{00000000-0005-0000-0000-0000067A0000}"/>
    <cellStyle name="Superscript 2 7 2 3" xfId="28194" xr:uid="{00000000-0005-0000-0000-0000077A0000}"/>
    <cellStyle name="Superscript 2 7 2 3 2" xfId="28195" xr:uid="{00000000-0005-0000-0000-0000087A0000}"/>
    <cellStyle name="Superscript 2 7 2 4" xfId="28196" xr:uid="{00000000-0005-0000-0000-0000097A0000}"/>
    <cellStyle name="Superscript 2 7 2 4 2" xfId="28197" xr:uid="{00000000-0005-0000-0000-00000A7A0000}"/>
    <cellStyle name="Superscript 2 7 2 5" xfId="28198" xr:uid="{00000000-0005-0000-0000-00000B7A0000}"/>
    <cellStyle name="Superscript 2 7 2 5 2" xfId="28199" xr:uid="{00000000-0005-0000-0000-00000C7A0000}"/>
    <cellStyle name="Superscript 2 7 2 6" xfId="28200" xr:uid="{00000000-0005-0000-0000-00000D7A0000}"/>
    <cellStyle name="Superscript 2 7 2 6 2" xfId="28201" xr:uid="{00000000-0005-0000-0000-00000E7A0000}"/>
    <cellStyle name="Superscript 2 7 2 7" xfId="28202" xr:uid="{00000000-0005-0000-0000-00000F7A0000}"/>
    <cellStyle name="Superscript 2 7 2 7 2" xfId="28203" xr:uid="{00000000-0005-0000-0000-0000107A0000}"/>
    <cellStyle name="Superscript 2 7 2 8" xfId="28204" xr:uid="{00000000-0005-0000-0000-0000117A0000}"/>
    <cellStyle name="Superscript 2 7 2 8 2" xfId="28205" xr:uid="{00000000-0005-0000-0000-0000127A0000}"/>
    <cellStyle name="Superscript 2 7 2 9" xfId="28206" xr:uid="{00000000-0005-0000-0000-0000137A0000}"/>
    <cellStyle name="Superscript 2 7 2 9 2" xfId="28207" xr:uid="{00000000-0005-0000-0000-0000147A0000}"/>
    <cellStyle name="Superscript 2 7 3" xfId="28208" xr:uid="{00000000-0005-0000-0000-0000157A0000}"/>
    <cellStyle name="Superscript 2 7 3 10" xfId="28209" xr:uid="{00000000-0005-0000-0000-0000167A0000}"/>
    <cellStyle name="Superscript 2 7 3 2" xfId="28210" xr:uid="{00000000-0005-0000-0000-0000177A0000}"/>
    <cellStyle name="Superscript 2 7 3 2 2" xfId="28211" xr:uid="{00000000-0005-0000-0000-0000187A0000}"/>
    <cellStyle name="Superscript 2 7 3 3" xfId="28212" xr:uid="{00000000-0005-0000-0000-0000197A0000}"/>
    <cellStyle name="Superscript 2 7 3 3 2" xfId="28213" xr:uid="{00000000-0005-0000-0000-00001A7A0000}"/>
    <cellStyle name="Superscript 2 7 3 4" xfId="28214" xr:uid="{00000000-0005-0000-0000-00001B7A0000}"/>
    <cellStyle name="Superscript 2 7 3 4 2" xfId="28215" xr:uid="{00000000-0005-0000-0000-00001C7A0000}"/>
    <cellStyle name="Superscript 2 7 3 5" xfId="28216" xr:uid="{00000000-0005-0000-0000-00001D7A0000}"/>
    <cellStyle name="Superscript 2 7 3 5 2" xfId="28217" xr:uid="{00000000-0005-0000-0000-00001E7A0000}"/>
    <cellStyle name="Superscript 2 7 3 6" xfId="28218" xr:uid="{00000000-0005-0000-0000-00001F7A0000}"/>
    <cellStyle name="Superscript 2 7 3 6 2" xfId="28219" xr:uid="{00000000-0005-0000-0000-0000207A0000}"/>
    <cellStyle name="Superscript 2 7 3 7" xfId="28220" xr:uid="{00000000-0005-0000-0000-0000217A0000}"/>
    <cellStyle name="Superscript 2 7 3 7 2" xfId="28221" xr:uid="{00000000-0005-0000-0000-0000227A0000}"/>
    <cellStyle name="Superscript 2 7 3 8" xfId="28222" xr:uid="{00000000-0005-0000-0000-0000237A0000}"/>
    <cellStyle name="Superscript 2 7 3 8 2" xfId="28223" xr:uid="{00000000-0005-0000-0000-0000247A0000}"/>
    <cellStyle name="Superscript 2 7 3 9" xfId="28224" xr:uid="{00000000-0005-0000-0000-0000257A0000}"/>
    <cellStyle name="Superscript 2 7 3 9 2" xfId="28225" xr:uid="{00000000-0005-0000-0000-0000267A0000}"/>
    <cellStyle name="Superscript 2 7 4" xfId="28226" xr:uid="{00000000-0005-0000-0000-0000277A0000}"/>
    <cellStyle name="Superscript 2 7 4 10" xfId="28227" xr:uid="{00000000-0005-0000-0000-0000287A0000}"/>
    <cellStyle name="Superscript 2 7 4 2" xfId="28228" xr:uid="{00000000-0005-0000-0000-0000297A0000}"/>
    <cellStyle name="Superscript 2 7 4 2 2" xfId="28229" xr:uid="{00000000-0005-0000-0000-00002A7A0000}"/>
    <cellStyle name="Superscript 2 7 4 3" xfId="28230" xr:uid="{00000000-0005-0000-0000-00002B7A0000}"/>
    <cellStyle name="Superscript 2 7 4 3 2" xfId="28231" xr:uid="{00000000-0005-0000-0000-00002C7A0000}"/>
    <cellStyle name="Superscript 2 7 4 4" xfId="28232" xr:uid="{00000000-0005-0000-0000-00002D7A0000}"/>
    <cellStyle name="Superscript 2 7 4 4 2" xfId="28233" xr:uid="{00000000-0005-0000-0000-00002E7A0000}"/>
    <cellStyle name="Superscript 2 7 4 5" xfId="28234" xr:uid="{00000000-0005-0000-0000-00002F7A0000}"/>
    <cellStyle name="Superscript 2 7 4 5 2" xfId="28235" xr:uid="{00000000-0005-0000-0000-0000307A0000}"/>
    <cellStyle name="Superscript 2 7 4 6" xfId="28236" xr:uid="{00000000-0005-0000-0000-0000317A0000}"/>
    <cellStyle name="Superscript 2 7 4 6 2" xfId="28237" xr:uid="{00000000-0005-0000-0000-0000327A0000}"/>
    <cellStyle name="Superscript 2 7 4 7" xfId="28238" xr:uid="{00000000-0005-0000-0000-0000337A0000}"/>
    <cellStyle name="Superscript 2 7 4 7 2" xfId="28239" xr:uid="{00000000-0005-0000-0000-0000347A0000}"/>
    <cellStyle name="Superscript 2 7 4 8" xfId="28240" xr:uid="{00000000-0005-0000-0000-0000357A0000}"/>
    <cellStyle name="Superscript 2 7 4 8 2" xfId="28241" xr:uid="{00000000-0005-0000-0000-0000367A0000}"/>
    <cellStyle name="Superscript 2 7 4 9" xfId="28242" xr:uid="{00000000-0005-0000-0000-0000377A0000}"/>
    <cellStyle name="Superscript 2 7 4 9 2" xfId="28243" xr:uid="{00000000-0005-0000-0000-0000387A0000}"/>
    <cellStyle name="Superscript 2 7 5" xfId="28244" xr:uid="{00000000-0005-0000-0000-0000397A0000}"/>
    <cellStyle name="Superscript 2 7 5 10" xfId="28245" xr:uid="{00000000-0005-0000-0000-00003A7A0000}"/>
    <cellStyle name="Superscript 2 7 5 2" xfId="28246" xr:uid="{00000000-0005-0000-0000-00003B7A0000}"/>
    <cellStyle name="Superscript 2 7 5 2 2" xfId="28247" xr:uid="{00000000-0005-0000-0000-00003C7A0000}"/>
    <cellStyle name="Superscript 2 7 5 3" xfId="28248" xr:uid="{00000000-0005-0000-0000-00003D7A0000}"/>
    <cellStyle name="Superscript 2 7 5 3 2" xfId="28249" xr:uid="{00000000-0005-0000-0000-00003E7A0000}"/>
    <cellStyle name="Superscript 2 7 5 4" xfId="28250" xr:uid="{00000000-0005-0000-0000-00003F7A0000}"/>
    <cellStyle name="Superscript 2 7 5 4 2" xfId="28251" xr:uid="{00000000-0005-0000-0000-0000407A0000}"/>
    <cellStyle name="Superscript 2 7 5 5" xfId="28252" xr:uid="{00000000-0005-0000-0000-0000417A0000}"/>
    <cellStyle name="Superscript 2 7 5 5 2" xfId="28253" xr:uid="{00000000-0005-0000-0000-0000427A0000}"/>
    <cellStyle name="Superscript 2 7 5 6" xfId="28254" xr:uid="{00000000-0005-0000-0000-0000437A0000}"/>
    <cellStyle name="Superscript 2 7 5 6 2" xfId="28255" xr:uid="{00000000-0005-0000-0000-0000447A0000}"/>
    <cellStyle name="Superscript 2 7 5 7" xfId="28256" xr:uid="{00000000-0005-0000-0000-0000457A0000}"/>
    <cellStyle name="Superscript 2 7 5 7 2" xfId="28257" xr:uid="{00000000-0005-0000-0000-0000467A0000}"/>
    <cellStyle name="Superscript 2 7 5 8" xfId="28258" xr:uid="{00000000-0005-0000-0000-0000477A0000}"/>
    <cellStyle name="Superscript 2 7 5 8 2" xfId="28259" xr:uid="{00000000-0005-0000-0000-0000487A0000}"/>
    <cellStyle name="Superscript 2 7 5 9" xfId="28260" xr:uid="{00000000-0005-0000-0000-0000497A0000}"/>
    <cellStyle name="Superscript 2 7 5 9 2" xfId="28261" xr:uid="{00000000-0005-0000-0000-00004A7A0000}"/>
    <cellStyle name="Superscript 2 7 6" xfId="28262" xr:uid="{00000000-0005-0000-0000-00004B7A0000}"/>
    <cellStyle name="Superscript 2 7 6 10" xfId="28263" xr:uid="{00000000-0005-0000-0000-00004C7A0000}"/>
    <cellStyle name="Superscript 2 7 6 2" xfId="28264" xr:uid="{00000000-0005-0000-0000-00004D7A0000}"/>
    <cellStyle name="Superscript 2 7 6 2 2" xfId="28265" xr:uid="{00000000-0005-0000-0000-00004E7A0000}"/>
    <cellStyle name="Superscript 2 7 6 3" xfId="28266" xr:uid="{00000000-0005-0000-0000-00004F7A0000}"/>
    <cellStyle name="Superscript 2 7 6 3 2" xfId="28267" xr:uid="{00000000-0005-0000-0000-0000507A0000}"/>
    <cellStyle name="Superscript 2 7 6 4" xfId="28268" xr:uid="{00000000-0005-0000-0000-0000517A0000}"/>
    <cellStyle name="Superscript 2 7 6 4 2" xfId="28269" xr:uid="{00000000-0005-0000-0000-0000527A0000}"/>
    <cellStyle name="Superscript 2 7 6 5" xfId="28270" xr:uid="{00000000-0005-0000-0000-0000537A0000}"/>
    <cellStyle name="Superscript 2 7 6 5 2" xfId="28271" xr:uid="{00000000-0005-0000-0000-0000547A0000}"/>
    <cellStyle name="Superscript 2 7 6 6" xfId="28272" xr:uid="{00000000-0005-0000-0000-0000557A0000}"/>
    <cellStyle name="Superscript 2 7 6 6 2" xfId="28273" xr:uid="{00000000-0005-0000-0000-0000567A0000}"/>
    <cellStyle name="Superscript 2 7 6 7" xfId="28274" xr:uid="{00000000-0005-0000-0000-0000577A0000}"/>
    <cellStyle name="Superscript 2 7 6 7 2" xfId="28275" xr:uid="{00000000-0005-0000-0000-0000587A0000}"/>
    <cellStyle name="Superscript 2 7 6 8" xfId="28276" xr:uid="{00000000-0005-0000-0000-0000597A0000}"/>
    <cellStyle name="Superscript 2 7 6 8 2" xfId="28277" xr:uid="{00000000-0005-0000-0000-00005A7A0000}"/>
    <cellStyle name="Superscript 2 7 6 9" xfId="28278" xr:uid="{00000000-0005-0000-0000-00005B7A0000}"/>
    <cellStyle name="Superscript 2 7 6 9 2" xfId="28279" xr:uid="{00000000-0005-0000-0000-00005C7A0000}"/>
    <cellStyle name="Superscript 2 7 7" xfId="28280" xr:uid="{00000000-0005-0000-0000-00005D7A0000}"/>
    <cellStyle name="Superscript 2 7 7 10" xfId="28281" xr:uid="{00000000-0005-0000-0000-00005E7A0000}"/>
    <cellStyle name="Superscript 2 7 7 2" xfId="28282" xr:uid="{00000000-0005-0000-0000-00005F7A0000}"/>
    <cellStyle name="Superscript 2 7 7 2 2" xfId="28283" xr:uid="{00000000-0005-0000-0000-0000607A0000}"/>
    <cellStyle name="Superscript 2 7 7 3" xfId="28284" xr:uid="{00000000-0005-0000-0000-0000617A0000}"/>
    <cellStyle name="Superscript 2 7 7 3 2" xfId="28285" xr:uid="{00000000-0005-0000-0000-0000627A0000}"/>
    <cellStyle name="Superscript 2 7 7 4" xfId="28286" xr:uid="{00000000-0005-0000-0000-0000637A0000}"/>
    <cellStyle name="Superscript 2 7 7 4 2" xfId="28287" xr:uid="{00000000-0005-0000-0000-0000647A0000}"/>
    <cellStyle name="Superscript 2 7 7 5" xfId="28288" xr:uid="{00000000-0005-0000-0000-0000657A0000}"/>
    <cellStyle name="Superscript 2 7 7 5 2" xfId="28289" xr:uid="{00000000-0005-0000-0000-0000667A0000}"/>
    <cellStyle name="Superscript 2 7 7 6" xfId="28290" xr:uid="{00000000-0005-0000-0000-0000677A0000}"/>
    <cellStyle name="Superscript 2 7 7 6 2" xfId="28291" xr:uid="{00000000-0005-0000-0000-0000687A0000}"/>
    <cellStyle name="Superscript 2 7 7 7" xfId="28292" xr:uid="{00000000-0005-0000-0000-0000697A0000}"/>
    <cellStyle name="Superscript 2 7 7 7 2" xfId="28293" xr:uid="{00000000-0005-0000-0000-00006A7A0000}"/>
    <cellStyle name="Superscript 2 7 7 8" xfId="28294" xr:uid="{00000000-0005-0000-0000-00006B7A0000}"/>
    <cellStyle name="Superscript 2 7 7 8 2" xfId="28295" xr:uid="{00000000-0005-0000-0000-00006C7A0000}"/>
    <cellStyle name="Superscript 2 7 7 9" xfId="28296" xr:uid="{00000000-0005-0000-0000-00006D7A0000}"/>
    <cellStyle name="Superscript 2 7 7 9 2" xfId="28297" xr:uid="{00000000-0005-0000-0000-00006E7A0000}"/>
    <cellStyle name="Superscript 2 7 8" xfId="28298" xr:uid="{00000000-0005-0000-0000-00006F7A0000}"/>
    <cellStyle name="Superscript 2 7 8 10" xfId="28299" xr:uid="{00000000-0005-0000-0000-0000707A0000}"/>
    <cellStyle name="Superscript 2 7 8 2" xfId="28300" xr:uid="{00000000-0005-0000-0000-0000717A0000}"/>
    <cellStyle name="Superscript 2 7 8 2 2" xfId="28301" xr:uid="{00000000-0005-0000-0000-0000727A0000}"/>
    <cellStyle name="Superscript 2 7 8 3" xfId="28302" xr:uid="{00000000-0005-0000-0000-0000737A0000}"/>
    <cellStyle name="Superscript 2 7 8 3 2" xfId="28303" xr:uid="{00000000-0005-0000-0000-0000747A0000}"/>
    <cellStyle name="Superscript 2 7 8 4" xfId="28304" xr:uid="{00000000-0005-0000-0000-0000757A0000}"/>
    <cellStyle name="Superscript 2 7 8 4 2" xfId="28305" xr:uid="{00000000-0005-0000-0000-0000767A0000}"/>
    <cellStyle name="Superscript 2 7 8 5" xfId="28306" xr:uid="{00000000-0005-0000-0000-0000777A0000}"/>
    <cellStyle name="Superscript 2 7 8 5 2" xfId="28307" xr:uid="{00000000-0005-0000-0000-0000787A0000}"/>
    <cellStyle name="Superscript 2 7 8 6" xfId="28308" xr:uid="{00000000-0005-0000-0000-0000797A0000}"/>
    <cellStyle name="Superscript 2 7 8 6 2" xfId="28309" xr:uid="{00000000-0005-0000-0000-00007A7A0000}"/>
    <cellStyle name="Superscript 2 7 8 7" xfId="28310" xr:uid="{00000000-0005-0000-0000-00007B7A0000}"/>
    <cellStyle name="Superscript 2 7 8 7 2" xfId="28311" xr:uid="{00000000-0005-0000-0000-00007C7A0000}"/>
    <cellStyle name="Superscript 2 7 8 8" xfId="28312" xr:uid="{00000000-0005-0000-0000-00007D7A0000}"/>
    <cellStyle name="Superscript 2 7 8 8 2" xfId="28313" xr:uid="{00000000-0005-0000-0000-00007E7A0000}"/>
    <cellStyle name="Superscript 2 7 8 9" xfId="28314" xr:uid="{00000000-0005-0000-0000-00007F7A0000}"/>
    <cellStyle name="Superscript 2 7 8 9 2" xfId="28315" xr:uid="{00000000-0005-0000-0000-0000807A0000}"/>
    <cellStyle name="Superscript 2 7 9" xfId="28316" xr:uid="{00000000-0005-0000-0000-0000817A0000}"/>
    <cellStyle name="Superscript 2 7 9 10" xfId="28317" xr:uid="{00000000-0005-0000-0000-0000827A0000}"/>
    <cellStyle name="Superscript 2 7 9 2" xfId="28318" xr:uid="{00000000-0005-0000-0000-0000837A0000}"/>
    <cellStyle name="Superscript 2 7 9 2 2" xfId="28319" xr:uid="{00000000-0005-0000-0000-0000847A0000}"/>
    <cellStyle name="Superscript 2 7 9 3" xfId="28320" xr:uid="{00000000-0005-0000-0000-0000857A0000}"/>
    <cellStyle name="Superscript 2 7 9 3 2" xfId="28321" xr:uid="{00000000-0005-0000-0000-0000867A0000}"/>
    <cellStyle name="Superscript 2 7 9 4" xfId="28322" xr:uid="{00000000-0005-0000-0000-0000877A0000}"/>
    <cellStyle name="Superscript 2 7 9 4 2" xfId="28323" xr:uid="{00000000-0005-0000-0000-0000887A0000}"/>
    <cellStyle name="Superscript 2 7 9 5" xfId="28324" xr:uid="{00000000-0005-0000-0000-0000897A0000}"/>
    <cellStyle name="Superscript 2 7 9 5 2" xfId="28325" xr:uid="{00000000-0005-0000-0000-00008A7A0000}"/>
    <cellStyle name="Superscript 2 7 9 6" xfId="28326" xr:uid="{00000000-0005-0000-0000-00008B7A0000}"/>
    <cellStyle name="Superscript 2 7 9 6 2" xfId="28327" xr:uid="{00000000-0005-0000-0000-00008C7A0000}"/>
    <cellStyle name="Superscript 2 7 9 7" xfId="28328" xr:uid="{00000000-0005-0000-0000-00008D7A0000}"/>
    <cellStyle name="Superscript 2 7 9 7 2" xfId="28329" xr:uid="{00000000-0005-0000-0000-00008E7A0000}"/>
    <cellStyle name="Superscript 2 7 9 8" xfId="28330" xr:uid="{00000000-0005-0000-0000-00008F7A0000}"/>
    <cellStyle name="Superscript 2 7 9 8 2" xfId="28331" xr:uid="{00000000-0005-0000-0000-0000907A0000}"/>
    <cellStyle name="Superscript 2 7 9 9" xfId="28332" xr:uid="{00000000-0005-0000-0000-0000917A0000}"/>
    <cellStyle name="Superscript 2 7 9 9 2" xfId="28333" xr:uid="{00000000-0005-0000-0000-0000927A0000}"/>
    <cellStyle name="Superscript 2 8" xfId="28334" xr:uid="{00000000-0005-0000-0000-0000937A0000}"/>
    <cellStyle name="Superscript 2 8 10" xfId="28335" xr:uid="{00000000-0005-0000-0000-0000947A0000}"/>
    <cellStyle name="Superscript 2 8 10 2" xfId="28336" xr:uid="{00000000-0005-0000-0000-0000957A0000}"/>
    <cellStyle name="Superscript 2 8 10 2 2" xfId="28337" xr:uid="{00000000-0005-0000-0000-0000967A0000}"/>
    <cellStyle name="Superscript 2 8 10 3" xfId="28338" xr:uid="{00000000-0005-0000-0000-0000977A0000}"/>
    <cellStyle name="Superscript 2 8 10 3 2" xfId="28339" xr:uid="{00000000-0005-0000-0000-0000987A0000}"/>
    <cellStyle name="Superscript 2 8 10 4" xfId="28340" xr:uid="{00000000-0005-0000-0000-0000997A0000}"/>
    <cellStyle name="Superscript 2 8 10 4 2" xfId="28341" xr:uid="{00000000-0005-0000-0000-00009A7A0000}"/>
    <cellStyle name="Superscript 2 8 10 5" xfId="28342" xr:uid="{00000000-0005-0000-0000-00009B7A0000}"/>
    <cellStyle name="Superscript 2 8 10 5 2" xfId="28343" xr:uid="{00000000-0005-0000-0000-00009C7A0000}"/>
    <cellStyle name="Superscript 2 8 10 6" xfId="28344" xr:uid="{00000000-0005-0000-0000-00009D7A0000}"/>
    <cellStyle name="Superscript 2 8 10 6 2" xfId="28345" xr:uid="{00000000-0005-0000-0000-00009E7A0000}"/>
    <cellStyle name="Superscript 2 8 10 7" xfId="28346" xr:uid="{00000000-0005-0000-0000-00009F7A0000}"/>
    <cellStyle name="Superscript 2 8 10 7 2" xfId="28347" xr:uid="{00000000-0005-0000-0000-0000A07A0000}"/>
    <cellStyle name="Superscript 2 8 10 8" xfId="28348" xr:uid="{00000000-0005-0000-0000-0000A17A0000}"/>
    <cellStyle name="Superscript 2 8 10 8 2" xfId="28349" xr:uid="{00000000-0005-0000-0000-0000A27A0000}"/>
    <cellStyle name="Superscript 2 8 10 9" xfId="28350" xr:uid="{00000000-0005-0000-0000-0000A37A0000}"/>
    <cellStyle name="Superscript 2 8 11" xfId="28351" xr:uid="{00000000-0005-0000-0000-0000A47A0000}"/>
    <cellStyle name="Superscript 2 8 11 2" xfId="28352" xr:uid="{00000000-0005-0000-0000-0000A57A0000}"/>
    <cellStyle name="Superscript 2 8 12" xfId="28353" xr:uid="{00000000-0005-0000-0000-0000A67A0000}"/>
    <cellStyle name="Superscript 2 8 12 2" xfId="28354" xr:uid="{00000000-0005-0000-0000-0000A77A0000}"/>
    <cellStyle name="Superscript 2 8 13" xfId="28355" xr:uid="{00000000-0005-0000-0000-0000A87A0000}"/>
    <cellStyle name="Superscript 2 8 13 2" xfId="28356" xr:uid="{00000000-0005-0000-0000-0000A97A0000}"/>
    <cellStyle name="Superscript 2 8 14" xfId="28357" xr:uid="{00000000-0005-0000-0000-0000AA7A0000}"/>
    <cellStyle name="Superscript 2 8 14 2" xfId="28358" xr:uid="{00000000-0005-0000-0000-0000AB7A0000}"/>
    <cellStyle name="Superscript 2 8 15" xfId="28359" xr:uid="{00000000-0005-0000-0000-0000AC7A0000}"/>
    <cellStyle name="Superscript 2 8 15 2" xfId="28360" xr:uid="{00000000-0005-0000-0000-0000AD7A0000}"/>
    <cellStyle name="Superscript 2 8 16" xfId="28361" xr:uid="{00000000-0005-0000-0000-0000AE7A0000}"/>
    <cellStyle name="Superscript 2 8 16 2" xfId="28362" xr:uid="{00000000-0005-0000-0000-0000AF7A0000}"/>
    <cellStyle name="Superscript 2 8 17" xfId="28363" xr:uid="{00000000-0005-0000-0000-0000B07A0000}"/>
    <cellStyle name="Superscript 2 8 17 2" xfId="28364" xr:uid="{00000000-0005-0000-0000-0000B17A0000}"/>
    <cellStyle name="Superscript 2 8 18" xfId="28365" xr:uid="{00000000-0005-0000-0000-0000B27A0000}"/>
    <cellStyle name="Superscript 2 8 2" xfId="28366" xr:uid="{00000000-0005-0000-0000-0000B37A0000}"/>
    <cellStyle name="Superscript 2 8 2 10" xfId="28367" xr:uid="{00000000-0005-0000-0000-0000B47A0000}"/>
    <cellStyle name="Superscript 2 8 2 2" xfId="28368" xr:uid="{00000000-0005-0000-0000-0000B57A0000}"/>
    <cellStyle name="Superscript 2 8 2 2 2" xfId="28369" xr:uid="{00000000-0005-0000-0000-0000B67A0000}"/>
    <cellStyle name="Superscript 2 8 2 3" xfId="28370" xr:uid="{00000000-0005-0000-0000-0000B77A0000}"/>
    <cellStyle name="Superscript 2 8 2 3 2" xfId="28371" xr:uid="{00000000-0005-0000-0000-0000B87A0000}"/>
    <cellStyle name="Superscript 2 8 2 4" xfId="28372" xr:uid="{00000000-0005-0000-0000-0000B97A0000}"/>
    <cellStyle name="Superscript 2 8 2 4 2" xfId="28373" xr:uid="{00000000-0005-0000-0000-0000BA7A0000}"/>
    <cellStyle name="Superscript 2 8 2 5" xfId="28374" xr:uid="{00000000-0005-0000-0000-0000BB7A0000}"/>
    <cellStyle name="Superscript 2 8 2 5 2" xfId="28375" xr:uid="{00000000-0005-0000-0000-0000BC7A0000}"/>
    <cellStyle name="Superscript 2 8 2 6" xfId="28376" xr:uid="{00000000-0005-0000-0000-0000BD7A0000}"/>
    <cellStyle name="Superscript 2 8 2 6 2" xfId="28377" xr:uid="{00000000-0005-0000-0000-0000BE7A0000}"/>
    <cellStyle name="Superscript 2 8 2 7" xfId="28378" xr:uid="{00000000-0005-0000-0000-0000BF7A0000}"/>
    <cellStyle name="Superscript 2 8 2 7 2" xfId="28379" xr:uid="{00000000-0005-0000-0000-0000C07A0000}"/>
    <cellStyle name="Superscript 2 8 2 8" xfId="28380" xr:uid="{00000000-0005-0000-0000-0000C17A0000}"/>
    <cellStyle name="Superscript 2 8 2 8 2" xfId="28381" xr:uid="{00000000-0005-0000-0000-0000C27A0000}"/>
    <cellStyle name="Superscript 2 8 2 9" xfId="28382" xr:uid="{00000000-0005-0000-0000-0000C37A0000}"/>
    <cellStyle name="Superscript 2 8 2 9 2" xfId="28383" xr:uid="{00000000-0005-0000-0000-0000C47A0000}"/>
    <cellStyle name="Superscript 2 8 3" xfId="28384" xr:uid="{00000000-0005-0000-0000-0000C57A0000}"/>
    <cellStyle name="Superscript 2 8 3 10" xfId="28385" xr:uid="{00000000-0005-0000-0000-0000C67A0000}"/>
    <cellStyle name="Superscript 2 8 3 2" xfId="28386" xr:uid="{00000000-0005-0000-0000-0000C77A0000}"/>
    <cellStyle name="Superscript 2 8 3 2 2" xfId="28387" xr:uid="{00000000-0005-0000-0000-0000C87A0000}"/>
    <cellStyle name="Superscript 2 8 3 3" xfId="28388" xr:uid="{00000000-0005-0000-0000-0000C97A0000}"/>
    <cellStyle name="Superscript 2 8 3 3 2" xfId="28389" xr:uid="{00000000-0005-0000-0000-0000CA7A0000}"/>
    <cellStyle name="Superscript 2 8 3 4" xfId="28390" xr:uid="{00000000-0005-0000-0000-0000CB7A0000}"/>
    <cellStyle name="Superscript 2 8 3 4 2" xfId="28391" xr:uid="{00000000-0005-0000-0000-0000CC7A0000}"/>
    <cellStyle name="Superscript 2 8 3 5" xfId="28392" xr:uid="{00000000-0005-0000-0000-0000CD7A0000}"/>
    <cellStyle name="Superscript 2 8 3 5 2" xfId="28393" xr:uid="{00000000-0005-0000-0000-0000CE7A0000}"/>
    <cellStyle name="Superscript 2 8 3 6" xfId="28394" xr:uid="{00000000-0005-0000-0000-0000CF7A0000}"/>
    <cellStyle name="Superscript 2 8 3 6 2" xfId="28395" xr:uid="{00000000-0005-0000-0000-0000D07A0000}"/>
    <cellStyle name="Superscript 2 8 3 7" xfId="28396" xr:uid="{00000000-0005-0000-0000-0000D17A0000}"/>
    <cellStyle name="Superscript 2 8 3 7 2" xfId="28397" xr:uid="{00000000-0005-0000-0000-0000D27A0000}"/>
    <cellStyle name="Superscript 2 8 3 8" xfId="28398" xr:uid="{00000000-0005-0000-0000-0000D37A0000}"/>
    <cellStyle name="Superscript 2 8 3 8 2" xfId="28399" xr:uid="{00000000-0005-0000-0000-0000D47A0000}"/>
    <cellStyle name="Superscript 2 8 3 9" xfId="28400" xr:uid="{00000000-0005-0000-0000-0000D57A0000}"/>
    <cellStyle name="Superscript 2 8 3 9 2" xfId="28401" xr:uid="{00000000-0005-0000-0000-0000D67A0000}"/>
    <cellStyle name="Superscript 2 8 4" xfId="28402" xr:uid="{00000000-0005-0000-0000-0000D77A0000}"/>
    <cellStyle name="Superscript 2 8 4 10" xfId="28403" xr:uid="{00000000-0005-0000-0000-0000D87A0000}"/>
    <cellStyle name="Superscript 2 8 4 2" xfId="28404" xr:uid="{00000000-0005-0000-0000-0000D97A0000}"/>
    <cellStyle name="Superscript 2 8 4 2 2" xfId="28405" xr:uid="{00000000-0005-0000-0000-0000DA7A0000}"/>
    <cellStyle name="Superscript 2 8 4 3" xfId="28406" xr:uid="{00000000-0005-0000-0000-0000DB7A0000}"/>
    <cellStyle name="Superscript 2 8 4 3 2" xfId="28407" xr:uid="{00000000-0005-0000-0000-0000DC7A0000}"/>
    <cellStyle name="Superscript 2 8 4 4" xfId="28408" xr:uid="{00000000-0005-0000-0000-0000DD7A0000}"/>
    <cellStyle name="Superscript 2 8 4 4 2" xfId="28409" xr:uid="{00000000-0005-0000-0000-0000DE7A0000}"/>
    <cellStyle name="Superscript 2 8 4 5" xfId="28410" xr:uid="{00000000-0005-0000-0000-0000DF7A0000}"/>
    <cellStyle name="Superscript 2 8 4 5 2" xfId="28411" xr:uid="{00000000-0005-0000-0000-0000E07A0000}"/>
    <cellStyle name="Superscript 2 8 4 6" xfId="28412" xr:uid="{00000000-0005-0000-0000-0000E17A0000}"/>
    <cellStyle name="Superscript 2 8 4 6 2" xfId="28413" xr:uid="{00000000-0005-0000-0000-0000E27A0000}"/>
    <cellStyle name="Superscript 2 8 4 7" xfId="28414" xr:uid="{00000000-0005-0000-0000-0000E37A0000}"/>
    <cellStyle name="Superscript 2 8 4 7 2" xfId="28415" xr:uid="{00000000-0005-0000-0000-0000E47A0000}"/>
    <cellStyle name="Superscript 2 8 4 8" xfId="28416" xr:uid="{00000000-0005-0000-0000-0000E57A0000}"/>
    <cellStyle name="Superscript 2 8 4 8 2" xfId="28417" xr:uid="{00000000-0005-0000-0000-0000E67A0000}"/>
    <cellStyle name="Superscript 2 8 4 9" xfId="28418" xr:uid="{00000000-0005-0000-0000-0000E77A0000}"/>
    <cellStyle name="Superscript 2 8 4 9 2" xfId="28419" xr:uid="{00000000-0005-0000-0000-0000E87A0000}"/>
    <cellStyle name="Superscript 2 8 5" xfId="28420" xr:uid="{00000000-0005-0000-0000-0000E97A0000}"/>
    <cellStyle name="Superscript 2 8 5 10" xfId="28421" xr:uid="{00000000-0005-0000-0000-0000EA7A0000}"/>
    <cellStyle name="Superscript 2 8 5 2" xfId="28422" xr:uid="{00000000-0005-0000-0000-0000EB7A0000}"/>
    <cellStyle name="Superscript 2 8 5 2 2" xfId="28423" xr:uid="{00000000-0005-0000-0000-0000EC7A0000}"/>
    <cellStyle name="Superscript 2 8 5 3" xfId="28424" xr:uid="{00000000-0005-0000-0000-0000ED7A0000}"/>
    <cellStyle name="Superscript 2 8 5 3 2" xfId="28425" xr:uid="{00000000-0005-0000-0000-0000EE7A0000}"/>
    <cellStyle name="Superscript 2 8 5 4" xfId="28426" xr:uid="{00000000-0005-0000-0000-0000EF7A0000}"/>
    <cellStyle name="Superscript 2 8 5 4 2" xfId="28427" xr:uid="{00000000-0005-0000-0000-0000F07A0000}"/>
    <cellStyle name="Superscript 2 8 5 5" xfId="28428" xr:uid="{00000000-0005-0000-0000-0000F17A0000}"/>
    <cellStyle name="Superscript 2 8 5 5 2" xfId="28429" xr:uid="{00000000-0005-0000-0000-0000F27A0000}"/>
    <cellStyle name="Superscript 2 8 5 6" xfId="28430" xr:uid="{00000000-0005-0000-0000-0000F37A0000}"/>
    <cellStyle name="Superscript 2 8 5 6 2" xfId="28431" xr:uid="{00000000-0005-0000-0000-0000F47A0000}"/>
    <cellStyle name="Superscript 2 8 5 7" xfId="28432" xr:uid="{00000000-0005-0000-0000-0000F57A0000}"/>
    <cellStyle name="Superscript 2 8 5 7 2" xfId="28433" xr:uid="{00000000-0005-0000-0000-0000F67A0000}"/>
    <cellStyle name="Superscript 2 8 5 8" xfId="28434" xr:uid="{00000000-0005-0000-0000-0000F77A0000}"/>
    <cellStyle name="Superscript 2 8 5 8 2" xfId="28435" xr:uid="{00000000-0005-0000-0000-0000F87A0000}"/>
    <cellStyle name="Superscript 2 8 5 9" xfId="28436" xr:uid="{00000000-0005-0000-0000-0000F97A0000}"/>
    <cellStyle name="Superscript 2 8 5 9 2" xfId="28437" xr:uid="{00000000-0005-0000-0000-0000FA7A0000}"/>
    <cellStyle name="Superscript 2 8 6" xfId="28438" xr:uid="{00000000-0005-0000-0000-0000FB7A0000}"/>
    <cellStyle name="Superscript 2 8 6 10" xfId="28439" xr:uid="{00000000-0005-0000-0000-0000FC7A0000}"/>
    <cellStyle name="Superscript 2 8 6 2" xfId="28440" xr:uid="{00000000-0005-0000-0000-0000FD7A0000}"/>
    <cellStyle name="Superscript 2 8 6 2 2" xfId="28441" xr:uid="{00000000-0005-0000-0000-0000FE7A0000}"/>
    <cellStyle name="Superscript 2 8 6 3" xfId="28442" xr:uid="{00000000-0005-0000-0000-0000FF7A0000}"/>
    <cellStyle name="Superscript 2 8 6 3 2" xfId="28443" xr:uid="{00000000-0005-0000-0000-0000007B0000}"/>
    <cellStyle name="Superscript 2 8 6 4" xfId="28444" xr:uid="{00000000-0005-0000-0000-0000017B0000}"/>
    <cellStyle name="Superscript 2 8 6 4 2" xfId="28445" xr:uid="{00000000-0005-0000-0000-0000027B0000}"/>
    <cellStyle name="Superscript 2 8 6 5" xfId="28446" xr:uid="{00000000-0005-0000-0000-0000037B0000}"/>
    <cellStyle name="Superscript 2 8 6 5 2" xfId="28447" xr:uid="{00000000-0005-0000-0000-0000047B0000}"/>
    <cellStyle name="Superscript 2 8 6 6" xfId="28448" xr:uid="{00000000-0005-0000-0000-0000057B0000}"/>
    <cellStyle name="Superscript 2 8 6 6 2" xfId="28449" xr:uid="{00000000-0005-0000-0000-0000067B0000}"/>
    <cellStyle name="Superscript 2 8 6 7" xfId="28450" xr:uid="{00000000-0005-0000-0000-0000077B0000}"/>
    <cellStyle name="Superscript 2 8 6 7 2" xfId="28451" xr:uid="{00000000-0005-0000-0000-0000087B0000}"/>
    <cellStyle name="Superscript 2 8 6 8" xfId="28452" xr:uid="{00000000-0005-0000-0000-0000097B0000}"/>
    <cellStyle name="Superscript 2 8 6 8 2" xfId="28453" xr:uid="{00000000-0005-0000-0000-00000A7B0000}"/>
    <cellStyle name="Superscript 2 8 6 9" xfId="28454" xr:uid="{00000000-0005-0000-0000-00000B7B0000}"/>
    <cellStyle name="Superscript 2 8 6 9 2" xfId="28455" xr:uid="{00000000-0005-0000-0000-00000C7B0000}"/>
    <cellStyle name="Superscript 2 8 7" xfId="28456" xr:uid="{00000000-0005-0000-0000-00000D7B0000}"/>
    <cellStyle name="Superscript 2 8 7 10" xfId="28457" xr:uid="{00000000-0005-0000-0000-00000E7B0000}"/>
    <cellStyle name="Superscript 2 8 7 2" xfId="28458" xr:uid="{00000000-0005-0000-0000-00000F7B0000}"/>
    <cellStyle name="Superscript 2 8 7 2 2" xfId="28459" xr:uid="{00000000-0005-0000-0000-0000107B0000}"/>
    <cellStyle name="Superscript 2 8 7 3" xfId="28460" xr:uid="{00000000-0005-0000-0000-0000117B0000}"/>
    <cellStyle name="Superscript 2 8 7 3 2" xfId="28461" xr:uid="{00000000-0005-0000-0000-0000127B0000}"/>
    <cellStyle name="Superscript 2 8 7 4" xfId="28462" xr:uid="{00000000-0005-0000-0000-0000137B0000}"/>
    <cellStyle name="Superscript 2 8 7 4 2" xfId="28463" xr:uid="{00000000-0005-0000-0000-0000147B0000}"/>
    <cellStyle name="Superscript 2 8 7 5" xfId="28464" xr:uid="{00000000-0005-0000-0000-0000157B0000}"/>
    <cellStyle name="Superscript 2 8 7 5 2" xfId="28465" xr:uid="{00000000-0005-0000-0000-0000167B0000}"/>
    <cellStyle name="Superscript 2 8 7 6" xfId="28466" xr:uid="{00000000-0005-0000-0000-0000177B0000}"/>
    <cellStyle name="Superscript 2 8 7 6 2" xfId="28467" xr:uid="{00000000-0005-0000-0000-0000187B0000}"/>
    <cellStyle name="Superscript 2 8 7 7" xfId="28468" xr:uid="{00000000-0005-0000-0000-0000197B0000}"/>
    <cellStyle name="Superscript 2 8 7 7 2" xfId="28469" xr:uid="{00000000-0005-0000-0000-00001A7B0000}"/>
    <cellStyle name="Superscript 2 8 7 8" xfId="28470" xr:uid="{00000000-0005-0000-0000-00001B7B0000}"/>
    <cellStyle name="Superscript 2 8 7 8 2" xfId="28471" xr:uid="{00000000-0005-0000-0000-00001C7B0000}"/>
    <cellStyle name="Superscript 2 8 7 9" xfId="28472" xr:uid="{00000000-0005-0000-0000-00001D7B0000}"/>
    <cellStyle name="Superscript 2 8 7 9 2" xfId="28473" xr:uid="{00000000-0005-0000-0000-00001E7B0000}"/>
    <cellStyle name="Superscript 2 8 8" xfId="28474" xr:uid="{00000000-0005-0000-0000-00001F7B0000}"/>
    <cellStyle name="Superscript 2 8 8 10" xfId="28475" xr:uid="{00000000-0005-0000-0000-0000207B0000}"/>
    <cellStyle name="Superscript 2 8 8 2" xfId="28476" xr:uid="{00000000-0005-0000-0000-0000217B0000}"/>
    <cellStyle name="Superscript 2 8 8 2 2" xfId="28477" xr:uid="{00000000-0005-0000-0000-0000227B0000}"/>
    <cellStyle name="Superscript 2 8 8 3" xfId="28478" xr:uid="{00000000-0005-0000-0000-0000237B0000}"/>
    <cellStyle name="Superscript 2 8 8 3 2" xfId="28479" xr:uid="{00000000-0005-0000-0000-0000247B0000}"/>
    <cellStyle name="Superscript 2 8 8 4" xfId="28480" xr:uid="{00000000-0005-0000-0000-0000257B0000}"/>
    <cellStyle name="Superscript 2 8 8 4 2" xfId="28481" xr:uid="{00000000-0005-0000-0000-0000267B0000}"/>
    <cellStyle name="Superscript 2 8 8 5" xfId="28482" xr:uid="{00000000-0005-0000-0000-0000277B0000}"/>
    <cellStyle name="Superscript 2 8 8 5 2" xfId="28483" xr:uid="{00000000-0005-0000-0000-0000287B0000}"/>
    <cellStyle name="Superscript 2 8 8 6" xfId="28484" xr:uid="{00000000-0005-0000-0000-0000297B0000}"/>
    <cellStyle name="Superscript 2 8 8 6 2" xfId="28485" xr:uid="{00000000-0005-0000-0000-00002A7B0000}"/>
    <cellStyle name="Superscript 2 8 8 7" xfId="28486" xr:uid="{00000000-0005-0000-0000-00002B7B0000}"/>
    <cellStyle name="Superscript 2 8 8 7 2" xfId="28487" xr:uid="{00000000-0005-0000-0000-00002C7B0000}"/>
    <cellStyle name="Superscript 2 8 8 8" xfId="28488" xr:uid="{00000000-0005-0000-0000-00002D7B0000}"/>
    <cellStyle name="Superscript 2 8 8 8 2" xfId="28489" xr:uid="{00000000-0005-0000-0000-00002E7B0000}"/>
    <cellStyle name="Superscript 2 8 8 9" xfId="28490" xr:uid="{00000000-0005-0000-0000-00002F7B0000}"/>
    <cellStyle name="Superscript 2 8 8 9 2" xfId="28491" xr:uid="{00000000-0005-0000-0000-0000307B0000}"/>
    <cellStyle name="Superscript 2 8 9" xfId="28492" xr:uid="{00000000-0005-0000-0000-0000317B0000}"/>
    <cellStyle name="Superscript 2 8 9 10" xfId="28493" xr:uid="{00000000-0005-0000-0000-0000327B0000}"/>
    <cellStyle name="Superscript 2 8 9 2" xfId="28494" xr:uid="{00000000-0005-0000-0000-0000337B0000}"/>
    <cellStyle name="Superscript 2 8 9 2 2" xfId="28495" xr:uid="{00000000-0005-0000-0000-0000347B0000}"/>
    <cellStyle name="Superscript 2 8 9 3" xfId="28496" xr:uid="{00000000-0005-0000-0000-0000357B0000}"/>
    <cellStyle name="Superscript 2 8 9 3 2" xfId="28497" xr:uid="{00000000-0005-0000-0000-0000367B0000}"/>
    <cellStyle name="Superscript 2 8 9 4" xfId="28498" xr:uid="{00000000-0005-0000-0000-0000377B0000}"/>
    <cellStyle name="Superscript 2 8 9 4 2" xfId="28499" xr:uid="{00000000-0005-0000-0000-0000387B0000}"/>
    <cellStyle name="Superscript 2 8 9 5" xfId="28500" xr:uid="{00000000-0005-0000-0000-0000397B0000}"/>
    <cellStyle name="Superscript 2 8 9 5 2" xfId="28501" xr:uid="{00000000-0005-0000-0000-00003A7B0000}"/>
    <cellStyle name="Superscript 2 8 9 6" xfId="28502" xr:uid="{00000000-0005-0000-0000-00003B7B0000}"/>
    <cellStyle name="Superscript 2 8 9 6 2" xfId="28503" xr:uid="{00000000-0005-0000-0000-00003C7B0000}"/>
    <cellStyle name="Superscript 2 8 9 7" xfId="28504" xr:uid="{00000000-0005-0000-0000-00003D7B0000}"/>
    <cellStyle name="Superscript 2 8 9 7 2" xfId="28505" xr:uid="{00000000-0005-0000-0000-00003E7B0000}"/>
    <cellStyle name="Superscript 2 8 9 8" xfId="28506" xr:uid="{00000000-0005-0000-0000-00003F7B0000}"/>
    <cellStyle name="Superscript 2 8 9 8 2" xfId="28507" xr:uid="{00000000-0005-0000-0000-0000407B0000}"/>
    <cellStyle name="Superscript 2 8 9 9" xfId="28508" xr:uid="{00000000-0005-0000-0000-0000417B0000}"/>
    <cellStyle name="Superscript 2 8 9 9 2" xfId="28509" xr:uid="{00000000-0005-0000-0000-0000427B0000}"/>
    <cellStyle name="Superscript 3" xfId="204" xr:uid="{00000000-0005-0000-0000-0000437B0000}"/>
    <cellStyle name="Superscript 3 2" xfId="28510" xr:uid="{00000000-0005-0000-0000-0000447B0000}"/>
    <cellStyle name="Superscript 3 2 10" xfId="28511" xr:uid="{00000000-0005-0000-0000-0000457B0000}"/>
    <cellStyle name="Superscript 3 2 10 10" xfId="28512" xr:uid="{00000000-0005-0000-0000-0000467B0000}"/>
    <cellStyle name="Superscript 3 2 10 2" xfId="28513" xr:uid="{00000000-0005-0000-0000-0000477B0000}"/>
    <cellStyle name="Superscript 3 2 10 2 2" xfId="28514" xr:uid="{00000000-0005-0000-0000-0000487B0000}"/>
    <cellStyle name="Superscript 3 2 10 3" xfId="28515" xr:uid="{00000000-0005-0000-0000-0000497B0000}"/>
    <cellStyle name="Superscript 3 2 10 3 2" xfId="28516" xr:uid="{00000000-0005-0000-0000-00004A7B0000}"/>
    <cellStyle name="Superscript 3 2 10 4" xfId="28517" xr:uid="{00000000-0005-0000-0000-00004B7B0000}"/>
    <cellStyle name="Superscript 3 2 10 4 2" xfId="28518" xr:uid="{00000000-0005-0000-0000-00004C7B0000}"/>
    <cellStyle name="Superscript 3 2 10 5" xfId="28519" xr:uid="{00000000-0005-0000-0000-00004D7B0000}"/>
    <cellStyle name="Superscript 3 2 10 5 2" xfId="28520" xr:uid="{00000000-0005-0000-0000-00004E7B0000}"/>
    <cellStyle name="Superscript 3 2 10 6" xfId="28521" xr:uid="{00000000-0005-0000-0000-00004F7B0000}"/>
    <cellStyle name="Superscript 3 2 10 6 2" xfId="28522" xr:uid="{00000000-0005-0000-0000-0000507B0000}"/>
    <cellStyle name="Superscript 3 2 10 7" xfId="28523" xr:uid="{00000000-0005-0000-0000-0000517B0000}"/>
    <cellStyle name="Superscript 3 2 10 7 2" xfId="28524" xr:uid="{00000000-0005-0000-0000-0000527B0000}"/>
    <cellStyle name="Superscript 3 2 10 8" xfId="28525" xr:uid="{00000000-0005-0000-0000-0000537B0000}"/>
    <cellStyle name="Superscript 3 2 10 8 2" xfId="28526" xr:uid="{00000000-0005-0000-0000-0000547B0000}"/>
    <cellStyle name="Superscript 3 2 10 9" xfId="28527" xr:uid="{00000000-0005-0000-0000-0000557B0000}"/>
    <cellStyle name="Superscript 3 2 10 9 2" xfId="28528" xr:uid="{00000000-0005-0000-0000-0000567B0000}"/>
    <cellStyle name="Superscript 3 2 11" xfId="28529" xr:uid="{00000000-0005-0000-0000-0000577B0000}"/>
    <cellStyle name="Superscript 3 2 11 2" xfId="28530" xr:uid="{00000000-0005-0000-0000-0000587B0000}"/>
    <cellStyle name="Superscript 3 2 11 2 2" xfId="28531" xr:uid="{00000000-0005-0000-0000-0000597B0000}"/>
    <cellStyle name="Superscript 3 2 11 3" xfId="28532" xr:uid="{00000000-0005-0000-0000-00005A7B0000}"/>
    <cellStyle name="Superscript 3 2 11 3 2" xfId="28533" xr:uid="{00000000-0005-0000-0000-00005B7B0000}"/>
    <cellStyle name="Superscript 3 2 11 4" xfId="28534" xr:uid="{00000000-0005-0000-0000-00005C7B0000}"/>
    <cellStyle name="Superscript 3 2 11 4 2" xfId="28535" xr:uid="{00000000-0005-0000-0000-00005D7B0000}"/>
    <cellStyle name="Superscript 3 2 11 5" xfId="28536" xr:uid="{00000000-0005-0000-0000-00005E7B0000}"/>
    <cellStyle name="Superscript 3 2 11 5 2" xfId="28537" xr:uid="{00000000-0005-0000-0000-00005F7B0000}"/>
    <cellStyle name="Superscript 3 2 11 6" xfId="28538" xr:uid="{00000000-0005-0000-0000-0000607B0000}"/>
    <cellStyle name="Superscript 3 2 11 6 2" xfId="28539" xr:uid="{00000000-0005-0000-0000-0000617B0000}"/>
    <cellStyle name="Superscript 3 2 11 7" xfId="28540" xr:uid="{00000000-0005-0000-0000-0000627B0000}"/>
    <cellStyle name="Superscript 3 2 11 7 2" xfId="28541" xr:uid="{00000000-0005-0000-0000-0000637B0000}"/>
    <cellStyle name="Superscript 3 2 11 8" xfId="28542" xr:uid="{00000000-0005-0000-0000-0000647B0000}"/>
    <cellStyle name="Superscript 3 2 11 8 2" xfId="28543" xr:uid="{00000000-0005-0000-0000-0000657B0000}"/>
    <cellStyle name="Superscript 3 2 11 9" xfId="28544" xr:uid="{00000000-0005-0000-0000-0000667B0000}"/>
    <cellStyle name="Superscript 3 2 2" xfId="28545" xr:uid="{00000000-0005-0000-0000-0000677B0000}"/>
    <cellStyle name="Superscript 3 2 2 10" xfId="28546" xr:uid="{00000000-0005-0000-0000-0000687B0000}"/>
    <cellStyle name="Superscript 3 2 2 2" xfId="28547" xr:uid="{00000000-0005-0000-0000-0000697B0000}"/>
    <cellStyle name="Superscript 3 2 2 2 2" xfId="28548" xr:uid="{00000000-0005-0000-0000-00006A7B0000}"/>
    <cellStyle name="Superscript 3 2 2 3" xfId="28549" xr:uid="{00000000-0005-0000-0000-00006B7B0000}"/>
    <cellStyle name="Superscript 3 2 2 3 2" xfId="28550" xr:uid="{00000000-0005-0000-0000-00006C7B0000}"/>
    <cellStyle name="Superscript 3 2 2 4" xfId="28551" xr:uid="{00000000-0005-0000-0000-00006D7B0000}"/>
    <cellStyle name="Superscript 3 2 2 4 2" xfId="28552" xr:uid="{00000000-0005-0000-0000-00006E7B0000}"/>
    <cellStyle name="Superscript 3 2 2 5" xfId="28553" xr:uid="{00000000-0005-0000-0000-00006F7B0000}"/>
    <cellStyle name="Superscript 3 2 2 5 2" xfId="28554" xr:uid="{00000000-0005-0000-0000-0000707B0000}"/>
    <cellStyle name="Superscript 3 2 2 6" xfId="28555" xr:uid="{00000000-0005-0000-0000-0000717B0000}"/>
    <cellStyle name="Superscript 3 2 2 6 2" xfId="28556" xr:uid="{00000000-0005-0000-0000-0000727B0000}"/>
    <cellStyle name="Superscript 3 2 2 7" xfId="28557" xr:uid="{00000000-0005-0000-0000-0000737B0000}"/>
    <cellStyle name="Superscript 3 2 2 7 2" xfId="28558" xr:uid="{00000000-0005-0000-0000-0000747B0000}"/>
    <cellStyle name="Superscript 3 2 2 8" xfId="28559" xr:uid="{00000000-0005-0000-0000-0000757B0000}"/>
    <cellStyle name="Superscript 3 2 2 8 2" xfId="28560" xr:uid="{00000000-0005-0000-0000-0000767B0000}"/>
    <cellStyle name="Superscript 3 2 2 9" xfId="28561" xr:uid="{00000000-0005-0000-0000-0000777B0000}"/>
    <cellStyle name="Superscript 3 2 2 9 2" xfId="28562" xr:uid="{00000000-0005-0000-0000-0000787B0000}"/>
    <cellStyle name="Superscript 3 2 3" xfId="28563" xr:uid="{00000000-0005-0000-0000-0000797B0000}"/>
    <cellStyle name="Superscript 3 2 3 10" xfId="28564" xr:uid="{00000000-0005-0000-0000-00007A7B0000}"/>
    <cellStyle name="Superscript 3 2 3 2" xfId="28565" xr:uid="{00000000-0005-0000-0000-00007B7B0000}"/>
    <cellStyle name="Superscript 3 2 3 2 2" xfId="28566" xr:uid="{00000000-0005-0000-0000-00007C7B0000}"/>
    <cellStyle name="Superscript 3 2 3 3" xfId="28567" xr:uid="{00000000-0005-0000-0000-00007D7B0000}"/>
    <cellStyle name="Superscript 3 2 3 3 2" xfId="28568" xr:uid="{00000000-0005-0000-0000-00007E7B0000}"/>
    <cellStyle name="Superscript 3 2 3 4" xfId="28569" xr:uid="{00000000-0005-0000-0000-00007F7B0000}"/>
    <cellStyle name="Superscript 3 2 3 4 2" xfId="28570" xr:uid="{00000000-0005-0000-0000-0000807B0000}"/>
    <cellStyle name="Superscript 3 2 3 5" xfId="28571" xr:uid="{00000000-0005-0000-0000-0000817B0000}"/>
    <cellStyle name="Superscript 3 2 3 5 2" xfId="28572" xr:uid="{00000000-0005-0000-0000-0000827B0000}"/>
    <cellStyle name="Superscript 3 2 3 6" xfId="28573" xr:uid="{00000000-0005-0000-0000-0000837B0000}"/>
    <cellStyle name="Superscript 3 2 3 6 2" xfId="28574" xr:uid="{00000000-0005-0000-0000-0000847B0000}"/>
    <cellStyle name="Superscript 3 2 3 7" xfId="28575" xr:uid="{00000000-0005-0000-0000-0000857B0000}"/>
    <cellStyle name="Superscript 3 2 3 7 2" xfId="28576" xr:uid="{00000000-0005-0000-0000-0000867B0000}"/>
    <cellStyle name="Superscript 3 2 3 8" xfId="28577" xr:uid="{00000000-0005-0000-0000-0000877B0000}"/>
    <cellStyle name="Superscript 3 2 3 8 2" xfId="28578" xr:uid="{00000000-0005-0000-0000-0000887B0000}"/>
    <cellStyle name="Superscript 3 2 3 9" xfId="28579" xr:uid="{00000000-0005-0000-0000-0000897B0000}"/>
    <cellStyle name="Superscript 3 2 3 9 2" xfId="28580" xr:uid="{00000000-0005-0000-0000-00008A7B0000}"/>
    <cellStyle name="Superscript 3 2 4" xfId="28581" xr:uid="{00000000-0005-0000-0000-00008B7B0000}"/>
    <cellStyle name="Superscript 3 2 4 10" xfId="28582" xr:uid="{00000000-0005-0000-0000-00008C7B0000}"/>
    <cellStyle name="Superscript 3 2 4 2" xfId="28583" xr:uid="{00000000-0005-0000-0000-00008D7B0000}"/>
    <cellStyle name="Superscript 3 2 4 2 2" xfId="28584" xr:uid="{00000000-0005-0000-0000-00008E7B0000}"/>
    <cellStyle name="Superscript 3 2 4 3" xfId="28585" xr:uid="{00000000-0005-0000-0000-00008F7B0000}"/>
    <cellStyle name="Superscript 3 2 4 3 2" xfId="28586" xr:uid="{00000000-0005-0000-0000-0000907B0000}"/>
    <cellStyle name="Superscript 3 2 4 4" xfId="28587" xr:uid="{00000000-0005-0000-0000-0000917B0000}"/>
    <cellStyle name="Superscript 3 2 4 4 2" xfId="28588" xr:uid="{00000000-0005-0000-0000-0000927B0000}"/>
    <cellStyle name="Superscript 3 2 4 5" xfId="28589" xr:uid="{00000000-0005-0000-0000-0000937B0000}"/>
    <cellStyle name="Superscript 3 2 4 5 2" xfId="28590" xr:uid="{00000000-0005-0000-0000-0000947B0000}"/>
    <cellStyle name="Superscript 3 2 4 6" xfId="28591" xr:uid="{00000000-0005-0000-0000-0000957B0000}"/>
    <cellStyle name="Superscript 3 2 4 6 2" xfId="28592" xr:uid="{00000000-0005-0000-0000-0000967B0000}"/>
    <cellStyle name="Superscript 3 2 4 7" xfId="28593" xr:uid="{00000000-0005-0000-0000-0000977B0000}"/>
    <cellStyle name="Superscript 3 2 4 7 2" xfId="28594" xr:uid="{00000000-0005-0000-0000-0000987B0000}"/>
    <cellStyle name="Superscript 3 2 4 8" xfId="28595" xr:uid="{00000000-0005-0000-0000-0000997B0000}"/>
    <cellStyle name="Superscript 3 2 4 8 2" xfId="28596" xr:uid="{00000000-0005-0000-0000-00009A7B0000}"/>
    <cellStyle name="Superscript 3 2 4 9" xfId="28597" xr:uid="{00000000-0005-0000-0000-00009B7B0000}"/>
    <cellStyle name="Superscript 3 2 4 9 2" xfId="28598" xr:uid="{00000000-0005-0000-0000-00009C7B0000}"/>
    <cellStyle name="Superscript 3 2 5" xfId="28599" xr:uid="{00000000-0005-0000-0000-00009D7B0000}"/>
    <cellStyle name="Superscript 3 2 5 10" xfId="28600" xr:uid="{00000000-0005-0000-0000-00009E7B0000}"/>
    <cellStyle name="Superscript 3 2 5 2" xfId="28601" xr:uid="{00000000-0005-0000-0000-00009F7B0000}"/>
    <cellStyle name="Superscript 3 2 5 2 2" xfId="28602" xr:uid="{00000000-0005-0000-0000-0000A07B0000}"/>
    <cellStyle name="Superscript 3 2 5 3" xfId="28603" xr:uid="{00000000-0005-0000-0000-0000A17B0000}"/>
    <cellStyle name="Superscript 3 2 5 3 2" xfId="28604" xr:uid="{00000000-0005-0000-0000-0000A27B0000}"/>
    <cellStyle name="Superscript 3 2 5 4" xfId="28605" xr:uid="{00000000-0005-0000-0000-0000A37B0000}"/>
    <cellStyle name="Superscript 3 2 5 4 2" xfId="28606" xr:uid="{00000000-0005-0000-0000-0000A47B0000}"/>
    <cellStyle name="Superscript 3 2 5 5" xfId="28607" xr:uid="{00000000-0005-0000-0000-0000A57B0000}"/>
    <cellStyle name="Superscript 3 2 5 5 2" xfId="28608" xr:uid="{00000000-0005-0000-0000-0000A67B0000}"/>
    <cellStyle name="Superscript 3 2 5 6" xfId="28609" xr:uid="{00000000-0005-0000-0000-0000A77B0000}"/>
    <cellStyle name="Superscript 3 2 5 6 2" xfId="28610" xr:uid="{00000000-0005-0000-0000-0000A87B0000}"/>
    <cellStyle name="Superscript 3 2 5 7" xfId="28611" xr:uid="{00000000-0005-0000-0000-0000A97B0000}"/>
    <cellStyle name="Superscript 3 2 5 7 2" xfId="28612" xr:uid="{00000000-0005-0000-0000-0000AA7B0000}"/>
    <cellStyle name="Superscript 3 2 5 8" xfId="28613" xr:uid="{00000000-0005-0000-0000-0000AB7B0000}"/>
    <cellStyle name="Superscript 3 2 5 8 2" xfId="28614" xr:uid="{00000000-0005-0000-0000-0000AC7B0000}"/>
    <cellStyle name="Superscript 3 2 5 9" xfId="28615" xr:uid="{00000000-0005-0000-0000-0000AD7B0000}"/>
    <cellStyle name="Superscript 3 2 5 9 2" xfId="28616" xr:uid="{00000000-0005-0000-0000-0000AE7B0000}"/>
    <cellStyle name="Superscript 3 2 6" xfId="28617" xr:uid="{00000000-0005-0000-0000-0000AF7B0000}"/>
    <cellStyle name="Superscript 3 2 6 10" xfId="28618" xr:uid="{00000000-0005-0000-0000-0000B07B0000}"/>
    <cellStyle name="Superscript 3 2 6 2" xfId="28619" xr:uid="{00000000-0005-0000-0000-0000B17B0000}"/>
    <cellStyle name="Superscript 3 2 6 2 2" xfId="28620" xr:uid="{00000000-0005-0000-0000-0000B27B0000}"/>
    <cellStyle name="Superscript 3 2 6 3" xfId="28621" xr:uid="{00000000-0005-0000-0000-0000B37B0000}"/>
    <cellStyle name="Superscript 3 2 6 3 2" xfId="28622" xr:uid="{00000000-0005-0000-0000-0000B47B0000}"/>
    <cellStyle name="Superscript 3 2 6 4" xfId="28623" xr:uid="{00000000-0005-0000-0000-0000B57B0000}"/>
    <cellStyle name="Superscript 3 2 6 4 2" xfId="28624" xr:uid="{00000000-0005-0000-0000-0000B67B0000}"/>
    <cellStyle name="Superscript 3 2 6 5" xfId="28625" xr:uid="{00000000-0005-0000-0000-0000B77B0000}"/>
    <cellStyle name="Superscript 3 2 6 5 2" xfId="28626" xr:uid="{00000000-0005-0000-0000-0000B87B0000}"/>
    <cellStyle name="Superscript 3 2 6 6" xfId="28627" xr:uid="{00000000-0005-0000-0000-0000B97B0000}"/>
    <cellStyle name="Superscript 3 2 6 6 2" xfId="28628" xr:uid="{00000000-0005-0000-0000-0000BA7B0000}"/>
    <cellStyle name="Superscript 3 2 6 7" xfId="28629" xr:uid="{00000000-0005-0000-0000-0000BB7B0000}"/>
    <cellStyle name="Superscript 3 2 6 7 2" xfId="28630" xr:uid="{00000000-0005-0000-0000-0000BC7B0000}"/>
    <cellStyle name="Superscript 3 2 6 8" xfId="28631" xr:uid="{00000000-0005-0000-0000-0000BD7B0000}"/>
    <cellStyle name="Superscript 3 2 6 8 2" xfId="28632" xr:uid="{00000000-0005-0000-0000-0000BE7B0000}"/>
    <cellStyle name="Superscript 3 2 6 9" xfId="28633" xr:uid="{00000000-0005-0000-0000-0000BF7B0000}"/>
    <cellStyle name="Superscript 3 2 6 9 2" xfId="28634" xr:uid="{00000000-0005-0000-0000-0000C07B0000}"/>
    <cellStyle name="Superscript 3 2 7" xfId="28635" xr:uid="{00000000-0005-0000-0000-0000C17B0000}"/>
    <cellStyle name="Superscript 3 2 7 10" xfId="28636" xr:uid="{00000000-0005-0000-0000-0000C27B0000}"/>
    <cellStyle name="Superscript 3 2 7 2" xfId="28637" xr:uid="{00000000-0005-0000-0000-0000C37B0000}"/>
    <cellStyle name="Superscript 3 2 7 2 2" xfId="28638" xr:uid="{00000000-0005-0000-0000-0000C47B0000}"/>
    <cellStyle name="Superscript 3 2 7 3" xfId="28639" xr:uid="{00000000-0005-0000-0000-0000C57B0000}"/>
    <cellStyle name="Superscript 3 2 7 3 2" xfId="28640" xr:uid="{00000000-0005-0000-0000-0000C67B0000}"/>
    <cellStyle name="Superscript 3 2 7 4" xfId="28641" xr:uid="{00000000-0005-0000-0000-0000C77B0000}"/>
    <cellStyle name="Superscript 3 2 7 4 2" xfId="28642" xr:uid="{00000000-0005-0000-0000-0000C87B0000}"/>
    <cellStyle name="Superscript 3 2 7 5" xfId="28643" xr:uid="{00000000-0005-0000-0000-0000C97B0000}"/>
    <cellStyle name="Superscript 3 2 7 5 2" xfId="28644" xr:uid="{00000000-0005-0000-0000-0000CA7B0000}"/>
    <cellStyle name="Superscript 3 2 7 6" xfId="28645" xr:uid="{00000000-0005-0000-0000-0000CB7B0000}"/>
    <cellStyle name="Superscript 3 2 7 6 2" xfId="28646" xr:uid="{00000000-0005-0000-0000-0000CC7B0000}"/>
    <cellStyle name="Superscript 3 2 7 7" xfId="28647" xr:uid="{00000000-0005-0000-0000-0000CD7B0000}"/>
    <cellStyle name="Superscript 3 2 7 7 2" xfId="28648" xr:uid="{00000000-0005-0000-0000-0000CE7B0000}"/>
    <cellStyle name="Superscript 3 2 7 8" xfId="28649" xr:uid="{00000000-0005-0000-0000-0000CF7B0000}"/>
    <cellStyle name="Superscript 3 2 7 8 2" xfId="28650" xr:uid="{00000000-0005-0000-0000-0000D07B0000}"/>
    <cellStyle name="Superscript 3 2 7 9" xfId="28651" xr:uid="{00000000-0005-0000-0000-0000D17B0000}"/>
    <cellStyle name="Superscript 3 2 7 9 2" xfId="28652" xr:uid="{00000000-0005-0000-0000-0000D27B0000}"/>
    <cellStyle name="Superscript 3 2 8" xfId="28653" xr:uid="{00000000-0005-0000-0000-0000D37B0000}"/>
    <cellStyle name="Superscript 3 2 8 10" xfId="28654" xr:uid="{00000000-0005-0000-0000-0000D47B0000}"/>
    <cellStyle name="Superscript 3 2 8 2" xfId="28655" xr:uid="{00000000-0005-0000-0000-0000D57B0000}"/>
    <cellStyle name="Superscript 3 2 8 2 2" xfId="28656" xr:uid="{00000000-0005-0000-0000-0000D67B0000}"/>
    <cellStyle name="Superscript 3 2 8 3" xfId="28657" xr:uid="{00000000-0005-0000-0000-0000D77B0000}"/>
    <cellStyle name="Superscript 3 2 8 3 2" xfId="28658" xr:uid="{00000000-0005-0000-0000-0000D87B0000}"/>
    <cellStyle name="Superscript 3 2 8 4" xfId="28659" xr:uid="{00000000-0005-0000-0000-0000D97B0000}"/>
    <cellStyle name="Superscript 3 2 8 4 2" xfId="28660" xr:uid="{00000000-0005-0000-0000-0000DA7B0000}"/>
    <cellStyle name="Superscript 3 2 8 5" xfId="28661" xr:uid="{00000000-0005-0000-0000-0000DB7B0000}"/>
    <cellStyle name="Superscript 3 2 8 5 2" xfId="28662" xr:uid="{00000000-0005-0000-0000-0000DC7B0000}"/>
    <cellStyle name="Superscript 3 2 8 6" xfId="28663" xr:uid="{00000000-0005-0000-0000-0000DD7B0000}"/>
    <cellStyle name="Superscript 3 2 8 6 2" xfId="28664" xr:uid="{00000000-0005-0000-0000-0000DE7B0000}"/>
    <cellStyle name="Superscript 3 2 8 7" xfId="28665" xr:uid="{00000000-0005-0000-0000-0000DF7B0000}"/>
    <cellStyle name="Superscript 3 2 8 7 2" xfId="28666" xr:uid="{00000000-0005-0000-0000-0000E07B0000}"/>
    <cellStyle name="Superscript 3 2 8 8" xfId="28667" xr:uid="{00000000-0005-0000-0000-0000E17B0000}"/>
    <cellStyle name="Superscript 3 2 8 8 2" xfId="28668" xr:uid="{00000000-0005-0000-0000-0000E27B0000}"/>
    <cellStyle name="Superscript 3 2 8 9" xfId="28669" xr:uid="{00000000-0005-0000-0000-0000E37B0000}"/>
    <cellStyle name="Superscript 3 2 8 9 2" xfId="28670" xr:uid="{00000000-0005-0000-0000-0000E47B0000}"/>
    <cellStyle name="Superscript 3 2 9" xfId="28671" xr:uid="{00000000-0005-0000-0000-0000E57B0000}"/>
    <cellStyle name="Superscript 3 2 9 10" xfId="28672" xr:uid="{00000000-0005-0000-0000-0000E67B0000}"/>
    <cellStyle name="Superscript 3 2 9 2" xfId="28673" xr:uid="{00000000-0005-0000-0000-0000E77B0000}"/>
    <cellStyle name="Superscript 3 2 9 2 2" xfId="28674" xr:uid="{00000000-0005-0000-0000-0000E87B0000}"/>
    <cellStyle name="Superscript 3 2 9 3" xfId="28675" xr:uid="{00000000-0005-0000-0000-0000E97B0000}"/>
    <cellStyle name="Superscript 3 2 9 3 2" xfId="28676" xr:uid="{00000000-0005-0000-0000-0000EA7B0000}"/>
    <cellStyle name="Superscript 3 2 9 4" xfId="28677" xr:uid="{00000000-0005-0000-0000-0000EB7B0000}"/>
    <cellStyle name="Superscript 3 2 9 4 2" xfId="28678" xr:uid="{00000000-0005-0000-0000-0000EC7B0000}"/>
    <cellStyle name="Superscript 3 2 9 5" xfId="28679" xr:uid="{00000000-0005-0000-0000-0000ED7B0000}"/>
    <cellStyle name="Superscript 3 2 9 5 2" xfId="28680" xr:uid="{00000000-0005-0000-0000-0000EE7B0000}"/>
    <cellStyle name="Superscript 3 2 9 6" xfId="28681" xr:uid="{00000000-0005-0000-0000-0000EF7B0000}"/>
    <cellStyle name="Superscript 3 2 9 6 2" xfId="28682" xr:uid="{00000000-0005-0000-0000-0000F07B0000}"/>
    <cellStyle name="Superscript 3 2 9 7" xfId="28683" xr:uid="{00000000-0005-0000-0000-0000F17B0000}"/>
    <cellStyle name="Superscript 3 2 9 7 2" xfId="28684" xr:uid="{00000000-0005-0000-0000-0000F27B0000}"/>
    <cellStyle name="Superscript 3 2 9 8" xfId="28685" xr:uid="{00000000-0005-0000-0000-0000F37B0000}"/>
    <cellStyle name="Superscript 3 2 9 8 2" xfId="28686" xr:uid="{00000000-0005-0000-0000-0000F47B0000}"/>
    <cellStyle name="Superscript 3 2 9 9" xfId="28687" xr:uid="{00000000-0005-0000-0000-0000F57B0000}"/>
    <cellStyle name="Superscript 3 2 9 9 2" xfId="28688" xr:uid="{00000000-0005-0000-0000-0000F67B0000}"/>
    <cellStyle name="Superscript 3 3" xfId="28689" xr:uid="{00000000-0005-0000-0000-0000F77B0000}"/>
    <cellStyle name="Superscript 3 3 10" xfId="28690" xr:uid="{00000000-0005-0000-0000-0000F87B0000}"/>
    <cellStyle name="Superscript 3 3 10 10" xfId="28691" xr:uid="{00000000-0005-0000-0000-0000F97B0000}"/>
    <cellStyle name="Superscript 3 3 10 2" xfId="28692" xr:uid="{00000000-0005-0000-0000-0000FA7B0000}"/>
    <cellStyle name="Superscript 3 3 10 2 2" xfId="28693" xr:uid="{00000000-0005-0000-0000-0000FB7B0000}"/>
    <cellStyle name="Superscript 3 3 10 3" xfId="28694" xr:uid="{00000000-0005-0000-0000-0000FC7B0000}"/>
    <cellStyle name="Superscript 3 3 10 3 2" xfId="28695" xr:uid="{00000000-0005-0000-0000-0000FD7B0000}"/>
    <cellStyle name="Superscript 3 3 10 4" xfId="28696" xr:uid="{00000000-0005-0000-0000-0000FE7B0000}"/>
    <cellStyle name="Superscript 3 3 10 4 2" xfId="28697" xr:uid="{00000000-0005-0000-0000-0000FF7B0000}"/>
    <cellStyle name="Superscript 3 3 10 5" xfId="28698" xr:uid="{00000000-0005-0000-0000-0000007C0000}"/>
    <cellStyle name="Superscript 3 3 10 5 2" xfId="28699" xr:uid="{00000000-0005-0000-0000-0000017C0000}"/>
    <cellStyle name="Superscript 3 3 10 6" xfId="28700" xr:uid="{00000000-0005-0000-0000-0000027C0000}"/>
    <cellStyle name="Superscript 3 3 10 6 2" xfId="28701" xr:uid="{00000000-0005-0000-0000-0000037C0000}"/>
    <cellStyle name="Superscript 3 3 10 7" xfId="28702" xr:uid="{00000000-0005-0000-0000-0000047C0000}"/>
    <cellStyle name="Superscript 3 3 10 7 2" xfId="28703" xr:uid="{00000000-0005-0000-0000-0000057C0000}"/>
    <cellStyle name="Superscript 3 3 10 8" xfId="28704" xr:uid="{00000000-0005-0000-0000-0000067C0000}"/>
    <cellStyle name="Superscript 3 3 10 8 2" xfId="28705" xr:uid="{00000000-0005-0000-0000-0000077C0000}"/>
    <cellStyle name="Superscript 3 3 10 9" xfId="28706" xr:uid="{00000000-0005-0000-0000-0000087C0000}"/>
    <cellStyle name="Superscript 3 3 10 9 2" xfId="28707" xr:uid="{00000000-0005-0000-0000-0000097C0000}"/>
    <cellStyle name="Superscript 3 3 11" xfId="28708" xr:uid="{00000000-0005-0000-0000-00000A7C0000}"/>
    <cellStyle name="Superscript 3 3 11 2" xfId="28709" xr:uid="{00000000-0005-0000-0000-00000B7C0000}"/>
    <cellStyle name="Superscript 3 3 11 2 2" xfId="28710" xr:uid="{00000000-0005-0000-0000-00000C7C0000}"/>
    <cellStyle name="Superscript 3 3 11 3" xfId="28711" xr:uid="{00000000-0005-0000-0000-00000D7C0000}"/>
    <cellStyle name="Superscript 3 3 11 3 2" xfId="28712" xr:uid="{00000000-0005-0000-0000-00000E7C0000}"/>
    <cellStyle name="Superscript 3 3 11 4" xfId="28713" xr:uid="{00000000-0005-0000-0000-00000F7C0000}"/>
    <cellStyle name="Superscript 3 3 11 4 2" xfId="28714" xr:uid="{00000000-0005-0000-0000-0000107C0000}"/>
    <cellStyle name="Superscript 3 3 11 5" xfId="28715" xr:uid="{00000000-0005-0000-0000-0000117C0000}"/>
    <cellStyle name="Superscript 3 3 11 5 2" xfId="28716" xr:uid="{00000000-0005-0000-0000-0000127C0000}"/>
    <cellStyle name="Superscript 3 3 11 6" xfId="28717" xr:uid="{00000000-0005-0000-0000-0000137C0000}"/>
    <cellStyle name="Superscript 3 3 11 6 2" xfId="28718" xr:uid="{00000000-0005-0000-0000-0000147C0000}"/>
    <cellStyle name="Superscript 3 3 11 7" xfId="28719" xr:uid="{00000000-0005-0000-0000-0000157C0000}"/>
    <cellStyle name="Superscript 3 3 11 7 2" xfId="28720" xr:uid="{00000000-0005-0000-0000-0000167C0000}"/>
    <cellStyle name="Superscript 3 3 11 8" xfId="28721" xr:uid="{00000000-0005-0000-0000-0000177C0000}"/>
    <cellStyle name="Superscript 3 3 11 8 2" xfId="28722" xr:uid="{00000000-0005-0000-0000-0000187C0000}"/>
    <cellStyle name="Superscript 3 3 11 9" xfId="28723" xr:uid="{00000000-0005-0000-0000-0000197C0000}"/>
    <cellStyle name="Superscript 3 3 2" xfId="28724" xr:uid="{00000000-0005-0000-0000-00001A7C0000}"/>
    <cellStyle name="Superscript 3 3 2 10" xfId="28725" xr:uid="{00000000-0005-0000-0000-00001B7C0000}"/>
    <cellStyle name="Superscript 3 3 2 2" xfId="28726" xr:uid="{00000000-0005-0000-0000-00001C7C0000}"/>
    <cellStyle name="Superscript 3 3 2 2 2" xfId="28727" xr:uid="{00000000-0005-0000-0000-00001D7C0000}"/>
    <cellStyle name="Superscript 3 3 2 3" xfId="28728" xr:uid="{00000000-0005-0000-0000-00001E7C0000}"/>
    <cellStyle name="Superscript 3 3 2 3 2" xfId="28729" xr:uid="{00000000-0005-0000-0000-00001F7C0000}"/>
    <cellStyle name="Superscript 3 3 2 4" xfId="28730" xr:uid="{00000000-0005-0000-0000-0000207C0000}"/>
    <cellStyle name="Superscript 3 3 2 4 2" xfId="28731" xr:uid="{00000000-0005-0000-0000-0000217C0000}"/>
    <cellStyle name="Superscript 3 3 2 5" xfId="28732" xr:uid="{00000000-0005-0000-0000-0000227C0000}"/>
    <cellStyle name="Superscript 3 3 2 5 2" xfId="28733" xr:uid="{00000000-0005-0000-0000-0000237C0000}"/>
    <cellStyle name="Superscript 3 3 2 6" xfId="28734" xr:uid="{00000000-0005-0000-0000-0000247C0000}"/>
    <cellStyle name="Superscript 3 3 2 6 2" xfId="28735" xr:uid="{00000000-0005-0000-0000-0000257C0000}"/>
    <cellStyle name="Superscript 3 3 2 7" xfId="28736" xr:uid="{00000000-0005-0000-0000-0000267C0000}"/>
    <cellStyle name="Superscript 3 3 2 7 2" xfId="28737" xr:uid="{00000000-0005-0000-0000-0000277C0000}"/>
    <cellStyle name="Superscript 3 3 2 8" xfId="28738" xr:uid="{00000000-0005-0000-0000-0000287C0000}"/>
    <cellStyle name="Superscript 3 3 2 8 2" xfId="28739" xr:uid="{00000000-0005-0000-0000-0000297C0000}"/>
    <cellStyle name="Superscript 3 3 2 9" xfId="28740" xr:uid="{00000000-0005-0000-0000-00002A7C0000}"/>
    <cellStyle name="Superscript 3 3 2 9 2" xfId="28741" xr:uid="{00000000-0005-0000-0000-00002B7C0000}"/>
    <cellStyle name="Superscript 3 3 3" xfId="28742" xr:uid="{00000000-0005-0000-0000-00002C7C0000}"/>
    <cellStyle name="Superscript 3 3 3 10" xfId="28743" xr:uid="{00000000-0005-0000-0000-00002D7C0000}"/>
    <cellStyle name="Superscript 3 3 3 2" xfId="28744" xr:uid="{00000000-0005-0000-0000-00002E7C0000}"/>
    <cellStyle name="Superscript 3 3 3 2 2" xfId="28745" xr:uid="{00000000-0005-0000-0000-00002F7C0000}"/>
    <cellStyle name="Superscript 3 3 3 3" xfId="28746" xr:uid="{00000000-0005-0000-0000-0000307C0000}"/>
    <cellStyle name="Superscript 3 3 3 3 2" xfId="28747" xr:uid="{00000000-0005-0000-0000-0000317C0000}"/>
    <cellStyle name="Superscript 3 3 3 4" xfId="28748" xr:uid="{00000000-0005-0000-0000-0000327C0000}"/>
    <cellStyle name="Superscript 3 3 3 4 2" xfId="28749" xr:uid="{00000000-0005-0000-0000-0000337C0000}"/>
    <cellStyle name="Superscript 3 3 3 5" xfId="28750" xr:uid="{00000000-0005-0000-0000-0000347C0000}"/>
    <cellStyle name="Superscript 3 3 3 5 2" xfId="28751" xr:uid="{00000000-0005-0000-0000-0000357C0000}"/>
    <cellStyle name="Superscript 3 3 3 6" xfId="28752" xr:uid="{00000000-0005-0000-0000-0000367C0000}"/>
    <cellStyle name="Superscript 3 3 3 6 2" xfId="28753" xr:uid="{00000000-0005-0000-0000-0000377C0000}"/>
    <cellStyle name="Superscript 3 3 3 7" xfId="28754" xr:uid="{00000000-0005-0000-0000-0000387C0000}"/>
    <cellStyle name="Superscript 3 3 3 7 2" xfId="28755" xr:uid="{00000000-0005-0000-0000-0000397C0000}"/>
    <cellStyle name="Superscript 3 3 3 8" xfId="28756" xr:uid="{00000000-0005-0000-0000-00003A7C0000}"/>
    <cellStyle name="Superscript 3 3 3 8 2" xfId="28757" xr:uid="{00000000-0005-0000-0000-00003B7C0000}"/>
    <cellStyle name="Superscript 3 3 3 9" xfId="28758" xr:uid="{00000000-0005-0000-0000-00003C7C0000}"/>
    <cellStyle name="Superscript 3 3 3 9 2" xfId="28759" xr:uid="{00000000-0005-0000-0000-00003D7C0000}"/>
    <cellStyle name="Superscript 3 3 4" xfId="28760" xr:uid="{00000000-0005-0000-0000-00003E7C0000}"/>
    <cellStyle name="Superscript 3 3 4 10" xfId="28761" xr:uid="{00000000-0005-0000-0000-00003F7C0000}"/>
    <cellStyle name="Superscript 3 3 4 2" xfId="28762" xr:uid="{00000000-0005-0000-0000-0000407C0000}"/>
    <cellStyle name="Superscript 3 3 4 2 2" xfId="28763" xr:uid="{00000000-0005-0000-0000-0000417C0000}"/>
    <cellStyle name="Superscript 3 3 4 3" xfId="28764" xr:uid="{00000000-0005-0000-0000-0000427C0000}"/>
    <cellStyle name="Superscript 3 3 4 3 2" xfId="28765" xr:uid="{00000000-0005-0000-0000-0000437C0000}"/>
    <cellStyle name="Superscript 3 3 4 4" xfId="28766" xr:uid="{00000000-0005-0000-0000-0000447C0000}"/>
    <cellStyle name="Superscript 3 3 4 4 2" xfId="28767" xr:uid="{00000000-0005-0000-0000-0000457C0000}"/>
    <cellStyle name="Superscript 3 3 4 5" xfId="28768" xr:uid="{00000000-0005-0000-0000-0000467C0000}"/>
    <cellStyle name="Superscript 3 3 4 5 2" xfId="28769" xr:uid="{00000000-0005-0000-0000-0000477C0000}"/>
    <cellStyle name="Superscript 3 3 4 6" xfId="28770" xr:uid="{00000000-0005-0000-0000-0000487C0000}"/>
    <cellStyle name="Superscript 3 3 4 6 2" xfId="28771" xr:uid="{00000000-0005-0000-0000-0000497C0000}"/>
    <cellStyle name="Superscript 3 3 4 7" xfId="28772" xr:uid="{00000000-0005-0000-0000-00004A7C0000}"/>
    <cellStyle name="Superscript 3 3 4 7 2" xfId="28773" xr:uid="{00000000-0005-0000-0000-00004B7C0000}"/>
    <cellStyle name="Superscript 3 3 4 8" xfId="28774" xr:uid="{00000000-0005-0000-0000-00004C7C0000}"/>
    <cellStyle name="Superscript 3 3 4 8 2" xfId="28775" xr:uid="{00000000-0005-0000-0000-00004D7C0000}"/>
    <cellStyle name="Superscript 3 3 4 9" xfId="28776" xr:uid="{00000000-0005-0000-0000-00004E7C0000}"/>
    <cellStyle name="Superscript 3 3 4 9 2" xfId="28777" xr:uid="{00000000-0005-0000-0000-00004F7C0000}"/>
    <cellStyle name="Superscript 3 3 5" xfId="28778" xr:uid="{00000000-0005-0000-0000-0000507C0000}"/>
    <cellStyle name="Superscript 3 3 5 10" xfId="28779" xr:uid="{00000000-0005-0000-0000-0000517C0000}"/>
    <cellStyle name="Superscript 3 3 5 2" xfId="28780" xr:uid="{00000000-0005-0000-0000-0000527C0000}"/>
    <cellStyle name="Superscript 3 3 5 2 2" xfId="28781" xr:uid="{00000000-0005-0000-0000-0000537C0000}"/>
    <cellStyle name="Superscript 3 3 5 3" xfId="28782" xr:uid="{00000000-0005-0000-0000-0000547C0000}"/>
    <cellStyle name="Superscript 3 3 5 3 2" xfId="28783" xr:uid="{00000000-0005-0000-0000-0000557C0000}"/>
    <cellStyle name="Superscript 3 3 5 4" xfId="28784" xr:uid="{00000000-0005-0000-0000-0000567C0000}"/>
    <cellStyle name="Superscript 3 3 5 4 2" xfId="28785" xr:uid="{00000000-0005-0000-0000-0000577C0000}"/>
    <cellStyle name="Superscript 3 3 5 5" xfId="28786" xr:uid="{00000000-0005-0000-0000-0000587C0000}"/>
    <cellStyle name="Superscript 3 3 5 5 2" xfId="28787" xr:uid="{00000000-0005-0000-0000-0000597C0000}"/>
    <cellStyle name="Superscript 3 3 5 6" xfId="28788" xr:uid="{00000000-0005-0000-0000-00005A7C0000}"/>
    <cellStyle name="Superscript 3 3 5 6 2" xfId="28789" xr:uid="{00000000-0005-0000-0000-00005B7C0000}"/>
    <cellStyle name="Superscript 3 3 5 7" xfId="28790" xr:uid="{00000000-0005-0000-0000-00005C7C0000}"/>
    <cellStyle name="Superscript 3 3 5 7 2" xfId="28791" xr:uid="{00000000-0005-0000-0000-00005D7C0000}"/>
    <cellStyle name="Superscript 3 3 5 8" xfId="28792" xr:uid="{00000000-0005-0000-0000-00005E7C0000}"/>
    <cellStyle name="Superscript 3 3 5 8 2" xfId="28793" xr:uid="{00000000-0005-0000-0000-00005F7C0000}"/>
    <cellStyle name="Superscript 3 3 5 9" xfId="28794" xr:uid="{00000000-0005-0000-0000-0000607C0000}"/>
    <cellStyle name="Superscript 3 3 5 9 2" xfId="28795" xr:uid="{00000000-0005-0000-0000-0000617C0000}"/>
    <cellStyle name="Superscript 3 3 6" xfId="28796" xr:uid="{00000000-0005-0000-0000-0000627C0000}"/>
    <cellStyle name="Superscript 3 3 6 10" xfId="28797" xr:uid="{00000000-0005-0000-0000-0000637C0000}"/>
    <cellStyle name="Superscript 3 3 6 2" xfId="28798" xr:uid="{00000000-0005-0000-0000-0000647C0000}"/>
    <cellStyle name="Superscript 3 3 6 2 2" xfId="28799" xr:uid="{00000000-0005-0000-0000-0000657C0000}"/>
    <cellStyle name="Superscript 3 3 6 3" xfId="28800" xr:uid="{00000000-0005-0000-0000-0000667C0000}"/>
    <cellStyle name="Superscript 3 3 6 3 2" xfId="28801" xr:uid="{00000000-0005-0000-0000-0000677C0000}"/>
    <cellStyle name="Superscript 3 3 6 4" xfId="28802" xr:uid="{00000000-0005-0000-0000-0000687C0000}"/>
    <cellStyle name="Superscript 3 3 6 4 2" xfId="28803" xr:uid="{00000000-0005-0000-0000-0000697C0000}"/>
    <cellStyle name="Superscript 3 3 6 5" xfId="28804" xr:uid="{00000000-0005-0000-0000-00006A7C0000}"/>
    <cellStyle name="Superscript 3 3 6 5 2" xfId="28805" xr:uid="{00000000-0005-0000-0000-00006B7C0000}"/>
    <cellStyle name="Superscript 3 3 6 6" xfId="28806" xr:uid="{00000000-0005-0000-0000-00006C7C0000}"/>
    <cellStyle name="Superscript 3 3 6 6 2" xfId="28807" xr:uid="{00000000-0005-0000-0000-00006D7C0000}"/>
    <cellStyle name="Superscript 3 3 6 7" xfId="28808" xr:uid="{00000000-0005-0000-0000-00006E7C0000}"/>
    <cellStyle name="Superscript 3 3 6 7 2" xfId="28809" xr:uid="{00000000-0005-0000-0000-00006F7C0000}"/>
    <cellStyle name="Superscript 3 3 6 8" xfId="28810" xr:uid="{00000000-0005-0000-0000-0000707C0000}"/>
    <cellStyle name="Superscript 3 3 6 8 2" xfId="28811" xr:uid="{00000000-0005-0000-0000-0000717C0000}"/>
    <cellStyle name="Superscript 3 3 6 9" xfId="28812" xr:uid="{00000000-0005-0000-0000-0000727C0000}"/>
    <cellStyle name="Superscript 3 3 6 9 2" xfId="28813" xr:uid="{00000000-0005-0000-0000-0000737C0000}"/>
    <cellStyle name="Superscript 3 3 7" xfId="28814" xr:uid="{00000000-0005-0000-0000-0000747C0000}"/>
    <cellStyle name="Superscript 3 3 7 10" xfId="28815" xr:uid="{00000000-0005-0000-0000-0000757C0000}"/>
    <cellStyle name="Superscript 3 3 7 2" xfId="28816" xr:uid="{00000000-0005-0000-0000-0000767C0000}"/>
    <cellStyle name="Superscript 3 3 7 2 2" xfId="28817" xr:uid="{00000000-0005-0000-0000-0000777C0000}"/>
    <cellStyle name="Superscript 3 3 7 3" xfId="28818" xr:uid="{00000000-0005-0000-0000-0000787C0000}"/>
    <cellStyle name="Superscript 3 3 7 3 2" xfId="28819" xr:uid="{00000000-0005-0000-0000-0000797C0000}"/>
    <cellStyle name="Superscript 3 3 7 4" xfId="28820" xr:uid="{00000000-0005-0000-0000-00007A7C0000}"/>
    <cellStyle name="Superscript 3 3 7 4 2" xfId="28821" xr:uid="{00000000-0005-0000-0000-00007B7C0000}"/>
    <cellStyle name="Superscript 3 3 7 5" xfId="28822" xr:uid="{00000000-0005-0000-0000-00007C7C0000}"/>
    <cellStyle name="Superscript 3 3 7 5 2" xfId="28823" xr:uid="{00000000-0005-0000-0000-00007D7C0000}"/>
    <cellStyle name="Superscript 3 3 7 6" xfId="28824" xr:uid="{00000000-0005-0000-0000-00007E7C0000}"/>
    <cellStyle name="Superscript 3 3 7 6 2" xfId="28825" xr:uid="{00000000-0005-0000-0000-00007F7C0000}"/>
    <cellStyle name="Superscript 3 3 7 7" xfId="28826" xr:uid="{00000000-0005-0000-0000-0000807C0000}"/>
    <cellStyle name="Superscript 3 3 7 7 2" xfId="28827" xr:uid="{00000000-0005-0000-0000-0000817C0000}"/>
    <cellStyle name="Superscript 3 3 7 8" xfId="28828" xr:uid="{00000000-0005-0000-0000-0000827C0000}"/>
    <cellStyle name="Superscript 3 3 7 8 2" xfId="28829" xr:uid="{00000000-0005-0000-0000-0000837C0000}"/>
    <cellStyle name="Superscript 3 3 7 9" xfId="28830" xr:uid="{00000000-0005-0000-0000-0000847C0000}"/>
    <cellStyle name="Superscript 3 3 7 9 2" xfId="28831" xr:uid="{00000000-0005-0000-0000-0000857C0000}"/>
    <cellStyle name="Superscript 3 3 8" xfId="28832" xr:uid="{00000000-0005-0000-0000-0000867C0000}"/>
    <cellStyle name="Superscript 3 3 8 10" xfId="28833" xr:uid="{00000000-0005-0000-0000-0000877C0000}"/>
    <cellStyle name="Superscript 3 3 8 2" xfId="28834" xr:uid="{00000000-0005-0000-0000-0000887C0000}"/>
    <cellStyle name="Superscript 3 3 8 2 2" xfId="28835" xr:uid="{00000000-0005-0000-0000-0000897C0000}"/>
    <cellStyle name="Superscript 3 3 8 3" xfId="28836" xr:uid="{00000000-0005-0000-0000-00008A7C0000}"/>
    <cellStyle name="Superscript 3 3 8 3 2" xfId="28837" xr:uid="{00000000-0005-0000-0000-00008B7C0000}"/>
    <cellStyle name="Superscript 3 3 8 4" xfId="28838" xr:uid="{00000000-0005-0000-0000-00008C7C0000}"/>
    <cellStyle name="Superscript 3 3 8 4 2" xfId="28839" xr:uid="{00000000-0005-0000-0000-00008D7C0000}"/>
    <cellStyle name="Superscript 3 3 8 5" xfId="28840" xr:uid="{00000000-0005-0000-0000-00008E7C0000}"/>
    <cellStyle name="Superscript 3 3 8 5 2" xfId="28841" xr:uid="{00000000-0005-0000-0000-00008F7C0000}"/>
    <cellStyle name="Superscript 3 3 8 6" xfId="28842" xr:uid="{00000000-0005-0000-0000-0000907C0000}"/>
    <cellStyle name="Superscript 3 3 8 6 2" xfId="28843" xr:uid="{00000000-0005-0000-0000-0000917C0000}"/>
    <cellStyle name="Superscript 3 3 8 7" xfId="28844" xr:uid="{00000000-0005-0000-0000-0000927C0000}"/>
    <cellStyle name="Superscript 3 3 8 7 2" xfId="28845" xr:uid="{00000000-0005-0000-0000-0000937C0000}"/>
    <cellStyle name="Superscript 3 3 8 8" xfId="28846" xr:uid="{00000000-0005-0000-0000-0000947C0000}"/>
    <cellStyle name="Superscript 3 3 8 8 2" xfId="28847" xr:uid="{00000000-0005-0000-0000-0000957C0000}"/>
    <cellStyle name="Superscript 3 3 8 9" xfId="28848" xr:uid="{00000000-0005-0000-0000-0000967C0000}"/>
    <cellStyle name="Superscript 3 3 8 9 2" xfId="28849" xr:uid="{00000000-0005-0000-0000-0000977C0000}"/>
    <cellStyle name="Superscript 3 3 9" xfId="28850" xr:uid="{00000000-0005-0000-0000-0000987C0000}"/>
    <cellStyle name="Superscript 3 3 9 10" xfId="28851" xr:uid="{00000000-0005-0000-0000-0000997C0000}"/>
    <cellStyle name="Superscript 3 3 9 2" xfId="28852" xr:uid="{00000000-0005-0000-0000-00009A7C0000}"/>
    <cellStyle name="Superscript 3 3 9 2 2" xfId="28853" xr:uid="{00000000-0005-0000-0000-00009B7C0000}"/>
    <cellStyle name="Superscript 3 3 9 3" xfId="28854" xr:uid="{00000000-0005-0000-0000-00009C7C0000}"/>
    <cellStyle name="Superscript 3 3 9 3 2" xfId="28855" xr:uid="{00000000-0005-0000-0000-00009D7C0000}"/>
    <cellStyle name="Superscript 3 3 9 4" xfId="28856" xr:uid="{00000000-0005-0000-0000-00009E7C0000}"/>
    <cellStyle name="Superscript 3 3 9 4 2" xfId="28857" xr:uid="{00000000-0005-0000-0000-00009F7C0000}"/>
    <cellStyle name="Superscript 3 3 9 5" xfId="28858" xr:uid="{00000000-0005-0000-0000-0000A07C0000}"/>
    <cellStyle name="Superscript 3 3 9 5 2" xfId="28859" xr:uid="{00000000-0005-0000-0000-0000A17C0000}"/>
    <cellStyle name="Superscript 3 3 9 6" xfId="28860" xr:uid="{00000000-0005-0000-0000-0000A27C0000}"/>
    <cellStyle name="Superscript 3 3 9 6 2" xfId="28861" xr:uid="{00000000-0005-0000-0000-0000A37C0000}"/>
    <cellStyle name="Superscript 3 3 9 7" xfId="28862" xr:uid="{00000000-0005-0000-0000-0000A47C0000}"/>
    <cellStyle name="Superscript 3 3 9 7 2" xfId="28863" xr:uid="{00000000-0005-0000-0000-0000A57C0000}"/>
    <cellStyle name="Superscript 3 3 9 8" xfId="28864" xr:uid="{00000000-0005-0000-0000-0000A67C0000}"/>
    <cellStyle name="Superscript 3 3 9 8 2" xfId="28865" xr:uid="{00000000-0005-0000-0000-0000A77C0000}"/>
    <cellStyle name="Superscript 3 3 9 9" xfId="28866" xr:uid="{00000000-0005-0000-0000-0000A87C0000}"/>
    <cellStyle name="Superscript 3 3 9 9 2" xfId="28867" xr:uid="{00000000-0005-0000-0000-0000A97C0000}"/>
    <cellStyle name="Superscript 3 4" xfId="28868" xr:uid="{00000000-0005-0000-0000-0000AA7C0000}"/>
    <cellStyle name="Superscript 3 4 10" xfId="28869" xr:uid="{00000000-0005-0000-0000-0000AB7C0000}"/>
    <cellStyle name="Superscript 3 4 10 2" xfId="28870" xr:uid="{00000000-0005-0000-0000-0000AC7C0000}"/>
    <cellStyle name="Superscript 3 4 10 2 2" xfId="28871" xr:uid="{00000000-0005-0000-0000-0000AD7C0000}"/>
    <cellStyle name="Superscript 3 4 10 3" xfId="28872" xr:uid="{00000000-0005-0000-0000-0000AE7C0000}"/>
    <cellStyle name="Superscript 3 4 10 3 2" xfId="28873" xr:uid="{00000000-0005-0000-0000-0000AF7C0000}"/>
    <cellStyle name="Superscript 3 4 10 4" xfId="28874" xr:uid="{00000000-0005-0000-0000-0000B07C0000}"/>
    <cellStyle name="Superscript 3 4 10 4 2" xfId="28875" xr:uid="{00000000-0005-0000-0000-0000B17C0000}"/>
    <cellStyle name="Superscript 3 4 10 5" xfId="28876" xr:uid="{00000000-0005-0000-0000-0000B27C0000}"/>
    <cellStyle name="Superscript 3 4 10 5 2" xfId="28877" xr:uid="{00000000-0005-0000-0000-0000B37C0000}"/>
    <cellStyle name="Superscript 3 4 10 6" xfId="28878" xr:uid="{00000000-0005-0000-0000-0000B47C0000}"/>
    <cellStyle name="Superscript 3 4 10 6 2" xfId="28879" xr:uid="{00000000-0005-0000-0000-0000B57C0000}"/>
    <cellStyle name="Superscript 3 4 10 7" xfId="28880" xr:uid="{00000000-0005-0000-0000-0000B67C0000}"/>
    <cellStyle name="Superscript 3 4 10 7 2" xfId="28881" xr:uid="{00000000-0005-0000-0000-0000B77C0000}"/>
    <cellStyle name="Superscript 3 4 10 8" xfId="28882" xr:uid="{00000000-0005-0000-0000-0000B87C0000}"/>
    <cellStyle name="Superscript 3 4 10 8 2" xfId="28883" xr:uid="{00000000-0005-0000-0000-0000B97C0000}"/>
    <cellStyle name="Superscript 3 4 10 9" xfId="28884" xr:uid="{00000000-0005-0000-0000-0000BA7C0000}"/>
    <cellStyle name="Superscript 3 4 11" xfId="28885" xr:uid="{00000000-0005-0000-0000-0000BB7C0000}"/>
    <cellStyle name="Superscript 3 4 11 2" xfId="28886" xr:uid="{00000000-0005-0000-0000-0000BC7C0000}"/>
    <cellStyle name="Superscript 3 4 12" xfId="28887" xr:uid="{00000000-0005-0000-0000-0000BD7C0000}"/>
    <cellStyle name="Superscript 3 4 12 2" xfId="28888" xr:uid="{00000000-0005-0000-0000-0000BE7C0000}"/>
    <cellStyle name="Superscript 3 4 13" xfId="28889" xr:uid="{00000000-0005-0000-0000-0000BF7C0000}"/>
    <cellStyle name="Superscript 3 4 13 2" xfId="28890" xr:uid="{00000000-0005-0000-0000-0000C07C0000}"/>
    <cellStyle name="Superscript 3 4 14" xfId="28891" xr:uid="{00000000-0005-0000-0000-0000C17C0000}"/>
    <cellStyle name="Superscript 3 4 14 2" xfId="28892" xr:uid="{00000000-0005-0000-0000-0000C27C0000}"/>
    <cellStyle name="Superscript 3 4 15" xfId="28893" xr:uid="{00000000-0005-0000-0000-0000C37C0000}"/>
    <cellStyle name="Superscript 3 4 15 2" xfId="28894" xr:uid="{00000000-0005-0000-0000-0000C47C0000}"/>
    <cellStyle name="Superscript 3 4 16" xfId="28895" xr:uid="{00000000-0005-0000-0000-0000C57C0000}"/>
    <cellStyle name="Superscript 3 4 16 2" xfId="28896" xr:uid="{00000000-0005-0000-0000-0000C67C0000}"/>
    <cellStyle name="Superscript 3 4 17" xfId="28897" xr:uid="{00000000-0005-0000-0000-0000C77C0000}"/>
    <cellStyle name="Superscript 3 4 17 2" xfId="28898" xr:uid="{00000000-0005-0000-0000-0000C87C0000}"/>
    <cellStyle name="Superscript 3 4 18" xfId="28899" xr:uid="{00000000-0005-0000-0000-0000C97C0000}"/>
    <cellStyle name="Superscript 3 4 2" xfId="28900" xr:uid="{00000000-0005-0000-0000-0000CA7C0000}"/>
    <cellStyle name="Superscript 3 4 2 10" xfId="28901" xr:uid="{00000000-0005-0000-0000-0000CB7C0000}"/>
    <cellStyle name="Superscript 3 4 2 2" xfId="28902" xr:uid="{00000000-0005-0000-0000-0000CC7C0000}"/>
    <cellStyle name="Superscript 3 4 2 2 2" xfId="28903" xr:uid="{00000000-0005-0000-0000-0000CD7C0000}"/>
    <cellStyle name="Superscript 3 4 2 3" xfId="28904" xr:uid="{00000000-0005-0000-0000-0000CE7C0000}"/>
    <cellStyle name="Superscript 3 4 2 3 2" xfId="28905" xr:uid="{00000000-0005-0000-0000-0000CF7C0000}"/>
    <cellStyle name="Superscript 3 4 2 4" xfId="28906" xr:uid="{00000000-0005-0000-0000-0000D07C0000}"/>
    <cellStyle name="Superscript 3 4 2 4 2" xfId="28907" xr:uid="{00000000-0005-0000-0000-0000D17C0000}"/>
    <cellStyle name="Superscript 3 4 2 5" xfId="28908" xr:uid="{00000000-0005-0000-0000-0000D27C0000}"/>
    <cellStyle name="Superscript 3 4 2 5 2" xfId="28909" xr:uid="{00000000-0005-0000-0000-0000D37C0000}"/>
    <cellStyle name="Superscript 3 4 2 6" xfId="28910" xr:uid="{00000000-0005-0000-0000-0000D47C0000}"/>
    <cellStyle name="Superscript 3 4 2 6 2" xfId="28911" xr:uid="{00000000-0005-0000-0000-0000D57C0000}"/>
    <cellStyle name="Superscript 3 4 2 7" xfId="28912" xr:uid="{00000000-0005-0000-0000-0000D67C0000}"/>
    <cellStyle name="Superscript 3 4 2 7 2" xfId="28913" xr:uid="{00000000-0005-0000-0000-0000D77C0000}"/>
    <cellStyle name="Superscript 3 4 2 8" xfId="28914" xr:uid="{00000000-0005-0000-0000-0000D87C0000}"/>
    <cellStyle name="Superscript 3 4 2 8 2" xfId="28915" xr:uid="{00000000-0005-0000-0000-0000D97C0000}"/>
    <cellStyle name="Superscript 3 4 2 9" xfId="28916" xr:uid="{00000000-0005-0000-0000-0000DA7C0000}"/>
    <cellStyle name="Superscript 3 4 2 9 2" xfId="28917" xr:uid="{00000000-0005-0000-0000-0000DB7C0000}"/>
    <cellStyle name="Superscript 3 4 3" xfId="28918" xr:uid="{00000000-0005-0000-0000-0000DC7C0000}"/>
    <cellStyle name="Superscript 3 4 3 10" xfId="28919" xr:uid="{00000000-0005-0000-0000-0000DD7C0000}"/>
    <cellStyle name="Superscript 3 4 3 2" xfId="28920" xr:uid="{00000000-0005-0000-0000-0000DE7C0000}"/>
    <cellStyle name="Superscript 3 4 3 2 2" xfId="28921" xr:uid="{00000000-0005-0000-0000-0000DF7C0000}"/>
    <cellStyle name="Superscript 3 4 3 3" xfId="28922" xr:uid="{00000000-0005-0000-0000-0000E07C0000}"/>
    <cellStyle name="Superscript 3 4 3 3 2" xfId="28923" xr:uid="{00000000-0005-0000-0000-0000E17C0000}"/>
    <cellStyle name="Superscript 3 4 3 4" xfId="28924" xr:uid="{00000000-0005-0000-0000-0000E27C0000}"/>
    <cellStyle name="Superscript 3 4 3 4 2" xfId="28925" xr:uid="{00000000-0005-0000-0000-0000E37C0000}"/>
    <cellStyle name="Superscript 3 4 3 5" xfId="28926" xr:uid="{00000000-0005-0000-0000-0000E47C0000}"/>
    <cellStyle name="Superscript 3 4 3 5 2" xfId="28927" xr:uid="{00000000-0005-0000-0000-0000E57C0000}"/>
    <cellStyle name="Superscript 3 4 3 6" xfId="28928" xr:uid="{00000000-0005-0000-0000-0000E67C0000}"/>
    <cellStyle name="Superscript 3 4 3 6 2" xfId="28929" xr:uid="{00000000-0005-0000-0000-0000E77C0000}"/>
    <cellStyle name="Superscript 3 4 3 7" xfId="28930" xr:uid="{00000000-0005-0000-0000-0000E87C0000}"/>
    <cellStyle name="Superscript 3 4 3 7 2" xfId="28931" xr:uid="{00000000-0005-0000-0000-0000E97C0000}"/>
    <cellStyle name="Superscript 3 4 3 8" xfId="28932" xr:uid="{00000000-0005-0000-0000-0000EA7C0000}"/>
    <cellStyle name="Superscript 3 4 3 8 2" xfId="28933" xr:uid="{00000000-0005-0000-0000-0000EB7C0000}"/>
    <cellStyle name="Superscript 3 4 3 9" xfId="28934" xr:uid="{00000000-0005-0000-0000-0000EC7C0000}"/>
    <cellStyle name="Superscript 3 4 3 9 2" xfId="28935" xr:uid="{00000000-0005-0000-0000-0000ED7C0000}"/>
    <cellStyle name="Superscript 3 4 4" xfId="28936" xr:uid="{00000000-0005-0000-0000-0000EE7C0000}"/>
    <cellStyle name="Superscript 3 4 4 10" xfId="28937" xr:uid="{00000000-0005-0000-0000-0000EF7C0000}"/>
    <cellStyle name="Superscript 3 4 4 2" xfId="28938" xr:uid="{00000000-0005-0000-0000-0000F07C0000}"/>
    <cellStyle name="Superscript 3 4 4 2 2" xfId="28939" xr:uid="{00000000-0005-0000-0000-0000F17C0000}"/>
    <cellStyle name="Superscript 3 4 4 3" xfId="28940" xr:uid="{00000000-0005-0000-0000-0000F27C0000}"/>
    <cellStyle name="Superscript 3 4 4 3 2" xfId="28941" xr:uid="{00000000-0005-0000-0000-0000F37C0000}"/>
    <cellStyle name="Superscript 3 4 4 4" xfId="28942" xr:uid="{00000000-0005-0000-0000-0000F47C0000}"/>
    <cellStyle name="Superscript 3 4 4 4 2" xfId="28943" xr:uid="{00000000-0005-0000-0000-0000F57C0000}"/>
    <cellStyle name="Superscript 3 4 4 5" xfId="28944" xr:uid="{00000000-0005-0000-0000-0000F67C0000}"/>
    <cellStyle name="Superscript 3 4 4 5 2" xfId="28945" xr:uid="{00000000-0005-0000-0000-0000F77C0000}"/>
    <cellStyle name="Superscript 3 4 4 6" xfId="28946" xr:uid="{00000000-0005-0000-0000-0000F87C0000}"/>
    <cellStyle name="Superscript 3 4 4 6 2" xfId="28947" xr:uid="{00000000-0005-0000-0000-0000F97C0000}"/>
    <cellStyle name="Superscript 3 4 4 7" xfId="28948" xr:uid="{00000000-0005-0000-0000-0000FA7C0000}"/>
    <cellStyle name="Superscript 3 4 4 7 2" xfId="28949" xr:uid="{00000000-0005-0000-0000-0000FB7C0000}"/>
    <cellStyle name="Superscript 3 4 4 8" xfId="28950" xr:uid="{00000000-0005-0000-0000-0000FC7C0000}"/>
    <cellStyle name="Superscript 3 4 4 8 2" xfId="28951" xr:uid="{00000000-0005-0000-0000-0000FD7C0000}"/>
    <cellStyle name="Superscript 3 4 4 9" xfId="28952" xr:uid="{00000000-0005-0000-0000-0000FE7C0000}"/>
    <cellStyle name="Superscript 3 4 4 9 2" xfId="28953" xr:uid="{00000000-0005-0000-0000-0000FF7C0000}"/>
    <cellStyle name="Superscript 3 4 5" xfId="28954" xr:uid="{00000000-0005-0000-0000-0000007D0000}"/>
    <cellStyle name="Superscript 3 4 5 10" xfId="28955" xr:uid="{00000000-0005-0000-0000-0000017D0000}"/>
    <cellStyle name="Superscript 3 4 5 2" xfId="28956" xr:uid="{00000000-0005-0000-0000-0000027D0000}"/>
    <cellStyle name="Superscript 3 4 5 2 2" xfId="28957" xr:uid="{00000000-0005-0000-0000-0000037D0000}"/>
    <cellStyle name="Superscript 3 4 5 3" xfId="28958" xr:uid="{00000000-0005-0000-0000-0000047D0000}"/>
    <cellStyle name="Superscript 3 4 5 3 2" xfId="28959" xr:uid="{00000000-0005-0000-0000-0000057D0000}"/>
    <cellStyle name="Superscript 3 4 5 4" xfId="28960" xr:uid="{00000000-0005-0000-0000-0000067D0000}"/>
    <cellStyle name="Superscript 3 4 5 4 2" xfId="28961" xr:uid="{00000000-0005-0000-0000-0000077D0000}"/>
    <cellStyle name="Superscript 3 4 5 5" xfId="28962" xr:uid="{00000000-0005-0000-0000-0000087D0000}"/>
    <cellStyle name="Superscript 3 4 5 5 2" xfId="28963" xr:uid="{00000000-0005-0000-0000-0000097D0000}"/>
    <cellStyle name="Superscript 3 4 5 6" xfId="28964" xr:uid="{00000000-0005-0000-0000-00000A7D0000}"/>
    <cellStyle name="Superscript 3 4 5 6 2" xfId="28965" xr:uid="{00000000-0005-0000-0000-00000B7D0000}"/>
    <cellStyle name="Superscript 3 4 5 7" xfId="28966" xr:uid="{00000000-0005-0000-0000-00000C7D0000}"/>
    <cellStyle name="Superscript 3 4 5 7 2" xfId="28967" xr:uid="{00000000-0005-0000-0000-00000D7D0000}"/>
    <cellStyle name="Superscript 3 4 5 8" xfId="28968" xr:uid="{00000000-0005-0000-0000-00000E7D0000}"/>
    <cellStyle name="Superscript 3 4 5 8 2" xfId="28969" xr:uid="{00000000-0005-0000-0000-00000F7D0000}"/>
    <cellStyle name="Superscript 3 4 5 9" xfId="28970" xr:uid="{00000000-0005-0000-0000-0000107D0000}"/>
    <cellStyle name="Superscript 3 4 5 9 2" xfId="28971" xr:uid="{00000000-0005-0000-0000-0000117D0000}"/>
    <cellStyle name="Superscript 3 4 6" xfId="28972" xr:uid="{00000000-0005-0000-0000-0000127D0000}"/>
    <cellStyle name="Superscript 3 4 6 10" xfId="28973" xr:uid="{00000000-0005-0000-0000-0000137D0000}"/>
    <cellStyle name="Superscript 3 4 6 2" xfId="28974" xr:uid="{00000000-0005-0000-0000-0000147D0000}"/>
    <cellStyle name="Superscript 3 4 6 2 2" xfId="28975" xr:uid="{00000000-0005-0000-0000-0000157D0000}"/>
    <cellStyle name="Superscript 3 4 6 3" xfId="28976" xr:uid="{00000000-0005-0000-0000-0000167D0000}"/>
    <cellStyle name="Superscript 3 4 6 3 2" xfId="28977" xr:uid="{00000000-0005-0000-0000-0000177D0000}"/>
    <cellStyle name="Superscript 3 4 6 4" xfId="28978" xr:uid="{00000000-0005-0000-0000-0000187D0000}"/>
    <cellStyle name="Superscript 3 4 6 4 2" xfId="28979" xr:uid="{00000000-0005-0000-0000-0000197D0000}"/>
    <cellStyle name="Superscript 3 4 6 5" xfId="28980" xr:uid="{00000000-0005-0000-0000-00001A7D0000}"/>
    <cellStyle name="Superscript 3 4 6 5 2" xfId="28981" xr:uid="{00000000-0005-0000-0000-00001B7D0000}"/>
    <cellStyle name="Superscript 3 4 6 6" xfId="28982" xr:uid="{00000000-0005-0000-0000-00001C7D0000}"/>
    <cellStyle name="Superscript 3 4 6 6 2" xfId="28983" xr:uid="{00000000-0005-0000-0000-00001D7D0000}"/>
    <cellStyle name="Superscript 3 4 6 7" xfId="28984" xr:uid="{00000000-0005-0000-0000-00001E7D0000}"/>
    <cellStyle name="Superscript 3 4 6 7 2" xfId="28985" xr:uid="{00000000-0005-0000-0000-00001F7D0000}"/>
    <cellStyle name="Superscript 3 4 6 8" xfId="28986" xr:uid="{00000000-0005-0000-0000-0000207D0000}"/>
    <cellStyle name="Superscript 3 4 6 8 2" xfId="28987" xr:uid="{00000000-0005-0000-0000-0000217D0000}"/>
    <cellStyle name="Superscript 3 4 6 9" xfId="28988" xr:uid="{00000000-0005-0000-0000-0000227D0000}"/>
    <cellStyle name="Superscript 3 4 6 9 2" xfId="28989" xr:uid="{00000000-0005-0000-0000-0000237D0000}"/>
    <cellStyle name="Superscript 3 4 7" xfId="28990" xr:uid="{00000000-0005-0000-0000-0000247D0000}"/>
    <cellStyle name="Superscript 3 4 7 10" xfId="28991" xr:uid="{00000000-0005-0000-0000-0000257D0000}"/>
    <cellStyle name="Superscript 3 4 7 2" xfId="28992" xr:uid="{00000000-0005-0000-0000-0000267D0000}"/>
    <cellStyle name="Superscript 3 4 7 2 2" xfId="28993" xr:uid="{00000000-0005-0000-0000-0000277D0000}"/>
    <cellStyle name="Superscript 3 4 7 3" xfId="28994" xr:uid="{00000000-0005-0000-0000-0000287D0000}"/>
    <cellStyle name="Superscript 3 4 7 3 2" xfId="28995" xr:uid="{00000000-0005-0000-0000-0000297D0000}"/>
    <cellStyle name="Superscript 3 4 7 4" xfId="28996" xr:uid="{00000000-0005-0000-0000-00002A7D0000}"/>
    <cellStyle name="Superscript 3 4 7 4 2" xfId="28997" xr:uid="{00000000-0005-0000-0000-00002B7D0000}"/>
    <cellStyle name="Superscript 3 4 7 5" xfId="28998" xr:uid="{00000000-0005-0000-0000-00002C7D0000}"/>
    <cellStyle name="Superscript 3 4 7 5 2" xfId="28999" xr:uid="{00000000-0005-0000-0000-00002D7D0000}"/>
    <cellStyle name="Superscript 3 4 7 6" xfId="29000" xr:uid="{00000000-0005-0000-0000-00002E7D0000}"/>
    <cellStyle name="Superscript 3 4 7 6 2" xfId="29001" xr:uid="{00000000-0005-0000-0000-00002F7D0000}"/>
    <cellStyle name="Superscript 3 4 7 7" xfId="29002" xr:uid="{00000000-0005-0000-0000-0000307D0000}"/>
    <cellStyle name="Superscript 3 4 7 7 2" xfId="29003" xr:uid="{00000000-0005-0000-0000-0000317D0000}"/>
    <cellStyle name="Superscript 3 4 7 8" xfId="29004" xr:uid="{00000000-0005-0000-0000-0000327D0000}"/>
    <cellStyle name="Superscript 3 4 7 8 2" xfId="29005" xr:uid="{00000000-0005-0000-0000-0000337D0000}"/>
    <cellStyle name="Superscript 3 4 7 9" xfId="29006" xr:uid="{00000000-0005-0000-0000-0000347D0000}"/>
    <cellStyle name="Superscript 3 4 7 9 2" xfId="29007" xr:uid="{00000000-0005-0000-0000-0000357D0000}"/>
    <cellStyle name="Superscript 3 4 8" xfId="29008" xr:uid="{00000000-0005-0000-0000-0000367D0000}"/>
    <cellStyle name="Superscript 3 4 8 10" xfId="29009" xr:uid="{00000000-0005-0000-0000-0000377D0000}"/>
    <cellStyle name="Superscript 3 4 8 2" xfId="29010" xr:uid="{00000000-0005-0000-0000-0000387D0000}"/>
    <cellStyle name="Superscript 3 4 8 2 2" xfId="29011" xr:uid="{00000000-0005-0000-0000-0000397D0000}"/>
    <cellStyle name="Superscript 3 4 8 3" xfId="29012" xr:uid="{00000000-0005-0000-0000-00003A7D0000}"/>
    <cellStyle name="Superscript 3 4 8 3 2" xfId="29013" xr:uid="{00000000-0005-0000-0000-00003B7D0000}"/>
    <cellStyle name="Superscript 3 4 8 4" xfId="29014" xr:uid="{00000000-0005-0000-0000-00003C7D0000}"/>
    <cellStyle name="Superscript 3 4 8 4 2" xfId="29015" xr:uid="{00000000-0005-0000-0000-00003D7D0000}"/>
    <cellStyle name="Superscript 3 4 8 5" xfId="29016" xr:uid="{00000000-0005-0000-0000-00003E7D0000}"/>
    <cellStyle name="Superscript 3 4 8 5 2" xfId="29017" xr:uid="{00000000-0005-0000-0000-00003F7D0000}"/>
    <cellStyle name="Superscript 3 4 8 6" xfId="29018" xr:uid="{00000000-0005-0000-0000-0000407D0000}"/>
    <cellStyle name="Superscript 3 4 8 6 2" xfId="29019" xr:uid="{00000000-0005-0000-0000-0000417D0000}"/>
    <cellStyle name="Superscript 3 4 8 7" xfId="29020" xr:uid="{00000000-0005-0000-0000-0000427D0000}"/>
    <cellStyle name="Superscript 3 4 8 7 2" xfId="29021" xr:uid="{00000000-0005-0000-0000-0000437D0000}"/>
    <cellStyle name="Superscript 3 4 8 8" xfId="29022" xr:uid="{00000000-0005-0000-0000-0000447D0000}"/>
    <cellStyle name="Superscript 3 4 8 8 2" xfId="29023" xr:uid="{00000000-0005-0000-0000-0000457D0000}"/>
    <cellStyle name="Superscript 3 4 8 9" xfId="29024" xr:uid="{00000000-0005-0000-0000-0000467D0000}"/>
    <cellStyle name="Superscript 3 4 8 9 2" xfId="29025" xr:uid="{00000000-0005-0000-0000-0000477D0000}"/>
    <cellStyle name="Superscript 3 4 9" xfId="29026" xr:uid="{00000000-0005-0000-0000-0000487D0000}"/>
    <cellStyle name="Superscript 3 4 9 10" xfId="29027" xr:uid="{00000000-0005-0000-0000-0000497D0000}"/>
    <cellStyle name="Superscript 3 4 9 2" xfId="29028" xr:uid="{00000000-0005-0000-0000-00004A7D0000}"/>
    <cellStyle name="Superscript 3 4 9 2 2" xfId="29029" xr:uid="{00000000-0005-0000-0000-00004B7D0000}"/>
    <cellStyle name="Superscript 3 4 9 3" xfId="29030" xr:uid="{00000000-0005-0000-0000-00004C7D0000}"/>
    <cellStyle name="Superscript 3 4 9 3 2" xfId="29031" xr:uid="{00000000-0005-0000-0000-00004D7D0000}"/>
    <cellStyle name="Superscript 3 4 9 4" xfId="29032" xr:uid="{00000000-0005-0000-0000-00004E7D0000}"/>
    <cellStyle name="Superscript 3 4 9 4 2" xfId="29033" xr:uid="{00000000-0005-0000-0000-00004F7D0000}"/>
    <cellStyle name="Superscript 3 4 9 5" xfId="29034" xr:uid="{00000000-0005-0000-0000-0000507D0000}"/>
    <cellStyle name="Superscript 3 4 9 5 2" xfId="29035" xr:uid="{00000000-0005-0000-0000-0000517D0000}"/>
    <cellStyle name="Superscript 3 4 9 6" xfId="29036" xr:uid="{00000000-0005-0000-0000-0000527D0000}"/>
    <cellStyle name="Superscript 3 4 9 6 2" xfId="29037" xr:uid="{00000000-0005-0000-0000-0000537D0000}"/>
    <cellStyle name="Superscript 3 4 9 7" xfId="29038" xr:uid="{00000000-0005-0000-0000-0000547D0000}"/>
    <cellStyle name="Superscript 3 4 9 7 2" xfId="29039" xr:uid="{00000000-0005-0000-0000-0000557D0000}"/>
    <cellStyle name="Superscript 3 4 9 8" xfId="29040" xr:uid="{00000000-0005-0000-0000-0000567D0000}"/>
    <cellStyle name="Superscript 3 4 9 8 2" xfId="29041" xr:uid="{00000000-0005-0000-0000-0000577D0000}"/>
    <cellStyle name="Superscript 3 4 9 9" xfId="29042" xr:uid="{00000000-0005-0000-0000-0000587D0000}"/>
    <cellStyle name="Superscript 3 4 9 9 2" xfId="29043" xr:uid="{00000000-0005-0000-0000-0000597D0000}"/>
    <cellStyle name="Superscript 3 5" xfId="29044" xr:uid="{00000000-0005-0000-0000-00005A7D0000}"/>
    <cellStyle name="Superscript 3 5 10" xfId="29045" xr:uid="{00000000-0005-0000-0000-00005B7D0000}"/>
    <cellStyle name="Superscript 3 5 10 2" xfId="29046" xr:uid="{00000000-0005-0000-0000-00005C7D0000}"/>
    <cellStyle name="Superscript 3 5 10 2 2" xfId="29047" xr:uid="{00000000-0005-0000-0000-00005D7D0000}"/>
    <cellStyle name="Superscript 3 5 10 3" xfId="29048" xr:uid="{00000000-0005-0000-0000-00005E7D0000}"/>
    <cellStyle name="Superscript 3 5 10 3 2" xfId="29049" xr:uid="{00000000-0005-0000-0000-00005F7D0000}"/>
    <cellStyle name="Superscript 3 5 10 4" xfId="29050" xr:uid="{00000000-0005-0000-0000-0000607D0000}"/>
    <cellStyle name="Superscript 3 5 10 4 2" xfId="29051" xr:uid="{00000000-0005-0000-0000-0000617D0000}"/>
    <cellStyle name="Superscript 3 5 10 5" xfId="29052" xr:uid="{00000000-0005-0000-0000-0000627D0000}"/>
    <cellStyle name="Superscript 3 5 10 5 2" xfId="29053" xr:uid="{00000000-0005-0000-0000-0000637D0000}"/>
    <cellStyle name="Superscript 3 5 10 6" xfId="29054" xr:uid="{00000000-0005-0000-0000-0000647D0000}"/>
    <cellStyle name="Superscript 3 5 10 6 2" xfId="29055" xr:uid="{00000000-0005-0000-0000-0000657D0000}"/>
    <cellStyle name="Superscript 3 5 10 7" xfId="29056" xr:uid="{00000000-0005-0000-0000-0000667D0000}"/>
    <cellStyle name="Superscript 3 5 10 7 2" xfId="29057" xr:uid="{00000000-0005-0000-0000-0000677D0000}"/>
    <cellStyle name="Superscript 3 5 10 8" xfId="29058" xr:uid="{00000000-0005-0000-0000-0000687D0000}"/>
    <cellStyle name="Superscript 3 5 10 8 2" xfId="29059" xr:uid="{00000000-0005-0000-0000-0000697D0000}"/>
    <cellStyle name="Superscript 3 5 10 9" xfId="29060" xr:uid="{00000000-0005-0000-0000-00006A7D0000}"/>
    <cellStyle name="Superscript 3 5 11" xfId="29061" xr:uid="{00000000-0005-0000-0000-00006B7D0000}"/>
    <cellStyle name="Superscript 3 5 11 2" xfId="29062" xr:uid="{00000000-0005-0000-0000-00006C7D0000}"/>
    <cellStyle name="Superscript 3 5 12" xfId="29063" xr:uid="{00000000-0005-0000-0000-00006D7D0000}"/>
    <cellStyle name="Superscript 3 5 12 2" xfId="29064" xr:uid="{00000000-0005-0000-0000-00006E7D0000}"/>
    <cellStyle name="Superscript 3 5 13" xfId="29065" xr:uid="{00000000-0005-0000-0000-00006F7D0000}"/>
    <cellStyle name="Superscript 3 5 13 2" xfId="29066" xr:uid="{00000000-0005-0000-0000-0000707D0000}"/>
    <cellStyle name="Superscript 3 5 14" xfId="29067" xr:uid="{00000000-0005-0000-0000-0000717D0000}"/>
    <cellStyle name="Superscript 3 5 14 2" xfId="29068" xr:uid="{00000000-0005-0000-0000-0000727D0000}"/>
    <cellStyle name="Superscript 3 5 15" xfId="29069" xr:uid="{00000000-0005-0000-0000-0000737D0000}"/>
    <cellStyle name="Superscript 3 5 15 2" xfId="29070" xr:uid="{00000000-0005-0000-0000-0000747D0000}"/>
    <cellStyle name="Superscript 3 5 16" xfId="29071" xr:uid="{00000000-0005-0000-0000-0000757D0000}"/>
    <cellStyle name="Superscript 3 5 16 2" xfId="29072" xr:uid="{00000000-0005-0000-0000-0000767D0000}"/>
    <cellStyle name="Superscript 3 5 17" xfId="29073" xr:uid="{00000000-0005-0000-0000-0000777D0000}"/>
    <cellStyle name="Superscript 3 5 17 2" xfId="29074" xr:uid="{00000000-0005-0000-0000-0000787D0000}"/>
    <cellStyle name="Superscript 3 5 18" xfId="29075" xr:uid="{00000000-0005-0000-0000-0000797D0000}"/>
    <cellStyle name="Superscript 3 5 2" xfId="29076" xr:uid="{00000000-0005-0000-0000-00007A7D0000}"/>
    <cellStyle name="Superscript 3 5 2 10" xfId="29077" xr:uid="{00000000-0005-0000-0000-00007B7D0000}"/>
    <cellStyle name="Superscript 3 5 2 2" xfId="29078" xr:uid="{00000000-0005-0000-0000-00007C7D0000}"/>
    <cellStyle name="Superscript 3 5 2 2 2" xfId="29079" xr:uid="{00000000-0005-0000-0000-00007D7D0000}"/>
    <cellStyle name="Superscript 3 5 2 3" xfId="29080" xr:uid="{00000000-0005-0000-0000-00007E7D0000}"/>
    <cellStyle name="Superscript 3 5 2 3 2" xfId="29081" xr:uid="{00000000-0005-0000-0000-00007F7D0000}"/>
    <cellStyle name="Superscript 3 5 2 4" xfId="29082" xr:uid="{00000000-0005-0000-0000-0000807D0000}"/>
    <cellStyle name="Superscript 3 5 2 4 2" xfId="29083" xr:uid="{00000000-0005-0000-0000-0000817D0000}"/>
    <cellStyle name="Superscript 3 5 2 5" xfId="29084" xr:uid="{00000000-0005-0000-0000-0000827D0000}"/>
    <cellStyle name="Superscript 3 5 2 5 2" xfId="29085" xr:uid="{00000000-0005-0000-0000-0000837D0000}"/>
    <cellStyle name="Superscript 3 5 2 6" xfId="29086" xr:uid="{00000000-0005-0000-0000-0000847D0000}"/>
    <cellStyle name="Superscript 3 5 2 6 2" xfId="29087" xr:uid="{00000000-0005-0000-0000-0000857D0000}"/>
    <cellStyle name="Superscript 3 5 2 7" xfId="29088" xr:uid="{00000000-0005-0000-0000-0000867D0000}"/>
    <cellStyle name="Superscript 3 5 2 7 2" xfId="29089" xr:uid="{00000000-0005-0000-0000-0000877D0000}"/>
    <cellStyle name="Superscript 3 5 2 8" xfId="29090" xr:uid="{00000000-0005-0000-0000-0000887D0000}"/>
    <cellStyle name="Superscript 3 5 2 8 2" xfId="29091" xr:uid="{00000000-0005-0000-0000-0000897D0000}"/>
    <cellStyle name="Superscript 3 5 2 9" xfId="29092" xr:uid="{00000000-0005-0000-0000-00008A7D0000}"/>
    <cellStyle name="Superscript 3 5 2 9 2" xfId="29093" xr:uid="{00000000-0005-0000-0000-00008B7D0000}"/>
    <cellStyle name="Superscript 3 5 3" xfId="29094" xr:uid="{00000000-0005-0000-0000-00008C7D0000}"/>
    <cellStyle name="Superscript 3 5 3 10" xfId="29095" xr:uid="{00000000-0005-0000-0000-00008D7D0000}"/>
    <cellStyle name="Superscript 3 5 3 2" xfId="29096" xr:uid="{00000000-0005-0000-0000-00008E7D0000}"/>
    <cellStyle name="Superscript 3 5 3 2 2" xfId="29097" xr:uid="{00000000-0005-0000-0000-00008F7D0000}"/>
    <cellStyle name="Superscript 3 5 3 3" xfId="29098" xr:uid="{00000000-0005-0000-0000-0000907D0000}"/>
    <cellStyle name="Superscript 3 5 3 3 2" xfId="29099" xr:uid="{00000000-0005-0000-0000-0000917D0000}"/>
    <cellStyle name="Superscript 3 5 3 4" xfId="29100" xr:uid="{00000000-0005-0000-0000-0000927D0000}"/>
    <cellStyle name="Superscript 3 5 3 4 2" xfId="29101" xr:uid="{00000000-0005-0000-0000-0000937D0000}"/>
    <cellStyle name="Superscript 3 5 3 5" xfId="29102" xr:uid="{00000000-0005-0000-0000-0000947D0000}"/>
    <cellStyle name="Superscript 3 5 3 5 2" xfId="29103" xr:uid="{00000000-0005-0000-0000-0000957D0000}"/>
    <cellStyle name="Superscript 3 5 3 6" xfId="29104" xr:uid="{00000000-0005-0000-0000-0000967D0000}"/>
    <cellStyle name="Superscript 3 5 3 6 2" xfId="29105" xr:uid="{00000000-0005-0000-0000-0000977D0000}"/>
    <cellStyle name="Superscript 3 5 3 7" xfId="29106" xr:uid="{00000000-0005-0000-0000-0000987D0000}"/>
    <cellStyle name="Superscript 3 5 3 7 2" xfId="29107" xr:uid="{00000000-0005-0000-0000-0000997D0000}"/>
    <cellStyle name="Superscript 3 5 3 8" xfId="29108" xr:uid="{00000000-0005-0000-0000-00009A7D0000}"/>
    <cellStyle name="Superscript 3 5 3 8 2" xfId="29109" xr:uid="{00000000-0005-0000-0000-00009B7D0000}"/>
    <cellStyle name="Superscript 3 5 3 9" xfId="29110" xr:uid="{00000000-0005-0000-0000-00009C7D0000}"/>
    <cellStyle name="Superscript 3 5 3 9 2" xfId="29111" xr:uid="{00000000-0005-0000-0000-00009D7D0000}"/>
    <cellStyle name="Superscript 3 5 4" xfId="29112" xr:uid="{00000000-0005-0000-0000-00009E7D0000}"/>
    <cellStyle name="Superscript 3 5 4 10" xfId="29113" xr:uid="{00000000-0005-0000-0000-00009F7D0000}"/>
    <cellStyle name="Superscript 3 5 4 2" xfId="29114" xr:uid="{00000000-0005-0000-0000-0000A07D0000}"/>
    <cellStyle name="Superscript 3 5 4 2 2" xfId="29115" xr:uid="{00000000-0005-0000-0000-0000A17D0000}"/>
    <cellStyle name="Superscript 3 5 4 3" xfId="29116" xr:uid="{00000000-0005-0000-0000-0000A27D0000}"/>
    <cellStyle name="Superscript 3 5 4 3 2" xfId="29117" xr:uid="{00000000-0005-0000-0000-0000A37D0000}"/>
    <cellStyle name="Superscript 3 5 4 4" xfId="29118" xr:uid="{00000000-0005-0000-0000-0000A47D0000}"/>
    <cellStyle name="Superscript 3 5 4 4 2" xfId="29119" xr:uid="{00000000-0005-0000-0000-0000A57D0000}"/>
    <cellStyle name="Superscript 3 5 4 5" xfId="29120" xr:uid="{00000000-0005-0000-0000-0000A67D0000}"/>
    <cellStyle name="Superscript 3 5 4 5 2" xfId="29121" xr:uid="{00000000-0005-0000-0000-0000A77D0000}"/>
    <cellStyle name="Superscript 3 5 4 6" xfId="29122" xr:uid="{00000000-0005-0000-0000-0000A87D0000}"/>
    <cellStyle name="Superscript 3 5 4 6 2" xfId="29123" xr:uid="{00000000-0005-0000-0000-0000A97D0000}"/>
    <cellStyle name="Superscript 3 5 4 7" xfId="29124" xr:uid="{00000000-0005-0000-0000-0000AA7D0000}"/>
    <cellStyle name="Superscript 3 5 4 7 2" xfId="29125" xr:uid="{00000000-0005-0000-0000-0000AB7D0000}"/>
    <cellStyle name="Superscript 3 5 4 8" xfId="29126" xr:uid="{00000000-0005-0000-0000-0000AC7D0000}"/>
    <cellStyle name="Superscript 3 5 4 8 2" xfId="29127" xr:uid="{00000000-0005-0000-0000-0000AD7D0000}"/>
    <cellStyle name="Superscript 3 5 4 9" xfId="29128" xr:uid="{00000000-0005-0000-0000-0000AE7D0000}"/>
    <cellStyle name="Superscript 3 5 4 9 2" xfId="29129" xr:uid="{00000000-0005-0000-0000-0000AF7D0000}"/>
    <cellStyle name="Superscript 3 5 5" xfId="29130" xr:uid="{00000000-0005-0000-0000-0000B07D0000}"/>
    <cellStyle name="Superscript 3 5 5 10" xfId="29131" xr:uid="{00000000-0005-0000-0000-0000B17D0000}"/>
    <cellStyle name="Superscript 3 5 5 2" xfId="29132" xr:uid="{00000000-0005-0000-0000-0000B27D0000}"/>
    <cellStyle name="Superscript 3 5 5 2 2" xfId="29133" xr:uid="{00000000-0005-0000-0000-0000B37D0000}"/>
    <cellStyle name="Superscript 3 5 5 3" xfId="29134" xr:uid="{00000000-0005-0000-0000-0000B47D0000}"/>
    <cellStyle name="Superscript 3 5 5 3 2" xfId="29135" xr:uid="{00000000-0005-0000-0000-0000B57D0000}"/>
    <cellStyle name="Superscript 3 5 5 4" xfId="29136" xr:uid="{00000000-0005-0000-0000-0000B67D0000}"/>
    <cellStyle name="Superscript 3 5 5 4 2" xfId="29137" xr:uid="{00000000-0005-0000-0000-0000B77D0000}"/>
    <cellStyle name="Superscript 3 5 5 5" xfId="29138" xr:uid="{00000000-0005-0000-0000-0000B87D0000}"/>
    <cellStyle name="Superscript 3 5 5 5 2" xfId="29139" xr:uid="{00000000-0005-0000-0000-0000B97D0000}"/>
    <cellStyle name="Superscript 3 5 5 6" xfId="29140" xr:uid="{00000000-0005-0000-0000-0000BA7D0000}"/>
    <cellStyle name="Superscript 3 5 5 6 2" xfId="29141" xr:uid="{00000000-0005-0000-0000-0000BB7D0000}"/>
    <cellStyle name="Superscript 3 5 5 7" xfId="29142" xr:uid="{00000000-0005-0000-0000-0000BC7D0000}"/>
    <cellStyle name="Superscript 3 5 5 7 2" xfId="29143" xr:uid="{00000000-0005-0000-0000-0000BD7D0000}"/>
    <cellStyle name="Superscript 3 5 5 8" xfId="29144" xr:uid="{00000000-0005-0000-0000-0000BE7D0000}"/>
    <cellStyle name="Superscript 3 5 5 8 2" xfId="29145" xr:uid="{00000000-0005-0000-0000-0000BF7D0000}"/>
    <cellStyle name="Superscript 3 5 5 9" xfId="29146" xr:uid="{00000000-0005-0000-0000-0000C07D0000}"/>
    <cellStyle name="Superscript 3 5 5 9 2" xfId="29147" xr:uid="{00000000-0005-0000-0000-0000C17D0000}"/>
    <cellStyle name="Superscript 3 5 6" xfId="29148" xr:uid="{00000000-0005-0000-0000-0000C27D0000}"/>
    <cellStyle name="Superscript 3 5 6 10" xfId="29149" xr:uid="{00000000-0005-0000-0000-0000C37D0000}"/>
    <cellStyle name="Superscript 3 5 6 2" xfId="29150" xr:uid="{00000000-0005-0000-0000-0000C47D0000}"/>
    <cellStyle name="Superscript 3 5 6 2 2" xfId="29151" xr:uid="{00000000-0005-0000-0000-0000C57D0000}"/>
    <cellStyle name="Superscript 3 5 6 3" xfId="29152" xr:uid="{00000000-0005-0000-0000-0000C67D0000}"/>
    <cellStyle name="Superscript 3 5 6 3 2" xfId="29153" xr:uid="{00000000-0005-0000-0000-0000C77D0000}"/>
    <cellStyle name="Superscript 3 5 6 4" xfId="29154" xr:uid="{00000000-0005-0000-0000-0000C87D0000}"/>
    <cellStyle name="Superscript 3 5 6 4 2" xfId="29155" xr:uid="{00000000-0005-0000-0000-0000C97D0000}"/>
    <cellStyle name="Superscript 3 5 6 5" xfId="29156" xr:uid="{00000000-0005-0000-0000-0000CA7D0000}"/>
    <cellStyle name="Superscript 3 5 6 5 2" xfId="29157" xr:uid="{00000000-0005-0000-0000-0000CB7D0000}"/>
    <cellStyle name="Superscript 3 5 6 6" xfId="29158" xr:uid="{00000000-0005-0000-0000-0000CC7D0000}"/>
    <cellStyle name="Superscript 3 5 6 6 2" xfId="29159" xr:uid="{00000000-0005-0000-0000-0000CD7D0000}"/>
    <cellStyle name="Superscript 3 5 6 7" xfId="29160" xr:uid="{00000000-0005-0000-0000-0000CE7D0000}"/>
    <cellStyle name="Superscript 3 5 6 7 2" xfId="29161" xr:uid="{00000000-0005-0000-0000-0000CF7D0000}"/>
    <cellStyle name="Superscript 3 5 6 8" xfId="29162" xr:uid="{00000000-0005-0000-0000-0000D07D0000}"/>
    <cellStyle name="Superscript 3 5 6 8 2" xfId="29163" xr:uid="{00000000-0005-0000-0000-0000D17D0000}"/>
    <cellStyle name="Superscript 3 5 6 9" xfId="29164" xr:uid="{00000000-0005-0000-0000-0000D27D0000}"/>
    <cellStyle name="Superscript 3 5 6 9 2" xfId="29165" xr:uid="{00000000-0005-0000-0000-0000D37D0000}"/>
    <cellStyle name="Superscript 3 5 7" xfId="29166" xr:uid="{00000000-0005-0000-0000-0000D47D0000}"/>
    <cellStyle name="Superscript 3 5 7 10" xfId="29167" xr:uid="{00000000-0005-0000-0000-0000D57D0000}"/>
    <cellStyle name="Superscript 3 5 7 2" xfId="29168" xr:uid="{00000000-0005-0000-0000-0000D67D0000}"/>
    <cellStyle name="Superscript 3 5 7 2 2" xfId="29169" xr:uid="{00000000-0005-0000-0000-0000D77D0000}"/>
    <cellStyle name="Superscript 3 5 7 3" xfId="29170" xr:uid="{00000000-0005-0000-0000-0000D87D0000}"/>
    <cellStyle name="Superscript 3 5 7 3 2" xfId="29171" xr:uid="{00000000-0005-0000-0000-0000D97D0000}"/>
    <cellStyle name="Superscript 3 5 7 4" xfId="29172" xr:uid="{00000000-0005-0000-0000-0000DA7D0000}"/>
    <cellStyle name="Superscript 3 5 7 4 2" xfId="29173" xr:uid="{00000000-0005-0000-0000-0000DB7D0000}"/>
    <cellStyle name="Superscript 3 5 7 5" xfId="29174" xr:uid="{00000000-0005-0000-0000-0000DC7D0000}"/>
    <cellStyle name="Superscript 3 5 7 5 2" xfId="29175" xr:uid="{00000000-0005-0000-0000-0000DD7D0000}"/>
    <cellStyle name="Superscript 3 5 7 6" xfId="29176" xr:uid="{00000000-0005-0000-0000-0000DE7D0000}"/>
    <cellStyle name="Superscript 3 5 7 6 2" xfId="29177" xr:uid="{00000000-0005-0000-0000-0000DF7D0000}"/>
    <cellStyle name="Superscript 3 5 7 7" xfId="29178" xr:uid="{00000000-0005-0000-0000-0000E07D0000}"/>
    <cellStyle name="Superscript 3 5 7 7 2" xfId="29179" xr:uid="{00000000-0005-0000-0000-0000E17D0000}"/>
    <cellStyle name="Superscript 3 5 7 8" xfId="29180" xr:uid="{00000000-0005-0000-0000-0000E27D0000}"/>
    <cellStyle name="Superscript 3 5 7 8 2" xfId="29181" xr:uid="{00000000-0005-0000-0000-0000E37D0000}"/>
    <cellStyle name="Superscript 3 5 7 9" xfId="29182" xr:uid="{00000000-0005-0000-0000-0000E47D0000}"/>
    <cellStyle name="Superscript 3 5 7 9 2" xfId="29183" xr:uid="{00000000-0005-0000-0000-0000E57D0000}"/>
    <cellStyle name="Superscript 3 5 8" xfId="29184" xr:uid="{00000000-0005-0000-0000-0000E67D0000}"/>
    <cellStyle name="Superscript 3 5 8 10" xfId="29185" xr:uid="{00000000-0005-0000-0000-0000E77D0000}"/>
    <cellStyle name="Superscript 3 5 8 2" xfId="29186" xr:uid="{00000000-0005-0000-0000-0000E87D0000}"/>
    <cellStyle name="Superscript 3 5 8 2 2" xfId="29187" xr:uid="{00000000-0005-0000-0000-0000E97D0000}"/>
    <cellStyle name="Superscript 3 5 8 3" xfId="29188" xr:uid="{00000000-0005-0000-0000-0000EA7D0000}"/>
    <cellStyle name="Superscript 3 5 8 3 2" xfId="29189" xr:uid="{00000000-0005-0000-0000-0000EB7D0000}"/>
    <cellStyle name="Superscript 3 5 8 4" xfId="29190" xr:uid="{00000000-0005-0000-0000-0000EC7D0000}"/>
    <cellStyle name="Superscript 3 5 8 4 2" xfId="29191" xr:uid="{00000000-0005-0000-0000-0000ED7D0000}"/>
    <cellStyle name="Superscript 3 5 8 5" xfId="29192" xr:uid="{00000000-0005-0000-0000-0000EE7D0000}"/>
    <cellStyle name="Superscript 3 5 8 5 2" xfId="29193" xr:uid="{00000000-0005-0000-0000-0000EF7D0000}"/>
    <cellStyle name="Superscript 3 5 8 6" xfId="29194" xr:uid="{00000000-0005-0000-0000-0000F07D0000}"/>
    <cellStyle name="Superscript 3 5 8 6 2" xfId="29195" xr:uid="{00000000-0005-0000-0000-0000F17D0000}"/>
    <cellStyle name="Superscript 3 5 8 7" xfId="29196" xr:uid="{00000000-0005-0000-0000-0000F27D0000}"/>
    <cellStyle name="Superscript 3 5 8 7 2" xfId="29197" xr:uid="{00000000-0005-0000-0000-0000F37D0000}"/>
    <cellStyle name="Superscript 3 5 8 8" xfId="29198" xr:uid="{00000000-0005-0000-0000-0000F47D0000}"/>
    <cellStyle name="Superscript 3 5 8 8 2" xfId="29199" xr:uid="{00000000-0005-0000-0000-0000F57D0000}"/>
    <cellStyle name="Superscript 3 5 8 9" xfId="29200" xr:uid="{00000000-0005-0000-0000-0000F67D0000}"/>
    <cellStyle name="Superscript 3 5 8 9 2" xfId="29201" xr:uid="{00000000-0005-0000-0000-0000F77D0000}"/>
    <cellStyle name="Superscript 3 5 9" xfId="29202" xr:uid="{00000000-0005-0000-0000-0000F87D0000}"/>
    <cellStyle name="Superscript 3 5 9 10" xfId="29203" xr:uid="{00000000-0005-0000-0000-0000F97D0000}"/>
    <cellStyle name="Superscript 3 5 9 2" xfId="29204" xr:uid="{00000000-0005-0000-0000-0000FA7D0000}"/>
    <cellStyle name="Superscript 3 5 9 2 2" xfId="29205" xr:uid="{00000000-0005-0000-0000-0000FB7D0000}"/>
    <cellStyle name="Superscript 3 5 9 3" xfId="29206" xr:uid="{00000000-0005-0000-0000-0000FC7D0000}"/>
    <cellStyle name="Superscript 3 5 9 3 2" xfId="29207" xr:uid="{00000000-0005-0000-0000-0000FD7D0000}"/>
    <cellStyle name="Superscript 3 5 9 4" xfId="29208" xr:uid="{00000000-0005-0000-0000-0000FE7D0000}"/>
    <cellStyle name="Superscript 3 5 9 4 2" xfId="29209" xr:uid="{00000000-0005-0000-0000-0000FF7D0000}"/>
    <cellStyle name="Superscript 3 5 9 5" xfId="29210" xr:uid="{00000000-0005-0000-0000-0000007E0000}"/>
    <cellStyle name="Superscript 3 5 9 5 2" xfId="29211" xr:uid="{00000000-0005-0000-0000-0000017E0000}"/>
    <cellStyle name="Superscript 3 5 9 6" xfId="29212" xr:uid="{00000000-0005-0000-0000-0000027E0000}"/>
    <cellStyle name="Superscript 3 5 9 6 2" xfId="29213" xr:uid="{00000000-0005-0000-0000-0000037E0000}"/>
    <cellStyle name="Superscript 3 5 9 7" xfId="29214" xr:uid="{00000000-0005-0000-0000-0000047E0000}"/>
    <cellStyle name="Superscript 3 5 9 7 2" xfId="29215" xr:uid="{00000000-0005-0000-0000-0000057E0000}"/>
    <cellStyle name="Superscript 3 5 9 8" xfId="29216" xr:uid="{00000000-0005-0000-0000-0000067E0000}"/>
    <cellStyle name="Superscript 3 5 9 8 2" xfId="29217" xr:uid="{00000000-0005-0000-0000-0000077E0000}"/>
    <cellStyle name="Superscript 3 5 9 9" xfId="29218" xr:uid="{00000000-0005-0000-0000-0000087E0000}"/>
    <cellStyle name="Superscript 3 5 9 9 2" xfId="29219" xr:uid="{00000000-0005-0000-0000-0000097E0000}"/>
    <cellStyle name="Superscript 3 6" xfId="29220" xr:uid="{00000000-0005-0000-0000-00000A7E0000}"/>
    <cellStyle name="Superscript 3 6 10" xfId="29221" xr:uid="{00000000-0005-0000-0000-00000B7E0000}"/>
    <cellStyle name="Superscript 3 6 10 2" xfId="29222" xr:uid="{00000000-0005-0000-0000-00000C7E0000}"/>
    <cellStyle name="Superscript 3 6 10 2 2" xfId="29223" xr:uid="{00000000-0005-0000-0000-00000D7E0000}"/>
    <cellStyle name="Superscript 3 6 10 3" xfId="29224" xr:uid="{00000000-0005-0000-0000-00000E7E0000}"/>
    <cellStyle name="Superscript 3 6 10 3 2" xfId="29225" xr:uid="{00000000-0005-0000-0000-00000F7E0000}"/>
    <cellStyle name="Superscript 3 6 10 4" xfId="29226" xr:uid="{00000000-0005-0000-0000-0000107E0000}"/>
    <cellStyle name="Superscript 3 6 10 4 2" xfId="29227" xr:uid="{00000000-0005-0000-0000-0000117E0000}"/>
    <cellStyle name="Superscript 3 6 10 5" xfId="29228" xr:uid="{00000000-0005-0000-0000-0000127E0000}"/>
    <cellStyle name="Superscript 3 6 10 5 2" xfId="29229" xr:uid="{00000000-0005-0000-0000-0000137E0000}"/>
    <cellStyle name="Superscript 3 6 10 6" xfId="29230" xr:uid="{00000000-0005-0000-0000-0000147E0000}"/>
    <cellStyle name="Superscript 3 6 10 6 2" xfId="29231" xr:uid="{00000000-0005-0000-0000-0000157E0000}"/>
    <cellStyle name="Superscript 3 6 10 7" xfId="29232" xr:uid="{00000000-0005-0000-0000-0000167E0000}"/>
    <cellStyle name="Superscript 3 6 10 7 2" xfId="29233" xr:uid="{00000000-0005-0000-0000-0000177E0000}"/>
    <cellStyle name="Superscript 3 6 10 8" xfId="29234" xr:uid="{00000000-0005-0000-0000-0000187E0000}"/>
    <cellStyle name="Superscript 3 6 10 8 2" xfId="29235" xr:uid="{00000000-0005-0000-0000-0000197E0000}"/>
    <cellStyle name="Superscript 3 6 10 9" xfId="29236" xr:uid="{00000000-0005-0000-0000-00001A7E0000}"/>
    <cellStyle name="Superscript 3 6 11" xfId="29237" xr:uid="{00000000-0005-0000-0000-00001B7E0000}"/>
    <cellStyle name="Superscript 3 6 11 2" xfId="29238" xr:uid="{00000000-0005-0000-0000-00001C7E0000}"/>
    <cellStyle name="Superscript 3 6 12" xfId="29239" xr:uid="{00000000-0005-0000-0000-00001D7E0000}"/>
    <cellStyle name="Superscript 3 6 12 2" xfId="29240" xr:uid="{00000000-0005-0000-0000-00001E7E0000}"/>
    <cellStyle name="Superscript 3 6 13" xfId="29241" xr:uid="{00000000-0005-0000-0000-00001F7E0000}"/>
    <cellStyle name="Superscript 3 6 13 2" xfId="29242" xr:uid="{00000000-0005-0000-0000-0000207E0000}"/>
    <cellStyle name="Superscript 3 6 14" xfId="29243" xr:uid="{00000000-0005-0000-0000-0000217E0000}"/>
    <cellStyle name="Superscript 3 6 14 2" xfId="29244" xr:uid="{00000000-0005-0000-0000-0000227E0000}"/>
    <cellStyle name="Superscript 3 6 15" xfId="29245" xr:uid="{00000000-0005-0000-0000-0000237E0000}"/>
    <cellStyle name="Superscript 3 6 15 2" xfId="29246" xr:uid="{00000000-0005-0000-0000-0000247E0000}"/>
    <cellStyle name="Superscript 3 6 16" xfId="29247" xr:uid="{00000000-0005-0000-0000-0000257E0000}"/>
    <cellStyle name="Superscript 3 6 16 2" xfId="29248" xr:uid="{00000000-0005-0000-0000-0000267E0000}"/>
    <cellStyle name="Superscript 3 6 17" xfId="29249" xr:uid="{00000000-0005-0000-0000-0000277E0000}"/>
    <cellStyle name="Superscript 3 6 17 2" xfId="29250" xr:uid="{00000000-0005-0000-0000-0000287E0000}"/>
    <cellStyle name="Superscript 3 6 18" xfId="29251" xr:uid="{00000000-0005-0000-0000-0000297E0000}"/>
    <cellStyle name="Superscript 3 6 2" xfId="29252" xr:uid="{00000000-0005-0000-0000-00002A7E0000}"/>
    <cellStyle name="Superscript 3 6 2 10" xfId="29253" xr:uid="{00000000-0005-0000-0000-00002B7E0000}"/>
    <cellStyle name="Superscript 3 6 2 2" xfId="29254" xr:uid="{00000000-0005-0000-0000-00002C7E0000}"/>
    <cellStyle name="Superscript 3 6 2 2 2" xfId="29255" xr:uid="{00000000-0005-0000-0000-00002D7E0000}"/>
    <cellStyle name="Superscript 3 6 2 3" xfId="29256" xr:uid="{00000000-0005-0000-0000-00002E7E0000}"/>
    <cellStyle name="Superscript 3 6 2 3 2" xfId="29257" xr:uid="{00000000-0005-0000-0000-00002F7E0000}"/>
    <cellStyle name="Superscript 3 6 2 4" xfId="29258" xr:uid="{00000000-0005-0000-0000-0000307E0000}"/>
    <cellStyle name="Superscript 3 6 2 4 2" xfId="29259" xr:uid="{00000000-0005-0000-0000-0000317E0000}"/>
    <cellStyle name="Superscript 3 6 2 5" xfId="29260" xr:uid="{00000000-0005-0000-0000-0000327E0000}"/>
    <cellStyle name="Superscript 3 6 2 5 2" xfId="29261" xr:uid="{00000000-0005-0000-0000-0000337E0000}"/>
    <cellStyle name="Superscript 3 6 2 6" xfId="29262" xr:uid="{00000000-0005-0000-0000-0000347E0000}"/>
    <cellStyle name="Superscript 3 6 2 6 2" xfId="29263" xr:uid="{00000000-0005-0000-0000-0000357E0000}"/>
    <cellStyle name="Superscript 3 6 2 7" xfId="29264" xr:uid="{00000000-0005-0000-0000-0000367E0000}"/>
    <cellStyle name="Superscript 3 6 2 7 2" xfId="29265" xr:uid="{00000000-0005-0000-0000-0000377E0000}"/>
    <cellStyle name="Superscript 3 6 2 8" xfId="29266" xr:uid="{00000000-0005-0000-0000-0000387E0000}"/>
    <cellStyle name="Superscript 3 6 2 8 2" xfId="29267" xr:uid="{00000000-0005-0000-0000-0000397E0000}"/>
    <cellStyle name="Superscript 3 6 2 9" xfId="29268" xr:uid="{00000000-0005-0000-0000-00003A7E0000}"/>
    <cellStyle name="Superscript 3 6 2 9 2" xfId="29269" xr:uid="{00000000-0005-0000-0000-00003B7E0000}"/>
    <cellStyle name="Superscript 3 6 3" xfId="29270" xr:uid="{00000000-0005-0000-0000-00003C7E0000}"/>
    <cellStyle name="Superscript 3 6 3 10" xfId="29271" xr:uid="{00000000-0005-0000-0000-00003D7E0000}"/>
    <cellStyle name="Superscript 3 6 3 2" xfId="29272" xr:uid="{00000000-0005-0000-0000-00003E7E0000}"/>
    <cellStyle name="Superscript 3 6 3 2 2" xfId="29273" xr:uid="{00000000-0005-0000-0000-00003F7E0000}"/>
    <cellStyle name="Superscript 3 6 3 3" xfId="29274" xr:uid="{00000000-0005-0000-0000-0000407E0000}"/>
    <cellStyle name="Superscript 3 6 3 3 2" xfId="29275" xr:uid="{00000000-0005-0000-0000-0000417E0000}"/>
    <cellStyle name="Superscript 3 6 3 4" xfId="29276" xr:uid="{00000000-0005-0000-0000-0000427E0000}"/>
    <cellStyle name="Superscript 3 6 3 4 2" xfId="29277" xr:uid="{00000000-0005-0000-0000-0000437E0000}"/>
    <cellStyle name="Superscript 3 6 3 5" xfId="29278" xr:uid="{00000000-0005-0000-0000-0000447E0000}"/>
    <cellStyle name="Superscript 3 6 3 5 2" xfId="29279" xr:uid="{00000000-0005-0000-0000-0000457E0000}"/>
    <cellStyle name="Superscript 3 6 3 6" xfId="29280" xr:uid="{00000000-0005-0000-0000-0000467E0000}"/>
    <cellStyle name="Superscript 3 6 3 6 2" xfId="29281" xr:uid="{00000000-0005-0000-0000-0000477E0000}"/>
    <cellStyle name="Superscript 3 6 3 7" xfId="29282" xr:uid="{00000000-0005-0000-0000-0000487E0000}"/>
    <cellStyle name="Superscript 3 6 3 7 2" xfId="29283" xr:uid="{00000000-0005-0000-0000-0000497E0000}"/>
    <cellStyle name="Superscript 3 6 3 8" xfId="29284" xr:uid="{00000000-0005-0000-0000-00004A7E0000}"/>
    <cellStyle name="Superscript 3 6 3 8 2" xfId="29285" xr:uid="{00000000-0005-0000-0000-00004B7E0000}"/>
    <cellStyle name="Superscript 3 6 3 9" xfId="29286" xr:uid="{00000000-0005-0000-0000-00004C7E0000}"/>
    <cellStyle name="Superscript 3 6 3 9 2" xfId="29287" xr:uid="{00000000-0005-0000-0000-00004D7E0000}"/>
    <cellStyle name="Superscript 3 6 4" xfId="29288" xr:uid="{00000000-0005-0000-0000-00004E7E0000}"/>
    <cellStyle name="Superscript 3 6 4 10" xfId="29289" xr:uid="{00000000-0005-0000-0000-00004F7E0000}"/>
    <cellStyle name="Superscript 3 6 4 2" xfId="29290" xr:uid="{00000000-0005-0000-0000-0000507E0000}"/>
    <cellStyle name="Superscript 3 6 4 2 2" xfId="29291" xr:uid="{00000000-0005-0000-0000-0000517E0000}"/>
    <cellStyle name="Superscript 3 6 4 3" xfId="29292" xr:uid="{00000000-0005-0000-0000-0000527E0000}"/>
    <cellStyle name="Superscript 3 6 4 3 2" xfId="29293" xr:uid="{00000000-0005-0000-0000-0000537E0000}"/>
    <cellStyle name="Superscript 3 6 4 4" xfId="29294" xr:uid="{00000000-0005-0000-0000-0000547E0000}"/>
    <cellStyle name="Superscript 3 6 4 4 2" xfId="29295" xr:uid="{00000000-0005-0000-0000-0000557E0000}"/>
    <cellStyle name="Superscript 3 6 4 5" xfId="29296" xr:uid="{00000000-0005-0000-0000-0000567E0000}"/>
    <cellStyle name="Superscript 3 6 4 5 2" xfId="29297" xr:uid="{00000000-0005-0000-0000-0000577E0000}"/>
    <cellStyle name="Superscript 3 6 4 6" xfId="29298" xr:uid="{00000000-0005-0000-0000-0000587E0000}"/>
    <cellStyle name="Superscript 3 6 4 6 2" xfId="29299" xr:uid="{00000000-0005-0000-0000-0000597E0000}"/>
    <cellStyle name="Superscript 3 6 4 7" xfId="29300" xr:uid="{00000000-0005-0000-0000-00005A7E0000}"/>
    <cellStyle name="Superscript 3 6 4 7 2" xfId="29301" xr:uid="{00000000-0005-0000-0000-00005B7E0000}"/>
    <cellStyle name="Superscript 3 6 4 8" xfId="29302" xr:uid="{00000000-0005-0000-0000-00005C7E0000}"/>
    <cellStyle name="Superscript 3 6 4 8 2" xfId="29303" xr:uid="{00000000-0005-0000-0000-00005D7E0000}"/>
    <cellStyle name="Superscript 3 6 4 9" xfId="29304" xr:uid="{00000000-0005-0000-0000-00005E7E0000}"/>
    <cellStyle name="Superscript 3 6 4 9 2" xfId="29305" xr:uid="{00000000-0005-0000-0000-00005F7E0000}"/>
    <cellStyle name="Superscript 3 6 5" xfId="29306" xr:uid="{00000000-0005-0000-0000-0000607E0000}"/>
    <cellStyle name="Superscript 3 6 5 10" xfId="29307" xr:uid="{00000000-0005-0000-0000-0000617E0000}"/>
    <cellStyle name="Superscript 3 6 5 2" xfId="29308" xr:uid="{00000000-0005-0000-0000-0000627E0000}"/>
    <cellStyle name="Superscript 3 6 5 2 2" xfId="29309" xr:uid="{00000000-0005-0000-0000-0000637E0000}"/>
    <cellStyle name="Superscript 3 6 5 3" xfId="29310" xr:uid="{00000000-0005-0000-0000-0000647E0000}"/>
    <cellStyle name="Superscript 3 6 5 3 2" xfId="29311" xr:uid="{00000000-0005-0000-0000-0000657E0000}"/>
    <cellStyle name="Superscript 3 6 5 4" xfId="29312" xr:uid="{00000000-0005-0000-0000-0000667E0000}"/>
    <cellStyle name="Superscript 3 6 5 4 2" xfId="29313" xr:uid="{00000000-0005-0000-0000-0000677E0000}"/>
    <cellStyle name="Superscript 3 6 5 5" xfId="29314" xr:uid="{00000000-0005-0000-0000-0000687E0000}"/>
    <cellStyle name="Superscript 3 6 5 5 2" xfId="29315" xr:uid="{00000000-0005-0000-0000-0000697E0000}"/>
    <cellStyle name="Superscript 3 6 5 6" xfId="29316" xr:uid="{00000000-0005-0000-0000-00006A7E0000}"/>
    <cellStyle name="Superscript 3 6 5 6 2" xfId="29317" xr:uid="{00000000-0005-0000-0000-00006B7E0000}"/>
    <cellStyle name="Superscript 3 6 5 7" xfId="29318" xr:uid="{00000000-0005-0000-0000-00006C7E0000}"/>
    <cellStyle name="Superscript 3 6 5 7 2" xfId="29319" xr:uid="{00000000-0005-0000-0000-00006D7E0000}"/>
    <cellStyle name="Superscript 3 6 5 8" xfId="29320" xr:uid="{00000000-0005-0000-0000-00006E7E0000}"/>
    <cellStyle name="Superscript 3 6 5 8 2" xfId="29321" xr:uid="{00000000-0005-0000-0000-00006F7E0000}"/>
    <cellStyle name="Superscript 3 6 5 9" xfId="29322" xr:uid="{00000000-0005-0000-0000-0000707E0000}"/>
    <cellStyle name="Superscript 3 6 5 9 2" xfId="29323" xr:uid="{00000000-0005-0000-0000-0000717E0000}"/>
    <cellStyle name="Superscript 3 6 6" xfId="29324" xr:uid="{00000000-0005-0000-0000-0000727E0000}"/>
    <cellStyle name="Superscript 3 6 6 10" xfId="29325" xr:uid="{00000000-0005-0000-0000-0000737E0000}"/>
    <cellStyle name="Superscript 3 6 6 2" xfId="29326" xr:uid="{00000000-0005-0000-0000-0000747E0000}"/>
    <cellStyle name="Superscript 3 6 6 2 2" xfId="29327" xr:uid="{00000000-0005-0000-0000-0000757E0000}"/>
    <cellStyle name="Superscript 3 6 6 3" xfId="29328" xr:uid="{00000000-0005-0000-0000-0000767E0000}"/>
    <cellStyle name="Superscript 3 6 6 3 2" xfId="29329" xr:uid="{00000000-0005-0000-0000-0000777E0000}"/>
    <cellStyle name="Superscript 3 6 6 4" xfId="29330" xr:uid="{00000000-0005-0000-0000-0000787E0000}"/>
    <cellStyle name="Superscript 3 6 6 4 2" xfId="29331" xr:uid="{00000000-0005-0000-0000-0000797E0000}"/>
    <cellStyle name="Superscript 3 6 6 5" xfId="29332" xr:uid="{00000000-0005-0000-0000-00007A7E0000}"/>
    <cellStyle name="Superscript 3 6 6 5 2" xfId="29333" xr:uid="{00000000-0005-0000-0000-00007B7E0000}"/>
    <cellStyle name="Superscript 3 6 6 6" xfId="29334" xr:uid="{00000000-0005-0000-0000-00007C7E0000}"/>
    <cellStyle name="Superscript 3 6 6 6 2" xfId="29335" xr:uid="{00000000-0005-0000-0000-00007D7E0000}"/>
    <cellStyle name="Superscript 3 6 6 7" xfId="29336" xr:uid="{00000000-0005-0000-0000-00007E7E0000}"/>
    <cellStyle name="Superscript 3 6 6 7 2" xfId="29337" xr:uid="{00000000-0005-0000-0000-00007F7E0000}"/>
    <cellStyle name="Superscript 3 6 6 8" xfId="29338" xr:uid="{00000000-0005-0000-0000-0000807E0000}"/>
    <cellStyle name="Superscript 3 6 6 8 2" xfId="29339" xr:uid="{00000000-0005-0000-0000-0000817E0000}"/>
    <cellStyle name="Superscript 3 6 6 9" xfId="29340" xr:uid="{00000000-0005-0000-0000-0000827E0000}"/>
    <cellStyle name="Superscript 3 6 6 9 2" xfId="29341" xr:uid="{00000000-0005-0000-0000-0000837E0000}"/>
    <cellStyle name="Superscript 3 6 7" xfId="29342" xr:uid="{00000000-0005-0000-0000-0000847E0000}"/>
    <cellStyle name="Superscript 3 6 7 10" xfId="29343" xr:uid="{00000000-0005-0000-0000-0000857E0000}"/>
    <cellStyle name="Superscript 3 6 7 2" xfId="29344" xr:uid="{00000000-0005-0000-0000-0000867E0000}"/>
    <cellStyle name="Superscript 3 6 7 2 2" xfId="29345" xr:uid="{00000000-0005-0000-0000-0000877E0000}"/>
    <cellStyle name="Superscript 3 6 7 3" xfId="29346" xr:uid="{00000000-0005-0000-0000-0000887E0000}"/>
    <cellStyle name="Superscript 3 6 7 3 2" xfId="29347" xr:uid="{00000000-0005-0000-0000-0000897E0000}"/>
    <cellStyle name="Superscript 3 6 7 4" xfId="29348" xr:uid="{00000000-0005-0000-0000-00008A7E0000}"/>
    <cellStyle name="Superscript 3 6 7 4 2" xfId="29349" xr:uid="{00000000-0005-0000-0000-00008B7E0000}"/>
    <cellStyle name="Superscript 3 6 7 5" xfId="29350" xr:uid="{00000000-0005-0000-0000-00008C7E0000}"/>
    <cellStyle name="Superscript 3 6 7 5 2" xfId="29351" xr:uid="{00000000-0005-0000-0000-00008D7E0000}"/>
    <cellStyle name="Superscript 3 6 7 6" xfId="29352" xr:uid="{00000000-0005-0000-0000-00008E7E0000}"/>
    <cellStyle name="Superscript 3 6 7 6 2" xfId="29353" xr:uid="{00000000-0005-0000-0000-00008F7E0000}"/>
    <cellStyle name="Superscript 3 6 7 7" xfId="29354" xr:uid="{00000000-0005-0000-0000-0000907E0000}"/>
    <cellStyle name="Superscript 3 6 7 7 2" xfId="29355" xr:uid="{00000000-0005-0000-0000-0000917E0000}"/>
    <cellStyle name="Superscript 3 6 7 8" xfId="29356" xr:uid="{00000000-0005-0000-0000-0000927E0000}"/>
    <cellStyle name="Superscript 3 6 7 8 2" xfId="29357" xr:uid="{00000000-0005-0000-0000-0000937E0000}"/>
    <cellStyle name="Superscript 3 6 7 9" xfId="29358" xr:uid="{00000000-0005-0000-0000-0000947E0000}"/>
    <cellStyle name="Superscript 3 6 7 9 2" xfId="29359" xr:uid="{00000000-0005-0000-0000-0000957E0000}"/>
    <cellStyle name="Superscript 3 6 8" xfId="29360" xr:uid="{00000000-0005-0000-0000-0000967E0000}"/>
    <cellStyle name="Superscript 3 6 8 10" xfId="29361" xr:uid="{00000000-0005-0000-0000-0000977E0000}"/>
    <cellStyle name="Superscript 3 6 8 2" xfId="29362" xr:uid="{00000000-0005-0000-0000-0000987E0000}"/>
    <cellStyle name="Superscript 3 6 8 2 2" xfId="29363" xr:uid="{00000000-0005-0000-0000-0000997E0000}"/>
    <cellStyle name="Superscript 3 6 8 3" xfId="29364" xr:uid="{00000000-0005-0000-0000-00009A7E0000}"/>
    <cellStyle name="Superscript 3 6 8 3 2" xfId="29365" xr:uid="{00000000-0005-0000-0000-00009B7E0000}"/>
    <cellStyle name="Superscript 3 6 8 4" xfId="29366" xr:uid="{00000000-0005-0000-0000-00009C7E0000}"/>
    <cellStyle name="Superscript 3 6 8 4 2" xfId="29367" xr:uid="{00000000-0005-0000-0000-00009D7E0000}"/>
    <cellStyle name="Superscript 3 6 8 5" xfId="29368" xr:uid="{00000000-0005-0000-0000-00009E7E0000}"/>
    <cellStyle name="Superscript 3 6 8 5 2" xfId="29369" xr:uid="{00000000-0005-0000-0000-00009F7E0000}"/>
    <cellStyle name="Superscript 3 6 8 6" xfId="29370" xr:uid="{00000000-0005-0000-0000-0000A07E0000}"/>
    <cellStyle name="Superscript 3 6 8 6 2" xfId="29371" xr:uid="{00000000-0005-0000-0000-0000A17E0000}"/>
    <cellStyle name="Superscript 3 6 8 7" xfId="29372" xr:uid="{00000000-0005-0000-0000-0000A27E0000}"/>
    <cellStyle name="Superscript 3 6 8 7 2" xfId="29373" xr:uid="{00000000-0005-0000-0000-0000A37E0000}"/>
    <cellStyle name="Superscript 3 6 8 8" xfId="29374" xr:uid="{00000000-0005-0000-0000-0000A47E0000}"/>
    <cellStyle name="Superscript 3 6 8 8 2" xfId="29375" xr:uid="{00000000-0005-0000-0000-0000A57E0000}"/>
    <cellStyle name="Superscript 3 6 8 9" xfId="29376" xr:uid="{00000000-0005-0000-0000-0000A67E0000}"/>
    <cellStyle name="Superscript 3 6 8 9 2" xfId="29377" xr:uid="{00000000-0005-0000-0000-0000A77E0000}"/>
    <cellStyle name="Superscript 3 6 9" xfId="29378" xr:uid="{00000000-0005-0000-0000-0000A87E0000}"/>
    <cellStyle name="Superscript 3 6 9 10" xfId="29379" xr:uid="{00000000-0005-0000-0000-0000A97E0000}"/>
    <cellStyle name="Superscript 3 6 9 2" xfId="29380" xr:uid="{00000000-0005-0000-0000-0000AA7E0000}"/>
    <cellStyle name="Superscript 3 6 9 2 2" xfId="29381" xr:uid="{00000000-0005-0000-0000-0000AB7E0000}"/>
    <cellStyle name="Superscript 3 6 9 3" xfId="29382" xr:uid="{00000000-0005-0000-0000-0000AC7E0000}"/>
    <cellStyle name="Superscript 3 6 9 3 2" xfId="29383" xr:uid="{00000000-0005-0000-0000-0000AD7E0000}"/>
    <cellStyle name="Superscript 3 6 9 4" xfId="29384" xr:uid="{00000000-0005-0000-0000-0000AE7E0000}"/>
    <cellStyle name="Superscript 3 6 9 4 2" xfId="29385" xr:uid="{00000000-0005-0000-0000-0000AF7E0000}"/>
    <cellStyle name="Superscript 3 6 9 5" xfId="29386" xr:uid="{00000000-0005-0000-0000-0000B07E0000}"/>
    <cellStyle name="Superscript 3 6 9 5 2" xfId="29387" xr:uid="{00000000-0005-0000-0000-0000B17E0000}"/>
    <cellStyle name="Superscript 3 6 9 6" xfId="29388" xr:uid="{00000000-0005-0000-0000-0000B27E0000}"/>
    <cellStyle name="Superscript 3 6 9 6 2" xfId="29389" xr:uid="{00000000-0005-0000-0000-0000B37E0000}"/>
    <cellStyle name="Superscript 3 6 9 7" xfId="29390" xr:uid="{00000000-0005-0000-0000-0000B47E0000}"/>
    <cellStyle name="Superscript 3 6 9 7 2" xfId="29391" xr:uid="{00000000-0005-0000-0000-0000B57E0000}"/>
    <cellStyle name="Superscript 3 6 9 8" xfId="29392" xr:uid="{00000000-0005-0000-0000-0000B67E0000}"/>
    <cellStyle name="Superscript 3 6 9 8 2" xfId="29393" xr:uid="{00000000-0005-0000-0000-0000B77E0000}"/>
    <cellStyle name="Superscript 3 6 9 9" xfId="29394" xr:uid="{00000000-0005-0000-0000-0000B87E0000}"/>
    <cellStyle name="Superscript 3 6 9 9 2" xfId="29395" xr:uid="{00000000-0005-0000-0000-0000B97E0000}"/>
    <cellStyle name="Superscript 3 7" xfId="29396" xr:uid="{00000000-0005-0000-0000-0000BA7E0000}"/>
    <cellStyle name="Superscript 3 7 10" xfId="29397" xr:uid="{00000000-0005-0000-0000-0000BB7E0000}"/>
    <cellStyle name="Superscript 3 7 10 2" xfId="29398" xr:uid="{00000000-0005-0000-0000-0000BC7E0000}"/>
    <cellStyle name="Superscript 3 7 10 2 2" xfId="29399" xr:uid="{00000000-0005-0000-0000-0000BD7E0000}"/>
    <cellStyle name="Superscript 3 7 10 3" xfId="29400" xr:uid="{00000000-0005-0000-0000-0000BE7E0000}"/>
    <cellStyle name="Superscript 3 7 10 3 2" xfId="29401" xr:uid="{00000000-0005-0000-0000-0000BF7E0000}"/>
    <cellStyle name="Superscript 3 7 10 4" xfId="29402" xr:uid="{00000000-0005-0000-0000-0000C07E0000}"/>
    <cellStyle name="Superscript 3 7 10 4 2" xfId="29403" xr:uid="{00000000-0005-0000-0000-0000C17E0000}"/>
    <cellStyle name="Superscript 3 7 10 5" xfId="29404" xr:uid="{00000000-0005-0000-0000-0000C27E0000}"/>
    <cellStyle name="Superscript 3 7 10 5 2" xfId="29405" xr:uid="{00000000-0005-0000-0000-0000C37E0000}"/>
    <cellStyle name="Superscript 3 7 10 6" xfId="29406" xr:uid="{00000000-0005-0000-0000-0000C47E0000}"/>
    <cellStyle name="Superscript 3 7 10 6 2" xfId="29407" xr:uid="{00000000-0005-0000-0000-0000C57E0000}"/>
    <cellStyle name="Superscript 3 7 10 7" xfId="29408" xr:uid="{00000000-0005-0000-0000-0000C67E0000}"/>
    <cellStyle name="Superscript 3 7 10 7 2" xfId="29409" xr:uid="{00000000-0005-0000-0000-0000C77E0000}"/>
    <cellStyle name="Superscript 3 7 10 8" xfId="29410" xr:uid="{00000000-0005-0000-0000-0000C87E0000}"/>
    <cellStyle name="Superscript 3 7 10 8 2" xfId="29411" xr:uid="{00000000-0005-0000-0000-0000C97E0000}"/>
    <cellStyle name="Superscript 3 7 10 9" xfId="29412" xr:uid="{00000000-0005-0000-0000-0000CA7E0000}"/>
    <cellStyle name="Superscript 3 7 11" xfId="29413" xr:uid="{00000000-0005-0000-0000-0000CB7E0000}"/>
    <cellStyle name="Superscript 3 7 11 2" xfId="29414" xr:uid="{00000000-0005-0000-0000-0000CC7E0000}"/>
    <cellStyle name="Superscript 3 7 12" xfId="29415" xr:uid="{00000000-0005-0000-0000-0000CD7E0000}"/>
    <cellStyle name="Superscript 3 7 12 2" xfId="29416" xr:uid="{00000000-0005-0000-0000-0000CE7E0000}"/>
    <cellStyle name="Superscript 3 7 13" xfId="29417" xr:uid="{00000000-0005-0000-0000-0000CF7E0000}"/>
    <cellStyle name="Superscript 3 7 13 2" xfId="29418" xr:uid="{00000000-0005-0000-0000-0000D07E0000}"/>
    <cellStyle name="Superscript 3 7 14" xfId="29419" xr:uid="{00000000-0005-0000-0000-0000D17E0000}"/>
    <cellStyle name="Superscript 3 7 14 2" xfId="29420" xr:uid="{00000000-0005-0000-0000-0000D27E0000}"/>
    <cellStyle name="Superscript 3 7 15" xfId="29421" xr:uid="{00000000-0005-0000-0000-0000D37E0000}"/>
    <cellStyle name="Superscript 3 7 15 2" xfId="29422" xr:uid="{00000000-0005-0000-0000-0000D47E0000}"/>
    <cellStyle name="Superscript 3 7 16" xfId="29423" xr:uid="{00000000-0005-0000-0000-0000D57E0000}"/>
    <cellStyle name="Superscript 3 7 16 2" xfId="29424" xr:uid="{00000000-0005-0000-0000-0000D67E0000}"/>
    <cellStyle name="Superscript 3 7 17" xfId="29425" xr:uid="{00000000-0005-0000-0000-0000D77E0000}"/>
    <cellStyle name="Superscript 3 7 17 2" xfId="29426" xr:uid="{00000000-0005-0000-0000-0000D87E0000}"/>
    <cellStyle name="Superscript 3 7 18" xfId="29427" xr:uid="{00000000-0005-0000-0000-0000D97E0000}"/>
    <cellStyle name="Superscript 3 7 2" xfId="29428" xr:uid="{00000000-0005-0000-0000-0000DA7E0000}"/>
    <cellStyle name="Superscript 3 7 2 10" xfId="29429" xr:uid="{00000000-0005-0000-0000-0000DB7E0000}"/>
    <cellStyle name="Superscript 3 7 2 2" xfId="29430" xr:uid="{00000000-0005-0000-0000-0000DC7E0000}"/>
    <cellStyle name="Superscript 3 7 2 2 2" xfId="29431" xr:uid="{00000000-0005-0000-0000-0000DD7E0000}"/>
    <cellStyle name="Superscript 3 7 2 3" xfId="29432" xr:uid="{00000000-0005-0000-0000-0000DE7E0000}"/>
    <cellStyle name="Superscript 3 7 2 3 2" xfId="29433" xr:uid="{00000000-0005-0000-0000-0000DF7E0000}"/>
    <cellStyle name="Superscript 3 7 2 4" xfId="29434" xr:uid="{00000000-0005-0000-0000-0000E07E0000}"/>
    <cellStyle name="Superscript 3 7 2 4 2" xfId="29435" xr:uid="{00000000-0005-0000-0000-0000E17E0000}"/>
    <cellStyle name="Superscript 3 7 2 5" xfId="29436" xr:uid="{00000000-0005-0000-0000-0000E27E0000}"/>
    <cellStyle name="Superscript 3 7 2 5 2" xfId="29437" xr:uid="{00000000-0005-0000-0000-0000E37E0000}"/>
    <cellStyle name="Superscript 3 7 2 6" xfId="29438" xr:uid="{00000000-0005-0000-0000-0000E47E0000}"/>
    <cellStyle name="Superscript 3 7 2 6 2" xfId="29439" xr:uid="{00000000-0005-0000-0000-0000E57E0000}"/>
    <cellStyle name="Superscript 3 7 2 7" xfId="29440" xr:uid="{00000000-0005-0000-0000-0000E67E0000}"/>
    <cellStyle name="Superscript 3 7 2 7 2" xfId="29441" xr:uid="{00000000-0005-0000-0000-0000E77E0000}"/>
    <cellStyle name="Superscript 3 7 2 8" xfId="29442" xr:uid="{00000000-0005-0000-0000-0000E87E0000}"/>
    <cellStyle name="Superscript 3 7 2 8 2" xfId="29443" xr:uid="{00000000-0005-0000-0000-0000E97E0000}"/>
    <cellStyle name="Superscript 3 7 2 9" xfId="29444" xr:uid="{00000000-0005-0000-0000-0000EA7E0000}"/>
    <cellStyle name="Superscript 3 7 2 9 2" xfId="29445" xr:uid="{00000000-0005-0000-0000-0000EB7E0000}"/>
    <cellStyle name="Superscript 3 7 3" xfId="29446" xr:uid="{00000000-0005-0000-0000-0000EC7E0000}"/>
    <cellStyle name="Superscript 3 7 3 10" xfId="29447" xr:uid="{00000000-0005-0000-0000-0000ED7E0000}"/>
    <cellStyle name="Superscript 3 7 3 2" xfId="29448" xr:uid="{00000000-0005-0000-0000-0000EE7E0000}"/>
    <cellStyle name="Superscript 3 7 3 2 2" xfId="29449" xr:uid="{00000000-0005-0000-0000-0000EF7E0000}"/>
    <cellStyle name="Superscript 3 7 3 3" xfId="29450" xr:uid="{00000000-0005-0000-0000-0000F07E0000}"/>
    <cellStyle name="Superscript 3 7 3 3 2" xfId="29451" xr:uid="{00000000-0005-0000-0000-0000F17E0000}"/>
    <cellStyle name="Superscript 3 7 3 4" xfId="29452" xr:uid="{00000000-0005-0000-0000-0000F27E0000}"/>
    <cellStyle name="Superscript 3 7 3 4 2" xfId="29453" xr:uid="{00000000-0005-0000-0000-0000F37E0000}"/>
    <cellStyle name="Superscript 3 7 3 5" xfId="29454" xr:uid="{00000000-0005-0000-0000-0000F47E0000}"/>
    <cellStyle name="Superscript 3 7 3 5 2" xfId="29455" xr:uid="{00000000-0005-0000-0000-0000F57E0000}"/>
    <cellStyle name="Superscript 3 7 3 6" xfId="29456" xr:uid="{00000000-0005-0000-0000-0000F67E0000}"/>
    <cellStyle name="Superscript 3 7 3 6 2" xfId="29457" xr:uid="{00000000-0005-0000-0000-0000F77E0000}"/>
    <cellStyle name="Superscript 3 7 3 7" xfId="29458" xr:uid="{00000000-0005-0000-0000-0000F87E0000}"/>
    <cellStyle name="Superscript 3 7 3 7 2" xfId="29459" xr:uid="{00000000-0005-0000-0000-0000F97E0000}"/>
    <cellStyle name="Superscript 3 7 3 8" xfId="29460" xr:uid="{00000000-0005-0000-0000-0000FA7E0000}"/>
    <cellStyle name="Superscript 3 7 3 8 2" xfId="29461" xr:uid="{00000000-0005-0000-0000-0000FB7E0000}"/>
    <cellStyle name="Superscript 3 7 3 9" xfId="29462" xr:uid="{00000000-0005-0000-0000-0000FC7E0000}"/>
    <cellStyle name="Superscript 3 7 3 9 2" xfId="29463" xr:uid="{00000000-0005-0000-0000-0000FD7E0000}"/>
    <cellStyle name="Superscript 3 7 4" xfId="29464" xr:uid="{00000000-0005-0000-0000-0000FE7E0000}"/>
    <cellStyle name="Superscript 3 7 4 10" xfId="29465" xr:uid="{00000000-0005-0000-0000-0000FF7E0000}"/>
    <cellStyle name="Superscript 3 7 4 2" xfId="29466" xr:uid="{00000000-0005-0000-0000-0000007F0000}"/>
    <cellStyle name="Superscript 3 7 4 2 2" xfId="29467" xr:uid="{00000000-0005-0000-0000-0000017F0000}"/>
    <cellStyle name="Superscript 3 7 4 3" xfId="29468" xr:uid="{00000000-0005-0000-0000-0000027F0000}"/>
    <cellStyle name="Superscript 3 7 4 3 2" xfId="29469" xr:uid="{00000000-0005-0000-0000-0000037F0000}"/>
    <cellStyle name="Superscript 3 7 4 4" xfId="29470" xr:uid="{00000000-0005-0000-0000-0000047F0000}"/>
    <cellStyle name="Superscript 3 7 4 4 2" xfId="29471" xr:uid="{00000000-0005-0000-0000-0000057F0000}"/>
    <cellStyle name="Superscript 3 7 4 5" xfId="29472" xr:uid="{00000000-0005-0000-0000-0000067F0000}"/>
    <cellStyle name="Superscript 3 7 4 5 2" xfId="29473" xr:uid="{00000000-0005-0000-0000-0000077F0000}"/>
    <cellStyle name="Superscript 3 7 4 6" xfId="29474" xr:uid="{00000000-0005-0000-0000-0000087F0000}"/>
    <cellStyle name="Superscript 3 7 4 6 2" xfId="29475" xr:uid="{00000000-0005-0000-0000-0000097F0000}"/>
    <cellStyle name="Superscript 3 7 4 7" xfId="29476" xr:uid="{00000000-0005-0000-0000-00000A7F0000}"/>
    <cellStyle name="Superscript 3 7 4 7 2" xfId="29477" xr:uid="{00000000-0005-0000-0000-00000B7F0000}"/>
    <cellStyle name="Superscript 3 7 4 8" xfId="29478" xr:uid="{00000000-0005-0000-0000-00000C7F0000}"/>
    <cellStyle name="Superscript 3 7 4 8 2" xfId="29479" xr:uid="{00000000-0005-0000-0000-00000D7F0000}"/>
    <cellStyle name="Superscript 3 7 4 9" xfId="29480" xr:uid="{00000000-0005-0000-0000-00000E7F0000}"/>
    <cellStyle name="Superscript 3 7 4 9 2" xfId="29481" xr:uid="{00000000-0005-0000-0000-00000F7F0000}"/>
    <cellStyle name="Superscript 3 7 5" xfId="29482" xr:uid="{00000000-0005-0000-0000-0000107F0000}"/>
    <cellStyle name="Superscript 3 7 5 10" xfId="29483" xr:uid="{00000000-0005-0000-0000-0000117F0000}"/>
    <cellStyle name="Superscript 3 7 5 2" xfId="29484" xr:uid="{00000000-0005-0000-0000-0000127F0000}"/>
    <cellStyle name="Superscript 3 7 5 2 2" xfId="29485" xr:uid="{00000000-0005-0000-0000-0000137F0000}"/>
    <cellStyle name="Superscript 3 7 5 3" xfId="29486" xr:uid="{00000000-0005-0000-0000-0000147F0000}"/>
    <cellStyle name="Superscript 3 7 5 3 2" xfId="29487" xr:uid="{00000000-0005-0000-0000-0000157F0000}"/>
    <cellStyle name="Superscript 3 7 5 4" xfId="29488" xr:uid="{00000000-0005-0000-0000-0000167F0000}"/>
    <cellStyle name="Superscript 3 7 5 4 2" xfId="29489" xr:uid="{00000000-0005-0000-0000-0000177F0000}"/>
    <cellStyle name="Superscript 3 7 5 5" xfId="29490" xr:uid="{00000000-0005-0000-0000-0000187F0000}"/>
    <cellStyle name="Superscript 3 7 5 5 2" xfId="29491" xr:uid="{00000000-0005-0000-0000-0000197F0000}"/>
    <cellStyle name="Superscript 3 7 5 6" xfId="29492" xr:uid="{00000000-0005-0000-0000-00001A7F0000}"/>
    <cellStyle name="Superscript 3 7 5 6 2" xfId="29493" xr:uid="{00000000-0005-0000-0000-00001B7F0000}"/>
    <cellStyle name="Superscript 3 7 5 7" xfId="29494" xr:uid="{00000000-0005-0000-0000-00001C7F0000}"/>
    <cellStyle name="Superscript 3 7 5 7 2" xfId="29495" xr:uid="{00000000-0005-0000-0000-00001D7F0000}"/>
    <cellStyle name="Superscript 3 7 5 8" xfId="29496" xr:uid="{00000000-0005-0000-0000-00001E7F0000}"/>
    <cellStyle name="Superscript 3 7 5 8 2" xfId="29497" xr:uid="{00000000-0005-0000-0000-00001F7F0000}"/>
    <cellStyle name="Superscript 3 7 5 9" xfId="29498" xr:uid="{00000000-0005-0000-0000-0000207F0000}"/>
    <cellStyle name="Superscript 3 7 5 9 2" xfId="29499" xr:uid="{00000000-0005-0000-0000-0000217F0000}"/>
    <cellStyle name="Superscript 3 7 6" xfId="29500" xr:uid="{00000000-0005-0000-0000-0000227F0000}"/>
    <cellStyle name="Superscript 3 7 6 10" xfId="29501" xr:uid="{00000000-0005-0000-0000-0000237F0000}"/>
    <cellStyle name="Superscript 3 7 6 2" xfId="29502" xr:uid="{00000000-0005-0000-0000-0000247F0000}"/>
    <cellStyle name="Superscript 3 7 6 2 2" xfId="29503" xr:uid="{00000000-0005-0000-0000-0000257F0000}"/>
    <cellStyle name="Superscript 3 7 6 3" xfId="29504" xr:uid="{00000000-0005-0000-0000-0000267F0000}"/>
    <cellStyle name="Superscript 3 7 6 3 2" xfId="29505" xr:uid="{00000000-0005-0000-0000-0000277F0000}"/>
    <cellStyle name="Superscript 3 7 6 4" xfId="29506" xr:uid="{00000000-0005-0000-0000-0000287F0000}"/>
    <cellStyle name="Superscript 3 7 6 4 2" xfId="29507" xr:uid="{00000000-0005-0000-0000-0000297F0000}"/>
    <cellStyle name="Superscript 3 7 6 5" xfId="29508" xr:uid="{00000000-0005-0000-0000-00002A7F0000}"/>
    <cellStyle name="Superscript 3 7 6 5 2" xfId="29509" xr:uid="{00000000-0005-0000-0000-00002B7F0000}"/>
    <cellStyle name="Superscript 3 7 6 6" xfId="29510" xr:uid="{00000000-0005-0000-0000-00002C7F0000}"/>
    <cellStyle name="Superscript 3 7 6 6 2" xfId="29511" xr:uid="{00000000-0005-0000-0000-00002D7F0000}"/>
    <cellStyle name="Superscript 3 7 6 7" xfId="29512" xr:uid="{00000000-0005-0000-0000-00002E7F0000}"/>
    <cellStyle name="Superscript 3 7 6 7 2" xfId="29513" xr:uid="{00000000-0005-0000-0000-00002F7F0000}"/>
    <cellStyle name="Superscript 3 7 6 8" xfId="29514" xr:uid="{00000000-0005-0000-0000-0000307F0000}"/>
    <cellStyle name="Superscript 3 7 6 8 2" xfId="29515" xr:uid="{00000000-0005-0000-0000-0000317F0000}"/>
    <cellStyle name="Superscript 3 7 6 9" xfId="29516" xr:uid="{00000000-0005-0000-0000-0000327F0000}"/>
    <cellStyle name="Superscript 3 7 6 9 2" xfId="29517" xr:uid="{00000000-0005-0000-0000-0000337F0000}"/>
    <cellStyle name="Superscript 3 7 7" xfId="29518" xr:uid="{00000000-0005-0000-0000-0000347F0000}"/>
    <cellStyle name="Superscript 3 7 7 10" xfId="29519" xr:uid="{00000000-0005-0000-0000-0000357F0000}"/>
    <cellStyle name="Superscript 3 7 7 2" xfId="29520" xr:uid="{00000000-0005-0000-0000-0000367F0000}"/>
    <cellStyle name="Superscript 3 7 7 2 2" xfId="29521" xr:uid="{00000000-0005-0000-0000-0000377F0000}"/>
    <cellStyle name="Superscript 3 7 7 3" xfId="29522" xr:uid="{00000000-0005-0000-0000-0000387F0000}"/>
    <cellStyle name="Superscript 3 7 7 3 2" xfId="29523" xr:uid="{00000000-0005-0000-0000-0000397F0000}"/>
    <cellStyle name="Superscript 3 7 7 4" xfId="29524" xr:uid="{00000000-0005-0000-0000-00003A7F0000}"/>
    <cellStyle name="Superscript 3 7 7 4 2" xfId="29525" xr:uid="{00000000-0005-0000-0000-00003B7F0000}"/>
    <cellStyle name="Superscript 3 7 7 5" xfId="29526" xr:uid="{00000000-0005-0000-0000-00003C7F0000}"/>
    <cellStyle name="Superscript 3 7 7 5 2" xfId="29527" xr:uid="{00000000-0005-0000-0000-00003D7F0000}"/>
    <cellStyle name="Superscript 3 7 7 6" xfId="29528" xr:uid="{00000000-0005-0000-0000-00003E7F0000}"/>
    <cellStyle name="Superscript 3 7 7 6 2" xfId="29529" xr:uid="{00000000-0005-0000-0000-00003F7F0000}"/>
    <cellStyle name="Superscript 3 7 7 7" xfId="29530" xr:uid="{00000000-0005-0000-0000-0000407F0000}"/>
    <cellStyle name="Superscript 3 7 7 7 2" xfId="29531" xr:uid="{00000000-0005-0000-0000-0000417F0000}"/>
    <cellStyle name="Superscript 3 7 7 8" xfId="29532" xr:uid="{00000000-0005-0000-0000-0000427F0000}"/>
    <cellStyle name="Superscript 3 7 7 8 2" xfId="29533" xr:uid="{00000000-0005-0000-0000-0000437F0000}"/>
    <cellStyle name="Superscript 3 7 7 9" xfId="29534" xr:uid="{00000000-0005-0000-0000-0000447F0000}"/>
    <cellStyle name="Superscript 3 7 7 9 2" xfId="29535" xr:uid="{00000000-0005-0000-0000-0000457F0000}"/>
    <cellStyle name="Superscript 3 7 8" xfId="29536" xr:uid="{00000000-0005-0000-0000-0000467F0000}"/>
    <cellStyle name="Superscript 3 7 8 10" xfId="29537" xr:uid="{00000000-0005-0000-0000-0000477F0000}"/>
    <cellStyle name="Superscript 3 7 8 2" xfId="29538" xr:uid="{00000000-0005-0000-0000-0000487F0000}"/>
    <cellStyle name="Superscript 3 7 8 2 2" xfId="29539" xr:uid="{00000000-0005-0000-0000-0000497F0000}"/>
    <cellStyle name="Superscript 3 7 8 3" xfId="29540" xr:uid="{00000000-0005-0000-0000-00004A7F0000}"/>
    <cellStyle name="Superscript 3 7 8 3 2" xfId="29541" xr:uid="{00000000-0005-0000-0000-00004B7F0000}"/>
    <cellStyle name="Superscript 3 7 8 4" xfId="29542" xr:uid="{00000000-0005-0000-0000-00004C7F0000}"/>
    <cellStyle name="Superscript 3 7 8 4 2" xfId="29543" xr:uid="{00000000-0005-0000-0000-00004D7F0000}"/>
    <cellStyle name="Superscript 3 7 8 5" xfId="29544" xr:uid="{00000000-0005-0000-0000-00004E7F0000}"/>
    <cellStyle name="Superscript 3 7 8 5 2" xfId="29545" xr:uid="{00000000-0005-0000-0000-00004F7F0000}"/>
    <cellStyle name="Superscript 3 7 8 6" xfId="29546" xr:uid="{00000000-0005-0000-0000-0000507F0000}"/>
    <cellStyle name="Superscript 3 7 8 6 2" xfId="29547" xr:uid="{00000000-0005-0000-0000-0000517F0000}"/>
    <cellStyle name="Superscript 3 7 8 7" xfId="29548" xr:uid="{00000000-0005-0000-0000-0000527F0000}"/>
    <cellStyle name="Superscript 3 7 8 7 2" xfId="29549" xr:uid="{00000000-0005-0000-0000-0000537F0000}"/>
    <cellStyle name="Superscript 3 7 8 8" xfId="29550" xr:uid="{00000000-0005-0000-0000-0000547F0000}"/>
    <cellStyle name="Superscript 3 7 8 8 2" xfId="29551" xr:uid="{00000000-0005-0000-0000-0000557F0000}"/>
    <cellStyle name="Superscript 3 7 8 9" xfId="29552" xr:uid="{00000000-0005-0000-0000-0000567F0000}"/>
    <cellStyle name="Superscript 3 7 8 9 2" xfId="29553" xr:uid="{00000000-0005-0000-0000-0000577F0000}"/>
    <cellStyle name="Superscript 3 7 9" xfId="29554" xr:uid="{00000000-0005-0000-0000-0000587F0000}"/>
    <cellStyle name="Superscript 3 7 9 10" xfId="29555" xr:uid="{00000000-0005-0000-0000-0000597F0000}"/>
    <cellStyle name="Superscript 3 7 9 2" xfId="29556" xr:uid="{00000000-0005-0000-0000-00005A7F0000}"/>
    <cellStyle name="Superscript 3 7 9 2 2" xfId="29557" xr:uid="{00000000-0005-0000-0000-00005B7F0000}"/>
    <cellStyle name="Superscript 3 7 9 3" xfId="29558" xr:uid="{00000000-0005-0000-0000-00005C7F0000}"/>
    <cellStyle name="Superscript 3 7 9 3 2" xfId="29559" xr:uid="{00000000-0005-0000-0000-00005D7F0000}"/>
    <cellStyle name="Superscript 3 7 9 4" xfId="29560" xr:uid="{00000000-0005-0000-0000-00005E7F0000}"/>
    <cellStyle name="Superscript 3 7 9 4 2" xfId="29561" xr:uid="{00000000-0005-0000-0000-00005F7F0000}"/>
    <cellStyle name="Superscript 3 7 9 5" xfId="29562" xr:uid="{00000000-0005-0000-0000-0000607F0000}"/>
    <cellStyle name="Superscript 3 7 9 5 2" xfId="29563" xr:uid="{00000000-0005-0000-0000-0000617F0000}"/>
    <cellStyle name="Superscript 3 7 9 6" xfId="29564" xr:uid="{00000000-0005-0000-0000-0000627F0000}"/>
    <cellStyle name="Superscript 3 7 9 6 2" xfId="29565" xr:uid="{00000000-0005-0000-0000-0000637F0000}"/>
    <cellStyle name="Superscript 3 7 9 7" xfId="29566" xr:uid="{00000000-0005-0000-0000-0000647F0000}"/>
    <cellStyle name="Superscript 3 7 9 7 2" xfId="29567" xr:uid="{00000000-0005-0000-0000-0000657F0000}"/>
    <cellStyle name="Superscript 3 7 9 8" xfId="29568" xr:uid="{00000000-0005-0000-0000-0000667F0000}"/>
    <cellStyle name="Superscript 3 7 9 8 2" xfId="29569" xr:uid="{00000000-0005-0000-0000-0000677F0000}"/>
    <cellStyle name="Superscript 3 7 9 9" xfId="29570" xr:uid="{00000000-0005-0000-0000-0000687F0000}"/>
    <cellStyle name="Superscript 3 7 9 9 2" xfId="29571" xr:uid="{00000000-0005-0000-0000-0000697F0000}"/>
    <cellStyle name="Superscript 3 8" xfId="29572" xr:uid="{00000000-0005-0000-0000-00006A7F0000}"/>
    <cellStyle name="Superscript 3 8 10" xfId="29573" xr:uid="{00000000-0005-0000-0000-00006B7F0000}"/>
    <cellStyle name="Superscript 3 8 10 2" xfId="29574" xr:uid="{00000000-0005-0000-0000-00006C7F0000}"/>
    <cellStyle name="Superscript 3 8 10 2 2" xfId="29575" xr:uid="{00000000-0005-0000-0000-00006D7F0000}"/>
    <cellStyle name="Superscript 3 8 10 3" xfId="29576" xr:uid="{00000000-0005-0000-0000-00006E7F0000}"/>
    <cellStyle name="Superscript 3 8 10 3 2" xfId="29577" xr:uid="{00000000-0005-0000-0000-00006F7F0000}"/>
    <cellStyle name="Superscript 3 8 10 4" xfId="29578" xr:uid="{00000000-0005-0000-0000-0000707F0000}"/>
    <cellStyle name="Superscript 3 8 10 4 2" xfId="29579" xr:uid="{00000000-0005-0000-0000-0000717F0000}"/>
    <cellStyle name="Superscript 3 8 10 5" xfId="29580" xr:uid="{00000000-0005-0000-0000-0000727F0000}"/>
    <cellStyle name="Superscript 3 8 10 5 2" xfId="29581" xr:uid="{00000000-0005-0000-0000-0000737F0000}"/>
    <cellStyle name="Superscript 3 8 10 6" xfId="29582" xr:uid="{00000000-0005-0000-0000-0000747F0000}"/>
    <cellStyle name="Superscript 3 8 10 6 2" xfId="29583" xr:uid="{00000000-0005-0000-0000-0000757F0000}"/>
    <cellStyle name="Superscript 3 8 10 7" xfId="29584" xr:uid="{00000000-0005-0000-0000-0000767F0000}"/>
    <cellStyle name="Superscript 3 8 10 7 2" xfId="29585" xr:uid="{00000000-0005-0000-0000-0000777F0000}"/>
    <cellStyle name="Superscript 3 8 10 8" xfId="29586" xr:uid="{00000000-0005-0000-0000-0000787F0000}"/>
    <cellStyle name="Superscript 3 8 10 8 2" xfId="29587" xr:uid="{00000000-0005-0000-0000-0000797F0000}"/>
    <cellStyle name="Superscript 3 8 10 9" xfId="29588" xr:uid="{00000000-0005-0000-0000-00007A7F0000}"/>
    <cellStyle name="Superscript 3 8 11" xfId="29589" xr:uid="{00000000-0005-0000-0000-00007B7F0000}"/>
    <cellStyle name="Superscript 3 8 11 2" xfId="29590" xr:uid="{00000000-0005-0000-0000-00007C7F0000}"/>
    <cellStyle name="Superscript 3 8 12" xfId="29591" xr:uid="{00000000-0005-0000-0000-00007D7F0000}"/>
    <cellStyle name="Superscript 3 8 12 2" xfId="29592" xr:uid="{00000000-0005-0000-0000-00007E7F0000}"/>
    <cellStyle name="Superscript 3 8 13" xfId="29593" xr:uid="{00000000-0005-0000-0000-00007F7F0000}"/>
    <cellStyle name="Superscript 3 8 13 2" xfId="29594" xr:uid="{00000000-0005-0000-0000-0000807F0000}"/>
    <cellStyle name="Superscript 3 8 14" xfId="29595" xr:uid="{00000000-0005-0000-0000-0000817F0000}"/>
    <cellStyle name="Superscript 3 8 14 2" xfId="29596" xr:uid="{00000000-0005-0000-0000-0000827F0000}"/>
    <cellStyle name="Superscript 3 8 15" xfId="29597" xr:uid="{00000000-0005-0000-0000-0000837F0000}"/>
    <cellStyle name="Superscript 3 8 15 2" xfId="29598" xr:uid="{00000000-0005-0000-0000-0000847F0000}"/>
    <cellStyle name="Superscript 3 8 16" xfId="29599" xr:uid="{00000000-0005-0000-0000-0000857F0000}"/>
    <cellStyle name="Superscript 3 8 16 2" xfId="29600" xr:uid="{00000000-0005-0000-0000-0000867F0000}"/>
    <cellStyle name="Superscript 3 8 17" xfId="29601" xr:uid="{00000000-0005-0000-0000-0000877F0000}"/>
    <cellStyle name="Superscript 3 8 17 2" xfId="29602" xr:uid="{00000000-0005-0000-0000-0000887F0000}"/>
    <cellStyle name="Superscript 3 8 18" xfId="29603" xr:uid="{00000000-0005-0000-0000-0000897F0000}"/>
    <cellStyle name="Superscript 3 8 2" xfId="29604" xr:uid="{00000000-0005-0000-0000-00008A7F0000}"/>
    <cellStyle name="Superscript 3 8 2 10" xfId="29605" xr:uid="{00000000-0005-0000-0000-00008B7F0000}"/>
    <cellStyle name="Superscript 3 8 2 2" xfId="29606" xr:uid="{00000000-0005-0000-0000-00008C7F0000}"/>
    <cellStyle name="Superscript 3 8 2 2 2" xfId="29607" xr:uid="{00000000-0005-0000-0000-00008D7F0000}"/>
    <cellStyle name="Superscript 3 8 2 3" xfId="29608" xr:uid="{00000000-0005-0000-0000-00008E7F0000}"/>
    <cellStyle name="Superscript 3 8 2 3 2" xfId="29609" xr:uid="{00000000-0005-0000-0000-00008F7F0000}"/>
    <cellStyle name="Superscript 3 8 2 4" xfId="29610" xr:uid="{00000000-0005-0000-0000-0000907F0000}"/>
    <cellStyle name="Superscript 3 8 2 4 2" xfId="29611" xr:uid="{00000000-0005-0000-0000-0000917F0000}"/>
    <cellStyle name="Superscript 3 8 2 5" xfId="29612" xr:uid="{00000000-0005-0000-0000-0000927F0000}"/>
    <cellStyle name="Superscript 3 8 2 5 2" xfId="29613" xr:uid="{00000000-0005-0000-0000-0000937F0000}"/>
    <cellStyle name="Superscript 3 8 2 6" xfId="29614" xr:uid="{00000000-0005-0000-0000-0000947F0000}"/>
    <cellStyle name="Superscript 3 8 2 6 2" xfId="29615" xr:uid="{00000000-0005-0000-0000-0000957F0000}"/>
    <cellStyle name="Superscript 3 8 2 7" xfId="29616" xr:uid="{00000000-0005-0000-0000-0000967F0000}"/>
    <cellStyle name="Superscript 3 8 2 7 2" xfId="29617" xr:uid="{00000000-0005-0000-0000-0000977F0000}"/>
    <cellStyle name="Superscript 3 8 2 8" xfId="29618" xr:uid="{00000000-0005-0000-0000-0000987F0000}"/>
    <cellStyle name="Superscript 3 8 2 8 2" xfId="29619" xr:uid="{00000000-0005-0000-0000-0000997F0000}"/>
    <cellStyle name="Superscript 3 8 2 9" xfId="29620" xr:uid="{00000000-0005-0000-0000-00009A7F0000}"/>
    <cellStyle name="Superscript 3 8 2 9 2" xfId="29621" xr:uid="{00000000-0005-0000-0000-00009B7F0000}"/>
    <cellStyle name="Superscript 3 8 3" xfId="29622" xr:uid="{00000000-0005-0000-0000-00009C7F0000}"/>
    <cellStyle name="Superscript 3 8 3 10" xfId="29623" xr:uid="{00000000-0005-0000-0000-00009D7F0000}"/>
    <cellStyle name="Superscript 3 8 3 2" xfId="29624" xr:uid="{00000000-0005-0000-0000-00009E7F0000}"/>
    <cellStyle name="Superscript 3 8 3 2 2" xfId="29625" xr:uid="{00000000-0005-0000-0000-00009F7F0000}"/>
    <cellStyle name="Superscript 3 8 3 3" xfId="29626" xr:uid="{00000000-0005-0000-0000-0000A07F0000}"/>
    <cellStyle name="Superscript 3 8 3 3 2" xfId="29627" xr:uid="{00000000-0005-0000-0000-0000A17F0000}"/>
    <cellStyle name="Superscript 3 8 3 4" xfId="29628" xr:uid="{00000000-0005-0000-0000-0000A27F0000}"/>
    <cellStyle name="Superscript 3 8 3 4 2" xfId="29629" xr:uid="{00000000-0005-0000-0000-0000A37F0000}"/>
    <cellStyle name="Superscript 3 8 3 5" xfId="29630" xr:uid="{00000000-0005-0000-0000-0000A47F0000}"/>
    <cellStyle name="Superscript 3 8 3 5 2" xfId="29631" xr:uid="{00000000-0005-0000-0000-0000A57F0000}"/>
    <cellStyle name="Superscript 3 8 3 6" xfId="29632" xr:uid="{00000000-0005-0000-0000-0000A67F0000}"/>
    <cellStyle name="Superscript 3 8 3 6 2" xfId="29633" xr:uid="{00000000-0005-0000-0000-0000A77F0000}"/>
    <cellStyle name="Superscript 3 8 3 7" xfId="29634" xr:uid="{00000000-0005-0000-0000-0000A87F0000}"/>
    <cellStyle name="Superscript 3 8 3 7 2" xfId="29635" xr:uid="{00000000-0005-0000-0000-0000A97F0000}"/>
    <cellStyle name="Superscript 3 8 3 8" xfId="29636" xr:uid="{00000000-0005-0000-0000-0000AA7F0000}"/>
    <cellStyle name="Superscript 3 8 3 8 2" xfId="29637" xr:uid="{00000000-0005-0000-0000-0000AB7F0000}"/>
    <cellStyle name="Superscript 3 8 3 9" xfId="29638" xr:uid="{00000000-0005-0000-0000-0000AC7F0000}"/>
    <cellStyle name="Superscript 3 8 3 9 2" xfId="29639" xr:uid="{00000000-0005-0000-0000-0000AD7F0000}"/>
    <cellStyle name="Superscript 3 8 4" xfId="29640" xr:uid="{00000000-0005-0000-0000-0000AE7F0000}"/>
    <cellStyle name="Superscript 3 8 4 10" xfId="29641" xr:uid="{00000000-0005-0000-0000-0000AF7F0000}"/>
    <cellStyle name="Superscript 3 8 4 2" xfId="29642" xr:uid="{00000000-0005-0000-0000-0000B07F0000}"/>
    <cellStyle name="Superscript 3 8 4 2 2" xfId="29643" xr:uid="{00000000-0005-0000-0000-0000B17F0000}"/>
    <cellStyle name="Superscript 3 8 4 3" xfId="29644" xr:uid="{00000000-0005-0000-0000-0000B27F0000}"/>
    <cellStyle name="Superscript 3 8 4 3 2" xfId="29645" xr:uid="{00000000-0005-0000-0000-0000B37F0000}"/>
    <cellStyle name="Superscript 3 8 4 4" xfId="29646" xr:uid="{00000000-0005-0000-0000-0000B47F0000}"/>
    <cellStyle name="Superscript 3 8 4 4 2" xfId="29647" xr:uid="{00000000-0005-0000-0000-0000B57F0000}"/>
    <cellStyle name="Superscript 3 8 4 5" xfId="29648" xr:uid="{00000000-0005-0000-0000-0000B67F0000}"/>
    <cellStyle name="Superscript 3 8 4 5 2" xfId="29649" xr:uid="{00000000-0005-0000-0000-0000B77F0000}"/>
    <cellStyle name="Superscript 3 8 4 6" xfId="29650" xr:uid="{00000000-0005-0000-0000-0000B87F0000}"/>
    <cellStyle name="Superscript 3 8 4 6 2" xfId="29651" xr:uid="{00000000-0005-0000-0000-0000B97F0000}"/>
    <cellStyle name="Superscript 3 8 4 7" xfId="29652" xr:uid="{00000000-0005-0000-0000-0000BA7F0000}"/>
    <cellStyle name="Superscript 3 8 4 7 2" xfId="29653" xr:uid="{00000000-0005-0000-0000-0000BB7F0000}"/>
    <cellStyle name="Superscript 3 8 4 8" xfId="29654" xr:uid="{00000000-0005-0000-0000-0000BC7F0000}"/>
    <cellStyle name="Superscript 3 8 4 8 2" xfId="29655" xr:uid="{00000000-0005-0000-0000-0000BD7F0000}"/>
    <cellStyle name="Superscript 3 8 4 9" xfId="29656" xr:uid="{00000000-0005-0000-0000-0000BE7F0000}"/>
    <cellStyle name="Superscript 3 8 4 9 2" xfId="29657" xr:uid="{00000000-0005-0000-0000-0000BF7F0000}"/>
    <cellStyle name="Superscript 3 8 5" xfId="29658" xr:uid="{00000000-0005-0000-0000-0000C07F0000}"/>
    <cellStyle name="Superscript 3 8 5 10" xfId="29659" xr:uid="{00000000-0005-0000-0000-0000C17F0000}"/>
    <cellStyle name="Superscript 3 8 5 2" xfId="29660" xr:uid="{00000000-0005-0000-0000-0000C27F0000}"/>
    <cellStyle name="Superscript 3 8 5 2 2" xfId="29661" xr:uid="{00000000-0005-0000-0000-0000C37F0000}"/>
    <cellStyle name="Superscript 3 8 5 3" xfId="29662" xr:uid="{00000000-0005-0000-0000-0000C47F0000}"/>
    <cellStyle name="Superscript 3 8 5 3 2" xfId="29663" xr:uid="{00000000-0005-0000-0000-0000C57F0000}"/>
    <cellStyle name="Superscript 3 8 5 4" xfId="29664" xr:uid="{00000000-0005-0000-0000-0000C67F0000}"/>
    <cellStyle name="Superscript 3 8 5 4 2" xfId="29665" xr:uid="{00000000-0005-0000-0000-0000C77F0000}"/>
    <cellStyle name="Superscript 3 8 5 5" xfId="29666" xr:uid="{00000000-0005-0000-0000-0000C87F0000}"/>
    <cellStyle name="Superscript 3 8 5 5 2" xfId="29667" xr:uid="{00000000-0005-0000-0000-0000C97F0000}"/>
    <cellStyle name="Superscript 3 8 5 6" xfId="29668" xr:uid="{00000000-0005-0000-0000-0000CA7F0000}"/>
    <cellStyle name="Superscript 3 8 5 6 2" xfId="29669" xr:uid="{00000000-0005-0000-0000-0000CB7F0000}"/>
    <cellStyle name="Superscript 3 8 5 7" xfId="29670" xr:uid="{00000000-0005-0000-0000-0000CC7F0000}"/>
    <cellStyle name="Superscript 3 8 5 7 2" xfId="29671" xr:uid="{00000000-0005-0000-0000-0000CD7F0000}"/>
    <cellStyle name="Superscript 3 8 5 8" xfId="29672" xr:uid="{00000000-0005-0000-0000-0000CE7F0000}"/>
    <cellStyle name="Superscript 3 8 5 8 2" xfId="29673" xr:uid="{00000000-0005-0000-0000-0000CF7F0000}"/>
    <cellStyle name="Superscript 3 8 5 9" xfId="29674" xr:uid="{00000000-0005-0000-0000-0000D07F0000}"/>
    <cellStyle name="Superscript 3 8 5 9 2" xfId="29675" xr:uid="{00000000-0005-0000-0000-0000D17F0000}"/>
    <cellStyle name="Superscript 3 8 6" xfId="29676" xr:uid="{00000000-0005-0000-0000-0000D27F0000}"/>
    <cellStyle name="Superscript 3 8 6 10" xfId="29677" xr:uid="{00000000-0005-0000-0000-0000D37F0000}"/>
    <cellStyle name="Superscript 3 8 6 2" xfId="29678" xr:uid="{00000000-0005-0000-0000-0000D47F0000}"/>
    <cellStyle name="Superscript 3 8 6 2 2" xfId="29679" xr:uid="{00000000-0005-0000-0000-0000D57F0000}"/>
    <cellStyle name="Superscript 3 8 6 3" xfId="29680" xr:uid="{00000000-0005-0000-0000-0000D67F0000}"/>
    <cellStyle name="Superscript 3 8 6 3 2" xfId="29681" xr:uid="{00000000-0005-0000-0000-0000D77F0000}"/>
    <cellStyle name="Superscript 3 8 6 4" xfId="29682" xr:uid="{00000000-0005-0000-0000-0000D87F0000}"/>
    <cellStyle name="Superscript 3 8 6 4 2" xfId="29683" xr:uid="{00000000-0005-0000-0000-0000D97F0000}"/>
    <cellStyle name="Superscript 3 8 6 5" xfId="29684" xr:uid="{00000000-0005-0000-0000-0000DA7F0000}"/>
    <cellStyle name="Superscript 3 8 6 5 2" xfId="29685" xr:uid="{00000000-0005-0000-0000-0000DB7F0000}"/>
    <cellStyle name="Superscript 3 8 6 6" xfId="29686" xr:uid="{00000000-0005-0000-0000-0000DC7F0000}"/>
    <cellStyle name="Superscript 3 8 6 6 2" xfId="29687" xr:uid="{00000000-0005-0000-0000-0000DD7F0000}"/>
    <cellStyle name="Superscript 3 8 6 7" xfId="29688" xr:uid="{00000000-0005-0000-0000-0000DE7F0000}"/>
    <cellStyle name="Superscript 3 8 6 7 2" xfId="29689" xr:uid="{00000000-0005-0000-0000-0000DF7F0000}"/>
    <cellStyle name="Superscript 3 8 6 8" xfId="29690" xr:uid="{00000000-0005-0000-0000-0000E07F0000}"/>
    <cellStyle name="Superscript 3 8 6 8 2" xfId="29691" xr:uid="{00000000-0005-0000-0000-0000E17F0000}"/>
    <cellStyle name="Superscript 3 8 6 9" xfId="29692" xr:uid="{00000000-0005-0000-0000-0000E27F0000}"/>
    <cellStyle name="Superscript 3 8 6 9 2" xfId="29693" xr:uid="{00000000-0005-0000-0000-0000E37F0000}"/>
    <cellStyle name="Superscript 3 8 7" xfId="29694" xr:uid="{00000000-0005-0000-0000-0000E47F0000}"/>
    <cellStyle name="Superscript 3 8 7 10" xfId="29695" xr:uid="{00000000-0005-0000-0000-0000E57F0000}"/>
    <cellStyle name="Superscript 3 8 7 2" xfId="29696" xr:uid="{00000000-0005-0000-0000-0000E67F0000}"/>
    <cellStyle name="Superscript 3 8 7 2 2" xfId="29697" xr:uid="{00000000-0005-0000-0000-0000E77F0000}"/>
    <cellStyle name="Superscript 3 8 7 3" xfId="29698" xr:uid="{00000000-0005-0000-0000-0000E87F0000}"/>
    <cellStyle name="Superscript 3 8 7 3 2" xfId="29699" xr:uid="{00000000-0005-0000-0000-0000E97F0000}"/>
    <cellStyle name="Superscript 3 8 7 4" xfId="29700" xr:uid="{00000000-0005-0000-0000-0000EA7F0000}"/>
    <cellStyle name="Superscript 3 8 7 4 2" xfId="29701" xr:uid="{00000000-0005-0000-0000-0000EB7F0000}"/>
    <cellStyle name="Superscript 3 8 7 5" xfId="29702" xr:uid="{00000000-0005-0000-0000-0000EC7F0000}"/>
    <cellStyle name="Superscript 3 8 7 5 2" xfId="29703" xr:uid="{00000000-0005-0000-0000-0000ED7F0000}"/>
    <cellStyle name="Superscript 3 8 7 6" xfId="29704" xr:uid="{00000000-0005-0000-0000-0000EE7F0000}"/>
    <cellStyle name="Superscript 3 8 7 6 2" xfId="29705" xr:uid="{00000000-0005-0000-0000-0000EF7F0000}"/>
    <cellStyle name="Superscript 3 8 7 7" xfId="29706" xr:uid="{00000000-0005-0000-0000-0000F07F0000}"/>
    <cellStyle name="Superscript 3 8 7 7 2" xfId="29707" xr:uid="{00000000-0005-0000-0000-0000F17F0000}"/>
    <cellStyle name="Superscript 3 8 7 8" xfId="29708" xr:uid="{00000000-0005-0000-0000-0000F27F0000}"/>
    <cellStyle name="Superscript 3 8 7 8 2" xfId="29709" xr:uid="{00000000-0005-0000-0000-0000F37F0000}"/>
    <cellStyle name="Superscript 3 8 7 9" xfId="29710" xr:uid="{00000000-0005-0000-0000-0000F47F0000}"/>
    <cellStyle name="Superscript 3 8 7 9 2" xfId="29711" xr:uid="{00000000-0005-0000-0000-0000F57F0000}"/>
    <cellStyle name="Superscript 3 8 8" xfId="29712" xr:uid="{00000000-0005-0000-0000-0000F67F0000}"/>
    <cellStyle name="Superscript 3 8 8 10" xfId="29713" xr:uid="{00000000-0005-0000-0000-0000F77F0000}"/>
    <cellStyle name="Superscript 3 8 8 2" xfId="29714" xr:uid="{00000000-0005-0000-0000-0000F87F0000}"/>
    <cellStyle name="Superscript 3 8 8 2 2" xfId="29715" xr:uid="{00000000-0005-0000-0000-0000F97F0000}"/>
    <cellStyle name="Superscript 3 8 8 3" xfId="29716" xr:uid="{00000000-0005-0000-0000-0000FA7F0000}"/>
    <cellStyle name="Superscript 3 8 8 3 2" xfId="29717" xr:uid="{00000000-0005-0000-0000-0000FB7F0000}"/>
    <cellStyle name="Superscript 3 8 8 4" xfId="29718" xr:uid="{00000000-0005-0000-0000-0000FC7F0000}"/>
    <cellStyle name="Superscript 3 8 8 4 2" xfId="29719" xr:uid="{00000000-0005-0000-0000-0000FD7F0000}"/>
    <cellStyle name="Superscript 3 8 8 5" xfId="29720" xr:uid="{00000000-0005-0000-0000-0000FE7F0000}"/>
    <cellStyle name="Superscript 3 8 8 5 2" xfId="29721" xr:uid="{00000000-0005-0000-0000-0000FF7F0000}"/>
    <cellStyle name="Superscript 3 8 8 6" xfId="29722" xr:uid="{00000000-0005-0000-0000-000000800000}"/>
    <cellStyle name="Superscript 3 8 8 6 2" xfId="29723" xr:uid="{00000000-0005-0000-0000-000001800000}"/>
    <cellStyle name="Superscript 3 8 8 7" xfId="29724" xr:uid="{00000000-0005-0000-0000-000002800000}"/>
    <cellStyle name="Superscript 3 8 8 7 2" xfId="29725" xr:uid="{00000000-0005-0000-0000-000003800000}"/>
    <cellStyle name="Superscript 3 8 8 8" xfId="29726" xr:uid="{00000000-0005-0000-0000-000004800000}"/>
    <cellStyle name="Superscript 3 8 8 8 2" xfId="29727" xr:uid="{00000000-0005-0000-0000-000005800000}"/>
    <cellStyle name="Superscript 3 8 8 9" xfId="29728" xr:uid="{00000000-0005-0000-0000-000006800000}"/>
    <cellStyle name="Superscript 3 8 8 9 2" xfId="29729" xr:uid="{00000000-0005-0000-0000-000007800000}"/>
    <cellStyle name="Superscript 3 8 9" xfId="29730" xr:uid="{00000000-0005-0000-0000-000008800000}"/>
    <cellStyle name="Superscript 3 8 9 10" xfId="29731" xr:uid="{00000000-0005-0000-0000-000009800000}"/>
    <cellStyle name="Superscript 3 8 9 2" xfId="29732" xr:uid="{00000000-0005-0000-0000-00000A800000}"/>
    <cellStyle name="Superscript 3 8 9 2 2" xfId="29733" xr:uid="{00000000-0005-0000-0000-00000B800000}"/>
    <cellStyle name="Superscript 3 8 9 3" xfId="29734" xr:uid="{00000000-0005-0000-0000-00000C800000}"/>
    <cellStyle name="Superscript 3 8 9 3 2" xfId="29735" xr:uid="{00000000-0005-0000-0000-00000D800000}"/>
    <cellStyle name="Superscript 3 8 9 4" xfId="29736" xr:uid="{00000000-0005-0000-0000-00000E800000}"/>
    <cellStyle name="Superscript 3 8 9 4 2" xfId="29737" xr:uid="{00000000-0005-0000-0000-00000F800000}"/>
    <cellStyle name="Superscript 3 8 9 5" xfId="29738" xr:uid="{00000000-0005-0000-0000-000010800000}"/>
    <cellStyle name="Superscript 3 8 9 5 2" xfId="29739" xr:uid="{00000000-0005-0000-0000-000011800000}"/>
    <cellStyle name="Superscript 3 8 9 6" xfId="29740" xr:uid="{00000000-0005-0000-0000-000012800000}"/>
    <cellStyle name="Superscript 3 8 9 6 2" xfId="29741" xr:uid="{00000000-0005-0000-0000-000013800000}"/>
    <cellStyle name="Superscript 3 8 9 7" xfId="29742" xr:uid="{00000000-0005-0000-0000-000014800000}"/>
    <cellStyle name="Superscript 3 8 9 7 2" xfId="29743" xr:uid="{00000000-0005-0000-0000-000015800000}"/>
    <cellStyle name="Superscript 3 8 9 8" xfId="29744" xr:uid="{00000000-0005-0000-0000-000016800000}"/>
    <cellStyle name="Superscript 3 8 9 8 2" xfId="29745" xr:uid="{00000000-0005-0000-0000-000017800000}"/>
    <cellStyle name="Superscript 3 8 9 9" xfId="29746" xr:uid="{00000000-0005-0000-0000-000018800000}"/>
    <cellStyle name="Superscript 3 8 9 9 2" xfId="29747" xr:uid="{00000000-0005-0000-0000-000019800000}"/>
    <cellStyle name="Superscript 4" xfId="29748" xr:uid="{00000000-0005-0000-0000-00001A800000}"/>
    <cellStyle name="Superscript 4 10" xfId="29749" xr:uid="{00000000-0005-0000-0000-00001B800000}"/>
    <cellStyle name="Superscript 4 10 10" xfId="29750" xr:uid="{00000000-0005-0000-0000-00001C800000}"/>
    <cellStyle name="Superscript 4 10 2" xfId="29751" xr:uid="{00000000-0005-0000-0000-00001D800000}"/>
    <cellStyle name="Superscript 4 10 2 2" xfId="29752" xr:uid="{00000000-0005-0000-0000-00001E800000}"/>
    <cellStyle name="Superscript 4 10 3" xfId="29753" xr:uid="{00000000-0005-0000-0000-00001F800000}"/>
    <cellStyle name="Superscript 4 10 3 2" xfId="29754" xr:uid="{00000000-0005-0000-0000-000020800000}"/>
    <cellStyle name="Superscript 4 10 4" xfId="29755" xr:uid="{00000000-0005-0000-0000-000021800000}"/>
    <cellStyle name="Superscript 4 10 4 2" xfId="29756" xr:uid="{00000000-0005-0000-0000-000022800000}"/>
    <cellStyle name="Superscript 4 10 5" xfId="29757" xr:uid="{00000000-0005-0000-0000-000023800000}"/>
    <cellStyle name="Superscript 4 10 5 2" xfId="29758" xr:uid="{00000000-0005-0000-0000-000024800000}"/>
    <cellStyle name="Superscript 4 10 6" xfId="29759" xr:uid="{00000000-0005-0000-0000-000025800000}"/>
    <cellStyle name="Superscript 4 10 6 2" xfId="29760" xr:uid="{00000000-0005-0000-0000-000026800000}"/>
    <cellStyle name="Superscript 4 10 7" xfId="29761" xr:uid="{00000000-0005-0000-0000-000027800000}"/>
    <cellStyle name="Superscript 4 10 7 2" xfId="29762" xr:uid="{00000000-0005-0000-0000-000028800000}"/>
    <cellStyle name="Superscript 4 10 8" xfId="29763" xr:uid="{00000000-0005-0000-0000-000029800000}"/>
    <cellStyle name="Superscript 4 10 8 2" xfId="29764" xr:uid="{00000000-0005-0000-0000-00002A800000}"/>
    <cellStyle name="Superscript 4 10 9" xfId="29765" xr:uid="{00000000-0005-0000-0000-00002B800000}"/>
    <cellStyle name="Superscript 4 10 9 2" xfId="29766" xr:uid="{00000000-0005-0000-0000-00002C800000}"/>
    <cellStyle name="Superscript 4 11" xfId="29767" xr:uid="{00000000-0005-0000-0000-00002D800000}"/>
    <cellStyle name="Superscript 4 11 2" xfId="29768" xr:uid="{00000000-0005-0000-0000-00002E800000}"/>
    <cellStyle name="Superscript 4 11 2 2" xfId="29769" xr:uid="{00000000-0005-0000-0000-00002F800000}"/>
    <cellStyle name="Superscript 4 11 3" xfId="29770" xr:uid="{00000000-0005-0000-0000-000030800000}"/>
    <cellStyle name="Superscript 4 11 3 2" xfId="29771" xr:uid="{00000000-0005-0000-0000-000031800000}"/>
    <cellStyle name="Superscript 4 11 4" xfId="29772" xr:uid="{00000000-0005-0000-0000-000032800000}"/>
    <cellStyle name="Superscript 4 11 4 2" xfId="29773" xr:uid="{00000000-0005-0000-0000-000033800000}"/>
    <cellStyle name="Superscript 4 11 5" xfId="29774" xr:uid="{00000000-0005-0000-0000-000034800000}"/>
    <cellStyle name="Superscript 4 11 5 2" xfId="29775" xr:uid="{00000000-0005-0000-0000-000035800000}"/>
    <cellStyle name="Superscript 4 11 6" xfId="29776" xr:uid="{00000000-0005-0000-0000-000036800000}"/>
    <cellStyle name="Superscript 4 11 6 2" xfId="29777" xr:uid="{00000000-0005-0000-0000-000037800000}"/>
    <cellStyle name="Superscript 4 11 7" xfId="29778" xr:uid="{00000000-0005-0000-0000-000038800000}"/>
    <cellStyle name="Superscript 4 11 7 2" xfId="29779" xr:uid="{00000000-0005-0000-0000-000039800000}"/>
    <cellStyle name="Superscript 4 11 8" xfId="29780" xr:uid="{00000000-0005-0000-0000-00003A800000}"/>
    <cellStyle name="Superscript 4 11 8 2" xfId="29781" xr:uid="{00000000-0005-0000-0000-00003B800000}"/>
    <cellStyle name="Superscript 4 11 9" xfId="29782" xr:uid="{00000000-0005-0000-0000-00003C800000}"/>
    <cellStyle name="Superscript 4 2" xfId="29783" xr:uid="{00000000-0005-0000-0000-00003D800000}"/>
    <cellStyle name="Superscript 4 2 10" xfId="29784" xr:uid="{00000000-0005-0000-0000-00003E800000}"/>
    <cellStyle name="Superscript 4 2 2" xfId="29785" xr:uid="{00000000-0005-0000-0000-00003F800000}"/>
    <cellStyle name="Superscript 4 2 2 2" xfId="29786" xr:uid="{00000000-0005-0000-0000-000040800000}"/>
    <cellStyle name="Superscript 4 2 3" xfId="29787" xr:uid="{00000000-0005-0000-0000-000041800000}"/>
    <cellStyle name="Superscript 4 2 3 2" xfId="29788" xr:uid="{00000000-0005-0000-0000-000042800000}"/>
    <cellStyle name="Superscript 4 2 4" xfId="29789" xr:uid="{00000000-0005-0000-0000-000043800000}"/>
    <cellStyle name="Superscript 4 2 4 2" xfId="29790" xr:uid="{00000000-0005-0000-0000-000044800000}"/>
    <cellStyle name="Superscript 4 2 5" xfId="29791" xr:uid="{00000000-0005-0000-0000-000045800000}"/>
    <cellStyle name="Superscript 4 2 5 2" xfId="29792" xr:uid="{00000000-0005-0000-0000-000046800000}"/>
    <cellStyle name="Superscript 4 2 6" xfId="29793" xr:uid="{00000000-0005-0000-0000-000047800000}"/>
    <cellStyle name="Superscript 4 2 6 2" xfId="29794" xr:uid="{00000000-0005-0000-0000-000048800000}"/>
    <cellStyle name="Superscript 4 2 7" xfId="29795" xr:uid="{00000000-0005-0000-0000-000049800000}"/>
    <cellStyle name="Superscript 4 2 7 2" xfId="29796" xr:uid="{00000000-0005-0000-0000-00004A800000}"/>
    <cellStyle name="Superscript 4 2 8" xfId="29797" xr:uid="{00000000-0005-0000-0000-00004B800000}"/>
    <cellStyle name="Superscript 4 2 8 2" xfId="29798" xr:uid="{00000000-0005-0000-0000-00004C800000}"/>
    <cellStyle name="Superscript 4 2 9" xfId="29799" xr:uid="{00000000-0005-0000-0000-00004D800000}"/>
    <cellStyle name="Superscript 4 2 9 2" xfId="29800" xr:uid="{00000000-0005-0000-0000-00004E800000}"/>
    <cellStyle name="Superscript 4 3" xfId="29801" xr:uid="{00000000-0005-0000-0000-00004F800000}"/>
    <cellStyle name="Superscript 4 3 10" xfId="29802" xr:uid="{00000000-0005-0000-0000-000050800000}"/>
    <cellStyle name="Superscript 4 3 2" xfId="29803" xr:uid="{00000000-0005-0000-0000-000051800000}"/>
    <cellStyle name="Superscript 4 3 2 2" xfId="29804" xr:uid="{00000000-0005-0000-0000-000052800000}"/>
    <cellStyle name="Superscript 4 3 3" xfId="29805" xr:uid="{00000000-0005-0000-0000-000053800000}"/>
    <cellStyle name="Superscript 4 3 3 2" xfId="29806" xr:uid="{00000000-0005-0000-0000-000054800000}"/>
    <cellStyle name="Superscript 4 3 4" xfId="29807" xr:uid="{00000000-0005-0000-0000-000055800000}"/>
    <cellStyle name="Superscript 4 3 4 2" xfId="29808" xr:uid="{00000000-0005-0000-0000-000056800000}"/>
    <cellStyle name="Superscript 4 3 5" xfId="29809" xr:uid="{00000000-0005-0000-0000-000057800000}"/>
    <cellStyle name="Superscript 4 3 5 2" xfId="29810" xr:uid="{00000000-0005-0000-0000-000058800000}"/>
    <cellStyle name="Superscript 4 3 6" xfId="29811" xr:uid="{00000000-0005-0000-0000-000059800000}"/>
    <cellStyle name="Superscript 4 3 6 2" xfId="29812" xr:uid="{00000000-0005-0000-0000-00005A800000}"/>
    <cellStyle name="Superscript 4 3 7" xfId="29813" xr:uid="{00000000-0005-0000-0000-00005B800000}"/>
    <cellStyle name="Superscript 4 3 7 2" xfId="29814" xr:uid="{00000000-0005-0000-0000-00005C800000}"/>
    <cellStyle name="Superscript 4 3 8" xfId="29815" xr:uid="{00000000-0005-0000-0000-00005D800000}"/>
    <cellStyle name="Superscript 4 3 8 2" xfId="29816" xr:uid="{00000000-0005-0000-0000-00005E800000}"/>
    <cellStyle name="Superscript 4 3 9" xfId="29817" xr:uid="{00000000-0005-0000-0000-00005F800000}"/>
    <cellStyle name="Superscript 4 3 9 2" xfId="29818" xr:uid="{00000000-0005-0000-0000-000060800000}"/>
    <cellStyle name="Superscript 4 4" xfId="29819" xr:uid="{00000000-0005-0000-0000-000061800000}"/>
    <cellStyle name="Superscript 4 4 10" xfId="29820" xr:uid="{00000000-0005-0000-0000-000062800000}"/>
    <cellStyle name="Superscript 4 4 2" xfId="29821" xr:uid="{00000000-0005-0000-0000-000063800000}"/>
    <cellStyle name="Superscript 4 4 2 2" xfId="29822" xr:uid="{00000000-0005-0000-0000-000064800000}"/>
    <cellStyle name="Superscript 4 4 3" xfId="29823" xr:uid="{00000000-0005-0000-0000-000065800000}"/>
    <cellStyle name="Superscript 4 4 3 2" xfId="29824" xr:uid="{00000000-0005-0000-0000-000066800000}"/>
    <cellStyle name="Superscript 4 4 4" xfId="29825" xr:uid="{00000000-0005-0000-0000-000067800000}"/>
    <cellStyle name="Superscript 4 4 4 2" xfId="29826" xr:uid="{00000000-0005-0000-0000-000068800000}"/>
    <cellStyle name="Superscript 4 4 5" xfId="29827" xr:uid="{00000000-0005-0000-0000-000069800000}"/>
    <cellStyle name="Superscript 4 4 5 2" xfId="29828" xr:uid="{00000000-0005-0000-0000-00006A800000}"/>
    <cellStyle name="Superscript 4 4 6" xfId="29829" xr:uid="{00000000-0005-0000-0000-00006B800000}"/>
    <cellStyle name="Superscript 4 4 6 2" xfId="29830" xr:uid="{00000000-0005-0000-0000-00006C800000}"/>
    <cellStyle name="Superscript 4 4 7" xfId="29831" xr:uid="{00000000-0005-0000-0000-00006D800000}"/>
    <cellStyle name="Superscript 4 4 7 2" xfId="29832" xr:uid="{00000000-0005-0000-0000-00006E800000}"/>
    <cellStyle name="Superscript 4 4 8" xfId="29833" xr:uid="{00000000-0005-0000-0000-00006F800000}"/>
    <cellStyle name="Superscript 4 4 8 2" xfId="29834" xr:uid="{00000000-0005-0000-0000-000070800000}"/>
    <cellStyle name="Superscript 4 4 9" xfId="29835" xr:uid="{00000000-0005-0000-0000-000071800000}"/>
    <cellStyle name="Superscript 4 4 9 2" xfId="29836" xr:uid="{00000000-0005-0000-0000-000072800000}"/>
    <cellStyle name="Superscript 4 5" xfId="29837" xr:uid="{00000000-0005-0000-0000-000073800000}"/>
    <cellStyle name="Superscript 4 5 10" xfId="29838" xr:uid="{00000000-0005-0000-0000-000074800000}"/>
    <cellStyle name="Superscript 4 5 2" xfId="29839" xr:uid="{00000000-0005-0000-0000-000075800000}"/>
    <cellStyle name="Superscript 4 5 2 2" xfId="29840" xr:uid="{00000000-0005-0000-0000-000076800000}"/>
    <cellStyle name="Superscript 4 5 3" xfId="29841" xr:uid="{00000000-0005-0000-0000-000077800000}"/>
    <cellStyle name="Superscript 4 5 3 2" xfId="29842" xr:uid="{00000000-0005-0000-0000-000078800000}"/>
    <cellStyle name="Superscript 4 5 4" xfId="29843" xr:uid="{00000000-0005-0000-0000-000079800000}"/>
    <cellStyle name="Superscript 4 5 4 2" xfId="29844" xr:uid="{00000000-0005-0000-0000-00007A800000}"/>
    <cellStyle name="Superscript 4 5 5" xfId="29845" xr:uid="{00000000-0005-0000-0000-00007B800000}"/>
    <cellStyle name="Superscript 4 5 5 2" xfId="29846" xr:uid="{00000000-0005-0000-0000-00007C800000}"/>
    <cellStyle name="Superscript 4 5 6" xfId="29847" xr:uid="{00000000-0005-0000-0000-00007D800000}"/>
    <cellStyle name="Superscript 4 5 6 2" xfId="29848" xr:uid="{00000000-0005-0000-0000-00007E800000}"/>
    <cellStyle name="Superscript 4 5 7" xfId="29849" xr:uid="{00000000-0005-0000-0000-00007F800000}"/>
    <cellStyle name="Superscript 4 5 7 2" xfId="29850" xr:uid="{00000000-0005-0000-0000-000080800000}"/>
    <cellStyle name="Superscript 4 5 8" xfId="29851" xr:uid="{00000000-0005-0000-0000-000081800000}"/>
    <cellStyle name="Superscript 4 5 8 2" xfId="29852" xr:uid="{00000000-0005-0000-0000-000082800000}"/>
    <cellStyle name="Superscript 4 5 9" xfId="29853" xr:uid="{00000000-0005-0000-0000-000083800000}"/>
    <cellStyle name="Superscript 4 5 9 2" xfId="29854" xr:uid="{00000000-0005-0000-0000-000084800000}"/>
    <cellStyle name="Superscript 4 6" xfId="29855" xr:uid="{00000000-0005-0000-0000-000085800000}"/>
    <cellStyle name="Superscript 4 6 10" xfId="29856" xr:uid="{00000000-0005-0000-0000-000086800000}"/>
    <cellStyle name="Superscript 4 6 2" xfId="29857" xr:uid="{00000000-0005-0000-0000-000087800000}"/>
    <cellStyle name="Superscript 4 6 2 2" xfId="29858" xr:uid="{00000000-0005-0000-0000-000088800000}"/>
    <cellStyle name="Superscript 4 6 3" xfId="29859" xr:uid="{00000000-0005-0000-0000-000089800000}"/>
    <cellStyle name="Superscript 4 6 3 2" xfId="29860" xr:uid="{00000000-0005-0000-0000-00008A800000}"/>
    <cellStyle name="Superscript 4 6 4" xfId="29861" xr:uid="{00000000-0005-0000-0000-00008B800000}"/>
    <cellStyle name="Superscript 4 6 4 2" xfId="29862" xr:uid="{00000000-0005-0000-0000-00008C800000}"/>
    <cellStyle name="Superscript 4 6 5" xfId="29863" xr:uid="{00000000-0005-0000-0000-00008D800000}"/>
    <cellStyle name="Superscript 4 6 5 2" xfId="29864" xr:uid="{00000000-0005-0000-0000-00008E800000}"/>
    <cellStyle name="Superscript 4 6 6" xfId="29865" xr:uid="{00000000-0005-0000-0000-00008F800000}"/>
    <cellStyle name="Superscript 4 6 6 2" xfId="29866" xr:uid="{00000000-0005-0000-0000-000090800000}"/>
    <cellStyle name="Superscript 4 6 7" xfId="29867" xr:uid="{00000000-0005-0000-0000-000091800000}"/>
    <cellStyle name="Superscript 4 6 7 2" xfId="29868" xr:uid="{00000000-0005-0000-0000-000092800000}"/>
    <cellStyle name="Superscript 4 6 8" xfId="29869" xr:uid="{00000000-0005-0000-0000-000093800000}"/>
    <cellStyle name="Superscript 4 6 8 2" xfId="29870" xr:uid="{00000000-0005-0000-0000-000094800000}"/>
    <cellStyle name="Superscript 4 6 9" xfId="29871" xr:uid="{00000000-0005-0000-0000-000095800000}"/>
    <cellStyle name="Superscript 4 6 9 2" xfId="29872" xr:uid="{00000000-0005-0000-0000-000096800000}"/>
    <cellStyle name="Superscript 4 7" xfId="29873" xr:uid="{00000000-0005-0000-0000-000097800000}"/>
    <cellStyle name="Superscript 4 7 10" xfId="29874" xr:uid="{00000000-0005-0000-0000-000098800000}"/>
    <cellStyle name="Superscript 4 7 2" xfId="29875" xr:uid="{00000000-0005-0000-0000-000099800000}"/>
    <cellStyle name="Superscript 4 7 2 2" xfId="29876" xr:uid="{00000000-0005-0000-0000-00009A800000}"/>
    <cellStyle name="Superscript 4 7 3" xfId="29877" xr:uid="{00000000-0005-0000-0000-00009B800000}"/>
    <cellStyle name="Superscript 4 7 3 2" xfId="29878" xr:uid="{00000000-0005-0000-0000-00009C800000}"/>
    <cellStyle name="Superscript 4 7 4" xfId="29879" xr:uid="{00000000-0005-0000-0000-00009D800000}"/>
    <cellStyle name="Superscript 4 7 4 2" xfId="29880" xr:uid="{00000000-0005-0000-0000-00009E800000}"/>
    <cellStyle name="Superscript 4 7 5" xfId="29881" xr:uid="{00000000-0005-0000-0000-00009F800000}"/>
    <cellStyle name="Superscript 4 7 5 2" xfId="29882" xr:uid="{00000000-0005-0000-0000-0000A0800000}"/>
    <cellStyle name="Superscript 4 7 6" xfId="29883" xr:uid="{00000000-0005-0000-0000-0000A1800000}"/>
    <cellStyle name="Superscript 4 7 6 2" xfId="29884" xr:uid="{00000000-0005-0000-0000-0000A2800000}"/>
    <cellStyle name="Superscript 4 7 7" xfId="29885" xr:uid="{00000000-0005-0000-0000-0000A3800000}"/>
    <cellStyle name="Superscript 4 7 7 2" xfId="29886" xr:uid="{00000000-0005-0000-0000-0000A4800000}"/>
    <cellStyle name="Superscript 4 7 8" xfId="29887" xr:uid="{00000000-0005-0000-0000-0000A5800000}"/>
    <cellStyle name="Superscript 4 7 8 2" xfId="29888" xr:uid="{00000000-0005-0000-0000-0000A6800000}"/>
    <cellStyle name="Superscript 4 7 9" xfId="29889" xr:uid="{00000000-0005-0000-0000-0000A7800000}"/>
    <cellStyle name="Superscript 4 7 9 2" xfId="29890" xr:uid="{00000000-0005-0000-0000-0000A8800000}"/>
    <cellStyle name="Superscript 4 8" xfId="29891" xr:uid="{00000000-0005-0000-0000-0000A9800000}"/>
    <cellStyle name="Superscript 4 8 10" xfId="29892" xr:uid="{00000000-0005-0000-0000-0000AA800000}"/>
    <cellStyle name="Superscript 4 8 2" xfId="29893" xr:uid="{00000000-0005-0000-0000-0000AB800000}"/>
    <cellStyle name="Superscript 4 8 2 2" xfId="29894" xr:uid="{00000000-0005-0000-0000-0000AC800000}"/>
    <cellStyle name="Superscript 4 8 3" xfId="29895" xr:uid="{00000000-0005-0000-0000-0000AD800000}"/>
    <cellStyle name="Superscript 4 8 3 2" xfId="29896" xr:uid="{00000000-0005-0000-0000-0000AE800000}"/>
    <cellStyle name="Superscript 4 8 4" xfId="29897" xr:uid="{00000000-0005-0000-0000-0000AF800000}"/>
    <cellStyle name="Superscript 4 8 4 2" xfId="29898" xr:uid="{00000000-0005-0000-0000-0000B0800000}"/>
    <cellStyle name="Superscript 4 8 5" xfId="29899" xr:uid="{00000000-0005-0000-0000-0000B1800000}"/>
    <cellStyle name="Superscript 4 8 5 2" xfId="29900" xr:uid="{00000000-0005-0000-0000-0000B2800000}"/>
    <cellStyle name="Superscript 4 8 6" xfId="29901" xr:uid="{00000000-0005-0000-0000-0000B3800000}"/>
    <cellStyle name="Superscript 4 8 6 2" xfId="29902" xr:uid="{00000000-0005-0000-0000-0000B4800000}"/>
    <cellStyle name="Superscript 4 8 7" xfId="29903" xr:uid="{00000000-0005-0000-0000-0000B5800000}"/>
    <cellStyle name="Superscript 4 8 7 2" xfId="29904" xr:uid="{00000000-0005-0000-0000-0000B6800000}"/>
    <cellStyle name="Superscript 4 8 8" xfId="29905" xr:uid="{00000000-0005-0000-0000-0000B7800000}"/>
    <cellStyle name="Superscript 4 8 8 2" xfId="29906" xr:uid="{00000000-0005-0000-0000-0000B8800000}"/>
    <cellStyle name="Superscript 4 8 9" xfId="29907" xr:uid="{00000000-0005-0000-0000-0000B9800000}"/>
    <cellStyle name="Superscript 4 8 9 2" xfId="29908" xr:uid="{00000000-0005-0000-0000-0000BA800000}"/>
    <cellStyle name="Superscript 4 9" xfId="29909" xr:uid="{00000000-0005-0000-0000-0000BB800000}"/>
    <cellStyle name="Superscript 4 9 10" xfId="29910" xr:uid="{00000000-0005-0000-0000-0000BC800000}"/>
    <cellStyle name="Superscript 4 9 2" xfId="29911" xr:uid="{00000000-0005-0000-0000-0000BD800000}"/>
    <cellStyle name="Superscript 4 9 2 2" xfId="29912" xr:uid="{00000000-0005-0000-0000-0000BE800000}"/>
    <cellStyle name="Superscript 4 9 3" xfId="29913" xr:uid="{00000000-0005-0000-0000-0000BF800000}"/>
    <cellStyle name="Superscript 4 9 3 2" xfId="29914" xr:uid="{00000000-0005-0000-0000-0000C0800000}"/>
    <cellStyle name="Superscript 4 9 4" xfId="29915" xr:uid="{00000000-0005-0000-0000-0000C1800000}"/>
    <cellStyle name="Superscript 4 9 4 2" xfId="29916" xr:uid="{00000000-0005-0000-0000-0000C2800000}"/>
    <cellStyle name="Superscript 4 9 5" xfId="29917" xr:uid="{00000000-0005-0000-0000-0000C3800000}"/>
    <cellStyle name="Superscript 4 9 5 2" xfId="29918" xr:uid="{00000000-0005-0000-0000-0000C4800000}"/>
    <cellStyle name="Superscript 4 9 6" xfId="29919" xr:uid="{00000000-0005-0000-0000-0000C5800000}"/>
    <cellStyle name="Superscript 4 9 6 2" xfId="29920" xr:uid="{00000000-0005-0000-0000-0000C6800000}"/>
    <cellStyle name="Superscript 4 9 7" xfId="29921" xr:uid="{00000000-0005-0000-0000-0000C7800000}"/>
    <cellStyle name="Superscript 4 9 7 2" xfId="29922" xr:uid="{00000000-0005-0000-0000-0000C8800000}"/>
    <cellStyle name="Superscript 4 9 8" xfId="29923" xr:uid="{00000000-0005-0000-0000-0000C9800000}"/>
    <cellStyle name="Superscript 4 9 8 2" xfId="29924" xr:uid="{00000000-0005-0000-0000-0000CA800000}"/>
    <cellStyle name="Superscript 4 9 9" xfId="29925" xr:uid="{00000000-0005-0000-0000-0000CB800000}"/>
    <cellStyle name="Superscript 4 9 9 2" xfId="29926" xr:uid="{00000000-0005-0000-0000-0000CC800000}"/>
    <cellStyle name="Superscript 5" xfId="29927" xr:uid="{00000000-0005-0000-0000-0000CD800000}"/>
    <cellStyle name="Superscript 5 10" xfId="29928" xr:uid="{00000000-0005-0000-0000-0000CE800000}"/>
    <cellStyle name="Superscript 5 10 2" xfId="29929" xr:uid="{00000000-0005-0000-0000-0000CF800000}"/>
    <cellStyle name="Superscript 5 10 2 2" xfId="29930" xr:uid="{00000000-0005-0000-0000-0000D0800000}"/>
    <cellStyle name="Superscript 5 10 3" xfId="29931" xr:uid="{00000000-0005-0000-0000-0000D1800000}"/>
    <cellStyle name="Superscript 5 10 3 2" xfId="29932" xr:uid="{00000000-0005-0000-0000-0000D2800000}"/>
    <cellStyle name="Superscript 5 10 4" xfId="29933" xr:uid="{00000000-0005-0000-0000-0000D3800000}"/>
    <cellStyle name="Superscript 5 10 4 2" xfId="29934" xr:uid="{00000000-0005-0000-0000-0000D4800000}"/>
    <cellStyle name="Superscript 5 10 5" xfId="29935" xr:uid="{00000000-0005-0000-0000-0000D5800000}"/>
    <cellStyle name="Superscript 5 10 5 2" xfId="29936" xr:uid="{00000000-0005-0000-0000-0000D6800000}"/>
    <cellStyle name="Superscript 5 10 6" xfId="29937" xr:uid="{00000000-0005-0000-0000-0000D7800000}"/>
    <cellStyle name="Superscript 5 10 6 2" xfId="29938" xr:uid="{00000000-0005-0000-0000-0000D8800000}"/>
    <cellStyle name="Superscript 5 10 7" xfId="29939" xr:uid="{00000000-0005-0000-0000-0000D9800000}"/>
    <cellStyle name="Superscript 5 10 7 2" xfId="29940" xr:uid="{00000000-0005-0000-0000-0000DA800000}"/>
    <cellStyle name="Superscript 5 10 8" xfId="29941" xr:uid="{00000000-0005-0000-0000-0000DB800000}"/>
    <cellStyle name="Superscript 5 10 8 2" xfId="29942" xr:uid="{00000000-0005-0000-0000-0000DC800000}"/>
    <cellStyle name="Superscript 5 10 9" xfId="29943" xr:uid="{00000000-0005-0000-0000-0000DD800000}"/>
    <cellStyle name="Superscript 5 11" xfId="29944" xr:uid="{00000000-0005-0000-0000-0000DE800000}"/>
    <cellStyle name="Superscript 5 11 2" xfId="29945" xr:uid="{00000000-0005-0000-0000-0000DF800000}"/>
    <cellStyle name="Superscript 5 12" xfId="29946" xr:uid="{00000000-0005-0000-0000-0000E0800000}"/>
    <cellStyle name="Superscript 5 12 2" xfId="29947" xr:uid="{00000000-0005-0000-0000-0000E1800000}"/>
    <cellStyle name="Superscript 5 13" xfId="29948" xr:uid="{00000000-0005-0000-0000-0000E2800000}"/>
    <cellStyle name="Superscript 5 13 2" xfId="29949" xr:uid="{00000000-0005-0000-0000-0000E3800000}"/>
    <cellStyle name="Superscript 5 14" xfId="29950" xr:uid="{00000000-0005-0000-0000-0000E4800000}"/>
    <cellStyle name="Superscript 5 14 2" xfId="29951" xr:uid="{00000000-0005-0000-0000-0000E5800000}"/>
    <cellStyle name="Superscript 5 15" xfId="29952" xr:uid="{00000000-0005-0000-0000-0000E6800000}"/>
    <cellStyle name="Superscript 5 15 2" xfId="29953" xr:uid="{00000000-0005-0000-0000-0000E7800000}"/>
    <cellStyle name="Superscript 5 16" xfId="29954" xr:uid="{00000000-0005-0000-0000-0000E8800000}"/>
    <cellStyle name="Superscript 5 16 2" xfId="29955" xr:uid="{00000000-0005-0000-0000-0000E9800000}"/>
    <cellStyle name="Superscript 5 17" xfId="29956" xr:uid="{00000000-0005-0000-0000-0000EA800000}"/>
    <cellStyle name="Superscript 5 17 2" xfId="29957" xr:uid="{00000000-0005-0000-0000-0000EB800000}"/>
    <cellStyle name="Superscript 5 18" xfId="29958" xr:uid="{00000000-0005-0000-0000-0000EC800000}"/>
    <cellStyle name="Superscript 5 2" xfId="29959" xr:uid="{00000000-0005-0000-0000-0000ED800000}"/>
    <cellStyle name="Superscript 5 2 10" xfId="29960" xr:uid="{00000000-0005-0000-0000-0000EE800000}"/>
    <cellStyle name="Superscript 5 2 2" xfId="29961" xr:uid="{00000000-0005-0000-0000-0000EF800000}"/>
    <cellStyle name="Superscript 5 2 2 2" xfId="29962" xr:uid="{00000000-0005-0000-0000-0000F0800000}"/>
    <cellStyle name="Superscript 5 2 3" xfId="29963" xr:uid="{00000000-0005-0000-0000-0000F1800000}"/>
    <cellStyle name="Superscript 5 2 3 2" xfId="29964" xr:uid="{00000000-0005-0000-0000-0000F2800000}"/>
    <cellStyle name="Superscript 5 2 4" xfId="29965" xr:uid="{00000000-0005-0000-0000-0000F3800000}"/>
    <cellStyle name="Superscript 5 2 4 2" xfId="29966" xr:uid="{00000000-0005-0000-0000-0000F4800000}"/>
    <cellStyle name="Superscript 5 2 5" xfId="29967" xr:uid="{00000000-0005-0000-0000-0000F5800000}"/>
    <cellStyle name="Superscript 5 2 5 2" xfId="29968" xr:uid="{00000000-0005-0000-0000-0000F6800000}"/>
    <cellStyle name="Superscript 5 2 6" xfId="29969" xr:uid="{00000000-0005-0000-0000-0000F7800000}"/>
    <cellStyle name="Superscript 5 2 6 2" xfId="29970" xr:uid="{00000000-0005-0000-0000-0000F8800000}"/>
    <cellStyle name="Superscript 5 2 7" xfId="29971" xr:uid="{00000000-0005-0000-0000-0000F9800000}"/>
    <cellStyle name="Superscript 5 2 7 2" xfId="29972" xr:uid="{00000000-0005-0000-0000-0000FA800000}"/>
    <cellStyle name="Superscript 5 2 8" xfId="29973" xr:uid="{00000000-0005-0000-0000-0000FB800000}"/>
    <cellStyle name="Superscript 5 2 8 2" xfId="29974" xr:uid="{00000000-0005-0000-0000-0000FC800000}"/>
    <cellStyle name="Superscript 5 2 9" xfId="29975" xr:uid="{00000000-0005-0000-0000-0000FD800000}"/>
    <cellStyle name="Superscript 5 2 9 2" xfId="29976" xr:uid="{00000000-0005-0000-0000-0000FE800000}"/>
    <cellStyle name="Superscript 5 3" xfId="29977" xr:uid="{00000000-0005-0000-0000-0000FF800000}"/>
    <cellStyle name="Superscript 5 3 10" xfId="29978" xr:uid="{00000000-0005-0000-0000-000000810000}"/>
    <cellStyle name="Superscript 5 3 2" xfId="29979" xr:uid="{00000000-0005-0000-0000-000001810000}"/>
    <cellStyle name="Superscript 5 3 2 2" xfId="29980" xr:uid="{00000000-0005-0000-0000-000002810000}"/>
    <cellStyle name="Superscript 5 3 3" xfId="29981" xr:uid="{00000000-0005-0000-0000-000003810000}"/>
    <cellStyle name="Superscript 5 3 3 2" xfId="29982" xr:uid="{00000000-0005-0000-0000-000004810000}"/>
    <cellStyle name="Superscript 5 3 4" xfId="29983" xr:uid="{00000000-0005-0000-0000-000005810000}"/>
    <cellStyle name="Superscript 5 3 4 2" xfId="29984" xr:uid="{00000000-0005-0000-0000-000006810000}"/>
    <cellStyle name="Superscript 5 3 5" xfId="29985" xr:uid="{00000000-0005-0000-0000-000007810000}"/>
    <cellStyle name="Superscript 5 3 5 2" xfId="29986" xr:uid="{00000000-0005-0000-0000-000008810000}"/>
    <cellStyle name="Superscript 5 3 6" xfId="29987" xr:uid="{00000000-0005-0000-0000-000009810000}"/>
    <cellStyle name="Superscript 5 3 6 2" xfId="29988" xr:uid="{00000000-0005-0000-0000-00000A810000}"/>
    <cellStyle name="Superscript 5 3 7" xfId="29989" xr:uid="{00000000-0005-0000-0000-00000B810000}"/>
    <cellStyle name="Superscript 5 3 7 2" xfId="29990" xr:uid="{00000000-0005-0000-0000-00000C810000}"/>
    <cellStyle name="Superscript 5 3 8" xfId="29991" xr:uid="{00000000-0005-0000-0000-00000D810000}"/>
    <cellStyle name="Superscript 5 3 8 2" xfId="29992" xr:uid="{00000000-0005-0000-0000-00000E810000}"/>
    <cellStyle name="Superscript 5 3 9" xfId="29993" xr:uid="{00000000-0005-0000-0000-00000F810000}"/>
    <cellStyle name="Superscript 5 3 9 2" xfId="29994" xr:uid="{00000000-0005-0000-0000-000010810000}"/>
    <cellStyle name="Superscript 5 4" xfId="29995" xr:uid="{00000000-0005-0000-0000-000011810000}"/>
    <cellStyle name="Superscript 5 4 10" xfId="29996" xr:uid="{00000000-0005-0000-0000-000012810000}"/>
    <cellStyle name="Superscript 5 4 2" xfId="29997" xr:uid="{00000000-0005-0000-0000-000013810000}"/>
    <cellStyle name="Superscript 5 4 2 2" xfId="29998" xr:uid="{00000000-0005-0000-0000-000014810000}"/>
    <cellStyle name="Superscript 5 4 3" xfId="29999" xr:uid="{00000000-0005-0000-0000-000015810000}"/>
    <cellStyle name="Superscript 5 4 3 2" xfId="30000" xr:uid="{00000000-0005-0000-0000-000016810000}"/>
    <cellStyle name="Superscript 5 4 4" xfId="30001" xr:uid="{00000000-0005-0000-0000-000017810000}"/>
    <cellStyle name="Superscript 5 4 4 2" xfId="30002" xr:uid="{00000000-0005-0000-0000-000018810000}"/>
    <cellStyle name="Superscript 5 4 5" xfId="30003" xr:uid="{00000000-0005-0000-0000-000019810000}"/>
    <cellStyle name="Superscript 5 4 5 2" xfId="30004" xr:uid="{00000000-0005-0000-0000-00001A810000}"/>
    <cellStyle name="Superscript 5 4 6" xfId="30005" xr:uid="{00000000-0005-0000-0000-00001B810000}"/>
    <cellStyle name="Superscript 5 4 6 2" xfId="30006" xr:uid="{00000000-0005-0000-0000-00001C810000}"/>
    <cellStyle name="Superscript 5 4 7" xfId="30007" xr:uid="{00000000-0005-0000-0000-00001D810000}"/>
    <cellStyle name="Superscript 5 4 7 2" xfId="30008" xr:uid="{00000000-0005-0000-0000-00001E810000}"/>
    <cellStyle name="Superscript 5 4 8" xfId="30009" xr:uid="{00000000-0005-0000-0000-00001F810000}"/>
    <cellStyle name="Superscript 5 4 8 2" xfId="30010" xr:uid="{00000000-0005-0000-0000-000020810000}"/>
    <cellStyle name="Superscript 5 4 9" xfId="30011" xr:uid="{00000000-0005-0000-0000-000021810000}"/>
    <cellStyle name="Superscript 5 4 9 2" xfId="30012" xr:uid="{00000000-0005-0000-0000-000022810000}"/>
    <cellStyle name="Superscript 5 5" xfId="30013" xr:uid="{00000000-0005-0000-0000-000023810000}"/>
    <cellStyle name="Superscript 5 5 10" xfId="30014" xr:uid="{00000000-0005-0000-0000-000024810000}"/>
    <cellStyle name="Superscript 5 5 2" xfId="30015" xr:uid="{00000000-0005-0000-0000-000025810000}"/>
    <cellStyle name="Superscript 5 5 2 2" xfId="30016" xr:uid="{00000000-0005-0000-0000-000026810000}"/>
    <cellStyle name="Superscript 5 5 3" xfId="30017" xr:uid="{00000000-0005-0000-0000-000027810000}"/>
    <cellStyle name="Superscript 5 5 3 2" xfId="30018" xr:uid="{00000000-0005-0000-0000-000028810000}"/>
    <cellStyle name="Superscript 5 5 4" xfId="30019" xr:uid="{00000000-0005-0000-0000-000029810000}"/>
    <cellStyle name="Superscript 5 5 4 2" xfId="30020" xr:uid="{00000000-0005-0000-0000-00002A810000}"/>
    <cellStyle name="Superscript 5 5 5" xfId="30021" xr:uid="{00000000-0005-0000-0000-00002B810000}"/>
    <cellStyle name="Superscript 5 5 5 2" xfId="30022" xr:uid="{00000000-0005-0000-0000-00002C810000}"/>
    <cellStyle name="Superscript 5 5 6" xfId="30023" xr:uid="{00000000-0005-0000-0000-00002D810000}"/>
    <cellStyle name="Superscript 5 5 6 2" xfId="30024" xr:uid="{00000000-0005-0000-0000-00002E810000}"/>
    <cellStyle name="Superscript 5 5 7" xfId="30025" xr:uid="{00000000-0005-0000-0000-00002F810000}"/>
    <cellStyle name="Superscript 5 5 7 2" xfId="30026" xr:uid="{00000000-0005-0000-0000-000030810000}"/>
    <cellStyle name="Superscript 5 5 8" xfId="30027" xr:uid="{00000000-0005-0000-0000-000031810000}"/>
    <cellStyle name="Superscript 5 5 8 2" xfId="30028" xr:uid="{00000000-0005-0000-0000-000032810000}"/>
    <cellStyle name="Superscript 5 5 9" xfId="30029" xr:uid="{00000000-0005-0000-0000-000033810000}"/>
    <cellStyle name="Superscript 5 5 9 2" xfId="30030" xr:uid="{00000000-0005-0000-0000-000034810000}"/>
    <cellStyle name="Superscript 5 6" xfId="30031" xr:uid="{00000000-0005-0000-0000-000035810000}"/>
    <cellStyle name="Superscript 5 6 10" xfId="30032" xr:uid="{00000000-0005-0000-0000-000036810000}"/>
    <cellStyle name="Superscript 5 6 2" xfId="30033" xr:uid="{00000000-0005-0000-0000-000037810000}"/>
    <cellStyle name="Superscript 5 6 2 2" xfId="30034" xr:uid="{00000000-0005-0000-0000-000038810000}"/>
    <cellStyle name="Superscript 5 6 3" xfId="30035" xr:uid="{00000000-0005-0000-0000-000039810000}"/>
    <cellStyle name="Superscript 5 6 3 2" xfId="30036" xr:uid="{00000000-0005-0000-0000-00003A810000}"/>
    <cellStyle name="Superscript 5 6 4" xfId="30037" xr:uid="{00000000-0005-0000-0000-00003B810000}"/>
    <cellStyle name="Superscript 5 6 4 2" xfId="30038" xr:uid="{00000000-0005-0000-0000-00003C810000}"/>
    <cellStyle name="Superscript 5 6 5" xfId="30039" xr:uid="{00000000-0005-0000-0000-00003D810000}"/>
    <cellStyle name="Superscript 5 6 5 2" xfId="30040" xr:uid="{00000000-0005-0000-0000-00003E810000}"/>
    <cellStyle name="Superscript 5 6 6" xfId="30041" xr:uid="{00000000-0005-0000-0000-00003F810000}"/>
    <cellStyle name="Superscript 5 6 6 2" xfId="30042" xr:uid="{00000000-0005-0000-0000-000040810000}"/>
    <cellStyle name="Superscript 5 6 7" xfId="30043" xr:uid="{00000000-0005-0000-0000-000041810000}"/>
    <cellStyle name="Superscript 5 6 7 2" xfId="30044" xr:uid="{00000000-0005-0000-0000-000042810000}"/>
    <cellStyle name="Superscript 5 6 8" xfId="30045" xr:uid="{00000000-0005-0000-0000-000043810000}"/>
    <cellStyle name="Superscript 5 6 8 2" xfId="30046" xr:uid="{00000000-0005-0000-0000-000044810000}"/>
    <cellStyle name="Superscript 5 6 9" xfId="30047" xr:uid="{00000000-0005-0000-0000-000045810000}"/>
    <cellStyle name="Superscript 5 6 9 2" xfId="30048" xr:uid="{00000000-0005-0000-0000-000046810000}"/>
    <cellStyle name="Superscript 5 7" xfId="30049" xr:uid="{00000000-0005-0000-0000-000047810000}"/>
    <cellStyle name="Superscript 5 7 10" xfId="30050" xr:uid="{00000000-0005-0000-0000-000048810000}"/>
    <cellStyle name="Superscript 5 7 2" xfId="30051" xr:uid="{00000000-0005-0000-0000-000049810000}"/>
    <cellStyle name="Superscript 5 7 2 2" xfId="30052" xr:uid="{00000000-0005-0000-0000-00004A810000}"/>
    <cellStyle name="Superscript 5 7 3" xfId="30053" xr:uid="{00000000-0005-0000-0000-00004B810000}"/>
    <cellStyle name="Superscript 5 7 3 2" xfId="30054" xr:uid="{00000000-0005-0000-0000-00004C810000}"/>
    <cellStyle name="Superscript 5 7 4" xfId="30055" xr:uid="{00000000-0005-0000-0000-00004D810000}"/>
    <cellStyle name="Superscript 5 7 4 2" xfId="30056" xr:uid="{00000000-0005-0000-0000-00004E810000}"/>
    <cellStyle name="Superscript 5 7 5" xfId="30057" xr:uid="{00000000-0005-0000-0000-00004F810000}"/>
    <cellStyle name="Superscript 5 7 5 2" xfId="30058" xr:uid="{00000000-0005-0000-0000-000050810000}"/>
    <cellStyle name="Superscript 5 7 6" xfId="30059" xr:uid="{00000000-0005-0000-0000-000051810000}"/>
    <cellStyle name="Superscript 5 7 6 2" xfId="30060" xr:uid="{00000000-0005-0000-0000-000052810000}"/>
    <cellStyle name="Superscript 5 7 7" xfId="30061" xr:uid="{00000000-0005-0000-0000-000053810000}"/>
    <cellStyle name="Superscript 5 7 7 2" xfId="30062" xr:uid="{00000000-0005-0000-0000-000054810000}"/>
    <cellStyle name="Superscript 5 7 8" xfId="30063" xr:uid="{00000000-0005-0000-0000-000055810000}"/>
    <cellStyle name="Superscript 5 7 8 2" xfId="30064" xr:uid="{00000000-0005-0000-0000-000056810000}"/>
    <cellStyle name="Superscript 5 7 9" xfId="30065" xr:uid="{00000000-0005-0000-0000-000057810000}"/>
    <cellStyle name="Superscript 5 7 9 2" xfId="30066" xr:uid="{00000000-0005-0000-0000-000058810000}"/>
    <cellStyle name="Superscript 5 8" xfId="30067" xr:uid="{00000000-0005-0000-0000-000059810000}"/>
    <cellStyle name="Superscript 5 8 10" xfId="30068" xr:uid="{00000000-0005-0000-0000-00005A810000}"/>
    <cellStyle name="Superscript 5 8 2" xfId="30069" xr:uid="{00000000-0005-0000-0000-00005B810000}"/>
    <cellStyle name="Superscript 5 8 2 2" xfId="30070" xr:uid="{00000000-0005-0000-0000-00005C810000}"/>
    <cellStyle name="Superscript 5 8 3" xfId="30071" xr:uid="{00000000-0005-0000-0000-00005D810000}"/>
    <cellStyle name="Superscript 5 8 3 2" xfId="30072" xr:uid="{00000000-0005-0000-0000-00005E810000}"/>
    <cellStyle name="Superscript 5 8 4" xfId="30073" xr:uid="{00000000-0005-0000-0000-00005F810000}"/>
    <cellStyle name="Superscript 5 8 4 2" xfId="30074" xr:uid="{00000000-0005-0000-0000-000060810000}"/>
    <cellStyle name="Superscript 5 8 5" xfId="30075" xr:uid="{00000000-0005-0000-0000-000061810000}"/>
    <cellStyle name="Superscript 5 8 5 2" xfId="30076" xr:uid="{00000000-0005-0000-0000-000062810000}"/>
    <cellStyle name="Superscript 5 8 6" xfId="30077" xr:uid="{00000000-0005-0000-0000-000063810000}"/>
    <cellStyle name="Superscript 5 8 6 2" xfId="30078" xr:uid="{00000000-0005-0000-0000-000064810000}"/>
    <cellStyle name="Superscript 5 8 7" xfId="30079" xr:uid="{00000000-0005-0000-0000-000065810000}"/>
    <cellStyle name="Superscript 5 8 7 2" xfId="30080" xr:uid="{00000000-0005-0000-0000-000066810000}"/>
    <cellStyle name="Superscript 5 8 8" xfId="30081" xr:uid="{00000000-0005-0000-0000-000067810000}"/>
    <cellStyle name="Superscript 5 8 8 2" xfId="30082" xr:uid="{00000000-0005-0000-0000-000068810000}"/>
    <cellStyle name="Superscript 5 8 9" xfId="30083" xr:uid="{00000000-0005-0000-0000-000069810000}"/>
    <cellStyle name="Superscript 5 8 9 2" xfId="30084" xr:uid="{00000000-0005-0000-0000-00006A810000}"/>
    <cellStyle name="Superscript 5 9" xfId="30085" xr:uid="{00000000-0005-0000-0000-00006B810000}"/>
    <cellStyle name="Superscript 5 9 10" xfId="30086" xr:uid="{00000000-0005-0000-0000-00006C810000}"/>
    <cellStyle name="Superscript 5 9 2" xfId="30087" xr:uid="{00000000-0005-0000-0000-00006D810000}"/>
    <cellStyle name="Superscript 5 9 2 2" xfId="30088" xr:uid="{00000000-0005-0000-0000-00006E810000}"/>
    <cellStyle name="Superscript 5 9 3" xfId="30089" xr:uid="{00000000-0005-0000-0000-00006F810000}"/>
    <cellStyle name="Superscript 5 9 3 2" xfId="30090" xr:uid="{00000000-0005-0000-0000-000070810000}"/>
    <cellStyle name="Superscript 5 9 4" xfId="30091" xr:uid="{00000000-0005-0000-0000-000071810000}"/>
    <cellStyle name="Superscript 5 9 4 2" xfId="30092" xr:uid="{00000000-0005-0000-0000-000072810000}"/>
    <cellStyle name="Superscript 5 9 5" xfId="30093" xr:uid="{00000000-0005-0000-0000-000073810000}"/>
    <cellStyle name="Superscript 5 9 5 2" xfId="30094" xr:uid="{00000000-0005-0000-0000-000074810000}"/>
    <cellStyle name="Superscript 5 9 6" xfId="30095" xr:uid="{00000000-0005-0000-0000-000075810000}"/>
    <cellStyle name="Superscript 5 9 6 2" xfId="30096" xr:uid="{00000000-0005-0000-0000-000076810000}"/>
    <cellStyle name="Superscript 5 9 7" xfId="30097" xr:uid="{00000000-0005-0000-0000-000077810000}"/>
    <cellStyle name="Superscript 5 9 7 2" xfId="30098" xr:uid="{00000000-0005-0000-0000-000078810000}"/>
    <cellStyle name="Superscript 5 9 8" xfId="30099" xr:uid="{00000000-0005-0000-0000-000079810000}"/>
    <cellStyle name="Superscript 5 9 8 2" xfId="30100" xr:uid="{00000000-0005-0000-0000-00007A810000}"/>
    <cellStyle name="Superscript 5 9 9" xfId="30101" xr:uid="{00000000-0005-0000-0000-00007B810000}"/>
    <cellStyle name="Superscript 5 9 9 2" xfId="30102" xr:uid="{00000000-0005-0000-0000-00007C810000}"/>
    <cellStyle name="Superscript 6" xfId="30103" xr:uid="{00000000-0005-0000-0000-00007D810000}"/>
    <cellStyle name="Superscript 6 10" xfId="30104" xr:uid="{00000000-0005-0000-0000-00007E810000}"/>
    <cellStyle name="Superscript 6 10 2" xfId="30105" xr:uid="{00000000-0005-0000-0000-00007F810000}"/>
    <cellStyle name="Superscript 6 10 2 2" xfId="30106" xr:uid="{00000000-0005-0000-0000-000080810000}"/>
    <cellStyle name="Superscript 6 10 3" xfId="30107" xr:uid="{00000000-0005-0000-0000-000081810000}"/>
    <cellStyle name="Superscript 6 10 3 2" xfId="30108" xr:uid="{00000000-0005-0000-0000-000082810000}"/>
    <cellStyle name="Superscript 6 10 4" xfId="30109" xr:uid="{00000000-0005-0000-0000-000083810000}"/>
    <cellStyle name="Superscript 6 10 4 2" xfId="30110" xr:uid="{00000000-0005-0000-0000-000084810000}"/>
    <cellStyle name="Superscript 6 10 5" xfId="30111" xr:uid="{00000000-0005-0000-0000-000085810000}"/>
    <cellStyle name="Superscript 6 10 5 2" xfId="30112" xr:uid="{00000000-0005-0000-0000-000086810000}"/>
    <cellStyle name="Superscript 6 10 6" xfId="30113" xr:uid="{00000000-0005-0000-0000-000087810000}"/>
    <cellStyle name="Superscript 6 10 6 2" xfId="30114" xr:uid="{00000000-0005-0000-0000-000088810000}"/>
    <cellStyle name="Superscript 6 10 7" xfId="30115" xr:uid="{00000000-0005-0000-0000-000089810000}"/>
    <cellStyle name="Superscript 6 10 7 2" xfId="30116" xr:uid="{00000000-0005-0000-0000-00008A810000}"/>
    <cellStyle name="Superscript 6 10 8" xfId="30117" xr:uid="{00000000-0005-0000-0000-00008B810000}"/>
    <cellStyle name="Superscript 6 10 8 2" xfId="30118" xr:uid="{00000000-0005-0000-0000-00008C810000}"/>
    <cellStyle name="Superscript 6 10 9" xfId="30119" xr:uid="{00000000-0005-0000-0000-00008D810000}"/>
    <cellStyle name="Superscript 6 11" xfId="30120" xr:uid="{00000000-0005-0000-0000-00008E810000}"/>
    <cellStyle name="Superscript 6 11 2" xfId="30121" xr:uid="{00000000-0005-0000-0000-00008F810000}"/>
    <cellStyle name="Superscript 6 12" xfId="30122" xr:uid="{00000000-0005-0000-0000-000090810000}"/>
    <cellStyle name="Superscript 6 12 2" xfId="30123" xr:uid="{00000000-0005-0000-0000-000091810000}"/>
    <cellStyle name="Superscript 6 13" xfId="30124" xr:uid="{00000000-0005-0000-0000-000092810000}"/>
    <cellStyle name="Superscript 6 13 2" xfId="30125" xr:uid="{00000000-0005-0000-0000-000093810000}"/>
    <cellStyle name="Superscript 6 14" xfId="30126" xr:uid="{00000000-0005-0000-0000-000094810000}"/>
    <cellStyle name="Superscript 6 14 2" xfId="30127" xr:uid="{00000000-0005-0000-0000-000095810000}"/>
    <cellStyle name="Superscript 6 15" xfId="30128" xr:uid="{00000000-0005-0000-0000-000096810000}"/>
    <cellStyle name="Superscript 6 15 2" xfId="30129" xr:uid="{00000000-0005-0000-0000-000097810000}"/>
    <cellStyle name="Superscript 6 16" xfId="30130" xr:uid="{00000000-0005-0000-0000-000098810000}"/>
    <cellStyle name="Superscript 6 16 2" xfId="30131" xr:uid="{00000000-0005-0000-0000-000099810000}"/>
    <cellStyle name="Superscript 6 17" xfId="30132" xr:uid="{00000000-0005-0000-0000-00009A810000}"/>
    <cellStyle name="Superscript 6 17 2" xfId="30133" xr:uid="{00000000-0005-0000-0000-00009B810000}"/>
    <cellStyle name="Superscript 6 18" xfId="30134" xr:uid="{00000000-0005-0000-0000-00009C810000}"/>
    <cellStyle name="Superscript 6 2" xfId="30135" xr:uid="{00000000-0005-0000-0000-00009D810000}"/>
    <cellStyle name="Superscript 6 2 10" xfId="30136" xr:uid="{00000000-0005-0000-0000-00009E810000}"/>
    <cellStyle name="Superscript 6 2 2" xfId="30137" xr:uid="{00000000-0005-0000-0000-00009F810000}"/>
    <cellStyle name="Superscript 6 2 2 2" xfId="30138" xr:uid="{00000000-0005-0000-0000-0000A0810000}"/>
    <cellStyle name="Superscript 6 2 3" xfId="30139" xr:uid="{00000000-0005-0000-0000-0000A1810000}"/>
    <cellStyle name="Superscript 6 2 3 2" xfId="30140" xr:uid="{00000000-0005-0000-0000-0000A2810000}"/>
    <cellStyle name="Superscript 6 2 4" xfId="30141" xr:uid="{00000000-0005-0000-0000-0000A3810000}"/>
    <cellStyle name="Superscript 6 2 4 2" xfId="30142" xr:uid="{00000000-0005-0000-0000-0000A4810000}"/>
    <cellStyle name="Superscript 6 2 5" xfId="30143" xr:uid="{00000000-0005-0000-0000-0000A5810000}"/>
    <cellStyle name="Superscript 6 2 5 2" xfId="30144" xr:uid="{00000000-0005-0000-0000-0000A6810000}"/>
    <cellStyle name="Superscript 6 2 6" xfId="30145" xr:uid="{00000000-0005-0000-0000-0000A7810000}"/>
    <cellStyle name="Superscript 6 2 6 2" xfId="30146" xr:uid="{00000000-0005-0000-0000-0000A8810000}"/>
    <cellStyle name="Superscript 6 2 7" xfId="30147" xr:uid="{00000000-0005-0000-0000-0000A9810000}"/>
    <cellStyle name="Superscript 6 2 7 2" xfId="30148" xr:uid="{00000000-0005-0000-0000-0000AA810000}"/>
    <cellStyle name="Superscript 6 2 8" xfId="30149" xr:uid="{00000000-0005-0000-0000-0000AB810000}"/>
    <cellStyle name="Superscript 6 2 8 2" xfId="30150" xr:uid="{00000000-0005-0000-0000-0000AC810000}"/>
    <cellStyle name="Superscript 6 2 9" xfId="30151" xr:uid="{00000000-0005-0000-0000-0000AD810000}"/>
    <cellStyle name="Superscript 6 2 9 2" xfId="30152" xr:uid="{00000000-0005-0000-0000-0000AE810000}"/>
    <cellStyle name="Superscript 6 3" xfId="30153" xr:uid="{00000000-0005-0000-0000-0000AF810000}"/>
    <cellStyle name="Superscript 6 3 10" xfId="30154" xr:uid="{00000000-0005-0000-0000-0000B0810000}"/>
    <cellStyle name="Superscript 6 3 2" xfId="30155" xr:uid="{00000000-0005-0000-0000-0000B1810000}"/>
    <cellStyle name="Superscript 6 3 2 2" xfId="30156" xr:uid="{00000000-0005-0000-0000-0000B2810000}"/>
    <cellStyle name="Superscript 6 3 3" xfId="30157" xr:uid="{00000000-0005-0000-0000-0000B3810000}"/>
    <cellStyle name="Superscript 6 3 3 2" xfId="30158" xr:uid="{00000000-0005-0000-0000-0000B4810000}"/>
    <cellStyle name="Superscript 6 3 4" xfId="30159" xr:uid="{00000000-0005-0000-0000-0000B5810000}"/>
    <cellStyle name="Superscript 6 3 4 2" xfId="30160" xr:uid="{00000000-0005-0000-0000-0000B6810000}"/>
    <cellStyle name="Superscript 6 3 5" xfId="30161" xr:uid="{00000000-0005-0000-0000-0000B7810000}"/>
    <cellStyle name="Superscript 6 3 5 2" xfId="30162" xr:uid="{00000000-0005-0000-0000-0000B8810000}"/>
    <cellStyle name="Superscript 6 3 6" xfId="30163" xr:uid="{00000000-0005-0000-0000-0000B9810000}"/>
    <cellStyle name="Superscript 6 3 6 2" xfId="30164" xr:uid="{00000000-0005-0000-0000-0000BA810000}"/>
    <cellStyle name="Superscript 6 3 7" xfId="30165" xr:uid="{00000000-0005-0000-0000-0000BB810000}"/>
    <cellStyle name="Superscript 6 3 7 2" xfId="30166" xr:uid="{00000000-0005-0000-0000-0000BC810000}"/>
    <cellStyle name="Superscript 6 3 8" xfId="30167" xr:uid="{00000000-0005-0000-0000-0000BD810000}"/>
    <cellStyle name="Superscript 6 3 8 2" xfId="30168" xr:uid="{00000000-0005-0000-0000-0000BE810000}"/>
    <cellStyle name="Superscript 6 3 9" xfId="30169" xr:uid="{00000000-0005-0000-0000-0000BF810000}"/>
    <cellStyle name="Superscript 6 3 9 2" xfId="30170" xr:uid="{00000000-0005-0000-0000-0000C0810000}"/>
    <cellStyle name="Superscript 6 4" xfId="30171" xr:uid="{00000000-0005-0000-0000-0000C1810000}"/>
    <cellStyle name="Superscript 6 4 10" xfId="30172" xr:uid="{00000000-0005-0000-0000-0000C2810000}"/>
    <cellStyle name="Superscript 6 4 2" xfId="30173" xr:uid="{00000000-0005-0000-0000-0000C3810000}"/>
    <cellStyle name="Superscript 6 4 2 2" xfId="30174" xr:uid="{00000000-0005-0000-0000-0000C4810000}"/>
    <cellStyle name="Superscript 6 4 3" xfId="30175" xr:uid="{00000000-0005-0000-0000-0000C5810000}"/>
    <cellStyle name="Superscript 6 4 3 2" xfId="30176" xr:uid="{00000000-0005-0000-0000-0000C6810000}"/>
    <cellStyle name="Superscript 6 4 4" xfId="30177" xr:uid="{00000000-0005-0000-0000-0000C7810000}"/>
    <cellStyle name="Superscript 6 4 4 2" xfId="30178" xr:uid="{00000000-0005-0000-0000-0000C8810000}"/>
    <cellStyle name="Superscript 6 4 5" xfId="30179" xr:uid="{00000000-0005-0000-0000-0000C9810000}"/>
    <cellStyle name="Superscript 6 4 5 2" xfId="30180" xr:uid="{00000000-0005-0000-0000-0000CA810000}"/>
    <cellStyle name="Superscript 6 4 6" xfId="30181" xr:uid="{00000000-0005-0000-0000-0000CB810000}"/>
    <cellStyle name="Superscript 6 4 6 2" xfId="30182" xr:uid="{00000000-0005-0000-0000-0000CC810000}"/>
    <cellStyle name="Superscript 6 4 7" xfId="30183" xr:uid="{00000000-0005-0000-0000-0000CD810000}"/>
    <cellStyle name="Superscript 6 4 7 2" xfId="30184" xr:uid="{00000000-0005-0000-0000-0000CE810000}"/>
    <cellStyle name="Superscript 6 4 8" xfId="30185" xr:uid="{00000000-0005-0000-0000-0000CF810000}"/>
    <cellStyle name="Superscript 6 4 8 2" xfId="30186" xr:uid="{00000000-0005-0000-0000-0000D0810000}"/>
    <cellStyle name="Superscript 6 4 9" xfId="30187" xr:uid="{00000000-0005-0000-0000-0000D1810000}"/>
    <cellStyle name="Superscript 6 4 9 2" xfId="30188" xr:uid="{00000000-0005-0000-0000-0000D2810000}"/>
    <cellStyle name="Superscript 6 5" xfId="30189" xr:uid="{00000000-0005-0000-0000-0000D3810000}"/>
    <cellStyle name="Superscript 6 5 10" xfId="30190" xr:uid="{00000000-0005-0000-0000-0000D4810000}"/>
    <cellStyle name="Superscript 6 5 2" xfId="30191" xr:uid="{00000000-0005-0000-0000-0000D5810000}"/>
    <cellStyle name="Superscript 6 5 2 2" xfId="30192" xr:uid="{00000000-0005-0000-0000-0000D6810000}"/>
    <cellStyle name="Superscript 6 5 3" xfId="30193" xr:uid="{00000000-0005-0000-0000-0000D7810000}"/>
    <cellStyle name="Superscript 6 5 3 2" xfId="30194" xr:uid="{00000000-0005-0000-0000-0000D8810000}"/>
    <cellStyle name="Superscript 6 5 4" xfId="30195" xr:uid="{00000000-0005-0000-0000-0000D9810000}"/>
    <cellStyle name="Superscript 6 5 4 2" xfId="30196" xr:uid="{00000000-0005-0000-0000-0000DA810000}"/>
    <cellStyle name="Superscript 6 5 5" xfId="30197" xr:uid="{00000000-0005-0000-0000-0000DB810000}"/>
    <cellStyle name="Superscript 6 5 5 2" xfId="30198" xr:uid="{00000000-0005-0000-0000-0000DC810000}"/>
    <cellStyle name="Superscript 6 5 6" xfId="30199" xr:uid="{00000000-0005-0000-0000-0000DD810000}"/>
    <cellStyle name="Superscript 6 5 6 2" xfId="30200" xr:uid="{00000000-0005-0000-0000-0000DE810000}"/>
    <cellStyle name="Superscript 6 5 7" xfId="30201" xr:uid="{00000000-0005-0000-0000-0000DF810000}"/>
    <cellStyle name="Superscript 6 5 7 2" xfId="30202" xr:uid="{00000000-0005-0000-0000-0000E0810000}"/>
    <cellStyle name="Superscript 6 5 8" xfId="30203" xr:uid="{00000000-0005-0000-0000-0000E1810000}"/>
    <cellStyle name="Superscript 6 5 8 2" xfId="30204" xr:uid="{00000000-0005-0000-0000-0000E2810000}"/>
    <cellStyle name="Superscript 6 5 9" xfId="30205" xr:uid="{00000000-0005-0000-0000-0000E3810000}"/>
    <cellStyle name="Superscript 6 5 9 2" xfId="30206" xr:uid="{00000000-0005-0000-0000-0000E4810000}"/>
    <cellStyle name="Superscript 6 6" xfId="30207" xr:uid="{00000000-0005-0000-0000-0000E5810000}"/>
    <cellStyle name="Superscript 6 6 10" xfId="30208" xr:uid="{00000000-0005-0000-0000-0000E6810000}"/>
    <cellStyle name="Superscript 6 6 2" xfId="30209" xr:uid="{00000000-0005-0000-0000-0000E7810000}"/>
    <cellStyle name="Superscript 6 6 2 2" xfId="30210" xr:uid="{00000000-0005-0000-0000-0000E8810000}"/>
    <cellStyle name="Superscript 6 6 3" xfId="30211" xr:uid="{00000000-0005-0000-0000-0000E9810000}"/>
    <cellStyle name="Superscript 6 6 3 2" xfId="30212" xr:uid="{00000000-0005-0000-0000-0000EA810000}"/>
    <cellStyle name="Superscript 6 6 4" xfId="30213" xr:uid="{00000000-0005-0000-0000-0000EB810000}"/>
    <cellStyle name="Superscript 6 6 4 2" xfId="30214" xr:uid="{00000000-0005-0000-0000-0000EC810000}"/>
    <cellStyle name="Superscript 6 6 5" xfId="30215" xr:uid="{00000000-0005-0000-0000-0000ED810000}"/>
    <cellStyle name="Superscript 6 6 5 2" xfId="30216" xr:uid="{00000000-0005-0000-0000-0000EE810000}"/>
    <cellStyle name="Superscript 6 6 6" xfId="30217" xr:uid="{00000000-0005-0000-0000-0000EF810000}"/>
    <cellStyle name="Superscript 6 6 6 2" xfId="30218" xr:uid="{00000000-0005-0000-0000-0000F0810000}"/>
    <cellStyle name="Superscript 6 6 7" xfId="30219" xr:uid="{00000000-0005-0000-0000-0000F1810000}"/>
    <cellStyle name="Superscript 6 6 7 2" xfId="30220" xr:uid="{00000000-0005-0000-0000-0000F2810000}"/>
    <cellStyle name="Superscript 6 6 8" xfId="30221" xr:uid="{00000000-0005-0000-0000-0000F3810000}"/>
    <cellStyle name="Superscript 6 6 8 2" xfId="30222" xr:uid="{00000000-0005-0000-0000-0000F4810000}"/>
    <cellStyle name="Superscript 6 6 9" xfId="30223" xr:uid="{00000000-0005-0000-0000-0000F5810000}"/>
    <cellStyle name="Superscript 6 6 9 2" xfId="30224" xr:uid="{00000000-0005-0000-0000-0000F6810000}"/>
    <cellStyle name="Superscript 6 7" xfId="30225" xr:uid="{00000000-0005-0000-0000-0000F7810000}"/>
    <cellStyle name="Superscript 6 7 10" xfId="30226" xr:uid="{00000000-0005-0000-0000-0000F8810000}"/>
    <cellStyle name="Superscript 6 7 2" xfId="30227" xr:uid="{00000000-0005-0000-0000-0000F9810000}"/>
    <cellStyle name="Superscript 6 7 2 2" xfId="30228" xr:uid="{00000000-0005-0000-0000-0000FA810000}"/>
    <cellStyle name="Superscript 6 7 3" xfId="30229" xr:uid="{00000000-0005-0000-0000-0000FB810000}"/>
    <cellStyle name="Superscript 6 7 3 2" xfId="30230" xr:uid="{00000000-0005-0000-0000-0000FC810000}"/>
    <cellStyle name="Superscript 6 7 4" xfId="30231" xr:uid="{00000000-0005-0000-0000-0000FD810000}"/>
    <cellStyle name="Superscript 6 7 4 2" xfId="30232" xr:uid="{00000000-0005-0000-0000-0000FE810000}"/>
    <cellStyle name="Superscript 6 7 5" xfId="30233" xr:uid="{00000000-0005-0000-0000-0000FF810000}"/>
    <cellStyle name="Superscript 6 7 5 2" xfId="30234" xr:uid="{00000000-0005-0000-0000-000000820000}"/>
    <cellStyle name="Superscript 6 7 6" xfId="30235" xr:uid="{00000000-0005-0000-0000-000001820000}"/>
    <cellStyle name="Superscript 6 7 6 2" xfId="30236" xr:uid="{00000000-0005-0000-0000-000002820000}"/>
    <cellStyle name="Superscript 6 7 7" xfId="30237" xr:uid="{00000000-0005-0000-0000-000003820000}"/>
    <cellStyle name="Superscript 6 7 7 2" xfId="30238" xr:uid="{00000000-0005-0000-0000-000004820000}"/>
    <cellStyle name="Superscript 6 7 8" xfId="30239" xr:uid="{00000000-0005-0000-0000-000005820000}"/>
    <cellStyle name="Superscript 6 7 8 2" xfId="30240" xr:uid="{00000000-0005-0000-0000-000006820000}"/>
    <cellStyle name="Superscript 6 7 9" xfId="30241" xr:uid="{00000000-0005-0000-0000-000007820000}"/>
    <cellStyle name="Superscript 6 7 9 2" xfId="30242" xr:uid="{00000000-0005-0000-0000-000008820000}"/>
    <cellStyle name="Superscript 6 8" xfId="30243" xr:uid="{00000000-0005-0000-0000-000009820000}"/>
    <cellStyle name="Superscript 6 8 10" xfId="30244" xr:uid="{00000000-0005-0000-0000-00000A820000}"/>
    <cellStyle name="Superscript 6 8 2" xfId="30245" xr:uid="{00000000-0005-0000-0000-00000B820000}"/>
    <cellStyle name="Superscript 6 8 2 2" xfId="30246" xr:uid="{00000000-0005-0000-0000-00000C820000}"/>
    <cellStyle name="Superscript 6 8 3" xfId="30247" xr:uid="{00000000-0005-0000-0000-00000D820000}"/>
    <cellStyle name="Superscript 6 8 3 2" xfId="30248" xr:uid="{00000000-0005-0000-0000-00000E820000}"/>
    <cellStyle name="Superscript 6 8 4" xfId="30249" xr:uid="{00000000-0005-0000-0000-00000F820000}"/>
    <cellStyle name="Superscript 6 8 4 2" xfId="30250" xr:uid="{00000000-0005-0000-0000-000010820000}"/>
    <cellStyle name="Superscript 6 8 5" xfId="30251" xr:uid="{00000000-0005-0000-0000-000011820000}"/>
    <cellStyle name="Superscript 6 8 5 2" xfId="30252" xr:uid="{00000000-0005-0000-0000-000012820000}"/>
    <cellStyle name="Superscript 6 8 6" xfId="30253" xr:uid="{00000000-0005-0000-0000-000013820000}"/>
    <cellStyle name="Superscript 6 8 6 2" xfId="30254" xr:uid="{00000000-0005-0000-0000-000014820000}"/>
    <cellStyle name="Superscript 6 8 7" xfId="30255" xr:uid="{00000000-0005-0000-0000-000015820000}"/>
    <cellStyle name="Superscript 6 8 7 2" xfId="30256" xr:uid="{00000000-0005-0000-0000-000016820000}"/>
    <cellStyle name="Superscript 6 8 8" xfId="30257" xr:uid="{00000000-0005-0000-0000-000017820000}"/>
    <cellStyle name="Superscript 6 8 8 2" xfId="30258" xr:uid="{00000000-0005-0000-0000-000018820000}"/>
    <cellStyle name="Superscript 6 8 9" xfId="30259" xr:uid="{00000000-0005-0000-0000-000019820000}"/>
    <cellStyle name="Superscript 6 8 9 2" xfId="30260" xr:uid="{00000000-0005-0000-0000-00001A820000}"/>
    <cellStyle name="Superscript 6 9" xfId="30261" xr:uid="{00000000-0005-0000-0000-00001B820000}"/>
    <cellStyle name="Superscript 6 9 10" xfId="30262" xr:uid="{00000000-0005-0000-0000-00001C820000}"/>
    <cellStyle name="Superscript 6 9 2" xfId="30263" xr:uid="{00000000-0005-0000-0000-00001D820000}"/>
    <cellStyle name="Superscript 6 9 2 2" xfId="30264" xr:uid="{00000000-0005-0000-0000-00001E820000}"/>
    <cellStyle name="Superscript 6 9 3" xfId="30265" xr:uid="{00000000-0005-0000-0000-00001F820000}"/>
    <cellStyle name="Superscript 6 9 3 2" xfId="30266" xr:uid="{00000000-0005-0000-0000-000020820000}"/>
    <cellStyle name="Superscript 6 9 4" xfId="30267" xr:uid="{00000000-0005-0000-0000-000021820000}"/>
    <cellStyle name="Superscript 6 9 4 2" xfId="30268" xr:uid="{00000000-0005-0000-0000-000022820000}"/>
    <cellStyle name="Superscript 6 9 5" xfId="30269" xr:uid="{00000000-0005-0000-0000-000023820000}"/>
    <cellStyle name="Superscript 6 9 5 2" xfId="30270" xr:uid="{00000000-0005-0000-0000-000024820000}"/>
    <cellStyle name="Superscript 6 9 6" xfId="30271" xr:uid="{00000000-0005-0000-0000-000025820000}"/>
    <cellStyle name="Superscript 6 9 6 2" xfId="30272" xr:uid="{00000000-0005-0000-0000-000026820000}"/>
    <cellStyle name="Superscript 6 9 7" xfId="30273" xr:uid="{00000000-0005-0000-0000-000027820000}"/>
    <cellStyle name="Superscript 6 9 7 2" xfId="30274" xr:uid="{00000000-0005-0000-0000-000028820000}"/>
    <cellStyle name="Superscript 6 9 8" xfId="30275" xr:uid="{00000000-0005-0000-0000-000029820000}"/>
    <cellStyle name="Superscript 6 9 8 2" xfId="30276" xr:uid="{00000000-0005-0000-0000-00002A820000}"/>
    <cellStyle name="Superscript 6 9 9" xfId="30277" xr:uid="{00000000-0005-0000-0000-00002B820000}"/>
    <cellStyle name="Superscript 6 9 9 2" xfId="30278" xr:uid="{00000000-0005-0000-0000-00002C820000}"/>
    <cellStyle name="Superscript- regular" xfId="112" xr:uid="{00000000-0005-0000-0000-00002D820000}"/>
    <cellStyle name="Superscript- regular 2" xfId="30279" xr:uid="{00000000-0005-0000-0000-00002E820000}"/>
    <cellStyle name="Superscript- regular 2 10" xfId="30280" xr:uid="{00000000-0005-0000-0000-00002F820000}"/>
    <cellStyle name="Superscript- regular 2 10 10" xfId="30281" xr:uid="{00000000-0005-0000-0000-000030820000}"/>
    <cellStyle name="Superscript- regular 2 10 2" xfId="30282" xr:uid="{00000000-0005-0000-0000-000031820000}"/>
    <cellStyle name="Superscript- regular 2 10 2 2" xfId="30283" xr:uid="{00000000-0005-0000-0000-000032820000}"/>
    <cellStyle name="Superscript- regular 2 10 3" xfId="30284" xr:uid="{00000000-0005-0000-0000-000033820000}"/>
    <cellStyle name="Superscript- regular 2 10 3 2" xfId="30285" xr:uid="{00000000-0005-0000-0000-000034820000}"/>
    <cellStyle name="Superscript- regular 2 10 4" xfId="30286" xr:uid="{00000000-0005-0000-0000-000035820000}"/>
    <cellStyle name="Superscript- regular 2 10 4 2" xfId="30287" xr:uid="{00000000-0005-0000-0000-000036820000}"/>
    <cellStyle name="Superscript- regular 2 10 5" xfId="30288" xr:uid="{00000000-0005-0000-0000-000037820000}"/>
    <cellStyle name="Superscript- regular 2 10 5 2" xfId="30289" xr:uid="{00000000-0005-0000-0000-000038820000}"/>
    <cellStyle name="Superscript- regular 2 10 6" xfId="30290" xr:uid="{00000000-0005-0000-0000-000039820000}"/>
    <cellStyle name="Superscript- regular 2 10 6 2" xfId="30291" xr:uid="{00000000-0005-0000-0000-00003A820000}"/>
    <cellStyle name="Superscript- regular 2 10 7" xfId="30292" xr:uid="{00000000-0005-0000-0000-00003B820000}"/>
    <cellStyle name="Superscript- regular 2 10 7 2" xfId="30293" xr:uid="{00000000-0005-0000-0000-00003C820000}"/>
    <cellStyle name="Superscript- regular 2 10 8" xfId="30294" xr:uid="{00000000-0005-0000-0000-00003D820000}"/>
    <cellStyle name="Superscript- regular 2 10 8 2" xfId="30295" xr:uid="{00000000-0005-0000-0000-00003E820000}"/>
    <cellStyle name="Superscript- regular 2 10 9" xfId="30296" xr:uid="{00000000-0005-0000-0000-00003F820000}"/>
    <cellStyle name="Superscript- regular 2 10 9 2" xfId="30297" xr:uid="{00000000-0005-0000-0000-000040820000}"/>
    <cellStyle name="Superscript- regular 2 11" xfId="30298" xr:uid="{00000000-0005-0000-0000-000041820000}"/>
    <cellStyle name="Superscript- regular 2 11 2" xfId="30299" xr:uid="{00000000-0005-0000-0000-000042820000}"/>
    <cellStyle name="Superscript- regular 2 11 2 2" xfId="30300" xr:uid="{00000000-0005-0000-0000-000043820000}"/>
    <cellStyle name="Superscript- regular 2 11 3" xfId="30301" xr:uid="{00000000-0005-0000-0000-000044820000}"/>
    <cellStyle name="Superscript- regular 2 11 3 2" xfId="30302" xr:uid="{00000000-0005-0000-0000-000045820000}"/>
    <cellStyle name="Superscript- regular 2 11 4" xfId="30303" xr:uid="{00000000-0005-0000-0000-000046820000}"/>
    <cellStyle name="Superscript- regular 2 11 4 2" xfId="30304" xr:uid="{00000000-0005-0000-0000-000047820000}"/>
    <cellStyle name="Superscript- regular 2 11 5" xfId="30305" xr:uid="{00000000-0005-0000-0000-000048820000}"/>
    <cellStyle name="Superscript- regular 2 11 5 2" xfId="30306" xr:uid="{00000000-0005-0000-0000-000049820000}"/>
    <cellStyle name="Superscript- regular 2 11 6" xfId="30307" xr:uid="{00000000-0005-0000-0000-00004A820000}"/>
    <cellStyle name="Superscript- regular 2 11 6 2" xfId="30308" xr:uid="{00000000-0005-0000-0000-00004B820000}"/>
    <cellStyle name="Superscript- regular 2 11 7" xfId="30309" xr:uid="{00000000-0005-0000-0000-00004C820000}"/>
    <cellStyle name="Superscript- regular 2 11 7 2" xfId="30310" xr:uid="{00000000-0005-0000-0000-00004D820000}"/>
    <cellStyle name="Superscript- regular 2 11 8" xfId="30311" xr:uid="{00000000-0005-0000-0000-00004E820000}"/>
    <cellStyle name="Superscript- regular 2 11 8 2" xfId="30312" xr:uid="{00000000-0005-0000-0000-00004F820000}"/>
    <cellStyle name="Superscript- regular 2 11 9" xfId="30313" xr:uid="{00000000-0005-0000-0000-000050820000}"/>
    <cellStyle name="Superscript- regular 2 2" xfId="30314" xr:uid="{00000000-0005-0000-0000-000051820000}"/>
    <cellStyle name="Superscript- regular 2 2 10" xfId="30315" xr:uid="{00000000-0005-0000-0000-000052820000}"/>
    <cellStyle name="Superscript- regular 2 2 2" xfId="30316" xr:uid="{00000000-0005-0000-0000-000053820000}"/>
    <cellStyle name="Superscript- regular 2 2 2 2" xfId="30317" xr:uid="{00000000-0005-0000-0000-000054820000}"/>
    <cellStyle name="Superscript- regular 2 2 3" xfId="30318" xr:uid="{00000000-0005-0000-0000-000055820000}"/>
    <cellStyle name="Superscript- regular 2 2 3 2" xfId="30319" xr:uid="{00000000-0005-0000-0000-000056820000}"/>
    <cellStyle name="Superscript- regular 2 2 4" xfId="30320" xr:uid="{00000000-0005-0000-0000-000057820000}"/>
    <cellStyle name="Superscript- regular 2 2 4 2" xfId="30321" xr:uid="{00000000-0005-0000-0000-000058820000}"/>
    <cellStyle name="Superscript- regular 2 2 5" xfId="30322" xr:uid="{00000000-0005-0000-0000-000059820000}"/>
    <cellStyle name="Superscript- regular 2 2 5 2" xfId="30323" xr:uid="{00000000-0005-0000-0000-00005A820000}"/>
    <cellStyle name="Superscript- regular 2 2 6" xfId="30324" xr:uid="{00000000-0005-0000-0000-00005B820000}"/>
    <cellStyle name="Superscript- regular 2 2 6 2" xfId="30325" xr:uid="{00000000-0005-0000-0000-00005C820000}"/>
    <cellStyle name="Superscript- regular 2 2 7" xfId="30326" xr:uid="{00000000-0005-0000-0000-00005D820000}"/>
    <cellStyle name="Superscript- regular 2 2 7 2" xfId="30327" xr:uid="{00000000-0005-0000-0000-00005E820000}"/>
    <cellStyle name="Superscript- regular 2 2 8" xfId="30328" xr:uid="{00000000-0005-0000-0000-00005F820000}"/>
    <cellStyle name="Superscript- regular 2 2 8 2" xfId="30329" xr:uid="{00000000-0005-0000-0000-000060820000}"/>
    <cellStyle name="Superscript- regular 2 2 9" xfId="30330" xr:uid="{00000000-0005-0000-0000-000061820000}"/>
    <cellStyle name="Superscript- regular 2 2 9 2" xfId="30331" xr:uid="{00000000-0005-0000-0000-000062820000}"/>
    <cellStyle name="Superscript- regular 2 3" xfId="30332" xr:uid="{00000000-0005-0000-0000-000063820000}"/>
    <cellStyle name="Superscript- regular 2 3 10" xfId="30333" xr:uid="{00000000-0005-0000-0000-000064820000}"/>
    <cellStyle name="Superscript- regular 2 3 2" xfId="30334" xr:uid="{00000000-0005-0000-0000-000065820000}"/>
    <cellStyle name="Superscript- regular 2 3 2 2" xfId="30335" xr:uid="{00000000-0005-0000-0000-000066820000}"/>
    <cellStyle name="Superscript- regular 2 3 3" xfId="30336" xr:uid="{00000000-0005-0000-0000-000067820000}"/>
    <cellStyle name="Superscript- regular 2 3 3 2" xfId="30337" xr:uid="{00000000-0005-0000-0000-000068820000}"/>
    <cellStyle name="Superscript- regular 2 3 4" xfId="30338" xr:uid="{00000000-0005-0000-0000-000069820000}"/>
    <cellStyle name="Superscript- regular 2 3 4 2" xfId="30339" xr:uid="{00000000-0005-0000-0000-00006A820000}"/>
    <cellStyle name="Superscript- regular 2 3 5" xfId="30340" xr:uid="{00000000-0005-0000-0000-00006B820000}"/>
    <cellStyle name="Superscript- regular 2 3 5 2" xfId="30341" xr:uid="{00000000-0005-0000-0000-00006C820000}"/>
    <cellStyle name="Superscript- regular 2 3 6" xfId="30342" xr:uid="{00000000-0005-0000-0000-00006D820000}"/>
    <cellStyle name="Superscript- regular 2 3 6 2" xfId="30343" xr:uid="{00000000-0005-0000-0000-00006E820000}"/>
    <cellStyle name="Superscript- regular 2 3 7" xfId="30344" xr:uid="{00000000-0005-0000-0000-00006F820000}"/>
    <cellStyle name="Superscript- regular 2 3 7 2" xfId="30345" xr:uid="{00000000-0005-0000-0000-000070820000}"/>
    <cellStyle name="Superscript- regular 2 3 8" xfId="30346" xr:uid="{00000000-0005-0000-0000-000071820000}"/>
    <cellStyle name="Superscript- regular 2 3 8 2" xfId="30347" xr:uid="{00000000-0005-0000-0000-000072820000}"/>
    <cellStyle name="Superscript- regular 2 3 9" xfId="30348" xr:uid="{00000000-0005-0000-0000-000073820000}"/>
    <cellStyle name="Superscript- regular 2 3 9 2" xfId="30349" xr:uid="{00000000-0005-0000-0000-000074820000}"/>
    <cellStyle name="Superscript- regular 2 4" xfId="30350" xr:uid="{00000000-0005-0000-0000-000075820000}"/>
    <cellStyle name="Superscript- regular 2 4 10" xfId="30351" xr:uid="{00000000-0005-0000-0000-000076820000}"/>
    <cellStyle name="Superscript- regular 2 4 2" xfId="30352" xr:uid="{00000000-0005-0000-0000-000077820000}"/>
    <cellStyle name="Superscript- regular 2 4 2 2" xfId="30353" xr:uid="{00000000-0005-0000-0000-000078820000}"/>
    <cellStyle name="Superscript- regular 2 4 3" xfId="30354" xr:uid="{00000000-0005-0000-0000-000079820000}"/>
    <cellStyle name="Superscript- regular 2 4 3 2" xfId="30355" xr:uid="{00000000-0005-0000-0000-00007A820000}"/>
    <cellStyle name="Superscript- regular 2 4 4" xfId="30356" xr:uid="{00000000-0005-0000-0000-00007B820000}"/>
    <cellStyle name="Superscript- regular 2 4 4 2" xfId="30357" xr:uid="{00000000-0005-0000-0000-00007C820000}"/>
    <cellStyle name="Superscript- regular 2 4 5" xfId="30358" xr:uid="{00000000-0005-0000-0000-00007D820000}"/>
    <cellStyle name="Superscript- regular 2 4 5 2" xfId="30359" xr:uid="{00000000-0005-0000-0000-00007E820000}"/>
    <cellStyle name="Superscript- regular 2 4 6" xfId="30360" xr:uid="{00000000-0005-0000-0000-00007F820000}"/>
    <cellStyle name="Superscript- regular 2 4 6 2" xfId="30361" xr:uid="{00000000-0005-0000-0000-000080820000}"/>
    <cellStyle name="Superscript- regular 2 4 7" xfId="30362" xr:uid="{00000000-0005-0000-0000-000081820000}"/>
    <cellStyle name="Superscript- regular 2 4 7 2" xfId="30363" xr:uid="{00000000-0005-0000-0000-000082820000}"/>
    <cellStyle name="Superscript- regular 2 4 8" xfId="30364" xr:uid="{00000000-0005-0000-0000-000083820000}"/>
    <cellStyle name="Superscript- regular 2 4 8 2" xfId="30365" xr:uid="{00000000-0005-0000-0000-000084820000}"/>
    <cellStyle name="Superscript- regular 2 4 9" xfId="30366" xr:uid="{00000000-0005-0000-0000-000085820000}"/>
    <cellStyle name="Superscript- regular 2 4 9 2" xfId="30367" xr:uid="{00000000-0005-0000-0000-000086820000}"/>
    <cellStyle name="Superscript- regular 2 5" xfId="30368" xr:uid="{00000000-0005-0000-0000-000087820000}"/>
    <cellStyle name="Superscript- regular 2 5 10" xfId="30369" xr:uid="{00000000-0005-0000-0000-000088820000}"/>
    <cellStyle name="Superscript- regular 2 5 2" xfId="30370" xr:uid="{00000000-0005-0000-0000-000089820000}"/>
    <cellStyle name="Superscript- regular 2 5 2 2" xfId="30371" xr:uid="{00000000-0005-0000-0000-00008A820000}"/>
    <cellStyle name="Superscript- regular 2 5 3" xfId="30372" xr:uid="{00000000-0005-0000-0000-00008B820000}"/>
    <cellStyle name="Superscript- regular 2 5 3 2" xfId="30373" xr:uid="{00000000-0005-0000-0000-00008C820000}"/>
    <cellStyle name="Superscript- regular 2 5 4" xfId="30374" xr:uid="{00000000-0005-0000-0000-00008D820000}"/>
    <cellStyle name="Superscript- regular 2 5 4 2" xfId="30375" xr:uid="{00000000-0005-0000-0000-00008E820000}"/>
    <cellStyle name="Superscript- regular 2 5 5" xfId="30376" xr:uid="{00000000-0005-0000-0000-00008F820000}"/>
    <cellStyle name="Superscript- regular 2 5 5 2" xfId="30377" xr:uid="{00000000-0005-0000-0000-000090820000}"/>
    <cellStyle name="Superscript- regular 2 5 6" xfId="30378" xr:uid="{00000000-0005-0000-0000-000091820000}"/>
    <cellStyle name="Superscript- regular 2 5 6 2" xfId="30379" xr:uid="{00000000-0005-0000-0000-000092820000}"/>
    <cellStyle name="Superscript- regular 2 5 7" xfId="30380" xr:uid="{00000000-0005-0000-0000-000093820000}"/>
    <cellStyle name="Superscript- regular 2 5 7 2" xfId="30381" xr:uid="{00000000-0005-0000-0000-000094820000}"/>
    <cellStyle name="Superscript- regular 2 5 8" xfId="30382" xr:uid="{00000000-0005-0000-0000-000095820000}"/>
    <cellStyle name="Superscript- regular 2 5 8 2" xfId="30383" xr:uid="{00000000-0005-0000-0000-000096820000}"/>
    <cellStyle name="Superscript- regular 2 5 9" xfId="30384" xr:uid="{00000000-0005-0000-0000-000097820000}"/>
    <cellStyle name="Superscript- regular 2 5 9 2" xfId="30385" xr:uid="{00000000-0005-0000-0000-000098820000}"/>
    <cellStyle name="Superscript- regular 2 6" xfId="30386" xr:uid="{00000000-0005-0000-0000-000099820000}"/>
    <cellStyle name="Superscript- regular 2 6 10" xfId="30387" xr:uid="{00000000-0005-0000-0000-00009A820000}"/>
    <cellStyle name="Superscript- regular 2 6 2" xfId="30388" xr:uid="{00000000-0005-0000-0000-00009B820000}"/>
    <cellStyle name="Superscript- regular 2 6 2 2" xfId="30389" xr:uid="{00000000-0005-0000-0000-00009C820000}"/>
    <cellStyle name="Superscript- regular 2 6 3" xfId="30390" xr:uid="{00000000-0005-0000-0000-00009D820000}"/>
    <cellStyle name="Superscript- regular 2 6 3 2" xfId="30391" xr:uid="{00000000-0005-0000-0000-00009E820000}"/>
    <cellStyle name="Superscript- regular 2 6 4" xfId="30392" xr:uid="{00000000-0005-0000-0000-00009F820000}"/>
    <cellStyle name="Superscript- regular 2 6 4 2" xfId="30393" xr:uid="{00000000-0005-0000-0000-0000A0820000}"/>
    <cellStyle name="Superscript- regular 2 6 5" xfId="30394" xr:uid="{00000000-0005-0000-0000-0000A1820000}"/>
    <cellStyle name="Superscript- regular 2 6 5 2" xfId="30395" xr:uid="{00000000-0005-0000-0000-0000A2820000}"/>
    <cellStyle name="Superscript- regular 2 6 6" xfId="30396" xr:uid="{00000000-0005-0000-0000-0000A3820000}"/>
    <cellStyle name="Superscript- regular 2 6 6 2" xfId="30397" xr:uid="{00000000-0005-0000-0000-0000A4820000}"/>
    <cellStyle name="Superscript- regular 2 6 7" xfId="30398" xr:uid="{00000000-0005-0000-0000-0000A5820000}"/>
    <cellStyle name="Superscript- regular 2 6 7 2" xfId="30399" xr:uid="{00000000-0005-0000-0000-0000A6820000}"/>
    <cellStyle name="Superscript- regular 2 6 8" xfId="30400" xr:uid="{00000000-0005-0000-0000-0000A7820000}"/>
    <cellStyle name="Superscript- regular 2 6 8 2" xfId="30401" xr:uid="{00000000-0005-0000-0000-0000A8820000}"/>
    <cellStyle name="Superscript- regular 2 6 9" xfId="30402" xr:uid="{00000000-0005-0000-0000-0000A9820000}"/>
    <cellStyle name="Superscript- regular 2 6 9 2" xfId="30403" xr:uid="{00000000-0005-0000-0000-0000AA820000}"/>
    <cellStyle name="Superscript- regular 2 7" xfId="30404" xr:uid="{00000000-0005-0000-0000-0000AB820000}"/>
    <cellStyle name="Superscript- regular 2 7 10" xfId="30405" xr:uid="{00000000-0005-0000-0000-0000AC820000}"/>
    <cellStyle name="Superscript- regular 2 7 2" xfId="30406" xr:uid="{00000000-0005-0000-0000-0000AD820000}"/>
    <cellStyle name="Superscript- regular 2 7 2 2" xfId="30407" xr:uid="{00000000-0005-0000-0000-0000AE820000}"/>
    <cellStyle name="Superscript- regular 2 7 3" xfId="30408" xr:uid="{00000000-0005-0000-0000-0000AF820000}"/>
    <cellStyle name="Superscript- regular 2 7 3 2" xfId="30409" xr:uid="{00000000-0005-0000-0000-0000B0820000}"/>
    <cellStyle name="Superscript- regular 2 7 4" xfId="30410" xr:uid="{00000000-0005-0000-0000-0000B1820000}"/>
    <cellStyle name="Superscript- regular 2 7 4 2" xfId="30411" xr:uid="{00000000-0005-0000-0000-0000B2820000}"/>
    <cellStyle name="Superscript- regular 2 7 5" xfId="30412" xr:uid="{00000000-0005-0000-0000-0000B3820000}"/>
    <cellStyle name="Superscript- regular 2 7 5 2" xfId="30413" xr:uid="{00000000-0005-0000-0000-0000B4820000}"/>
    <cellStyle name="Superscript- regular 2 7 6" xfId="30414" xr:uid="{00000000-0005-0000-0000-0000B5820000}"/>
    <cellStyle name="Superscript- regular 2 7 6 2" xfId="30415" xr:uid="{00000000-0005-0000-0000-0000B6820000}"/>
    <cellStyle name="Superscript- regular 2 7 7" xfId="30416" xr:uid="{00000000-0005-0000-0000-0000B7820000}"/>
    <cellStyle name="Superscript- regular 2 7 7 2" xfId="30417" xr:uid="{00000000-0005-0000-0000-0000B8820000}"/>
    <cellStyle name="Superscript- regular 2 7 8" xfId="30418" xr:uid="{00000000-0005-0000-0000-0000B9820000}"/>
    <cellStyle name="Superscript- regular 2 7 8 2" xfId="30419" xr:uid="{00000000-0005-0000-0000-0000BA820000}"/>
    <cellStyle name="Superscript- regular 2 7 9" xfId="30420" xr:uid="{00000000-0005-0000-0000-0000BB820000}"/>
    <cellStyle name="Superscript- regular 2 7 9 2" xfId="30421" xr:uid="{00000000-0005-0000-0000-0000BC820000}"/>
    <cellStyle name="Superscript- regular 2 8" xfId="30422" xr:uid="{00000000-0005-0000-0000-0000BD820000}"/>
    <cellStyle name="Superscript- regular 2 8 10" xfId="30423" xr:uid="{00000000-0005-0000-0000-0000BE820000}"/>
    <cellStyle name="Superscript- regular 2 8 2" xfId="30424" xr:uid="{00000000-0005-0000-0000-0000BF820000}"/>
    <cellStyle name="Superscript- regular 2 8 2 2" xfId="30425" xr:uid="{00000000-0005-0000-0000-0000C0820000}"/>
    <cellStyle name="Superscript- regular 2 8 3" xfId="30426" xr:uid="{00000000-0005-0000-0000-0000C1820000}"/>
    <cellStyle name="Superscript- regular 2 8 3 2" xfId="30427" xr:uid="{00000000-0005-0000-0000-0000C2820000}"/>
    <cellStyle name="Superscript- regular 2 8 4" xfId="30428" xr:uid="{00000000-0005-0000-0000-0000C3820000}"/>
    <cellStyle name="Superscript- regular 2 8 4 2" xfId="30429" xr:uid="{00000000-0005-0000-0000-0000C4820000}"/>
    <cellStyle name="Superscript- regular 2 8 5" xfId="30430" xr:uid="{00000000-0005-0000-0000-0000C5820000}"/>
    <cellStyle name="Superscript- regular 2 8 5 2" xfId="30431" xr:uid="{00000000-0005-0000-0000-0000C6820000}"/>
    <cellStyle name="Superscript- regular 2 8 6" xfId="30432" xr:uid="{00000000-0005-0000-0000-0000C7820000}"/>
    <cellStyle name="Superscript- regular 2 8 6 2" xfId="30433" xr:uid="{00000000-0005-0000-0000-0000C8820000}"/>
    <cellStyle name="Superscript- regular 2 8 7" xfId="30434" xr:uid="{00000000-0005-0000-0000-0000C9820000}"/>
    <cellStyle name="Superscript- regular 2 8 7 2" xfId="30435" xr:uid="{00000000-0005-0000-0000-0000CA820000}"/>
    <cellStyle name="Superscript- regular 2 8 8" xfId="30436" xr:uid="{00000000-0005-0000-0000-0000CB820000}"/>
    <cellStyle name="Superscript- regular 2 8 8 2" xfId="30437" xr:uid="{00000000-0005-0000-0000-0000CC820000}"/>
    <cellStyle name="Superscript- regular 2 8 9" xfId="30438" xr:uid="{00000000-0005-0000-0000-0000CD820000}"/>
    <cellStyle name="Superscript- regular 2 8 9 2" xfId="30439" xr:uid="{00000000-0005-0000-0000-0000CE820000}"/>
    <cellStyle name="Superscript- regular 2 9" xfId="30440" xr:uid="{00000000-0005-0000-0000-0000CF820000}"/>
    <cellStyle name="Superscript- regular 2 9 10" xfId="30441" xr:uid="{00000000-0005-0000-0000-0000D0820000}"/>
    <cellStyle name="Superscript- regular 2 9 2" xfId="30442" xr:uid="{00000000-0005-0000-0000-0000D1820000}"/>
    <cellStyle name="Superscript- regular 2 9 2 2" xfId="30443" xr:uid="{00000000-0005-0000-0000-0000D2820000}"/>
    <cellStyle name="Superscript- regular 2 9 3" xfId="30444" xr:uid="{00000000-0005-0000-0000-0000D3820000}"/>
    <cellStyle name="Superscript- regular 2 9 3 2" xfId="30445" xr:uid="{00000000-0005-0000-0000-0000D4820000}"/>
    <cellStyle name="Superscript- regular 2 9 4" xfId="30446" xr:uid="{00000000-0005-0000-0000-0000D5820000}"/>
    <cellStyle name="Superscript- regular 2 9 4 2" xfId="30447" xr:uid="{00000000-0005-0000-0000-0000D6820000}"/>
    <cellStyle name="Superscript- regular 2 9 5" xfId="30448" xr:uid="{00000000-0005-0000-0000-0000D7820000}"/>
    <cellStyle name="Superscript- regular 2 9 5 2" xfId="30449" xr:uid="{00000000-0005-0000-0000-0000D8820000}"/>
    <cellStyle name="Superscript- regular 2 9 6" xfId="30450" xr:uid="{00000000-0005-0000-0000-0000D9820000}"/>
    <cellStyle name="Superscript- regular 2 9 6 2" xfId="30451" xr:uid="{00000000-0005-0000-0000-0000DA820000}"/>
    <cellStyle name="Superscript- regular 2 9 7" xfId="30452" xr:uid="{00000000-0005-0000-0000-0000DB820000}"/>
    <cellStyle name="Superscript- regular 2 9 7 2" xfId="30453" xr:uid="{00000000-0005-0000-0000-0000DC820000}"/>
    <cellStyle name="Superscript- regular 2 9 8" xfId="30454" xr:uid="{00000000-0005-0000-0000-0000DD820000}"/>
    <cellStyle name="Superscript- regular 2 9 8 2" xfId="30455" xr:uid="{00000000-0005-0000-0000-0000DE820000}"/>
    <cellStyle name="Superscript- regular 2 9 9" xfId="30456" xr:uid="{00000000-0005-0000-0000-0000DF820000}"/>
    <cellStyle name="Superscript- regular 2 9 9 2" xfId="30457" xr:uid="{00000000-0005-0000-0000-0000E0820000}"/>
    <cellStyle name="Superscript- regular 3" xfId="30458" xr:uid="{00000000-0005-0000-0000-0000E1820000}"/>
    <cellStyle name="Superscript- regular 3 10" xfId="30459" xr:uid="{00000000-0005-0000-0000-0000E2820000}"/>
    <cellStyle name="Superscript- regular 3 10 2" xfId="30460" xr:uid="{00000000-0005-0000-0000-0000E3820000}"/>
    <cellStyle name="Superscript- regular 3 10 2 2" xfId="30461" xr:uid="{00000000-0005-0000-0000-0000E4820000}"/>
    <cellStyle name="Superscript- regular 3 10 3" xfId="30462" xr:uid="{00000000-0005-0000-0000-0000E5820000}"/>
    <cellStyle name="Superscript- regular 3 10 3 2" xfId="30463" xr:uid="{00000000-0005-0000-0000-0000E6820000}"/>
    <cellStyle name="Superscript- regular 3 10 4" xfId="30464" xr:uid="{00000000-0005-0000-0000-0000E7820000}"/>
    <cellStyle name="Superscript- regular 3 10 4 2" xfId="30465" xr:uid="{00000000-0005-0000-0000-0000E8820000}"/>
    <cellStyle name="Superscript- regular 3 10 5" xfId="30466" xr:uid="{00000000-0005-0000-0000-0000E9820000}"/>
    <cellStyle name="Superscript- regular 3 10 5 2" xfId="30467" xr:uid="{00000000-0005-0000-0000-0000EA820000}"/>
    <cellStyle name="Superscript- regular 3 10 6" xfId="30468" xr:uid="{00000000-0005-0000-0000-0000EB820000}"/>
    <cellStyle name="Superscript- regular 3 10 6 2" xfId="30469" xr:uid="{00000000-0005-0000-0000-0000EC820000}"/>
    <cellStyle name="Superscript- regular 3 10 7" xfId="30470" xr:uid="{00000000-0005-0000-0000-0000ED820000}"/>
    <cellStyle name="Superscript- regular 3 10 7 2" xfId="30471" xr:uid="{00000000-0005-0000-0000-0000EE820000}"/>
    <cellStyle name="Superscript- regular 3 10 8" xfId="30472" xr:uid="{00000000-0005-0000-0000-0000EF820000}"/>
    <cellStyle name="Superscript- regular 3 10 8 2" xfId="30473" xr:uid="{00000000-0005-0000-0000-0000F0820000}"/>
    <cellStyle name="Superscript- regular 3 10 9" xfId="30474" xr:uid="{00000000-0005-0000-0000-0000F1820000}"/>
    <cellStyle name="Superscript- regular 3 11" xfId="30475" xr:uid="{00000000-0005-0000-0000-0000F2820000}"/>
    <cellStyle name="Superscript- regular 3 11 2" xfId="30476" xr:uid="{00000000-0005-0000-0000-0000F3820000}"/>
    <cellStyle name="Superscript- regular 3 12" xfId="30477" xr:uid="{00000000-0005-0000-0000-0000F4820000}"/>
    <cellStyle name="Superscript- regular 3 12 2" xfId="30478" xr:uid="{00000000-0005-0000-0000-0000F5820000}"/>
    <cellStyle name="Superscript- regular 3 13" xfId="30479" xr:uid="{00000000-0005-0000-0000-0000F6820000}"/>
    <cellStyle name="Superscript- regular 3 13 2" xfId="30480" xr:uid="{00000000-0005-0000-0000-0000F7820000}"/>
    <cellStyle name="Superscript- regular 3 14" xfId="30481" xr:uid="{00000000-0005-0000-0000-0000F8820000}"/>
    <cellStyle name="Superscript- regular 3 14 2" xfId="30482" xr:uid="{00000000-0005-0000-0000-0000F9820000}"/>
    <cellStyle name="Superscript- regular 3 15" xfId="30483" xr:uid="{00000000-0005-0000-0000-0000FA820000}"/>
    <cellStyle name="Superscript- regular 3 15 2" xfId="30484" xr:uid="{00000000-0005-0000-0000-0000FB820000}"/>
    <cellStyle name="Superscript- regular 3 16" xfId="30485" xr:uid="{00000000-0005-0000-0000-0000FC820000}"/>
    <cellStyle name="Superscript- regular 3 16 2" xfId="30486" xr:uid="{00000000-0005-0000-0000-0000FD820000}"/>
    <cellStyle name="Superscript- regular 3 17" xfId="30487" xr:uid="{00000000-0005-0000-0000-0000FE820000}"/>
    <cellStyle name="Superscript- regular 3 17 2" xfId="30488" xr:uid="{00000000-0005-0000-0000-0000FF820000}"/>
    <cellStyle name="Superscript- regular 3 18" xfId="30489" xr:uid="{00000000-0005-0000-0000-000000830000}"/>
    <cellStyle name="Superscript- regular 3 2" xfId="30490" xr:uid="{00000000-0005-0000-0000-000001830000}"/>
    <cellStyle name="Superscript- regular 3 2 10" xfId="30491" xr:uid="{00000000-0005-0000-0000-000002830000}"/>
    <cellStyle name="Superscript- regular 3 2 2" xfId="30492" xr:uid="{00000000-0005-0000-0000-000003830000}"/>
    <cellStyle name="Superscript- regular 3 2 2 2" xfId="30493" xr:uid="{00000000-0005-0000-0000-000004830000}"/>
    <cellStyle name="Superscript- regular 3 2 3" xfId="30494" xr:uid="{00000000-0005-0000-0000-000005830000}"/>
    <cellStyle name="Superscript- regular 3 2 3 2" xfId="30495" xr:uid="{00000000-0005-0000-0000-000006830000}"/>
    <cellStyle name="Superscript- regular 3 2 4" xfId="30496" xr:uid="{00000000-0005-0000-0000-000007830000}"/>
    <cellStyle name="Superscript- regular 3 2 4 2" xfId="30497" xr:uid="{00000000-0005-0000-0000-000008830000}"/>
    <cellStyle name="Superscript- regular 3 2 5" xfId="30498" xr:uid="{00000000-0005-0000-0000-000009830000}"/>
    <cellStyle name="Superscript- regular 3 2 5 2" xfId="30499" xr:uid="{00000000-0005-0000-0000-00000A830000}"/>
    <cellStyle name="Superscript- regular 3 2 6" xfId="30500" xr:uid="{00000000-0005-0000-0000-00000B830000}"/>
    <cellStyle name="Superscript- regular 3 2 6 2" xfId="30501" xr:uid="{00000000-0005-0000-0000-00000C830000}"/>
    <cellStyle name="Superscript- regular 3 2 7" xfId="30502" xr:uid="{00000000-0005-0000-0000-00000D830000}"/>
    <cellStyle name="Superscript- regular 3 2 7 2" xfId="30503" xr:uid="{00000000-0005-0000-0000-00000E830000}"/>
    <cellStyle name="Superscript- regular 3 2 8" xfId="30504" xr:uid="{00000000-0005-0000-0000-00000F830000}"/>
    <cellStyle name="Superscript- regular 3 2 8 2" xfId="30505" xr:uid="{00000000-0005-0000-0000-000010830000}"/>
    <cellStyle name="Superscript- regular 3 2 9" xfId="30506" xr:uid="{00000000-0005-0000-0000-000011830000}"/>
    <cellStyle name="Superscript- regular 3 2 9 2" xfId="30507" xr:uid="{00000000-0005-0000-0000-000012830000}"/>
    <cellStyle name="Superscript- regular 3 3" xfId="30508" xr:uid="{00000000-0005-0000-0000-000013830000}"/>
    <cellStyle name="Superscript- regular 3 3 10" xfId="30509" xr:uid="{00000000-0005-0000-0000-000014830000}"/>
    <cellStyle name="Superscript- regular 3 3 2" xfId="30510" xr:uid="{00000000-0005-0000-0000-000015830000}"/>
    <cellStyle name="Superscript- regular 3 3 2 2" xfId="30511" xr:uid="{00000000-0005-0000-0000-000016830000}"/>
    <cellStyle name="Superscript- regular 3 3 3" xfId="30512" xr:uid="{00000000-0005-0000-0000-000017830000}"/>
    <cellStyle name="Superscript- regular 3 3 3 2" xfId="30513" xr:uid="{00000000-0005-0000-0000-000018830000}"/>
    <cellStyle name="Superscript- regular 3 3 4" xfId="30514" xr:uid="{00000000-0005-0000-0000-000019830000}"/>
    <cellStyle name="Superscript- regular 3 3 4 2" xfId="30515" xr:uid="{00000000-0005-0000-0000-00001A830000}"/>
    <cellStyle name="Superscript- regular 3 3 5" xfId="30516" xr:uid="{00000000-0005-0000-0000-00001B830000}"/>
    <cellStyle name="Superscript- regular 3 3 5 2" xfId="30517" xr:uid="{00000000-0005-0000-0000-00001C830000}"/>
    <cellStyle name="Superscript- regular 3 3 6" xfId="30518" xr:uid="{00000000-0005-0000-0000-00001D830000}"/>
    <cellStyle name="Superscript- regular 3 3 6 2" xfId="30519" xr:uid="{00000000-0005-0000-0000-00001E830000}"/>
    <cellStyle name="Superscript- regular 3 3 7" xfId="30520" xr:uid="{00000000-0005-0000-0000-00001F830000}"/>
    <cellStyle name="Superscript- regular 3 3 7 2" xfId="30521" xr:uid="{00000000-0005-0000-0000-000020830000}"/>
    <cellStyle name="Superscript- regular 3 3 8" xfId="30522" xr:uid="{00000000-0005-0000-0000-000021830000}"/>
    <cellStyle name="Superscript- regular 3 3 8 2" xfId="30523" xr:uid="{00000000-0005-0000-0000-000022830000}"/>
    <cellStyle name="Superscript- regular 3 3 9" xfId="30524" xr:uid="{00000000-0005-0000-0000-000023830000}"/>
    <cellStyle name="Superscript- regular 3 3 9 2" xfId="30525" xr:uid="{00000000-0005-0000-0000-000024830000}"/>
    <cellStyle name="Superscript- regular 3 4" xfId="30526" xr:uid="{00000000-0005-0000-0000-000025830000}"/>
    <cellStyle name="Superscript- regular 3 4 10" xfId="30527" xr:uid="{00000000-0005-0000-0000-000026830000}"/>
    <cellStyle name="Superscript- regular 3 4 2" xfId="30528" xr:uid="{00000000-0005-0000-0000-000027830000}"/>
    <cellStyle name="Superscript- regular 3 4 2 2" xfId="30529" xr:uid="{00000000-0005-0000-0000-000028830000}"/>
    <cellStyle name="Superscript- regular 3 4 3" xfId="30530" xr:uid="{00000000-0005-0000-0000-000029830000}"/>
    <cellStyle name="Superscript- regular 3 4 3 2" xfId="30531" xr:uid="{00000000-0005-0000-0000-00002A830000}"/>
    <cellStyle name="Superscript- regular 3 4 4" xfId="30532" xr:uid="{00000000-0005-0000-0000-00002B830000}"/>
    <cellStyle name="Superscript- regular 3 4 4 2" xfId="30533" xr:uid="{00000000-0005-0000-0000-00002C830000}"/>
    <cellStyle name="Superscript- regular 3 4 5" xfId="30534" xr:uid="{00000000-0005-0000-0000-00002D830000}"/>
    <cellStyle name="Superscript- regular 3 4 5 2" xfId="30535" xr:uid="{00000000-0005-0000-0000-00002E830000}"/>
    <cellStyle name="Superscript- regular 3 4 6" xfId="30536" xr:uid="{00000000-0005-0000-0000-00002F830000}"/>
    <cellStyle name="Superscript- regular 3 4 6 2" xfId="30537" xr:uid="{00000000-0005-0000-0000-000030830000}"/>
    <cellStyle name="Superscript- regular 3 4 7" xfId="30538" xr:uid="{00000000-0005-0000-0000-000031830000}"/>
    <cellStyle name="Superscript- regular 3 4 7 2" xfId="30539" xr:uid="{00000000-0005-0000-0000-000032830000}"/>
    <cellStyle name="Superscript- regular 3 4 8" xfId="30540" xr:uid="{00000000-0005-0000-0000-000033830000}"/>
    <cellStyle name="Superscript- regular 3 4 8 2" xfId="30541" xr:uid="{00000000-0005-0000-0000-000034830000}"/>
    <cellStyle name="Superscript- regular 3 4 9" xfId="30542" xr:uid="{00000000-0005-0000-0000-000035830000}"/>
    <cellStyle name="Superscript- regular 3 4 9 2" xfId="30543" xr:uid="{00000000-0005-0000-0000-000036830000}"/>
    <cellStyle name="Superscript- regular 3 5" xfId="30544" xr:uid="{00000000-0005-0000-0000-000037830000}"/>
    <cellStyle name="Superscript- regular 3 5 10" xfId="30545" xr:uid="{00000000-0005-0000-0000-000038830000}"/>
    <cellStyle name="Superscript- regular 3 5 2" xfId="30546" xr:uid="{00000000-0005-0000-0000-000039830000}"/>
    <cellStyle name="Superscript- regular 3 5 2 2" xfId="30547" xr:uid="{00000000-0005-0000-0000-00003A830000}"/>
    <cellStyle name="Superscript- regular 3 5 3" xfId="30548" xr:uid="{00000000-0005-0000-0000-00003B830000}"/>
    <cellStyle name="Superscript- regular 3 5 3 2" xfId="30549" xr:uid="{00000000-0005-0000-0000-00003C830000}"/>
    <cellStyle name="Superscript- regular 3 5 4" xfId="30550" xr:uid="{00000000-0005-0000-0000-00003D830000}"/>
    <cellStyle name="Superscript- regular 3 5 4 2" xfId="30551" xr:uid="{00000000-0005-0000-0000-00003E830000}"/>
    <cellStyle name="Superscript- regular 3 5 5" xfId="30552" xr:uid="{00000000-0005-0000-0000-00003F830000}"/>
    <cellStyle name="Superscript- regular 3 5 5 2" xfId="30553" xr:uid="{00000000-0005-0000-0000-000040830000}"/>
    <cellStyle name="Superscript- regular 3 5 6" xfId="30554" xr:uid="{00000000-0005-0000-0000-000041830000}"/>
    <cellStyle name="Superscript- regular 3 5 6 2" xfId="30555" xr:uid="{00000000-0005-0000-0000-000042830000}"/>
    <cellStyle name="Superscript- regular 3 5 7" xfId="30556" xr:uid="{00000000-0005-0000-0000-000043830000}"/>
    <cellStyle name="Superscript- regular 3 5 7 2" xfId="30557" xr:uid="{00000000-0005-0000-0000-000044830000}"/>
    <cellStyle name="Superscript- regular 3 5 8" xfId="30558" xr:uid="{00000000-0005-0000-0000-000045830000}"/>
    <cellStyle name="Superscript- regular 3 5 8 2" xfId="30559" xr:uid="{00000000-0005-0000-0000-000046830000}"/>
    <cellStyle name="Superscript- regular 3 5 9" xfId="30560" xr:uid="{00000000-0005-0000-0000-000047830000}"/>
    <cellStyle name="Superscript- regular 3 5 9 2" xfId="30561" xr:uid="{00000000-0005-0000-0000-000048830000}"/>
    <cellStyle name="Superscript- regular 3 6" xfId="30562" xr:uid="{00000000-0005-0000-0000-000049830000}"/>
    <cellStyle name="Superscript- regular 3 6 10" xfId="30563" xr:uid="{00000000-0005-0000-0000-00004A830000}"/>
    <cellStyle name="Superscript- regular 3 6 2" xfId="30564" xr:uid="{00000000-0005-0000-0000-00004B830000}"/>
    <cellStyle name="Superscript- regular 3 6 2 2" xfId="30565" xr:uid="{00000000-0005-0000-0000-00004C830000}"/>
    <cellStyle name="Superscript- regular 3 6 3" xfId="30566" xr:uid="{00000000-0005-0000-0000-00004D830000}"/>
    <cellStyle name="Superscript- regular 3 6 3 2" xfId="30567" xr:uid="{00000000-0005-0000-0000-00004E830000}"/>
    <cellStyle name="Superscript- regular 3 6 4" xfId="30568" xr:uid="{00000000-0005-0000-0000-00004F830000}"/>
    <cellStyle name="Superscript- regular 3 6 4 2" xfId="30569" xr:uid="{00000000-0005-0000-0000-000050830000}"/>
    <cellStyle name="Superscript- regular 3 6 5" xfId="30570" xr:uid="{00000000-0005-0000-0000-000051830000}"/>
    <cellStyle name="Superscript- regular 3 6 5 2" xfId="30571" xr:uid="{00000000-0005-0000-0000-000052830000}"/>
    <cellStyle name="Superscript- regular 3 6 6" xfId="30572" xr:uid="{00000000-0005-0000-0000-000053830000}"/>
    <cellStyle name="Superscript- regular 3 6 6 2" xfId="30573" xr:uid="{00000000-0005-0000-0000-000054830000}"/>
    <cellStyle name="Superscript- regular 3 6 7" xfId="30574" xr:uid="{00000000-0005-0000-0000-000055830000}"/>
    <cellStyle name="Superscript- regular 3 6 7 2" xfId="30575" xr:uid="{00000000-0005-0000-0000-000056830000}"/>
    <cellStyle name="Superscript- regular 3 6 8" xfId="30576" xr:uid="{00000000-0005-0000-0000-000057830000}"/>
    <cellStyle name="Superscript- regular 3 6 8 2" xfId="30577" xr:uid="{00000000-0005-0000-0000-000058830000}"/>
    <cellStyle name="Superscript- regular 3 6 9" xfId="30578" xr:uid="{00000000-0005-0000-0000-000059830000}"/>
    <cellStyle name="Superscript- regular 3 6 9 2" xfId="30579" xr:uid="{00000000-0005-0000-0000-00005A830000}"/>
    <cellStyle name="Superscript- regular 3 7" xfId="30580" xr:uid="{00000000-0005-0000-0000-00005B830000}"/>
    <cellStyle name="Superscript- regular 3 7 10" xfId="30581" xr:uid="{00000000-0005-0000-0000-00005C830000}"/>
    <cellStyle name="Superscript- regular 3 7 2" xfId="30582" xr:uid="{00000000-0005-0000-0000-00005D830000}"/>
    <cellStyle name="Superscript- regular 3 7 2 2" xfId="30583" xr:uid="{00000000-0005-0000-0000-00005E830000}"/>
    <cellStyle name="Superscript- regular 3 7 3" xfId="30584" xr:uid="{00000000-0005-0000-0000-00005F830000}"/>
    <cellStyle name="Superscript- regular 3 7 3 2" xfId="30585" xr:uid="{00000000-0005-0000-0000-000060830000}"/>
    <cellStyle name="Superscript- regular 3 7 4" xfId="30586" xr:uid="{00000000-0005-0000-0000-000061830000}"/>
    <cellStyle name="Superscript- regular 3 7 4 2" xfId="30587" xr:uid="{00000000-0005-0000-0000-000062830000}"/>
    <cellStyle name="Superscript- regular 3 7 5" xfId="30588" xr:uid="{00000000-0005-0000-0000-000063830000}"/>
    <cellStyle name="Superscript- regular 3 7 5 2" xfId="30589" xr:uid="{00000000-0005-0000-0000-000064830000}"/>
    <cellStyle name="Superscript- regular 3 7 6" xfId="30590" xr:uid="{00000000-0005-0000-0000-000065830000}"/>
    <cellStyle name="Superscript- regular 3 7 6 2" xfId="30591" xr:uid="{00000000-0005-0000-0000-000066830000}"/>
    <cellStyle name="Superscript- regular 3 7 7" xfId="30592" xr:uid="{00000000-0005-0000-0000-000067830000}"/>
    <cellStyle name="Superscript- regular 3 7 7 2" xfId="30593" xr:uid="{00000000-0005-0000-0000-000068830000}"/>
    <cellStyle name="Superscript- regular 3 7 8" xfId="30594" xr:uid="{00000000-0005-0000-0000-000069830000}"/>
    <cellStyle name="Superscript- regular 3 7 8 2" xfId="30595" xr:uid="{00000000-0005-0000-0000-00006A830000}"/>
    <cellStyle name="Superscript- regular 3 7 9" xfId="30596" xr:uid="{00000000-0005-0000-0000-00006B830000}"/>
    <cellStyle name="Superscript- regular 3 7 9 2" xfId="30597" xr:uid="{00000000-0005-0000-0000-00006C830000}"/>
    <cellStyle name="Superscript- regular 3 8" xfId="30598" xr:uid="{00000000-0005-0000-0000-00006D830000}"/>
    <cellStyle name="Superscript- regular 3 8 10" xfId="30599" xr:uid="{00000000-0005-0000-0000-00006E830000}"/>
    <cellStyle name="Superscript- regular 3 8 2" xfId="30600" xr:uid="{00000000-0005-0000-0000-00006F830000}"/>
    <cellStyle name="Superscript- regular 3 8 2 2" xfId="30601" xr:uid="{00000000-0005-0000-0000-000070830000}"/>
    <cellStyle name="Superscript- regular 3 8 3" xfId="30602" xr:uid="{00000000-0005-0000-0000-000071830000}"/>
    <cellStyle name="Superscript- regular 3 8 3 2" xfId="30603" xr:uid="{00000000-0005-0000-0000-000072830000}"/>
    <cellStyle name="Superscript- regular 3 8 4" xfId="30604" xr:uid="{00000000-0005-0000-0000-000073830000}"/>
    <cellStyle name="Superscript- regular 3 8 4 2" xfId="30605" xr:uid="{00000000-0005-0000-0000-000074830000}"/>
    <cellStyle name="Superscript- regular 3 8 5" xfId="30606" xr:uid="{00000000-0005-0000-0000-000075830000}"/>
    <cellStyle name="Superscript- regular 3 8 5 2" xfId="30607" xr:uid="{00000000-0005-0000-0000-000076830000}"/>
    <cellStyle name="Superscript- regular 3 8 6" xfId="30608" xr:uid="{00000000-0005-0000-0000-000077830000}"/>
    <cellStyle name="Superscript- regular 3 8 6 2" xfId="30609" xr:uid="{00000000-0005-0000-0000-000078830000}"/>
    <cellStyle name="Superscript- regular 3 8 7" xfId="30610" xr:uid="{00000000-0005-0000-0000-000079830000}"/>
    <cellStyle name="Superscript- regular 3 8 7 2" xfId="30611" xr:uid="{00000000-0005-0000-0000-00007A830000}"/>
    <cellStyle name="Superscript- regular 3 8 8" xfId="30612" xr:uid="{00000000-0005-0000-0000-00007B830000}"/>
    <cellStyle name="Superscript- regular 3 8 8 2" xfId="30613" xr:uid="{00000000-0005-0000-0000-00007C830000}"/>
    <cellStyle name="Superscript- regular 3 8 9" xfId="30614" xr:uid="{00000000-0005-0000-0000-00007D830000}"/>
    <cellStyle name="Superscript- regular 3 8 9 2" xfId="30615" xr:uid="{00000000-0005-0000-0000-00007E830000}"/>
    <cellStyle name="Superscript- regular 3 9" xfId="30616" xr:uid="{00000000-0005-0000-0000-00007F830000}"/>
    <cellStyle name="Superscript- regular 3 9 10" xfId="30617" xr:uid="{00000000-0005-0000-0000-000080830000}"/>
    <cellStyle name="Superscript- regular 3 9 2" xfId="30618" xr:uid="{00000000-0005-0000-0000-000081830000}"/>
    <cellStyle name="Superscript- regular 3 9 2 2" xfId="30619" xr:uid="{00000000-0005-0000-0000-000082830000}"/>
    <cellStyle name="Superscript- regular 3 9 3" xfId="30620" xr:uid="{00000000-0005-0000-0000-000083830000}"/>
    <cellStyle name="Superscript- regular 3 9 3 2" xfId="30621" xr:uid="{00000000-0005-0000-0000-000084830000}"/>
    <cellStyle name="Superscript- regular 3 9 4" xfId="30622" xr:uid="{00000000-0005-0000-0000-000085830000}"/>
    <cellStyle name="Superscript- regular 3 9 4 2" xfId="30623" xr:uid="{00000000-0005-0000-0000-000086830000}"/>
    <cellStyle name="Superscript- regular 3 9 5" xfId="30624" xr:uid="{00000000-0005-0000-0000-000087830000}"/>
    <cellStyle name="Superscript- regular 3 9 5 2" xfId="30625" xr:uid="{00000000-0005-0000-0000-000088830000}"/>
    <cellStyle name="Superscript- regular 3 9 6" xfId="30626" xr:uid="{00000000-0005-0000-0000-000089830000}"/>
    <cellStyle name="Superscript- regular 3 9 6 2" xfId="30627" xr:uid="{00000000-0005-0000-0000-00008A830000}"/>
    <cellStyle name="Superscript- regular 3 9 7" xfId="30628" xr:uid="{00000000-0005-0000-0000-00008B830000}"/>
    <cellStyle name="Superscript- regular 3 9 7 2" xfId="30629" xr:uid="{00000000-0005-0000-0000-00008C830000}"/>
    <cellStyle name="Superscript- regular 3 9 8" xfId="30630" xr:uid="{00000000-0005-0000-0000-00008D830000}"/>
    <cellStyle name="Superscript- regular 3 9 8 2" xfId="30631" xr:uid="{00000000-0005-0000-0000-00008E830000}"/>
    <cellStyle name="Superscript- regular 3 9 9" xfId="30632" xr:uid="{00000000-0005-0000-0000-00008F830000}"/>
    <cellStyle name="Superscript- regular 3 9 9 2" xfId="30633" xr:uid="{00000000-0005-0000-0000-000090830000}"/>
    <cellStyle name="Superscript- regular 4" xfId="30634" xr:uid="{00000000-0005-0000-0000-000091830000}"/>
    <cellStyle name="Superscript- regular 4 10" xfId="30635" xr:uid="{00000000-0005-0000-0000-000092830000}"/>
    <cellStyle name="Superscript- regular 4 10 2" xfId="30636" xr:uid="{00000000-0005-0000-0000-000093830000}"/>
    <cellStyle name="Superscript- regular 4 10 2 2" xfId="30637" xr:uid="{00000000-0005-0000-0000-000094830000}"/>
    <cellStyle name="Superscript- regular 4 10 3" xfId="30638" xr:uid="{00000000-0005-0000-0000-000095830000}"/>
    <cellStyle name="Superscript- regular 4 10 3 2" xfId="30639" xr:uid="{00000000-0005-0000-0000-000096830000}"/>
    <cellStyle name="Superscript- regular 4 10 4" xfId="30640" xr:uid="{00000000-0005-0000-0000-000097830000}"/>
    <cellStyle name="Superscript- regular 4 10 4 2" xfId="30641" xr:uid="{00000000-0005-0000-0000-000098830000}"/>
    <cellStyle name="Superscript- regular 4 10 5" xfId="30642" xr:uid="{00000000-0005-0000-0000-000099830000}"/>
    <cellStyle name="Superscript- regular 4 10 5 2" xfId="30643" xr:uid="{00000000-0005-0000-0000-00009A830000}"/>
    <cellStyle name="Superscript- regular 4 10 6" xfId="30644" xr:uid="{00000000-0005-0000-0000-00009B830000}"/>
    <cellStyle name="Superscript- regular 4 10 6 2" xfId="30645" xr:uid="{00000000-0005-0000-0000-00009C830000}"/>
    <cellStyle name="Superscript- regular 4 10 7" xfId="30646" xr:uid="{00000000-0005-0000-0000-00009D830000}"/>
    <cellStyle name="Superscript- regular 4 10 7 2" xfId="30647" xr:uid="{00000000-0005-0000-0000-00009E830000}"/>
    <cellStyle name="Superscript- regular 4 10 8" xfId="30648" xr:uid="{00000000-0005-0000-0000-00009F830000}"/>
    <cellStyle name="Superscript- regular 4 10 8 2" xfId="30649" xr:uid="{00000000-0005-0000-0000-0000A0830000}"/>
    <cellStyle name="Superscript- regular 4 10 9" xfId="30650" xr:uid="{00000000-0005-0000-0000-0000A1830000}"/>
    <cellStyle name="Superscript- regular 4 11" xfId="30651" xr:uid="{00000000-0005-0000-0000-0000A2830000}"/>
    <cellStyle name="Superscript- regular 4 11 2" xfId="30652" xr:uid="{00000000-0005-0000-0000-0000A3830000}"/>
    <cellStyle name="Superscript- regular 4 12" xfId="30653" xr:uid="{00000000-0005-0000-0000-0000A4830000}"/>
    <cellStyle name="Superscript- regular 4 12 2" xfId="30654" xr:uid="{00000000-0005-0000-0000-0000A5830000}"/>
    <cellStyle name="Superscript- regular 4 13" xfId="30655" xr:uid="{00000000-0005-0000-0000-0000A6830000}"/>
    <cellStyle name="Superscript- regular 4 13 2" xfId="30656" xr:uid="{00000000-0005-0000-0000-0000A7830000}"/>
    <cellStyle name="Superscript- regular 4 14" xfId="30657" xr:uid="{00000000-0005-0000-0000-0000A8830000}"/>
    <cellStyle name="Superscript- regular 4 14 2" xfId="30658" xr:uid="{00000000-0005-0000-0000-0000A9830000}"/>
    <cellStyle name="Superscript- regular 4 15" xfId="30659" xr:uid="{00000000-0005-0000-0000-0000AA830000}"/>
    <cellStyle name="Superscript- regular 4 15 2" xfId="30660" xr:uid="{00000000-0005-0000-0000-0000AB830000}"/>
    <cellStyle name="Superscript- regular 4 16" xfId="30661" xr:uid="{00000000-0005-0000-0000-0000AC830000}"/>
    <cellStyle name="Superscript- regular 4 16 2" xfId="30662" xr:uid="{00000000-0005-0000-0000-0000AD830000}"/>
    <cellStyle name="Superscript- regular 4 17" xfId="30663" xr:uid="{00000000-0005-0000-0000-0000AE830000}"/>
    <cellStyle name="Superscript- regular 4 17 2" xfId="30664" xr:uid="{00000000-0005-0000-0000-0000AF830000}"/>
    <cellStyle name="Superscript- regular 4 18" xfId="30665" xr:uid="{00000000-0005-0000-0000-0000B0830000}"/>
    <cellStyle name="Superscript- regular 4 2" xfId="30666" xr:uid="{00000000-0005-0000-0000-0000B1830000}"/>
    <cellStyle name="Superscript- regular 4 2 10" xfId="30667" xr:uid="{00000000-0005-0000-0000-0000B2830000}"/>
    <cellStyle name="Superscript- regular 4 2 2" xfId="30668" xr:uid="{00000000-0005-0000-0000-0000B3830000}"/>
    <cellStyle name="Superscript- regular 4 2 2 2" xfId="30669" xr:uid="{00000000-0005-0000-0000-0000B4830000}"/>
    <cellStyle name="Superscript- regular 4 2 3" xfId="30670" xr:uid="{00000000-0005-0000-0000-0000B5830000}"/>
    <cellStyle name="Superscript- regular 4 2 3 2" xfId="30671" xr:uid="{00000000-0005-0000-0000-0000B6830000}"/>
    <cellStyle name="Superscript- regular 4 2 4" xfId="30672" xr:uid="{00000000-0005-0000-0000-0000B7830000}"/>
    <cellStyle name="Superscript- regular 4 2 4 2" xfId="30673" xr:uid="{00000000-0005-0000-0000-0000B8830000}"/>
    <cellStyle name="Superscript- regular 4 2 5" xfId="30674" xr:uid="{00000000-0005-0000-0000-0000B9830000}"/>
    <cellStyle name="Superscript- regular 4 2 5 2" xfId="30675" xr:uid="{00000000-0005-0000-0000-0000BA830000}"/>
    <cellStyle name="Superscript- regular 4 2 6" xfId="30676" xr:uid="{00000000-0005-0000-0000-0000BB830000}"/>
    <cellStyle name="Superscript- regular 4 2 6 2" xfId="30677" xr:uid="{00000000-0005-0000-0000-0000BC830000}"/>
    <cellStyle name="Superscript- regular 4 2 7" xfId="30678" xr:uid="{00000000-0005-0000-0000-0000BD830000}"/>
    <cellStyle name="Superscript- regular 4 2 7 2" xfId="30679" xr:uid="{00000000-0005-0000-0000-0000BE830000}"/>
    <cellStyle name="Superscript- regular 4 2 8" xfId="30680" xr:uid="{00000000-0005-0000-0000-0000BF830000}"/>
    <cellStyle name="Superscript- regular 4 2 8 2" xfId="30681" xr:uid="{00000000-0005-0000-0000-0000C0830000}"/>
    <cellStyle name="Superscript- regular 4 2 9" xfId="30682" xr:uid="{00000000-0005-0000-0000-0000C1830000}"/>
    <cellStyle name="Superscript- regular 4 2 9 2" xfId="30683" xr:uid="{00000000-0005-0000-0000-0000C2830000}"/>
    <cellStyle name="Superscript- regular 4 3" xfId="30684" xr:uid="{00000000-0005-0000-0000-0000C3830000}"/>
    <cellStyle name="Superscript- regular 4 3 10" xfId="30685" xr:uid="{00000000-0005-0000-0000-0000C4830000}"/>
    <cellStyle name="Superscript- regular 4 3 2" xfId="30686" xr:uid="{00000000-0005-0000-0000-0000C5830000}"/>
    <cellStyle name="Superscript- regular 4 3 2 2" xfId="30687" xr:uid="{00000000-0005-0000-0000-0000C6830000}"/>
    <cellStyle name="Superscript- regular 4 3 3" xfId="30688" xr:uid="{00000000-0005-0000-0000-0000C7830000}"/>
    <cellStyle name="Superscript- regular 4 3 3 2" xfId="30689" xr:uid="{00000000-0005-0000-0000-0000C8830000}"/>
    <cellStyle name="Superscript- regular 4 3 4" xfId="30690" xr:uid="{00000000-0005-0000-0000-0000C9830000}"/>
    <cellStyle name="Superscript- regular 4 3 4 2" xfId="30691" xr:uid="{00000000-0005-0000-0000-0000CA830000}"/>
    <cellStyle name="Superscript- regular 4 3 5" xfId="30692" xr:uid="{00000000-0005-0000-0000-0000CB830000}"/>
    <cellStyle name="Superscript- regular 4 3 5 2" xfId="30693" xr:uid="{00000000-0005-0000-0000-0000CC830000}"/>
    <cellStyle name="Superscript- regular 4 3 6" xfId="30694" xr:uid="{00000000-0005-0000-0000-0000CD830000}"/>
    <cellStyle name="Superscript- regular 4 3 6 2" xfId="30695" xr:uid="{00000000-0005-0000-0000-0000CE830000}"/>
    <cellStyle name="Superscript- regular 4 3 7" xfId="30696" xr:uid="{00000000-0005-0000-0000-0000CF830000}"/>
    <cellStyle name="Superscript- regular 4 3 7 2" xfId="30697" xr:uid="{00000000-0005-0000-0000-0000D0830000}"/>
    <cellStyle name="Superscript- regular 4 3 8" xfId="30698" xr:uid="{00000000-0005-0000-0000-0000D1830000}"/>
    <cellStyle name="Superscript- regular 4 3 8 2" xfId="30699" xr:uid="{00000000-0005-0000-0000-0000D2830000}"/>
    <cellStyle name="Superscript- regular 4 3 9" xfId="30700" xr:uid="{00000000-0005-0000-0000-0000D3830000}"/>
    <cellStyle name="Superscript- regular 4 3 9 2" xfId="30701" xr:uid="{00000000-0005-0000-0000-0000D4830000}"/>
    <cellStyle name="Superscript- regular 4 4" xfId="30702" xr:uid="{00000000-0005-0000-0000-0000D5830000}"/>
    <cellStyle name="Superscript- regular 4 4 10" xfId="30703" xr:uid="{00000000-0005-0000-0000-0000D6830000}"/>
    <cellStyle name="Superscript- regular 4 4 2" xfId="30704" xr:uid="{00000000-0005-0000-0000-0000D7830000}"/>
    <cellStyle name="Superscript- regular 4 4 2 2" xfId="30705" xr:uid="{00000000-0005-0000-0000-0000D8830000}"/>
    <cellStyle name="Superscript- regular 4 4 3" xfId="30706" xr:uid="{00000000-0005-0000-0000-0000D9830000}"/>
    <cellStyle name="Superscript- regular 4 4 3 2" xfId="30707" xr:uid="{00000000-0005-0000-0000-0000DA830000}"/>
    <cellStyle name="Superscript- regular 4 4 4" xfId="30708" xr:uid="{00000000-0005-0000-0000-0000DB830000}"/>
    <cellStyle name="Superscript- regular 4 4 4 2" xfId="30709" xr:uid="{00000000-0005-0000-0000-0000DC830000}"/>
    <cellStyle name="Superscript- regular 4 4 5" xfId="30710" xr:uid="{00000000-0005-0000-0000-0000DD830000}"/>
    <cellStyle name="Superscript- regular 4 4 5 2" xfId="30711" xr:uid="{00000000-0005-0000-0000-0000DE830000}"/>
    <cellStyle name="Superscript- regular 4 4 6" xfId="30712" xr:uid="{00000000-0005-0000-0000-0000DF830000}"/>
    <cellStyle name="Superscript- regular 4 4 6 2" xfId="30713" xr:uid="{00000000-0005-0000-0000-0000E0830000}"/>
    <cellStyle name="Superscript- regular 4 4 7" xfId="30714" xr:uid="{00000000-0005-0000-0000-0000E1830000}"/>
    <cellStyle name="Superscript- regular 4 4 7 2" xfId="30715" xr:uid="{00000000-0005-0000-0000-0000E2830000}"/>
    <cellStyle name="Superscript- regular 4 4 8" xfId="30716" xr:uid="{00000000-0005-0000-0000-0000E3830000}"/>
    <cellStyle name="Superscript- regular 4 4 8 2" xfId="30717" xr:uid="{00000000-0005-0000-0000-0000E4830000}"/>
    <cellStyle name="Superscript- regular 4 4 9" xfId="30718" xr:uid="{00000000-0005-0000-0000-0000E5830000}"/>
    <cellStyle name="Superscript- regular 4 4 9 2" xfId="30719" xr:uid="{00000000-0005-0000-0000-0000E6830000}"/>
    <cellStyle name="Superscript- regular 4 5" xfId="30720" xr:uid="{00000000-0005-0000-0000-0000E7830000}"/>
    <cellStyle name="Superscript- regular 4 5 10" xfId="30721" xr:uid="{00000000-0005-0000-0000-0000E8830000}"/>
    <cellStyle name="Superscript- regular 4 5 2" xfId="30722" xr:uid="{00000000-0005-0000-0000-0000E9830000}"/>
    <cellStyle name="Superscript- regular 4 5 2 2" xfId="30723" xr:uid="{00000000-0005-0000-0000-0000EA830000}"/>
    <cellStyle name="Superscript- regular 4 5 3" xfId="30724" xr:uid="{00000000-0005-0000-0000-0000EB830000}"/>
    <cellStyle name="Superscript- regular 4 5 3 2" xfId="30725" xr:uid="{00000000-0005-0000-0000-0000EC830000}"/>
    <cellStyle name="Superscript- regular 4 5 4" xfId="30726" xr:uid="{00000000-0005-0000-0000-0000ED830000}"/>
    <cellStyle name="Superscript- regular 4 5 4 2" xfId="30727" xr:uid="{00000000-0005-0000-0000-0000EE830000}"/>
    <cellStyle name="Superscript- regular 4 5 5" xfId="30728" xr:uid="{00000000-0005-0000-0000-0000EF830000}"/>
    <cellStyle name="Superscript- regular 4 5 5 2" xfId="30729" xr:uid="{00000000-0005-0000-0000-0000F0830000}"/>
    <cellStyle name="Superscript- regular 4 5 6" xfId="30730" xr:uid="{00000000-0005-0000-0000-0000F1830000}"/>
    <cellStyle name="Superscript- regular 4 5 6 2" xfId="30731" xr:uid="{00000000-0005-0000-0000-0000F2830000}"/>
    <cellStyle name="Superscript- regular 4 5 7" xfId="30732" xr:uid="{00000000-0005-0000-0000-0000F3830000}"/>
    <cellStyle name="Superscript- regular 4 5 7 2" xfId="30733" xr:uid="{00000000-0005-0000-0000-0000F4830000}"/>
    <cellStyle name="Superscript- regular 4 5 8" xfId="30734" xr:uid="{00000000-0005-0000-0000-0000F5830000}"/>
    <cellStyle name="Superscript- regular 4 5 8 2" xfId="30735" xr:uid="{00000000-0005-0000-0000-0000F6830000}"/>
    <cellStyle name="Superscript- regular 4 5 9" xfId="30736" xr:uid="{00000000-0005-0000-0000-0000F7830000}"/>
    <cellStyle name="Superscript- regular 4 5 9 2" xfId="30737" xr:uid="{00000000-0005-0000-0000-0000F8830000}"/>
    <cellStyle name="Superscript- regular 4 6" xfId="30738" xr:uid="{00000000-0005-0000-0000-0000F9830000}"/>
    <cellStyle name="Superscript- regular 4 6 10" xfId="30739" xr:uid="{00000000-0005-0000-0000-0000FA830000}"/>
    <cellStyle name="Superscript- regular 4 6 2" xfId="30740" xr:uid="{00000000-0005-0000-0000-0000FB830000}"/>
    <cellStyle name="Superscript- regular 4 6 2 2" xfId="30741" xr:uid="{00000000-0005-0000-0000-0000FC830000}"/>
    <cellStyle name="Superscript- regular 4 6 3" xfId="30742" xr:uid="{00000000-0005-0000-0000-0000FD830000}"/>
    <cellStyle name="Superscript- regular 4 6 3 2" xfId="30743" xr:uid="{00000000-0005-0000-0000-0000FE830000}"/>
    <cellStyle name="Superscript- regular 4 6 4" xfId="30744" xr:uid="{00000000-0005-0000-0000-0000FF830000}"/>
    <cellStyle name="Superscript- regular 4 6 4 2" xfId="30745" xr:uid="{00000000-0005-0000-0000-000000840000}"/>
    <cellStyle name="Superscript- regular 4 6 5" xfId="30746" xr:uid="{00000000-0005-0000-0000-000001840000}"/>
    <cellStyle name="Superscript- regular 4 6 5 2" xfId="30747" xr:uid="{00000000-0005-0000-0000-000002840000}"/>
    <cellStyle name="Superscript- regular 4 6 6" xfId="30748" xr:uid="{00000000-0005-0000-0000-000003840000}"/>
    <cellStyle name="Superscript- regular 4 6 6 2" xfId="30749" xr:uid="{00000000-0005-0000-0000-000004840000}"/>
    <cellStyle name="Superscript- regular 4 6 7" xfId="30750" xr:uid="{00000000-0005-0000-0000-000005840000}"/>
    <cellStyle name="Superscript- regular 4 6 7 2" xfId="30751" xr:uid="{00000000-0005-0000-0000-000006840000}"/>
    <cellStyle name="Superscript- regular 4 6 8" xfId="30752" xr:uid="{00000000-0005-0000-0000-000007840000}"/>
    <cellStyle name="Superscript- regular 4 6 8 2" xfId="30753" xr:uid="{00000000-0005-0000-0000-000008840000}"/>
    <cellStyle name="Superscript- regular 4 6 9" xfId="30754" xr:uid="{00000000-0005-0000-0000-000009840000}"/>
    <cellStyle name="Superscript- regular 4 6 9 2" xfId="30755" xr:uid="{00000000-0005-0000-0000-00000A840000}"/>
    <cellStyle name="Superscript- regular 4 7" xfId="30756" xr:uid="{00000000-0005-0000-0000-00000B840000}"/>
    <cellStyle name="Superscript- regular 4 7 10" xfId="30757" xr:uid="{00000000-0005-0000-0000-00000C840000}"/>
    <cellStyle name="Superscript- regular 4 7 2" xfId="30758" xr:uid="{00000000-0005-0000-0000-00000D840000}"/>
    <cellStyle name="Superscript- regular 4 7 2 2" xfId="30759" xr:uid="{00000000-0005-0000-0000-00000E840000}"/>
    <cellStyle name="Superscript- regular 4 7 3" xfId="30760" xr:uid="{00000000-0005-0000-0000-00000F840000}"/>
    <cellStyle name="Superscript- regular 4 7 3 2" xfId="30761" xr:uid="{00000000-0005-0000-0000-000010840000}"/>
    <cellStyle name="Superscript- regular 4 7 4" xfId="30762" xr:uid="{00000000-0005-0000-0000-000011840000}"/>
    <cellStyle name="Superscript- regular 4 7 4 2" xfId="30763" xr:uid="{00000000-0005-0000-0000-000012840000}"/>
    <cellStyle name="Superscript- regular 4 7 5" xfId="30764" xr:uid="{00000000-0005-0000-0000-000013840000}"/>
    <cellStyle name="Superscript- regular 4 7 5 2" xfId="30765" xr:uid="{00000000-0005-0000-0000-000014840000}"/>
    <cellStyle name="Superscript- regular 4 7 6" xfId="30766" xr:uid="{00000000-0005-0000-0000-000015840000}"/>
    <cellStyle name="Superscript- regular 4 7 6 2" xfId="30767" xr:uid="{00000000-0005-0000-0000-000016840000}"/>
    <cellStyle name="Superscript- regular 4 7 7" xfId="30768" xr:uid="{00000000-0005-0000-0000-000017840000}"/>
    <cellStyle name="Superscript- regular 4 7 7 2" xfId="30769" xr:uid="{00000000-0005-0000-0000-000018840000}"/>
    <cellStyle name="Superscript- regular 4 7 8" xfId="30770" xr:uid="{00000000-0005-0000-0000-000019840000}"/>
    <cellStyle name="Superscript- regular 4 7 8 2" xfId="30771" xr:uid="{00000000-0005-0000-0000-00001A840000}"/>
    <cellStyle name="Superscript- regular 4 7 9" xfId="30772" xr:uid="{00000000-0005-0000-0000-00001B840000}"/>
    <cellStyle name="Superscript- regular 4 7 9 2" xfId="30773" xr:uid="{00000000-0005-0000-0000-00001C840000}"/>
    <cellStyle name="Superscript- regular 4 8" xfId="30774" xr:uid="{00000000-0005-0000-0000-00001D840000}"/>
    <cellStyle name="Superscript- regular 4 8 10" xfId="30775" xr:uid="{00000000-0005-0000-0000-00001E840000}"/>
    <cellStyle name="Superscript- regular 4 8 2" xfId="30776" xr:uid="{00000000-0005-0000-0000-00001F840000}"/>
    <cellStyle name="Superscript- regular 4 8 2 2" xfId="30777" xr:uid="{00000000-0005-0000-0000-000020840000}"/>
    <cellStyle name="Superscript- regular 4 8 3" xfId="30778" xr:uid="{00000000-0005-0000-0000-000021840000}"/>
    <cellStyle name="Superscript- regular 4 8 3 2" xfId="30779" xr:uid="{00000000-0005-0000-0000-000022840000}"/>
    <cellStyle name="Superscript- regular 4 8 4" xfId="30780" xr:uid="{00000000-0005-0000-0000-000023840000}"/>
    <cellStyle name="Superscript- regular 4 8 4 2" xfId="30781" xr:uid="{00000000-0005-0000-0000-000024840000}"/>
    <cellStyle name="Superscript- regular 4 8 5" xfId="30782" xr:uid="{00000000-0005-0000-0000-000025840000}"/>
    <cellStyle name="Superscript- regular 4 8 5 2" xfId="30783" xr:uid="{00000000-0005-0000-0000-000026840000}"/>
    <cellStyle name="Superscript- regular 4 8 6" xfId="30784" xr:uid="{00000000-0005-0000-0000-000027840000}"/>
    <cellStyle name="Superscript- regular 4 8 6 2" xfId="30785" xr:uid="{00000000-0005-0000-0000-000028840000}"/>
    <cellStyle name="Superscript- regular 4 8 7" xfId="30786" xr:uid="{00000000-0005-0000-0000-000029840000}"/>
    <cellStyle name="Superscript- regular 4 8 7 2" xfId="30787" xr:uid="{00000000-0005-0000-0000-00002A840000}"/>
    <cellStyle name="Superscript- regular 4 8 8" xfId="30788" xr:uid="{00000000-0005-0000-0000-00002B840000}"/>
    <cellStyle name="Superscript- regular 4 8 8 2" xfId="30789" xr:uid="{00000000-0005-0000-0000-00002C840000}"/>
    <cellStyle name="Superscript- regular 4 8 9" xfId="30790" xr:uid="{00000000-0005-0000-0000-00002D840000}"/>
    <cellStyle name="Superscript- regular 4 8 9 2" xfId="30791" xr:uid="{00000000-0005-0000-0000-00002E840000}"/>
    <cellStyle name="Superscript- regular 4 9" xfId="30792" xr:uid="{00000000-0005-0000-0000-00002F840000}"/>
    <cellStyle name="Superscript- regular 4 9 10" xfId="30793" xr:uid="{00000000-0005-0000-0000-000030840000}"/>
    <cellStyle name="Superscript- regular 4 9 2" xfId="30794" xr:uid="{00000000-0005-0000-0000-000031840000}"/>
    <cellStyle name="Superscript- regular 4 9 2 2" xfId="30795" xr:uid="{00000000-0005-0000-0000-000032840000}"/>
    <cellStyle name="Superscript- regular 4 9 3" xfId="30796" xr:uid="{00000000-0005-0000-0000-000033840000}"/>
    <cellStyle name="Superscript- regular 4 9 3 2" xfId="30797" xr:uid="{00000000-0005-0000-0000-000034840000}"/>
    <cellStyle name="Superscript- regular 4 9 4" xfId="30798" xr:uid="{00000000-0005-0000-0000-000035840000}"/>
    <cellStyle name="Superscript- regular 4 9 4 2" xfId="30799" xr:uid="{00000000-0005-0000-0000-000036840000}"/>
    <cellStyle name="Superscript- regular 4 9 5" xfId="30800" xr:uid="{00000000-0005-0000-0000-000037840000}"/>
    <cellStyle name="Superscript- regular 4 9 5 2" xfId="30801" xr:uid="{00000000-0005-0000-0000-000038840000}"/>
    <cellStyle name="Superscript- regular 4 9 6" xfId="30802" xr:uid="{00000000-0005-0000-0000-000039840000}"/>
    <cellStyle name="Superscript- regular 4 9 6 2" xfId="30803" xr:uid="{00000000-0005-0000-0000-00003A840000}"/>
    <cellStyle name="Superscript- regular 4 9 7" xfId="30804" xr:uid="{00000000-0005-0000-0000-00003B840000}"/>
    <cellStyle name="Superscript- regular 4 9 7 2" xfId="30805" xr:uid="{00000000-0005-0000-0000-00003C840000}"/>
    <cellStyle name="Superscript- regular 4 9 8" xfId="30806" xr:uid="{00000000-0005-0000-0000-00003D840000}"/>
    <cellStyle name="Superscript- regular 4 9 8 2" xfId="30807" xr:uid="{00000000-0005-0000-0000-00003E840000}"/>
    <cellStyle name="Superscript- regular 4 9 9" xfId="30808" xr:uid="{00000000-0005-0000-0000-00003F840000}"/>
    <cellStyle name="Superscript- regular 4 9 9 2" xfId="30809" xr:uid="{00000000-0005-0000-0000-000040840000}"/>
    <cellStyle name="Superscript_1-1A-Regular" xfId="113" xr:uid="{00000000-0005-0000-0000-000041840000}"/>
    <cellStyle name="Table Data" xfId="114" xr:uid="{00000000-0005-0000-0000-000042840000}"/>
    <cellStyle name="Table Head Top" xfId="115" xr:uid="{00000000-0005-0000-0000-000043840000}"/>
    <cellStyle name="Table Hed Side" xfId="116" xr:uid="{00000000-0005-0000-0000-000044840000}"/>
    <cellStyle name="Table Title" xfId="117" xr:uid="{00000000-0005-0000-0000-000045840000}"/>
    <cellStyle name="Table title 2" xfId="15" xr:uid="{00000000-0005-0000-0000-000046840000}"/>
    <cellStyle name="Title 10" xfId="43783" xr:uid="{00000000-0005-0000-0000-000047840000}"/>
    <cellStyle name="Title 11" xfId="43784" xr:uid="{00000000-0005-0000-0000-000048840000}"/>
    <cellStyle name="Title 12" xfId="43785" xr:uid="{00000000-0005-0000-0000-000049840000}"/>
    <cellStyle name="Title 13" xfId="43786" xr:uid="{00000000-0005-0000-0000-00004A840000}"/>
    <cellStyle name="Title 14" xfId="43787" xr:uid="{00000000-0005-0000-0000-00004B840000}"/>
    <cellStyle name="Title 15" xfId="43788" xr:uid="{00000000-0005-0000-0000-00004C840000}"/>
    <cellStyle name="Title 16" xfId="43789" xr:uid="{00000000-0005-0000-0000-00004D840000}"/>
    <cellStyle name="Title 17" xfId="43790" xr:uid="{00000000-0005-0000-0000-00004E840000}"/>
    <cellStyle name="Title 18" xfId="43791" xr:uid="{00000000-0005-0000-0000-00004F840000}"/>
    <cellStyle name="Title 19" xfId="43792" xr:uid="{00000000-0005-0000-0000-000050840000}"/>
    <cellStyle name="Title 2" xfId="43793" xr:uid="{00000000-0005-0000-0000-000051840000}"/>
    <cellStyle name="Title 2 2" xfId="43794" xr:uid="{00000000-0005-0000-0000-000052840000}"/>
    <cellStyle name="Title 20" xfId="43795" xr:uid="{00000000-0005-0000-0000-000053840000}"/>
    <cellStyle name="Title 21" xfId="43796" xr:uid="{00000000-0005-0000-0000-000054840000}"/>
    <cellStyle name="Title 22" xfId="43797" xr:uid="{00000000-0005-0000-0000-000055840000}"/>
    <cellStyle name="Title 23" xfId="43798" xr:uid="{00000000-0005-0000-0000-000056840000}"/>
    <cellStyle name="Title 3" xfId="43799" xr:uid="{00000000-0005-0000-0000-000057840000}"/>
    <cellStyle name="Title 4" xfId="43800" xr:uid="{00000000-0005-0000-0000-000058840000}"/>
    <cellStyle name="Title 5" xfId="43801" xr:uid="{00000000-0005-0000-0000-000059840000}"/>
    <cellStyle name="Title 6" xfId="43802" xr:uid="{00000000-0005-0000-0000-00005A840000}"/>
    <cellStyle name="Title 7" xfId="43803" xr:uid="{00000000-0005-0000-0000-00005B840000}"/>
    <cellStyle name="Title 8" xfId="43804" xr:uid="{00000000-0005-0000-0000-00005C840000}"/>
    <cellStyle name="Title 9" xfId="43805" xr:uid="{00000000-0005-0000-0000-00005D840000}"/>
    <cellStyle name="Title Text" xfId="118" xr:uid="{00000000-0005-0000-0000-00005E840000}"/>
    <cellStyle name="Title Text 1" xfId="119" xr:uid="{00000000-0005-0000-0000-00005F840000}"/>
    <cellStyle name="Title Text 2" xfId="120" xr:uid="{00000000-0005-0000-0000-000060840000}"/>
    <cellStyle name="Title-1" xfId="121" xr:uid="{00000000-0005-0000-0000-000061840000}"/>
    <cellStyle name="Title-2" xfId="12" xr:uid="{00000000-0005-0000-0000-000062840000}"/>
    <cellStyle name="Title-3" xfId="122" xr:uid="{00000000-0005-0000-0000-000063840000}"/>
    <cellStyle name="Total 10" xfId="43806" xr:uid="{00000000-0005-0000-0000-000064840000}"/>
    <cellStyle name="Total 11" xfId="43807" xr:uid="{00000000-0005-0000-0000-000065840000}"/>
    <cellStyle name="Total 12" xfId="43808" xr:uid="{00000000-0005-0000-0000-000066840000}"/>
    <cellStyle name="Total 13" xfId="43809" xr:uid="{00000000-0005-0000-0000-000067840000}"/>
    <cellStyle name="Total 14" xfId="43810" xr:uid="{00000000-0005-0000-0000-000068840000}"/>
    <cellStyle name="Total 15" xfId="43811" xr:uid="{00000000-0005-0000-0000-000069840000}"/>
    <cellStyle name="Total 16" xfId="43812" xr:uid="{00000000-0005-0000-0000-00006A840000}"/>
    <cellStyle name="Total 17" xfId="43813" xr:uid="{00000000-0005-0000-0000-00006B840000}"/>
    <cellStyle name="Total 18" xfId="43814" xr:uid="{00000000-0005-0000-0000-00006C840000}"/>
    <cellStyle name="Total 19" xfId="43815" xr:uid="{00000000-0005-0000-0000-00006D840000}"/>
    <cellStyle name="Total 2" xfId="123" xr:uid="{00000000-0005-0000-0000-00006E840000}"/>
    <cellStyle name="Total 2 2" xfId="43816" xr:uid="{00000000-0005-0000-0000-00006F840000}"/>
    <cellStyle name="Total 20" xfId="43817" xr:uid="{00000000-0005-0000-0000-000070840000}"/>
    <cellStyle name="Total 21" xfId="43818" xr:uid="{00000000-0005-0000-0000-000071840000}"/>
    <cellStyle name="Total 22" xfId="43819" xr:uid="{00000000-0005-0000-0000-000072840000}"/>
    <cellStyle name="Total 23" xfId="43820" xr:uid="{00000000-0005-0000-0000-000073840000}"/>
    <cellStyle name="Total 3" xfId="43821" xr:uid="{00000000-0005-0000-0000-000074840000}"/>
    <cellStyle name="Total 4" xfId="43822" xr:uid="{00000000-0005-0000-0000-000075840000}"/>
    <cellStyle name="Total 5" xfId="43823" xr:uid="{00000000-0005-0000-0000-000076840000}"/>
    <cellStyle name="Total 6" xfId="43824" xr:uid="{00000000-0005-0000-0000-000077840000}"/>
    <cellStyle name="Total 7" xfId="43825" xr:uid="{00000000-0005-0000-0000-000078840000}"/>
    <cellStyle name="Total 8" xfId="43826" xr:uid="{00000000-0005-0000-0000-000079840000}"/>
    <cellStyle name="Total 9" xfId="43827" xr:uid="{00000000-0005-0000-0000-00007A840000}"/>
    <cellStyle name="Warning Text 10" xfId="43828" xr:uid="{00000000-0005-0000-0000-00007B840000}"/>
    <cellStyle name="Warning Text 11" xfId="43829" xr:uid="{00000000-0005-0000-0000-00007C840000}"/>
    <cellStyle name="Warning Text 12" xfId="43830" xr:uid="{00000000-0005-0000-0000-00007D840000}"/>
    <cellStyle name="Warning Text 13" xfId="43831" xr:uid="{00000000-0005-0000-0000-00007E840000}"/>
    <cellStyle name="Warning Text 14" xfId="43832" xr:uid="{00000000-0005-0000-0000-00007F840000}"/>
    <cellStyle name="Warning Text 15" xfId="43833" xr:uid="{00000000-0005-0000-0000-000080840000}"/>
    <cellStyle name="Warning Text 16" xfId="43834" xr:uid="{00000000-0005-0000-0000-000081840000}"/>
    <cellStyle name="Warning Text 17" xfId="43835" xr:uid="{00000000-0005-0000-0000-000082840000}"/>
    <cellStyle name="Warning Text 18" xfId="43836" xr:uid="{00000000-0005-0000-0000-000083840000}"/>
    <cellStyle name="Warning Text 19" xfId="43837" xr:uid="{00000000-0005-0000-0000-000084840000}"/>
    <cellStyle name="Warning Text 2" xfId="124" xr:uid="{00000000-0005-0000-0000-000085840000}"/>
    <cellStyle name="Warning Text 2 2" xfId="43838" xr:uid="{00000000-0005-0000-0000-000086840000}"/>
    <cellStyle name="Warning Text 20" xfId="43839" xr:uid="{00000000-0005-0000-0000-000087840000}"/>
    <cellStyle name="Warning Text 21" xfId="43840" xr:uid="{00000000-0005-0000-0000-000088840000}"/>
    <cellStyle name="Warning Text 22" xfId="43841" xr:uid="{00000000-0005-0000-0000-000089840000}"/>
    <cellStyle name="Warning Text 23" xfId="43842" xr:uid="{00000000-0005-0000-0000-00008A840000}"/>
    <cellStyle name="Warning Text 3" xfId="43843" xr:uid="{00000000-0005-0000-0000-00008B840000}"/>
    <cellStyle name="Warning Text 4" xfId="43844" xr:uid="{00000000-0005-0000-0000-00008C840000}"/>
    <cellStyle name="Warning Text 5" xfId="43845" xr:uid="{00000000-0005-0000-0000-00008D840000}"/>
    <cellStyle name="Warning Text 6" xfId="43846" xr:uid="{00000000-0005-0000-0000-00008E840000}"/>
    <cellStyle name="Warning Text 7" xfId="43847" xr:uid="{00000000-0005-0000-0000-00008F840000}"/>
    <cellStyle name="Warning Text 8" xfId="43848" xr:uid="{00000000-0005-0000-0000-000090840000}"/>
    <cellStyle name="Warning Text 9" xfId="43849" xr:uid="{00000000-0005-0000-0000-000091840000}"/>
    <cellStyle name="Wrap" xfId="125" xr:uid="{00000000-0005-0000-0000-000092840000}"/>
    <cellStyle name="Wrap 2" xfId="205" xr:uid="{00000000-0005-0000-0000-000093840000}"/>
    <cellStyle name="Wrap 2 10" xfId="30810" xr:uid="{00000000-0005-0000-0000-000094840000}"/>
    <cellStyle name="Wrap 2 10 10" xfId="30811" xr:uid="{00000000-0005-0000-0000-000095840000}"/>
    <cellStyle name="Wrap 2 10 10 2" xfId="30812" xr:uid="{00000000-0005-0000-0000-000096840000}"/>
    <cellStyle name="Wrap 2 10 10 2 2" xfId="30813" xr:uid="{00000000-0005-0000-0000-000097840000}"/>
    <cellStyle name="Wrap 2 10 10 3" xfId="30814" xr:uid="{00000000-0005-0000-0000-000098840000}"/>
    <cellStyle name="Wrap 2 10 10 3 2" xfId="30815" xr:uid="{00000000-0005-0000-0000-000099840000}"/>
    <cellStyle name="Wrap 2 10 10 4" xfId="30816" xr:uid="{00000000-0005-0000-0000-00009A840000}"/>
    <cellStyle name="Wrap 2 10 10 4 2" xfId="30817" xr:uid="{00000000-0005-0000-0000-00009B840000}"/>
    <cellStyle name="Wrap 2 10 10 5" xfId="30818" xr:uid="{00000000-0005-0000-0000-00009C840000}"/>
    <cellStyle name="Wrap 2 10 10 5 2" xfId="30819" xr:uid="{00000000-0005-0000-0000-00009D840000}"/>
    <cellStyle name="Wrap 2 10 10 6" xfId="30820" xr:uid="{00000000-0005-0000-0000-00009E840000}"/>
    <cellStyle name="Wrap 2 10 10 6 2" xfId="30821" xr:uid="{00000000-0005-0000-0000-00009F840000}"/>
    <cellStyle name="Wrap 2 10 10 7" xfId="30822" xr:uid="{00000000-0005-0000-0000-0000A0840000}"/>
    <cellStyle name="Wrap 2 10 10 7 2" xfId="30823" xr:uid="{00000000-0005-0000-0000-0000A1840000}"/>
    <cellStyle name="Wrap 2 10 10 8" xfId="30824" xr:uid="{00000000-0005-0000-0000-0000A2840000}"/>
    <cellStyle name="Wrap 2 10 10 8 2" xfId="30825" xr:uid="{00000000-0005-0000-0000-0000A3840000}"/>
    <cellStyle name="Wrap 2 10 10 9" xfId="30826" xr:uid="{00000000-0005-0000-0000-0000A4840000}"/>
    <cellStyle name="Wrap 2 10 11" xfId="30827" xr:uid="{00000000-0005-0000-0000-0000A5840000}"/>
    <cellStyle name="Wrap 2 10 11 2" xfId="30828" xr:uid="{00000000-0005-0000-0000-0000A6840000}"/>
    <cellStyle name="Wrap 2 10 12" xfId="30829" xr:uid="{00000000-0005-0000-0000-0000A7840000}"/>
    <cellStyle name="Wrap 2 10 12 2" xfId="30830" xr:uid="{00000000-0005-0000-0000-0000A8840000}"/>
    <cellStyle name="Wrap 2 10 13" xfId="30831" xr:uid="{00000000-0005-0000-0000-0000A9840000}"/>
    <cellStyle name="Wrap 2 10 13 2" xfId="30832" xr:uid="{00000000-0005-0000-0000-0000AA840000}"/>
    <cellStyle name="Wrap 2 10 14" xfId="30833" xr:uid="{00000000-0005-0000-0000-0000AB840000}"/>
    <cellStyle name="Wrap 2 10 14 2" xfId="30834" xr:uid="{00000000-0005-0000-0000-0000AC840000}"/>
    <cellStyle name="Wrap 2 10 15" xfId="30835" xr:uid="{00000000-0005-0000-0000-0000AD840000}"/>
    <cellStyle name="Wrap 2 10 15 2" xfId="30836" xr:uid="{00000000-0005-0000-0000-0000AE840000}"/>
    <cellStyle name="Wrap 2 10 16" xfId="30837" xr:uid="{00000000-0005-0000-0000-0000AF840000}"/>
    <cellStyle name="Wrap 2 10 16 2" xfId="30838" xr:uid="{00000000-0005-0000-0000-0000B0840000}"/>
    <cellStyle name="Wrap 2 10 17" xfId="30839" xr:uid="{00000000-0005-0000-0000-0000B1840000}"/>
    <cellStyle name="Wrap 2 10 17 2" xfId="30840" xr:uid="{00000000-0005-0000-0000-0000B2840000}"/>
    <cellStyle name="Wrap 2 10 18" xfId="30841" xr:uid="{00000000-0005-0000-0000-0000B3840000}"/>
    <cellStyle name="Wrap 2 10 2" xfId="30842" xr:uid="{00000000-0005-0000-0000-0000B4840000}"/>
    <cellStyle name="Wrap 2 10 2 10" xfId="30843" xr:uid="{00000000-0005-0000-0000-0000B5840000}"/>
    <cellStyle name="Wrap 2 10 2 2" xfId="30844" xr:uid="{00000000-0005-0000-0000-0000B6840000}"/>
    <cellStyle name="Wrap 2 10 2 2 2" xfId="30845" xr:uid="{00000000-0005-0000-0000-0000B7840000}"/>
    <cellStyle name="Wrap 2 10 2 3" xfId="30846" xr:uid="{00000000-0005-0000-0000-0000B8840000}"/>
    <cellStyle name="Wrap 2 10 2 3 2" xfId="30847" xr:uid="{00000000-0005-0000-0000-0000B9840000}"/>
    <cellStyle name="Wrap 2 10 2 4" xfId="30848" xr:uid="{00000000-0005-0000-0000-0000BA840000}"/>
    <cellStyle name="Wrap 2 10 2 4 2" xfId="30849" xr:uid="{00000000-0005-0000-0000-0000BB840000}"/>
    <cellStyle name="Wrap 2 10 2 5" xfId="30850" xr:uid="{00000000-0005-0000-0000-0000BC840000}"/>
    <cellStyle name="Wrap 2 10 2 5 2" xfId="30851" xr:uid="{00000000-0005-0000-0000-0000BD840000}"/>
    <cellStyle name="Wrap 2 10 2 6" xfId="30852" xr:uid="{00000000-0005-0000-0000-0000BE840000}"/>
    <cellStyle name="Wrap 2 10 2 6 2" xfId="30853" xr:uid="{00000000-0005-0000-0000-0000BF840000}"/>
    <cellStyle name="Wrap 2 10 2 7" xfId="30854" xr:uid="{00000000-0005-0000-0000-0000C0840000}"/>
    <cellStyle name="Wrap 2 10 2 7 2" xfId="30855" xr:uid="{00000000-0005-0000-0000-0000C1840000}"/>
    <cellStyle name="Wrap 2 10 2 8" xfId="30856" xr:uid="{00000000-0005-0000-0000-0000C2840000}"/>
    <cellStyle name="Wrap 2 10 2 8 2" xfId="30857" xr:uid="{00000000-0005-0000-0000-0000C3840000}"/>
    <cellStyle name="Wrap 2 10 2 9" xfId="30858" xr:uid="{00000000-0005-0000-0000-0000C4840000}"/>
    <cellStyle name="Wrap 2 10 2 9 2" xfId="30859" xr:uid="{00000000-0005-0000-0000-0000C5840000}"/>
    <cellStyle name="Wrap 2 10 3" xfId="30860" xr:uid="{00000000-0005-0000-0000-0000C6840000}"/>
    <cellStyle name="Wrap 2 10 3 10" xfId="30861" xr:uid="{00000000-0005-0000-0000-0000C7840000}"/>
    <cellStyle name="Wrap 2 10 3 2" xfId="30862" xr:uid="{00000000-0005-0000-0000-0000C8840000}"/>
    <cellStyle name="Wrap 2 10 3 2 2" xfId="30863" xr:uid="{00000000-0005-0000-0000-0000C9840000}"/>
    <cellStyle name="Wrap 2 10 3 3" xfId="30864" xr:uid="{00000000-0005-0000-0000-0000CA840000}"/>
    <cellStyle name="Wrap 2 10 3 3 2" xfId="30865" xr:uid="{00000000-0005-0000-0000-0000CB840000}"/>
    <cellStyle name="Wrap 2 10 3 4" xfId="30866" xr:uid="{00000000-0005-0000-0000-0000CC840000}"/>
    <cellStyle name="Wrap 2 10 3 4 2" xfId="30867" xr:uid="{00000000-0005-0000-0000-0000CD840000}"/>
    <cellStyle name="Wrap 2 10 3 5" xfId="30868" xr:uid="{00000000-0005-0000-0000-0000CE840000}"/>
    <cellStyle name="Wrap 2 10 3 5 2" xfId="30869" xr:uid="{00000000-0005-0000-0000-0000CF840000}"/>
    <cellStyle name="Wrap 2 10 3 6" xfId="30870" xr:uid="{00000000-0005-0000-0000-0000D0840000}"/>
    <cellStyle name="Wrap 2 10 3 6 2" xfId="30871" xr:uid="{00000000-0005-0000-0000-0000D1840000}"/>
    <cellStyle name="Wrap 2 10 3 7" xfId="30872" xr:uid="{00000000-0005-0000-0000-0000D2840000}"/>
    <cellStyle name="Wrap 2 10 3 7 2" xfId="30873" xr:uid="{00000000-0005-0000-0000-0000D3840000}"/>
    <cellStyle name="Wrap 2 10 3 8" xfId="30874" xr:uid="{00000000-0005-0000-0000-0000D4840000}"/>
    <cellStyle name="Wrap 2 10 3 8 2" xfId="30875" xr:uid="{00000000-0005-0000-0000-0000D5840000}"/>
    <cellStyle name="Wrap 2 10 3 9" xfId="30876" xr:uid="{00000000-0005-0000-0000-0000D6840000}"/>
    <cellStyle name="Wrap 2 10 3 9 2" xfId="30877" xr:uid="{00000000-0005-0000-0000-0000D7840000}"/>
    <cellStyle name="Wrap 2 10 4" xfId="30878" xr:uid="{00000000-0005-0000-0000-0000D8840000}"/>
    <cellStyle name="Wrap 2 10 4 10" xfId="30879" xr:uid="{00000000-0005-0000-0000-0000D9840000}"/>
    <cellStyle name="Wrap 2 10 4 2" xfId="30880" xr:uid="{00000000-0005-0000-0000-0000DA840000}"/>
    <cellStyle name="Wrap 2 10 4 2 2" xfId="30881" xr:uid="{00000000-0005-0000-0000-0000DB840000}"/>
    <cellStyle name="Wrap 2 10 4 3" xfId="30882" xr:uid="{00000000-0005-0000-0000-0000DC840000}"/>
    <cellStyle name="Wrap 2 10 4 3 2" xfId="30883" xr:uid="{00000000-0005-0000-0000-0000DD840000}"/>
    <cellStyle name="Wrap 2 10 4 4" xfId="30884" xr:uid="{00000000-0005-0000-0000-0000DE840000}"/>
    <cellStyle name="Wrap 2 10 4 4 2" xfId="30885" xr:uid="{00000000-0005-0000-0000-0000DF840000}"/>
    <cellStyle name="Wrap 2 10 4 5" xfId="30886" xr:uid="{00000000-0005-0000-0000-0000E0840000}"/>
    <cellStyle name="Wrap 2 10 4 5 2" xfId="30887" xr:uid="{00000000-0005-0000-0000-0000E1840000}"/>
    <cellStyle name="Wrap 2 10 4 6" xfId="30888" xr:uid="{00000000-0005-0000-0000-0000E2840000}"/>
    <cellStyle name="Wrap 2 10 4 6 2" xfId="30889" xr:uid="{00000000-0005-0000-0000-0000E3840000}"/>
    <cellStyle name="Wrap 2 10 4 7" xfId="30890" xr:uid="{00000000-0005-0000-0000-0000E4840000}"/>
    <cellStyle name="Wrap 2 10 4 7 2" xfId="30891" xr:uid="{00000000-0005-0000-0000-0000E5840000}"/>
    <cellStyle name="Wrap 2 10 4 8" xfId="30892" xr:uid="{00000000-0005-0000-0000-0000E6840000}"/>
    <cellStyle name="Wrap 2 10 4 8 2" xfId="30893" xr:uid="{00000000-0005-0000-0000-0000E7840000}"/>
    <cellStyle name="Wrap 2 10 4 9" xfId="30894" xr:uid="{00000000-0005-0000-0000-0000E8840000}"/>
    <cellStyle name="Wrap 2 10 4 9 2" xfId="30895" xr:uid="{00000000-0005-0000-0000-0000E9840000}"/>
    <cellStyle name="Wrap 2 10 5" xfId="30896" xr:uid="{00000000-0005-0000-0000-0000EA840000}"/>
    <cellStyle name="Wrap 2 10 5 10" xfId="30897" xr:uid="{00000000-0005-0000-0000-0000EB840000}"/>
    <cellStyle name="Wrap 2 10 5 2" xfId="30898" xr:uid="{00000000-0005-0000-0000-0000EC840000}"/>
    <cellStyle name="Wrap 2 10 5 2 2" xfId="30899" xr:uid="{00000000-0005-0000-0000-0000ED840000}"/>
    <cellStyle name="Wrap 2 10 5 3" xfId="30900" xr:uid="{00000000-0005-0000-0000-0000EE840000}"/>
    <cellStyle name="Wrap 2 10 5 3 2" xfId="30901" xr:uid="{00000000-0005-0000-0000-0000EF840000}"/>
    <cellStyle name="Wrap 2 10 5 4" xfId="30902" xr:uid="{00000000-0005-0000-0000-0000F0840000}"/>
    <cellStyle name="Wrap 2 10 5 4 2" xfId="30903" xr:uid="{00000000-0005-0000-0000-0000F1840000}"/>
    <cellStyle name="Wrap 2 10 5 5" xfId="30904" xr:uid="{00000000-0005-0000-0000-0000F2840000}"/>
    <cellStyle name="Wrap 2 10 5 5 2" xfId="30905" xr:uid="{00000000-0005-0000-0000-0000F3840000}"/>
    <cellStyle name="Wrap 2 10 5 6" xfId="30906" xr:uid="{00000000-0005-0000-0000-0000F4840000}"/>
    <cellStyle name="Wrap 2 10 5 6 2" xfId="30907" xr:uid="{00000000-0005-0000-0000-0000F5840000}"/>
    <cellStyle name="Wrap 2 10 5 7" xfId="30908" xr:uid="{00000000-0005-0000-0000-0000F6840000}"/>
    <cellStyle name="Wrap 2 10 5 7 2" xfId="30909" xr:uid="{00000000-0005-0000-0000-0000F7840000}"/>
    <cellStyle name="Wrap 2 10 5 8" xfId="30910" xr:uid="{00000000-0005-0000-0000-0000F8840000}"/>
    <cellStyle name="Wrap 2 10 5 8 2" xfId="30911" xr:uid="{00000000-0005-0000-0000-0000F9840000}"/>
    <cellStyle name="Wrap 2 10 5 9" xfId="30912" xr:uid="{00000000-0005-0000-0000-0000FA840000}"/>
    <cellStyle name="Wrap 2 10 5 9 2" xfId="30913" xr:uid="{00000000-0005-0000-0000-0000FB840000}"/>
    <cellStyle name="Wrap 2 10 6" xfId="30914" xr:uid="{00000000-0005-0000-0000-0000FC840000}"/>
    <cellStyle name="Wrap 2 10 6 10" xfId="30915" xr:uid="{00000000-0005-0000-0000-0000FD840000}"/>
    <cellStyle name="Wrap 2 10 6 2" xfId="30916" xr:uid="{00000000-0005-0000-0000-0000FE840000}"/>
    <cellStyle name="Wrap 2 10 6 2 2" xfId="30917" xr:uid="{00000000-0005-0000-0000-0000FF840000}"/>
    <cellStyle name="Wrap 2 10 6 3" xfId="30918" xr:uid="{00000000-0005-0000-0000-000000850000}"/>
    <cellStyle name="Wrap 2 10 6 3 2" xfId="30919" xr:uid="{00000000-0005-0000-0000-000001850000}"/>
    <cellStyle name="Wrap 2 10 6 4" xfId="30920" xr:uid="{00000000-0005-0000-0000-000002850000}"/>
    <cellStyle name="Wrap 2 10 6 4 2" xfId="30921" xr:uid="{00000000-0005-0000-0000-000003850000}"/>
    <cellStyle name="Wrap 2 10 6 5" xfId="30922" xr:uid="{00000000-0005-0000-0000-000004850000}"/>
    <cellStyle name="Wrap 2 10 6 5 2" xfId="30923" xr:uid="{00000000-0005-0000-0000-000005850000}"/>
    <cellStyle name="Wrap 2 10 6 6" xfId="30924" xr:uid="{00000000-0005-0000-0000-000006850000}"/>
    <cellStyle name="Wrap 2 10 6 6 2" xfId="30925" xr:uid="{00000000-0005-0000-0000-000007850000}"/>
    <cellStyle name="Wrap 2 10 6 7" xfId="30926" xr:uid="{00000000-0005-0000-0000-000008850000}"/>
    <cellStyle name="Wrap 2 10 6 7 2" xfId="30927" xr:uid="{00000000-0005-0000-0000-000009850000}"/>
    <cellStyle name="Wrap 2 10 6 8" xfId="30928" xr:uid="{00000000-0005-0000-0000-00000A850000}"/>
    <cellStyle name="Wrap 2 10 6 8 2" xfId="30929" xr:uid="{00000000-0005-0000-0000-00000B850000}"/>
    <cellStyle name="Wrap 2 10 6 9" xfId="30930" xr:uid="{00000000-0005-0000-0000-00000C850000}"/>
    <cellStyle name="Wrap 2 10 6 9 2" xfId="30931" xr:uid="{00000000-0005-0000-0000-00000D850000}"/>
    <cellStyle name="Wrap 2 10 7" xfId="30932" xr:uid="{00000000-0005-0000-0000-00000E850000}"/>
    <cellStyle name="Wrap 2 10 7 10" xfId="30933" xr:uid="{00000000-0005-0000-0000-00000F850000}"/>
    <cellStyle name="Wrap 2 10 7 2" xfId="30934" xr:uid="{00000000-0005-0000-0000-000010850000}"/>
    <cellStyle name="Wrap 2 10 7 2 2" xfId="30935" xr:uid="{00000000-0005-0000-0000-000011850000}"/>
    <cellStyle name="Wrap 2 10 7 3" xfId="30936" xr:uid="{00000000-0005-0000-0000-000012850000}"/>
    <cellStyle name="Wrap 2 10 7 3 2" xfId="30937" xr:uid="{00000000-0005-0000-0000-000013850000}"/>
    <cellStyle name="Wrap 2 10 7 4" xfId="30938" xr:uid="{00000000-0005-0000-0000-000014850000}"/>
    <cellStyle name="Wrap 2 10 7 4 2" xfId="30939" xr:uid="{00000000-0005-0000-0000-000015850000}"/>
    <cellStyle name="Wrap 2 10 7 5" xfId="30940" xr:uid="{00000000-0005-0000-0000-000016850000}"/>
    <cellStyle name="Wrap 2 10 7 5 2" xfId="30941" xr:uid="{00000000-0005-0000-0000-000017850000}"/>
    <cellStyle name="Wrap 2 10 7 6" xfId="30942" xr:uid="{00000000-0005-0000-0000-000018850000}"/>
    <cellStyle name="Wrap 2 10 7 6 2" xfId="30943" xr:uid="{00000000-0005-0000-0000-000019850000}"/>
    <cellStyle name="Wrap 2 10 7 7" xfId="30944" xr:uid="{00000000-0005-0000-0000-00001A850000}"/>
    <cellStyle name="Wrap 2 10 7 7 2" xfId="30945" xr:uid="{00000000-0005-0000-0000-00001B850000}"/>
    <cellStyle name="Wrap 2 10 7 8" xfId="30946" xr:uid="{00000000-0005-0000-0000-00001C850000}"/>
    <cellStyle name="Wrap 2 10 7 8 2" xfId="30947" xr:uid="{00000000-0005-0000-0000-00001D850000}"/>
    <cellStyle name="Wrap 2 10 7 9" xfId="30948" xr:uid="{00000000-0005-0000-0000-00001E850000}"/>
    <cellStyle name="Wrap 2 10 7 9 2" xfId="30949" xr:uid="{00000000-0005-0000-0000-00001F850000}"/>
    <cellStyle name="Wrap 2 10 8" xfId="30950" xr:uid="{00000000-0005-0000-0000-000020850000}"/>
    <cellStyle name="Wrap 2 10 8 10" xfId="30951" xr:uid="{00000000-0005-0000-0000-000021850000}"/>
    <cellStyle name="Wrap 2 10 8 2" xfId="30952" xr:uid="{00000000-0005-0000-0000-000022850000}"/>
    <cellStyle name="Wrap 2 10 8 2 2" xfId="30953" xr:uid="{00000000-0005-0000-0000-000023850000}"/>
    <cellStyle name="Wrap 2 10 8 3" xfId="30954" xr:uid="{00000000-0005-0000-0000-000024850000}"/>
    <cellStyle name="Wrap 2 10 8 3 2" xfId="30955" xr:uid="{00000000-0005-0000-0000-000025850000}"/>
    <cellStyle name="Wrap 2 10 8 4" xfId="30956" xr:uid="{00000000-0005-0000-0000-000026850000}"/>
    <cellStyle name="Wrap 2 10 8 4 2" xfId="30957" xr:uid="{00000000-0005-0000-0000-000027850000}"/>
    <cellStyle name="Wrap 2 10 8 5" xfId="30958" xr:uid="{00000000-0005-0000-0000-000028850000}"/>
    <cellStyle name="Wrap 2 10 8 5 2" xfId="30959" xr:uid="{00000000-0005-0000-0000-000029850000}"/>
    <cellStyle name="Wrap 2 10 8 6" xfId="30960" xr:uid="{00000000-0005-0000-0000-00002A850000}"/>
    <cellStyle name="Wrap 2 10 8 6 2" xfId="30961" xr:uid="{00000000-0005-0000-0000-00002B850000}"/>
    <cellStyle name="Wrap 2 10 8 7" xfId="30962" xr:uid="{00000000-0005-0000-0000-00002C850000}"/>
    <cellStyle name="Wrap 2 10 8 7 2" xfId="30963" xr:uid="{00000000-0005-0000-0000-00002D850000}"/>
    <cellStyle name="Wrap 2 10 8 8" xfId="30964" xr:uid="{00000000-0005-0000-0000-00002E850000}"/>
    <cellStyle name="Wrap 2 10 8 8 2" xfId="30965" xr:uid="{00000000-0005-0000-0000-00002F850000}"/>
    <cellStyle name="Wrap 2 10 8 9" xfId="30966" xr:uid="{00000000-0005-0000-0000-000030850000}"/>
    <cellStyle name="Wrap 2 10 8 9 2" xfId="30967" xr:uid="{00000000-0005-0000-0000-000031850000}"/>
    <cellStyle name="Wrap 2 10 9" xfId="30968" xr:uid="{00000000-0005-0000-0000-000032850000}"/>
    <cellStyle name="Wrap 2 10 9 10" xfId="30969" xr:uid="{00000000-0005-0000-0000-000033850000}"/>
    <cellStyle name="Wrap 2 10 9 2" xfId="30970" xr:uid="{00000000-0005-0000-0000-000034850000}"/>
    <cellStyle name="Wrap 2 10 9 2 2" xfId="30971" xr:uid="{00000000-0005-0000-0000-000035850000}"/>
    <cellStyle name="Wrap 2 10 9 3" xfId="30972" xr:uid="{00000000-0005-0000-0000-000036850000}"/>
    <cellStyle name="Wrap 2 10 9 3 2" xfId="30973" xr:uid="{00000000-0005-0000-0000-000037850000}"/>
    <cellStyle name="Wrap 2 10 9 4" xfId="30974" xr:uid="{00000000-0005-0000-0000-000038850000}"/>
    <cellStyle name="Wrap 2 10 9 4 2" xfId="30975" xr:uid="{00000000-0005-0000-0000-000039850000}"/>
    <cellStyle name="Wrap 2 10 9 5" xfId="30976" xr:uid="{00000000-0005-0000-0000-00003A850000}"/>
    <cellStyle name="Wrap 2 10 9 5 2" xfId="30977" xr:uid="{00000000-0005-0000-0000-00003B850000}"/>
    <cellStyle name="Wrap 2 10 9 6" xfId="30978" xr:uid="{00000000-0005-0000-0000-00003C850000}"/>
    <cellStyle name="Wrap 2 10 9 6 2" xfId="30979" xr:uid="{00000000-0005-0000-0000-00003D850000}"/>
    <cellStyle name="Wrap 2 10 9 7" xfId="30980" xr:uid="{00000000-0005-0000-0000-00003E850000}"/>
    <cellStyle name="Wrap 2 10 9 7 2" xfId="30981" xr:uid="{00000000-0005-0000-0000-00003F850000}"/>
    <cellStyle name="Wrap 2 10 9 8" xfId="30982" xr:uid="{00000000-0005-0000-0000-000040850000}"/>
    <cellStyle name="Wrap 2 10 9 8 2" xfId="30983" xr:uid="{00000000-0005-0000-0000-000041850000}"/>
    <cellStyle name="Wrap 2 10 9 9" xfId="30984" xr:uid="{00000000-0005-0000-0000-000042850000}"/>
    <cellStyle name="Wrap 2 10 9 9 2" xfId="30985" xr:uid="{00000000-0005-0000-0000-000043850000}"/>
    <cellStyle name="Wrap 2 2" xfId="206" xr:uid="{00000000-0005-0000-0000-000044850000}"/>
    <cellStyle name="Wrap 2 2 2" xfId="30986" xr:uid="{00000000-0005-0000-0000-000045850000}"/>
    <cellStyle name="Wrap 2 2 2 10" xfId="30987" xr:uid="{00000000-0005-0000-0000-000046850000}"/>
    <cellStyle name="Wrap 2 2 2 10 10" xfId="30988" xr:uid="{00000000-0005-0000-0000-000047850000}"/>
    <cellStyle name="Wrap 2 2 2 10 2" xfId="30989" xr:uid="{00000000-0005-0000-0000-000048850000}"/>
    <cellStyle name="Wrap 2 2 2 10 2 2" xfId="30990" xr:uid="{00000000-0005-0000-0000-000049850000}"/>
    <cellStyle name="Wrap 2 2 2 10 3" xfId="30991" xr:uid="{00000000-0005-0000-0000-00004A850000}"/>
    <cellStyle name="Wrap 2 2 2 10 3 2" xfId="30992" xr:uid="{00000000-0005-0000-0000-00004B850000}"/>
    <cellStyle name="Wrap 2 2 2 10 4" xfId="30993" xr:uid="{00000000-0005-0000-0000-00004C850000}"/>
    <cellStyle name="Wrap 2 2 2 10 4 2" xfId="30994" xr:uid="{00000000-0005-0000-0000-00004D850000}"/>
    <cellStyle name="Wrap 2 2 2 10 5" xfId="30995" xr:uid="{00000000-0005-0000-0000-00004E850000}"/>
    <cellStyle name="Wrap 2 2 2 10 5 2" xfId="30996" xr:uid="{00000000-0005-0000-0000-00004F850000}"/>
    <cellStyle name="Wrap 2 2 2 10 6" xfId="30997" xr:uid="{00000000-0005-0000-0000-000050850000}"/>
    <cellStyle name="Wrap 2 2 2 10 6 2" xfId="30998" xr:uid="{00000000-0005-0000-0000-000051850000}"/>
    <cellStyle name="Wrap 2 2 2 10 7" xfId="30999" xr:uid="{00000000-0005-0000-0000-000052850000}"/>
    <cellStyle name="Wrap 2 2 2 10 7 2" xfId="31000" xr:uid="{00000000-0005-0000-0000-000053850000}"/>
    <cellStyle name="Wrap 2 2 2 10 8" xfId="31001" xr:uid="{00000000-0005-0000-0000-000054850000}"/>
    <cellStyle name="Wrap 2 2 2 10 8 2" xfId="31002" xr:uid="{00000000-0005-0000-0000-000055850000}"/>
    <cellStyle name="Wrap 2 2 2 10 9" xfId="31003" xr:uid="{00000000-0005-0000-0000-000056850000}"/>
    <cellStyle name="Wrap 2 2 2 10 9 2" xfId="31004" xr:uid="{00000000-0005-0000-0000-000057850000}"/>
    <cellStyle name="Wrap 2 2 2 11" xfId="31005" xr:uid="{00000000-0005-0000-0000-000058850000}"/>
    <cellStyle name="Wrap 2 2 2 11 2" xfId="31006" xr:uid="{00000000-0005-0000-0000-000059850000}"/>
    <cellStyle name="Wrap 2 2 2 11 2 2" xfId="31007" xr:uid="{00000000-0005-0000-0000-00005A850000}"/>
    <cellStyle name="Wrap 2 2 2 11 3" xfId="31008" xr:uid="{00000000-0005-0000-0000-00005B850000}"/>
    <cellStyle name="Wrap 2 2 2 11 3 2" xfId="31009" xr:uid="{00000000-0005-0000-0000-00005C850000}"/>
    <cellStyle name="Wrap 2 2 2 11 4" xfId="31010" xr:uid="{00000000-0005-0000-0000-00005D850000}"/>
    <cellStyle name="Wrap 2 2 2 11 4 2" xfId="31011" xr:uid="{00000000-0005-0000-0000-00005E850000}"/>
    <cellStyle name="Wrap 2 2 2 11 5" xfId="31012" xr:uid="{00000000-0005-0000-0000-00005F850000}"/>
    <cellStyle name="Wrap 2 2 2 11 5 2" xfId="31013" xr:uid="{00000000-0005-0000-0000-000060850000}"/>
    <cellStyle name="Wrap 2 2 2 11 6" xfId="31014" xr:uid="{00000000-0005-0000-0000-000061850000}"/>
    <cellStyle name="Wrap 2 2 2 11 6 2" xfId="31015" xr:uid="{00000000-0005-0000-0000-000062850000}"/>
    <cellStyle name="Wrap 2 2 2 11 7" xfId="31016" xr:uid="{00000000-0005-0000-0000-000063850000}"/>
    <cellStyle name="Wrap 2 2 2 11 7 2" xfId="31017" xr:uid="{00000000-0005-0000-0000-000064850000}"/>
    <cellStyle name="Wrap 2 2 2 11 8" xfId="31018" xr:uid="{00000000-0005-0000-0000-000065850000}"/>
    <cellStyle name="Wrap 2 2 2 11 8 2" xfId="31019" xr:uid="{00000000-0005-0000-0000-000066850000}"/>
    <cellStyle name="Wrap 2 2 2 11 9" xfId="31020" xr:uid="{00000000-0005-0000-0000-000067850000}"/>
    <cellStyle name="Wrap 2 2 2 2" xfId="31021" xr:uid="{00000000-0005-0000-0000-000068850000}"/>
    <cellStyle name="Wrap 2 2 2 2 10" xfId="31022" xr:uid="{00000000-0005-0000-0000-000069850000}"/>
    <cellStyle name="Wrap 2 2 2 2 2" xfId="31023" xr:uid="{00000000-0005-0000-0000-00006A850000}"/>
    <cellStyle name="Wrap 2 2 2 2 2 2" xfId="31024" xr:uid="{00000000-0005-0000-0000-00006B850000}"/>
    <cellStyle name="Wrap 2 2 2 2 3" xfId="31025" xr:uid="{00000000-0005-0000-0000-00006C850000}"/>
    <cellStyle name="Wrap 2 2 2 2 3 2" xfId="31026" xr:uid="{00000000-0005-0000-0000-00006D850000}"/>
    <cellStyle name="Wrap 2 2 2 2 4" xfId="31027" xr:uid="{00000000-0005-0000-0000-00006E850000}"/>
    <cellStyle name="Wrap 2 2 2 2 4 2" xfId="31028" xr:uid="{00000000-0005-0000-0000-00006F850000}"/>
    <cellStyle name="Wrap 2 2 2 2 5" xfId="31029" xr:uid="{00000000-0005-0000-0000-000070850000}"/>
    <cellStyle name="Wrap 2 2 2 2 5 2" xfId="31030" xr:uid="{00000000-0005-0000-0000-000071850000}"/>
    <cellStyle name="Wrap 2 2 2 2 6" xfId="31031" xr:uid="{00000000-0005-0000-0000-000072850000}"/>
    <cellStyle name="Wrap 2 2 2 2 6 2" xfId="31032" xr:uid="{00000000-0005-0000-0000-000073850000}"/>
    <cellStyle name="Wrap 2 2 2 2 7" xfId="31033" xr:uid="{00000000-0005-0000-0000-000074850000}"/>
    <cellStyle name="Wrap 2 2 2 2 7 2" xfId="31034" xr:uid="{00000000-0005-0000-0000-000075850000}"/>
    <cellStyle name="Wrap 2 2 2 2 8" xfId="31035" xr:uid="{00000000-0005-0000-0000-000076850000}"/>
    <cellStyle name="Wrap 2 2 2 2 8 2" xfId="31036" xr:uid="{00000000-0005-0000-0000-000077850000}"/>
    <cellStyle name="Wrap 2 2 2 2 9" xfId="31037" xr:uid="{00000000-0005-0000-0000-000078850000}"/>
    <cellStyle name="Wrap 2 2 2 2 9 2" xfId="31038" xr:uid="{00000000-0005-0000-0000-000079850000}"/>
    <cellStyle name="Wrap 2 2 2 3" xfId="31039" xr:uid="{00000000-0005-0000-0000-00007A850000}"/>
    <cellStyle name="Wrap 2 2 2 3 10" xfId="31040" xr:uid="{00000000-0005-0000-0000-00007B850000}"/>
    <cellStyle name="Wrap 2 2 2 3 2" xfId="31041" xr:uid="{00000000-0005-0000-0000-00007C850000}"/>
    <cellStyle name="Wrap 2 2 2 3 2 2" xfId="31042" xr:uid="{00000000-0005-0000-0000-00007D850000}"/>
    <cellStyle name="Wrap 2 2 2 3 3" xfId="31043" xr:uid="{00000000-0005-0000-0000-00007E850000}"/>
    <cellStyle name="Wrap 2 2 2 3 3 2" xfId="31044" xr:uid="{00000000-0005-0000-0000-00007F850000}"/>
    <cellStyle name="Wrap 2 2 2 3 4" xfId="31045" xr:uid="{00000000-0005-0000-0000-000080850000}"/>
    <cellStyle name="Wrap 2 2 2 3 4 2" xfId="31046" xr:uid="{00000000-0005-0000-0000-000081850000}"/>
    <cellStyle name="Wrap 2 2 2 3 5" xfId="31047" xr:uid="{00000000-0005-0000-0000-000082850000}"/>
    <cellStyle name="Wrap 2 2 2 3 5 2" xfId="31048" xr:uid="{00000000-0005-0000-0000-000083850000}"/>
    <cellStyle name="Wrap 2 2 2 3 6" xfId="31049" xr:uid="{00000000-0005-0000-0000-000084850000}"/>
    <cellStyle name="Wrap 2 2 2 3 6 2" xfId="31050" xr:uid="{00000000-0005-0000-0000-000085850000}"/>
    <cellStyle name="Wrap 2 2 2 3 7" xfId="31051" xr:uid="{00000000-0005-0000-0000-000086850000}"/>
    <cellStyle name="Wrap 2 2 2 3 7 2" xfId="31052" xr:uid="{00000000-0005-0000-0000-000087850000}"/>
    <cellStyle name="Wrap 2 2 2 3 8" xfId="31053" xr:uid="{00000000-0005-0000-0000-000088850000}"/>
    <cellStyle name="Wrap 2 2 2 3 8 2" xfId="31054" xr:uid="{00000000-0005-0000-0000-000089850000}"/>
    <cellStyle name="Wrap 2 2 2 3 9" xfId="31055" xr:uid="{00000000-0005-0000-0000-00008A850000}"/>
    <cellStyle name="Wrap 2 2 2 3 9 2" xfId="31056" xr:uid="{00000000-0005-0000-0000-00008B850000}"/>
    <cellStyle name="Wrap 2 2 2 4" xfId="31057" xr:uid="{00000000-0005-0000-0000-00008C850000}"/>
    <cellStyle name="Wrap 2 2 2 4 10" xfId="31058" xr:uid="{00000000-0005-0000-0000-00008D850000}"/>
    <cellStyle name="Wrap 2 2 2 4 2" xfId="31059" xr:uid="{00000000-0005-0000-0000-00008E850000}"/>
    <cellStyle name="Wrap 2 2 2 4 2 2" xfId="31060" xr:uid="{00000000-0005-0000-0000-00008F850000}"/>
    <cellStyle name="Wrap 2 2 2 4 3" xfId="31061" xr:uid="{00000000-0005-0000-0000-000090850000}"/>
    <cellStyle name="Wrap 2 2 2 4 3 2" xfId="31062" xr:uid="{00000000-0005-0000-0000-000091850000}"/>
    <cellStyle name="Wrap 2 2 2 4 4" xfId="31063" xr:uid="{00000000-0005-0000-0000-000092850000}"/>
    <cellStyle name="Wrap 2 2 2 4 4 2" xfId="31064" xr:uid="{00000000-0005-0000-0000-000093850000}"/>
    <cellStyle name="Wrap 2 2 2 4 5" xfId="31065" xr:uid="{00000000-0005-0000-0000-000094850000}"/>
    <cellStyle name="Wrap 2 2 2 4 5 2" xfId="31066" xr:uid="{00000000-0005-0000-0000-000095850000}"/>
    <cellStyle name="Wrap 2 2 2 4 6" xfId="31067" xr:uid="{00000000-0005-0000-0000-000096850000}"/>
    <cellStyle name="Wrap 2 2 2 4 6 2" xfId="31068" xr:uid="{00000000-0005-0000-0000-000097850000}"/>
    <cellStyle name="Wrap 2 2 2 4 7" xfId="31069" xr:uid="{00000000-0005-0000-0000-000098850000}"/>
    <cellStyle name="Wrap 2 2 2 4 7 2" xfId="31070" xr:uid="{00000000-0005-0000-0000-000099850000}"/>
    <cellStyle name="Wrap 2 2 2 4 8" xfId="31071" xr:uid="{00000000-0005-0000-0000-00009A850000}"/>
    <cellStyle name="Wrap 2 2 2 4 8 2" xfId="31072" xr:uid="{00000000-0005-0000-0000-00009B850000}"/>
    <cellStyle name="Wrap 2 2 2 4 9" xfId="31073" xr:uid="{00000000-0005-0000-0000-00009C850000}"/>
    <cellStyle name="Wrap 2 2 2 4 9 2" xfId="31074" xr:uid="{00000000-0005-0000-0000-00009D850000}"/>
    <cellStyle name="Wrap 2 2 2 5" xfId="31075" xr:uid="{00000000-0005-0000-0000-00009E850000}"/>
    <cellStyle name="Wrap 2 2 2 5 10" xfId="31076" xr:uid="{00000000-0005-0000-0000-00009F850000}"/>
    <cellStyle name="Wrap 2 2 2 5 2" xfId="31077" xr:uid="{00000000-0005-0000-0000-0000A0850000}"/>
    <cellStyle name="Wrap 2 2 2 5 2 2" xfId="31078" xr:uid="{00000000-0005-0000-0000-0000A1850000}"/>
    <cellStyle name="Wrap 2 2 2 5 3" xfId="31079" xr:uid="{00000000-0005-0000-0000-0000A2850000}"/>
    <cellStyle name="Wrap 2 2 2 5 3 2" xfId="31080" xr:uid="{00000000-0005-0000-0000-0000A3850000}"/>
    <cellStyle name="Wrap 2 2 2 5 4" xfId="31081" xr:uid="{00000000-0005-0000-0000-0000A4850000}"/>
    <cellStyle name="Wrap 2 2 2 5 4 2" xfId="31082" xr:uid="{00000000-0005-0000-0000-0000A5850000}"/>
    <cellStyle name="Wrap 2 2 2 5 5" xfId="31083" xr:uid="{00000000-0005-0000-0000-0000A6850000}"/>
    <cellStyle name="Wrap 2 2 2 5 5 2" xfId="31084" xr:uid="{00000000-0005-0000-0000-0000A7850000}"/>
    <cellStyle name="Wrap 2 2 2 5 6" xfId="31085" xr:uid="{00000000-0005-0000-0000-0000A8850000}"/>
    <cellStyle name="Wrap 2 2 2 5 6 2" xfId="31086" xr:uid="{00000000-0005-0000-0000-0000A9850000}"/>
    <cellStyle name="Wrap 2 2 2 5 7" xfId="31087" xr:uid="{00000000-0005-0000-0000-0000AA850000}"/>
    <cellStyle name="Wrap 2 2 2 5 7 2" xfId="31088" xr:uid="{00000000-0005-0000-0000-0000AB850000}"/>
    <cellStyle name="Wrap 2 2 2 5 8" xfId="31089" xr:uid="{00000000-0005-0000-0000-0000AC850000}"/>
    <cellStyle name="Wrap 2 2 2 5 8 2" xfId="31090" xr:uid="{00000000-0005-0000-0000-0000AD850000}"/>
    <cellStyle name="Wrap 2 2 2 5 9" xfId="31091" xr:uid="{00000000-0005-0000-0000-0000AE850000}"/>
    <cellStyle name="Wrap 2 2 2 5 9 2" xfId="31092" xr:uid="{00000000-0005-0000-0000-0000AF850000}"/>
    <cellStyle name="Wrap 2 2 2 6" xfId="31093" xr:uid="{00000000-0005-0000-0000-0000B0850000}"/>
    <cellStyle name="Wrap 2 2 2 6 10" xfId="31094" xr:uid="{00000000-0005-0000-0000-0000B1850000}"/>
    <cellStyle name="Wrap 2 2 2 6 2" xfId="31095" xr:uid="{00000000-0005-0000-0000-0000B2850000}"/>
    <cellStyle name="Wrap 2 2 2 6 2 2" xfId="31096" xr:uid="{00000000-0005-0000-0000-0000B3850000}"/>
    <cellStyle name="Wrap 2 2 2 6 3" xfId="31097" xr:uid="{00000000-0005-0000-0000-0000B4850000}"/>
    <cellStyle name="Wrap 2 2 2 6 3 2" xfId="31098" xr:uid="{00000000-0005-0000-0000-0000B5850000}"/>
    <cellStyle name="Wrap 2 2 2 6 4" xfId="31099" xr:uid="{00000000-0005-0000-0000-0000B6850000}"/>
    <cellStyle name="Wrap 2 2 2 6 4 2" xfId="31100" xr:uid="{00000000-0005-0000-0000-0000B7850000}"/>
    <cellStyle name="Wrap 2 2 2 6 5" xfId="31101" xr:uid="{00000000-0005-0000-0000-0000B8850000}"/>
    <cellStyle name="Wrap 2 2 2 6 5 2" xfId="31102" xr:uid="{00000000-0005-0000-0000-0000B9850000}"/>
    <cellStyle name="Wrap 2 2 2 6 6" xfId="31103" xr:uid="{00000000-0005-0000-0000-0000BA850000}"/>
    <cellStyle name="Wrap 2 2 2 6 6 2" xfId="31104" xr:uid="{00000000-0005-0000-0000-0000BB850000}"/>
    <cellStyle name="Wrap 2 2 2 6 7" xfId="31105" xr:uid="{00000000-0005-0000-0000-0000BC850000}"/>
    <cellStyle name="Wrap 2 2 2 6 7 2" xfId="31106" xr:uid="{00000000-0005-0000-0000-0000BD850000}"/>
    <cellStyle name="Wrap 2 2 2 6 8" xfId="31107" xr:uid="{00000000-0005-0000-0000-0000BE850000}"/>
    <cellStyle name="Wrap 2 2 2 6 8 2" xfId="31108" xr:uid="{00000000-0005-0000-0000-0000BF850000}"/>
    <cellStyle name="Wrap 2 2 2 6 9" xfId="31109" xr:uid="{00000000-0005-0000-0000-0000C0850000}"/>
    <cellStyle name="Wrap 2 2 2 6 9 2" xfId="31110" xr:uid="{00000000-0005-0000-0000-0000C1850000}"/>
    <cellStyle name="Wrap 2 2 2 7" xfId="31111" xr:uid="{00000000-0005-0000-0000-0000C2850000}"/>
    <cellStyle name="Wrap 2 2 2 7 10" xfId="31112" xr:uid="{00000000-0005-0000-0000-0000C3850000}"/>
    <cellStyle name="Wrap 2 2 2 7 2" xfId="31113" xr:uid="{00000000-0005-0000-0000-0000C4850000}"/>
    <cellStyle name="Wrap 2 2 2 7 2 2" xfId="31114" xr:uid="{00000000-0005-0000-0000-0000C5850000}"/>
    <cellStyle name="Wrap 2 2 2 7 3" xfId="31115" xr:uid="{00000000-0005-0000-0000-0000C6850000}"/>
    <cellStyle name="Wrap 2 2 2 7 3 2" xfId="31116" xr:uid="{00000000-0005-0000-0000-0000C7850000}"/>
    <cellStyle name="Wrap 2 2 2 7 4" xfId="31117" xr:uid="{00000000-0005-0000-0000-0000C8850000}"/>
    <cellStyle name="Wrap 2 2 2 7 4 2" xfId="31118" xr:uid="{00000000-0005-0000-0000-0000C9850000}"/>
    <cellStyle name="Wrap 2 2 2 7 5" xfId="31119" xr:uid="{00000000-0005-0000-0000-0000CA850000}"/>
    <cellStyle name="Wrap 2 2 2 7 5 2" xfId="31120" xr:uid="{00000000-0005-0000-0000-0000CB850000}"/>
    <cellStyle name="Wrap 2 2 2 7 6" xfId="31121" xr:uid="{00000000-0005-0000-0000-0000CC850000}"/>
    <cellStyle name="Wrap 2 2 2 7 6 2" xfId="31122" xr:uid="{00000000-0005-0000-0000-0000CD850000}"/>
    <cellStyle name="Wrap 2 2 2 7 7" xfId="31123" xr:uid="{00000000-0005-0000-0000-0000CE850000}"/>
    <cellStyle name="Wrap 2 2 2 7 7 2" xfId="31124" xr:uid="{00000000-0005-0000-0000-0000CF850000}"/>
    <cellStyle name="Wrap 2 2 2 7 8" xfId="31125" xr:uid="{00000000-0005-0000-0000-0000D0850000}"/>
    <cellStyle name="Wrap 2 2 2 7 8 2" xfId="31126" xr:uid="{00000000-0005-0000-0000-0000D1850000}"/>
    <cellStyle name="Wrap 2 2 2 7 9" xfId="31127" xr:uid="{00000000-0005-0000-0000-0000D2850000}"/>
    <cellStyle name="Wrap 2 2 2 7 9 2" xfId="31128" xr:uid="{00000000-0005-0000-0000-0000D3850000}"/>
    <cellStyle name="Wrap 2 2 2 8" xfId="31129" xr:uid="{00000000-0005-0000-0000-0000D4850000}"/>
    <cellStyle name="Wrap 2 2 2 8 10" xfId="31130" xr:uid="{00000000-0005-0000-0000-0000D5850000}"/>
    <cellStyle name="Wrap 2 2 2 8 2" xfId="31131" xr:uid="{00000000-0005-0000-0000-0000D6850000}"/>
    <cellStyle name="Wrap 2 2 2 8 2 2" xfId="31132" xr:uid="{00000000-0005-0000-0000-0000D7850000}"/>
    <cellStyle name="Wrap 2 2 2 8 3" xfId="31133" xr:uid="{00000000-0005-0000-0000-0000D8850000}"/>
    <cellStyle name="Wrap 2 2 2 8 3 2" xfId="31134" xr:uid="{00000000-0005-0000-0000-0000D9850000}"/>
    <cellStyle name="Wrap 2 2 2 8 4" xfId="31135" xr:uid="{00000000-0005-0000-0000-0000DA850000}"/>
    <cellStyle name="Wrap 2 2 2 8 4 2" xfId="31136" xr:uid="{00000000-0005-0000-0000-0000DB850000}"/>
    <cellStyle name="Wrap 2 2 2 8 5" xfId="31137" xr:uid="{00000000-0005-0000-0000-0000DC850000}"/>
    <cellStyle name="Wrap 2 2 2 8 5 2" xfId="31138" xr:uid="{00000000-0005-0000-0000-0000DD850000}"/>
    <cellStyle name="Wrap 2 2 2 8 6" xfId="31139" xr:uid="{00000000-0005-0000-0000-0000DE850000}"/>
    <cellStyle name="Wrap 2 2 2 8 6 2" xfId="31140" xr:uid="{00000000-0005-0000-0000-0000DF850000}"/>
    <cellStyle name="Wrap 2 2 2 8 7" xfId="31141" xr:uid="{00000000-0005-0000-0000-0000E0850000}"/>
    <cellStyle name="Wrap 2 2 2 8 7 2" xfId="31142" xr:uid="{00000000-0005-0000-0000-0000E1850000}"/>
    <cellStyle name="Wrap 2 2 2 8 8" xfId="31143" xr:uid="{00000000-0005-0000-0000-0000E2850000}"/>
    <cellStyle name="Wrap 2 2 2 8 8 2" xfId="31144" xr:uid="{00000000-0005-0000-0000-0000E3850000}"/>
    <cellStyle name="Wrap 2 2 2 8 9" xfId="31145" xr:uid="{00000000-0005-0000-0000-0000E4850000}"/>
    <cellStyle name="Wrap 2 2 2 8 9 2" xfId="31146" xr:uid="{00000000-0005-0000-0000-0000E5850000}"/>
    <cellStyle name="Wrap 2 2 2 9" xfId="31147" xr:uid="{00000000-0005-0000-0000-0000E6850000}"/>
    <cellStyle name="Wrap 2 2 2 9 10" xfId="31148" xr:uid="{00000000-0005-0000-0000-0000E7850000}"/>
    <cellStyle name="Wrap 2 2 2 9 2" xfId="31149" xr:uid="{00000000-0005-0000-0000-0000E8850000}"/>
    <cellStyle name="Wrap 2 2 2 9 2 2" xfId="31150" xr:uid="{00000000-0005-0000-0000-0000E9850000}"/>
    <cellStyle name="Wrap 2 2 2 9 3" xfId="31151" xr:uid="{00000000-0005-0000-0000-0000EA850000}"/>
    <cellStyle name="Wrap 2 2 2 9 3 2" xfId="31152" xr:uid="{00000000-0005-0000-0000-0000EB850000}"/>
    <cellStyle name="Wrap 2 2 2 9 4" xfId="31153" xr:uid="{00000000-0005-0000-0000-0000EC850000}"/>
    <cellStyle name="Wrap 2 2 2 9 4 2" xfId="31154" xr:uid="{00000000-0005-0000-0000-0000ED850000}"/>
    <cellStyle name="Wrap 2 2 2 9 5" xfId="31155" xr:uid="{00000000-0005-0000-0000-0000EE850000}"/>
    <cellStyle name="Wrap 2 2 2 9 5 2" xfId="31156" xr:uid="{00000000-0005-0000-0000-0000EF850000}"/>
    <cellStyle name="Wrap 2 2 2 9 6" xfId="31157" xr:uid="{00000000-0005-0000-0000-0000F0850000}"/>
    <cellStyle name="Wrap 2 2 2 9 6 2" xfId="31158" xr:uid="{00000000-0005-0000-0000-0000F1850000}"/>
    <cellStyle name="Wrap 2 2 2 9 7" xfId="31159" xr:uid="{00000000-0005-0000-0000-0000F2850000}"/>
    <cellStyle name="Wrap 2 2 2 9 7 2" xfId="31160" xr:uid="{00000000-0005-0000-0000-0000F3850000}"/>
    <cellStyle name="Wrap 2 2 2 9 8" xfId="31161" xr:uid="{00000000-0005-0000-0000-0000F4850000}"/>
    <cellStyle name="Wrap 2 2 2 9 8 2" xfId="31162" xr:uid="{00000000-0005-0000-0000-0000F5850000}"/>
    <cellStyle name="Wrap 2 2 2 9 9" xfId="31163" xr:uid="{00000000-0005-0000-0000-0000F6850000}"/>
    <cellStyle name="Wrap 2 2 2 9 9 2" xfId="31164" xr:uid="{00000000-0005-0000-0000-0000F7850000}"/>
    <cellStyle name="Wrap 2 2 3" xfId="31165" xr:uid="{00000000-0005-0000-0000-0000F8850000}"/>
    <cellStyle name="Wrap 2 2 3 10" xfId="31166" xr:uid="{00000000-0005-0000-0000-0000F9850000}"/>
    <cellStyle name="Wrap 2 2 3 10 10" xfId="31167" xr:uid="{00000000-0005-0000-0000-0000FA850000}"/>
    <cellStyle name="Wrap 2 2 3 10 2" xfId="31168" xr:uid="{00000000-0005-0000-0000-0000FB850000}"/>
    <cellStyle name="Wrap 2 2 3 10 2 2" xfId="31169" xr:uid="{00000000-0005-0000-0000-0000FC850000}"/>
    <cellStyle name="Wrap 2 2 3 10 3" xfId="31170" xr:uid="{00000000-0005-0000-0000-0000FD850000}"/>
    <cellStyle name="Wrap 2 2 3 10 3 2" xfId="31171" xr:uid="{00000000-0005-0000-0000-0000FE850000}"/>
    <cellStyle name="Wrap 2 2 3 10 4" xfId="31172" xr:uid="{00000000-0005-0000-0000-0000FF850000}"/>
    <cellStyle name="Wrap 2 2 3 10 4 2" xfId="31173" xr:uid="{00000000-0005-0000-0000-000000860000}"/>
    <cellStyle name="Wrap 2 2 3 10 5" xfId="31174" xr:uid="{00000000-0005-0000-0000-000001860000}"/>
    <cellStyle name="Wrap 2 2 3 10 5 2" xfId="31175" xr:uid="{00000000-0005-0000-0000-000002860000}"/>
    <cellStyle name="Wrap 2 2 3 10 6" xfId="31176" xr:uid="{00000000-0005-0000-0000-000003860000}"/>
    <cellStyle name="Wrap 2 2 3 10 6 2" xfId="31177" xr:uid="{00000000-0005-0000-0000-000004860000}"/>
    <cellStyle name="Wrap 2 2 3 10 7" xfId="31178" xr:uid="{00000000-0005-0000-0000-000005860000}"/>
    <cellStyle name="Wrap 2 2 3 10 7 2" xfId="31179" xr:uid="{00000000-0005-0000-0000-000006860000}"/>
    <cellStyle name="Wrap 2 2 3 10 8" xfId="31180" xr:uid="{00000000-0005-0000-0000-000007860000}"/>
    <cellStyle name="Wrap 2 2 3 10 8 2" xfId="31181" xr:uid="{00000000-0005-0000-0000-000008860000}"/>
    <cellStyle name="Wrap 2 2 3 10 9" xfId="31182" xr:uid="{00000000-0005-0000-0000-000009860000}"/>
    <cellStyle name="Wrap 2 2 3 10 9 2" xfId="31183" xr:uid="{00000000-0005-0000-0000-00000A860000}"/>
    <cellStyle name="Wrap 2 2 3 11" xfId="31184" xr:uid="{00000000-0005-0000-0000-00000B860000}"/>
    <cellStyle name="Wrap 2 2 3 11 2" xfId="31185" xr:uid="{00000000-0005-0000-0000-00000C860000}"/>
    <cellStyle name="Wrap 2 2 3 11 2 2" xfId="31186" xr:uid="{00000000-0005-0000-0000-00000D860000}"/>
    <cellStyle name="Wrap 2 2 3 11 3" xfId="31187" xr:uid="{00000000-0005-0000-0000-00000E860000}"/>
    <cellStyle name="Wrap 2 2 3 11 3 2" xfId="31188" xr:uid="{00000000-0005-0000-0000-00000F860000}"/>
    <cellStyle name="Wrap 2 2 3 11 4" xfId="31189" xr:uid="{00000000-0005-0000-0000-000010860000}"/>
    <cellStyle name="Wrap 2 2 3 11 4 2" xfId="31190" xr:uid="{00000000-0005-0000-0000-000011860000}"/>
    <cellStyle name="Wrap 2 2 3 11 5" xfId="31191" xr:uid="{00000000-0005-0000-0000-000012860000}"/>
    <cellStyle name="Wrap 2 2 3 11 5 2" xfId="31192" xr:uid="{00000000-0005-0000-0000-000013860000}"/>
    <cellStyle name="Wrap 2 2 3 11 6" xfId="31193" xr:uid="{00000000-0005-0000-0000-000014860000}"/>
    <cellStyle name="Wrap 2 2 3 11 6 2" xfId="31194" xr:uid="{00000000-0005-0000-0000-000015860000}"/>
    <cellStyle name="Wrap 2 2 3 11 7" xfId="31195" xr:uid="{00000000-0005-0000-0000-000016860000}"/>
    <cellStyle name="Wrap 2 2 3 11 7 2" xfId="31196" xr:uid="{00000000-0005-0000-0000-000017860000}"/>
    <cellStyle name="Wrap 2 2 3 11 8" xfId="31197" xr:uid="{00000000-0005-0000-0000-000018860000}"/>
    <cellStyle name="Wrap 2 2 3 11 8 2" xfId="31198" xr:uid="{00000000-0005-0000-0000-000019860000}"/>
    <cellStyle name="Wrap 2 2 3 11 9" xfId="31199" xr:uid="{00000000-0005-0000-0000-00001A860000}"/>
    <cellStyle name="Wrap 2 2 3 2" xfId="31200" xr:uid="{00000000-0005-0000-0000-00001B860000}"/>
    <cellStyle name="Wrap 2 2 3 2 10" xfId="31201" xr:uid="{00000000-0005-0000-0000-00001C860000}"/>
    <cellStyle name="Wrap 2 2 3 2 2" xfId="31202" xr:uid="{00000000-0005-0000-0000-00001D860000}"/>
    <cellStyle name="Wrap 2 2 3 2 2 2" xfId="31203" xr:uid="{00000000-0005-0000-0000-00001E860000}"/>
    <cellStyle name="Wrap 2 2 3 2 3" xfId="31204" xr:uid="{00000000-0005-0000-0000-00001F860000}"/>
    <cellStyle name="Wrap 2 2 3 2 3 2" xfId="31205" xr:uid="{00000000-0005-0000-0000-000020860000}"/>
    <cellStyle name="Wrap 2 2 3 2 4" xfId="31206" xr:uid="{00000000-0005-0000-0000-000021860000}"/>
    <cellStyle name="Wrap 2 2 3 2 4 2" xfId="31207" xr:uid="{00000000-0005-0000-0000-000022860000}"/>
    <cellStyle name="Wrap 2 2 3 2 5" xfId="31208" xr:uid="{00000000-0005-0000-0000-000023860000}"/>
    <cellStyle name="Wrap 2 2 3 2 5 2" xfId="31209" xr:uid="{00000000-0005-0000-0000-000024860000}"/>
    <cellStyle name="Wrap 2 2 3 2 6" xfId="31210" xr:uid="{00000000-0005-0000-0000-000025860000}"/>
    <cellStyle name="Wrap 2 2 3 2 6 2" xfId="31211" xr:uid="{00000000-0005-0000-0000-000026860000}"/>
    <cellStyle name="Wrap 2 2 3 2 7" xfId="31212" xr:uid="{00000000-0005-0000-0000-000027860000}"/>
    <cellStyle name="Wrap 2 2 3 2 7 2" xfId="31213" xr:uid="{00000000-0005-0000-0000-000028860000}"/>
    <cellStyle name="Wrap 2 2 3 2 8" xfId="31214" xr:uid="{00000000-0005-0000-0000-000029860000}"/>
    <cellStyle name="Wrap 2 2 3 2 8 2" xfId="31215" xr:uid="{00000000-0005-0000-0000-00002A860000}"/>
    <cellStyle name="Wrap 2 2 3 2 9" xfId="31216" xr:uid="{00000000-0005-0000-0000-00002B860000}"/>
    <cellStyle name="Wrap 2 2 3 2 9 2" xfId="31217" xr:uid="{00000000-0005-0000-0000-00002C860000}"/>
    <cellStyle name="Wrap 2 2 3 3" xfId="31218" xr:uid="{00000000-0005-0000-0000-00002D860000}"/>
    <cellStyle name="Wrap 2 2 3 3 10" xfId="31219" xr:uid="{00000000-0005-0000-0000-00002E860000}"/>
    <cellStyle name="Wrap 2 2 3 3 2" xfId="31220" xr:uid="{00000000-0005-0000-0000-00002F860000}"/>
    <cellStyle name="Wrap 2 2 3 3 2 2" xfId="31221" xr:uid="{00000000-0005-0000-0000-000030860000}"/>
    <cellStyle name="Wrap 2 2 3 3 3" xfId="31222" xr:uid="{00000000-0005-0000-0000-000031860000}"/>
    <cellStyle name="Wrap 2 2 3 3 3 2" xfId="31223" xr:uid="{00000000-0005-0000-0000-000032860000}"/>
    <cellStyle name="Wrap 2 2 3 3 4" xfId="31224" xr:uid="{00000000-0005-0000-0000-000033860000}"/>
    <cellStyle name="Wrap 2 2 3 3 4 2" xfId="31225" xr:uid="{00000000-0005-0000-0000-000034860000}"/>
    <cellStyle name="Wrap 2 2 3 3 5" xfId="31226" xr:uid="{00000000-0005-0000-0000-000035860000}"/>
    <cellStyle name="Wrap 2 2 3 3 5 2" xfId="31227" xr:uid="{00000000-0005-0000-0000-000036860000}"/>
    <cellStyle name="Wrap 2 2 3 3 6" xfId="31228" xr:uid="{00000000-0005-0000-0000-000037860000}"/>
    <cellStyle name="Wrap 2 2 3 3 6 2" xfId="31229" xr:uid="{00000000-0005-0000-0000-000038860000}"/>
    <cellStyle name="Wrap 2 2 3 3 7" xfId="31230" xr:uid="{00000000-0005-0000-0000-000039860000}"/>
    <cellStyle name="Wrap 2 2 3 3 7 2" xfId="31231" xr:uid="{00000000-0005-0000-0000-00003A860000}"/>
    <cellStyle name="Wrap 2 2 3 3 8" xfId="31232" xr:uid="{00000000-0005-0000-0000-00003B860000}"/>
    <cellStyle name="Wrap 2 2 3 3 8 2" xfId="31233" xr:uid="{00000000-0005-0000-0000-00003C860000}"/>
    <cellStyle name="Wrap 2 2 3 3 9" xfId="31234" xr:uid="{00000000-0005-0000-0000-00003D860000}"/>
    <cellStyle name="Wrap 2 2 3 3 9 2" xfId="31235" xr:uid="{00000000-0005-0000-0000-00003E860000}"/>
    <cellStyle name="Wrap 2 2 3 4" xfId="31236" xr:uid="{00000000-0005-0000-0000-00003F860000}"/>
    <cellStyle name="Wrap 2 2 3 4 10" xfId="31237" xr:uid="{00000000-0005-0000-0000-000040860000}"/>
    <cellStyle name="Wrap 2 2 3 4 2" xfId="31238" xr:uid="{00000000-0005-0000-0000-000041860000}"/>
    <cellStyle name="Wrap 2 2 3 4 2 2" xfId="31239" xr:uid="{00000000-0005-0000-0000-000042860000}"/>
    <cellStyle name="Wrap 2 2 3 4 3" xfId="31240" xr:uid="{00000000-0005-0000-0000-000043860000}"/>
    <cellStyle name="Wrap 2 2 3 4 3 2" xfId="31241" xr:uid="{00000000-0005-0000-0000-000044860000}"/>
    <cellStyle name="Wrap 2 2 3 4 4" xfId="31242" xr:uid="{00000000-0005-0000-0000-000045860000}"/>
    <cellStyle name="Wrap 2 2 3 4 4 2" xfId="31243" xr:uid="{00000000-0005-0000-0000-000046860000}"/>
    <cellStyle name="Wrap 2 2 3 4 5" xfId="31244" xr:uid="{00000000-0005-0000-0000-000047860000}"/>
    <cellStyle name="Wrap 2 2 3 4 5 2" xfId="31245" xr:uid="{00000000-0005-0000-0000-000048860000}"/>
    <cellStyle name="Wrap 2 2 3 4 6" xfId="31246" xr:uid="{00000000-0005-0000-0000-000049860000}"/>
    <cellStyle name="Wrap 2 2 3 4 6 2" xfId="31247" xr:uid="{00000000-0005-0000-0000-00004A860000}"/>
    <cellStyle name="Wrap 2 2 3 4 7" xfId="31248" xr:uid="{00000000-0005-0000-0000-00004B860000}"/>
    <cellStyle name="Wrap 2 2 3 4 7 2" xfId="31249" xr:uid="{00000000-0005-0000-0000-00004C860000}"/>
    <cellStyle name="Wrap 2 2 3 4 8" xfId="31250" xr:uid="{00000000-0005-0000-0000-00004D860000}"/>
    <cellStyle name="Wrap 2 2 3 4 8 2" xfId="31251" xr:uid="{00000000-0005-0000-0000-00004E860000}"/>
    <cellStyle name="Wrap 2 2 3 4 9" xfId="31252" xr:uid="{00000000-0005-0000-0000-00004F860000}"/>
    <cellStyle name="Wrap 2 2 3 4 9 2" xfId="31253" xr:uid="{00000000-0005-0000-0000-000050860000}"/>
    <cellStyle name="Wrap 2 2 3 5" xfId="31254" xr:uid="{00000000-0005-0000-0000-000051860000}"/>
    <cellStyle name="Wrap 2 2 3 5 10" xfId="31255" xr:uid="{00000000-0005-0000-0000-000052860000}"/>
    <cellStyle name="Wrap 2 2 3 5 2" xfId="31256" xr:uid="{00000000-0005-0000-0000-000053860000}"/>
    <cellStyle name="Wrap 2 2 3 5 2 2" xfId="31257" xr:uid="{00000000-0005-0000-0000-000054860000}"/>
    <cellStyle name="Wrap 2 2 3 5 3" xfId="31258" xr:uid="{00000000-0005-0000-0000-000055860000}"/>
    <cellStyle name="Wrap 2 2 3 5 3 2" xfId="31259" xr:uid="{00000000-0005-0000-0000-000056860000}"/>
    <cellStyle name="Wrap 2 2 3 5 4" xfId="31260" xr:uid="{00000000-0005-0000-0000-000057860000}"/>
    <cellStyle name="Wrap 2 2 3 5 4 2" xfId="31261" xr:uid="{00000000-0005-0000-0000-000058860000}"/>
    <cellStyle name="Wrap 2 2 3 5 5" xfId="31262" xr:uid="{00000000-0005-0000-0000-000059860000}"/>
    <cellStyle name="Wrap 2 2 3 5 5 2" xfId="31263" xr:uid="{00000000-0005-0000-0000-00005A860000}"/>
    <cellStyle name="Wrap 2 2 3 5 6" xfId="31264" xr:uid="{00000000-0005-0000-0000-00005B860000}"/>
    <cellStyle name="Wrap 2 2 3 5 6 2" xfId="31265" xr:uid="{00000000-0005-0000-0000-00005C860000}"/>
    <cellStyle name="Wrap 2 2 3 5 7" xfId="31266" xr:uid="{00000000-0005-0000-0000-00005D860000}"/>
    <cellStyle name="Wrap 2 2 3 5 7 2" xfId="31267" xr:uid="{00000000-0005-0000-0000-00005E860000}"/>
    <cellStyle name="Wrap 2 2 3 5 8" xfId="31268" xr:uid="{00000000-0005-0000-0000-00005F860000}"/>
    <cellStyle name="Wrap 2 2 3 5 8 2" xfId="31269" xr:uid="{00000000-0005-0000-0000-000060860000}"/>
    <cellStyle name="Wrap 2 2 3 5 9" xfId="31270" xr:uid="{00000000-0005-0000-0000-000061860000}"/>
    <cellStyle name="Wrap 2 2 3 5 9 2" xfId="31271" xr:uid="{00000000-0005-0000-0000-000062860000}"/>
    <cellStyle name="Wrap 2 2 3 6" xfId="31272" xr:uid="{00000000-0005-0000-0000-000063860000}"/>
    <cellStyle name="Wrap 2 2 3 6 10" xfId="31273" xr:uid="{00000000-0005-0000-0000-000064860000}"/>
    <cellStyle name="Wrap 2 2 3 6 2" xfId="31274" xr:uid="{00000000-0005-0000-0000-000065860000}"/>
    <cellStyle name="Wrap 2 2 3 6 2 2" xfId="31275" xr:uid="{00000000-0005-0000-0000-000066860000}"/>
    <cellStyle name="Wrap 2 2 3 6 3" xfId="31276" xr:uid="{00000000-0005-0000-0000-000067860000}"/>
    <cellStyle name="Wrap 2 2 3 6 3 2" xfId="31277" xr:uid="{00000000-0005-0000-0000-000068860000}"/>
    <cellStyle name="Wrap 2 2 3 6 4" xfId="31278" xr:uid="{00000000-0005-0000-0000-000069860000}"/>
    <cellStyle name="Wrap 2 2 3 6 4 2" xfId="31279" xr:uid="{00000000-0005-0000-0000-00006A860000}"/>
    <cellStyle name="Wrap 2 2 3 6 5" xfId="31280" xr:uid="{00000000-0005-0000-0000-00006B860000}"/>
    <cellStyle name="Wrap 2 2 3 6 5 2" xfId="31281" xr:uid="{00000000-0005-0000-0000-00006C860000}"/>
    <cellStyle name="Wrap 2 2 3 6 6" xfId="31282" xr:uid="{00000000-0005-0000-0000-00006D860000}"/>
    <cellStyle name="Wrap 2 2 3 6 6 2" xfId="31283" xr:uid="{00000000-0005-0000-0000-00006E860000}"/>
    <cellStyle name="Wrap 2 2 3 6 7" xfId="31284" xr:uid="{00000000-0005-0000-0000-00006F860000}"/>
    <cellStyle name="Wrap 2 2 3 6 7 2" xfId="31285" xr:uid="{00000000-0005-0000-0000-000070860000}"/>
    <cellStyle name="Wrap 2 2 3 6 8" xfId="31286" xr:uid="{00000000-0005-0000-0000-000071860000}"/>
    <cellStyle name="Wrap 2 2 3 6 8 2" xfId="31287" xr:uid="{00000000-0005-0000-0000-000072860000}"/>
    <cellStyle name="Wrap 2 2 3 6 9" xfId="31288" xr:uid="{00000000-0005-0000-0000-000073860000}"/>
    <cellStyle name="Wrap 2 2 3 6 9 2" xfId="31289" xr:uid="{00000000-0005-0000-0000-000074860000}"/>
    <cellStyle name="Wrap 2 2 3 7" xfId="31290" xr:uid="{00000000-0005-0000-0000-000075860000}"/>
    <cellStyle name="Wrap 2 2 3 7 10" xfId="31291" xr:uid="{00000000-0005-0000-0000-000076860000}"/>
    <cellStyle name="Wrap 2 2 3 7 2" xfId="31292" xr:uid="{00000000-0005-0000-0000-000077860000}"/>
    <cellStyle name="Wrap 2 2 3 7 2 2" xfId="31293" xr:uid="{00000000-0005-0000-0000-000078860000}"/>
    <cellStyle name="Wrap 2 2 3 7 3" xfId="31294" xr:uid="{00000000-0005-0000-0000-000079860000}"/>
    <cellStyle name="Wrap 2 2 3 7 3 2" xfId="31295" xr:uid="{00000000-0005-0000-0000-00007A860000}"/>
    <cellStyle name="Wrap 2 2 3 7 4" xfId="31296" xr:uid="{00000000-0005-0000-0000-00007B860000}"/>
    <cellStyle name="Wrap 2 2 3 7 4 2" xfId="31297" xr:uid="{00000000-0005-0000-0000-00007C860000}"/>
    <cellStyle name="Wrap 2 2 3 7 5" xfId="31298" xr:uid="{00000000-0005-0000-0000-00007D860000}"/>
    <cellStyle name="Wrap 2 2 3 7 5 2" xfId="31299" xr:uid="{00000000-0005-0000-0000-00007E860000}"/>
    <cellStyle name="Wrap 2 2 3 7 6" xfId="31300" xr:uid="{00000000-0005-0000-0000-00007F860000}"/>
    <cellStyle name="Wrap 2 2 3 7 6 2" xfId="31301" xr:uid="{00000000-0005-0000-0000-000080860000}"/>
    <cellStyle name="Wrap 2 2 3 7 7" xfId="31302" xr:uid="{00000000-0005-0000-0000-000081860000}"/>
    <cellStyle name="Wrap 2 2 3 7 7 2" xfId="31303" xr:uid="{00000000-0005-0000-0000-000082860000}"/>
    <cellStyle name="Wrap 2 2 3 7 8" xfId="31304" xr:uid="{00000000-0005-0000-0000-000083860000}"/>
    <cellStyle name="Wrap 2 2 3 7 8 2" xfId="31305" xr:uid="{00000000-0005-0000-0000-000084860000}"/>
    <cellStyle name="Wrap 2 2 3 7 9" xfId="31306" xr:uid="{00000000-0005-0000-0000-000085860000}"/>
    <cellStyle name="Wrap 2 2 3 7 9 2" xfId="31307" xr:uid="{00000000-0005-0000-0000-000086860000}"/>
    <cellStyle name="Wrap 2 2 3 8" xfId="31308" xr:uid="{00000000-0005-0000-0000-000087860000}"/>
    <cellStyle name="Wrap 2 2 3 8 10" xfId="31309" xr:uid="{00000000-0005-0000-0000-000088860000}"/>
    <cellStyle name="Wrap 2 2 3 8 2" xfId="31310" xr:uid="{00000000-0005-0000-0000-000089860000}"/>
    <cellStyle name="Wrap 2 2 3 8 2 2" xfId="31311" xr:uid="{00000000-0005-0000-0000-00008A860000}"/>
    <cellStyle name="Wrap 2 2 3 8 3" xfId="31312" xr:uid="{00000000-0005-0000-0000-00008B860000}"/>
    <cellStyle name="Wrap 2 2 3 8 3 2" xfId="31313" xr:uid="{00000000-0005-0000-0000-00008C860000}"/>
    <cellStyle name="Wrap 2 2 3 8 4" xfId="31314" xr:uid="{00000000-0005-0000-0000-00008D860000}"/>
    <cellStyle name="Wrap 2 2 3 8 4 2" xfId="31315" xr:uid="{00000000-0005-0000-0000-00008E860000}"/>
    <cellStyle name="Wrap 2 2 3 8 5" xfId="31316" xr:uid="{00000000-0005-0000-0000-00008F860000}"/>
    <cellStyle name="Wrap 2 2 3 8 5 2" xfId="31317" xr:uid="{00000000-0005-0000-0000-000090860000}"/>
    <cellStyle name="Wrap 2 2 3 8 6" xfId="31318" xr:uid="{00000000-0005-0000-0000-000091860000}"/>
    <cellStyle name="Wrap 2 2 3 8 6 2" xfId="31319" xr:uid="{00000000-0005-0000-0000-000092860000}"/>
    <cellStyle name="Wrap 2 2 3 8 7" xfId="31320" xr:uid="{00000000-0005-0000-0000-000093860000}"/>
    <cellStyle name="Wrap 2 2 3 8 7 2" xfId="31321" xr:uid="{00000000-0005-0000-0000-000094860000}"/>
    <cellStyle name="Wrap 2 2 3 8 8" xfId="31322" xr:uid="{00000000-0005-0000-0000-000095860000}"/>
    <cellStyle name="Wrap 2 2 3 8 8 2" xfId="31323" xr:uid="{00000000-0005-0000-0000-000096860000}"/>
    <cellStyle name="Wrap 2 2 3 8 9" xfId="31324" xr:uid="{00000000-0005-0000-0000-000097860000}"/>
    <cellStyle name="Wrap 2 2 3 8 9 2" xfId="31325" xr:uid="{00000000-0005-0000-0000-000098860000}"/>
    <cellStyle name="Wrap 2 2 3 9" xfId="31326" xr:uid="{00000000-0005-0000-0000-000099860000}"/>
    <cellStyle name="Wrap 2 2 3 9 10" xfId="31327" xr:uid="{00000000-0005-0000-0000-00009A860000}"/>
    <cellStyle name="Wrap 2 2 3 9 2" xfId="31328" xr:uid="{00000000-0005-0000-0000-00009B860000}"/>
    <cellStyle name="Wrap 2 2 3 9 2 2" xfId="31329" xr:uid="{00000000-0005-0000-0000-00009C860000}"/>
    <cellStyle name="Wrap 2 2 3 9 3" xfId="31330" xr:uid="{00000000-0005-0000-0000-00009D860000}"/>
    <cellStyle name="Wrap 2 2 3 9 3 2" xfId="31331" xr:uid="{00000000-0005-0000-0000-00009E860000}"/>
    <cellStyle name="Wrap 2 2 3 9 4" xfId="31332" xr:uid="{00000000-0005-0000-0000-00009F860000}"/>
    <cellStyle name="Wrap 2 2 3 9 4 2" xfId="31333" xr:uid="{00000000-0005-0000-0000-0000A0860000}"/>
    <cellStyle name="Wrap 2 2 3 9 5" xfId="31334" xr:uid="{00000000-0005-0000-0000-0000A1860000}"/>
    <cellStyle name="Wrap 2 2 3 9 5 2" xfId="31335" xr:uid="{00000000-0005-0000-0000-0000A2860000}"/>
    <cellStyle name="Wrap 2 2 3 9 6" xfId="31336" xr:uid="{00000000-0005-0000-0000-0000A3860000}"/>
    <cellStyle name="Wrap 2 2 3 9 6 2" xfId="31337" xr:uid="{00000000-0005-0000-0000-0000A4860000}"/>
    <cellStyle name="Wrap 2 2 3 9 7" xfId="31338" xr:uid="{00000000-0005-0000-0000-0000A5860000}"/>
    <cellStyle name="Wrap 2 2 3 9 7 2" xfId="31339" xr:uid="{00000000-0005-0000-0000-0000A6860000}"/>
    <cellStyle name="Wrap 2 2 3 9 8" xfId="31340" xr:uid="{00000000-0005-0000-0000-0000A7860000}"/>
    <cellStyle name="Wrap 2 2 3 9 8 2" xfId="31341" xr:uid="{00000000-0005-0000-0000-0000A8860000}"/>
    <cellStyle name="Wrap 2 2 3 9 9" xfId="31342" xr:uid="{00000000-0005-0000-0000-0000A9860000}"/>
    <cellStyle name="Wrap 2 2 3 9 9 2" xfId="31343" xr:uid="{00000000-0005-0000-0000-0000AA860000}"/>
    <cellStyle name="Wrap 2 2 4" xfId="31344" xr:uid="{00000000-0005-0000-0000-0000AB860000}"/>
    <cellStyle name="Wrap 2 2 4 10" xfId="31345" xr:uid="{00000000-0005-0000-0000-0000AC860000}"/>
    <cellStyle name="Wrap 2 2 4 10 2" xfId="31346" xr:uid="{00000000-0005-0000-0000-0000AD860000}"/>
    <cellStyle name="Wrap 2 2 4 10 2 2" xfId="31347" xr:uid="{00000000-0005-0000-0000-0000AE860000}"/>
    <cellStyle name="Wrap 2 2 4 10 3" xfId="31348" xr:uid="{00000000-0005-0000-0000-0000AF860000}"/>
    <cellStyle name="Wrap 2 2 4 10 3 2" xfId="31349" xr:uid="{00000000-0005-0000-0000-0000B0860000}"/>
    <cellStyle name="Wrap 2 2 4 10 4" xfId="31350" xr:uid="{00000000-0005-0000-0000-0000B1860000}"/>
    <cellStyle name="Wrap 2 2 4 10 4 2" xfId="31351" xr:uid="{00000000-0005-0000-0000-0000B2860000}"/>
    <cellStyle name="Wrap 2 2 4 10 5" xfId="31352" xr:uid="{00000000-0005-0000-0000-0000B3860000}"/>
    <cellStyle name="Wrap 2 2 4 10 5 2" xfId="31353" xr:uid="{00000000-0005-0000-0000-0000B4860000}"/>
    <cellStyle name="Wrap 2 2 4 10 6" xfId="31354" xr:uid="{00000000-0005-0000-0000-0000B5860000}"/>
    <cellStyle name="Wrap 2 2 4 10 6 2" xfId="31355" xr:uid="{00000000-0005-0000-0000-0000B6860000}"/>
    <cellStyle name="Wrap 2 2 4 10 7" xfId="31356" xr:uid="{00000000-0005-0000-0000-0000B7860000}"/>
    <cellStyle name="Wrap 2 2 4 10 7 2" xfId="31357" xr:uid="{00000000-0005-0000-0000-0000B8860000}"/>
    <cellStyle name="Wrap 2 2 4 10 8" xfId="31358" xr:uid="{00000000-0005-0000-0000-0000B9860000}"/>
    <cellStyle name="Wrap 2 2 4 10 8 2" xfId="31359" xr:uid="{00000000-0005-0000-0000-0000BA860000}"/>
    <cellStyle name="Wrap 2 2 4 10 9" xfId="31360" xr:uid="{00000000-0005-0000-0000-0000BB860000}"/>
    <cellStyle name="Wrap 2 2 4 11" xfId="31361" xr:uid="{00000000-0005-0000-0000-0000BC860000}"/>
    <cellStyle name="Wrap 2 2 4 11 2" xfId="31362" xr:uid="{00000000-0005-0000-0000-0000BD860000}"/>
    <cellStyle name="Wrap 2 2 4 12" xfId="31363" xr:uid="{00000000-0005-0000-0000-0000BE860000}"/>
    <cellStyle name="Wrap 2 2 4 12 2" xfId="31364" xr:uid="{00000000-0005-0000-0000-0000BF860000}"/>
    <cellStyle name="Wrap 2 2 4 13" xfId="31365" xr:uid="{00000000-0005-0000-0000-0000C0860000}"/>
    <cellStyle name="Wrap 2 2 4 13 2" xfId="31366" xr:uid="{00000000-0005-0000-0000-0000C1860000}"/>
    <cellStyle name="Wrap 2 2 4 14" xfId="31367" xr:uid="{00000000-0005-0000-0000-0000C2860000}"/>
    <cellStyle name="Wrap 2 2 4 14 2" xfId="31368" xr:uid="{00000000-0005-0000-0000-0000C3860000}"/>
    <cellStyle name="Wrap 2 2 4 15" xfId="31369" xr:uid="{00000000-0005-0000-0000-0000C4860000}"/>
    <cellStyle name="Wrap 2 2 4 15 2" xfId="31370" xr:uid="{00000000-0005-0000-0000-0000C5860000}"/>
    <cellStyle name="Wrap 2 2 4 16" xfId="31371" xr:uid="{00000000-0005-0000-0000-0000C6860000}"/>
    <cellStyle name="Wrap 2 2 4 16 2" xfId="31372" xr:uid="{00000000-0005-0000-0000-0000C7860000}"/>
    <cellStyle name="Wrap 2 2 4 17" xfId="31373" xr:uid="{00000000-0005-0000-0000-0000C8860000}"/>
    <cellStyle name="Wrap 2 2 4 17 2" xfId="31374" xr:uid="{00000000-0005-0000-0000-0000C9860000}"/>
    <cellStyle name="Wrap 2 2 4 18" xfId="31375" xr:uid="{00000000-0005-0000-0000-0000CA860000}"/>
    <cellStyle name="Wrap 2 2 4 2" xfId="31376" xr:uid="{00000000-0005-0000-0000-0000CB860000}"/>
    <cellStyle name="Wrap 2 2 4 2 10" xfId="31377" xr:uid="{00000000-0005-0000-0000-0000CC860000}"/>
    <cellStyle name="Wrap 2 2 4 2 2" xfId="31378" xr:uid="{00000000-0005-0000-0000-0000CD860000}"/>
    <cellStyle name="Wrap 2 2 4 2 2 2" xfId="31379" xr:uid="{00000000-0005-0000-0000-0000CE860000}"/>
    <cellStyle name="Wrap 2 2 4 2 3" xfId="31380" xr:uid="{00000000-0005-0000-0000-0000CF860000}"/>
    <cellStyle name="Wrap 2 2 4 2 3 2" xfId="31381" xr:uid="{00000000-0005-0000-0000-0000D0860000}"/>
    <cellStyle name="Wrap 2 2 4 2 4" xfId="31382" xr:uid="{00000000-0005-0000-0000-0000D1860000}"/>
    <cellStyle name="Wrap 2 2 4 2 4 2" xfId="31383" xr:uid="{00000000-0005-0000-0000-0000D2860000}"/>
    <cellStyle name="Wrap 2 2 4 2 5" xfId="31384" xr:uid="{00000000-0005-0000-0000-0000D3860000}"/>
    <cellStyle name="Wrap 2 2 4 2 5 2" xfId="31385" xr:uid="{00000000-0005-0000-0000-0000D4860000}"/>
    <cellStyle name="Wrap 2 2 4 2 6" xfId="31386" xr:uid="{00000000-0005-0000-0000-0000D5860000}"/>
    <cellStyle name="Wrap 2 2 4 2 6 2" xfId="31387" xr:uid="{00000000-0005-0000-0000-0000D6860000}"/>
    <cellStyle name="Wrap 2 2 4 2 7" xfId="31388" xr:uid="{00000000-0005-0000-0000-0000D7860000}"/>
    <cellStyle name="Wrap 2 2 4 2 7 2" xfId="31389" xr:uid="{00000000-0005-0000-0000-0000D8860000}"/>
    <cellStyle name="Wrap 2 2 4 2 8" xfId="31390" xr:uid="{00000000-0005-0000-0000-0000D9860000}"/>
    <cellStyle name="Wrap 2 2 4 2 8 2" xfId="31391" xr:uid="{00000000-0005-0000-0000-0000DA860000}"/>
    <cellStyle name="Wrap 2 2 4 2 9" xfId="31392" xr:uid="{00000000-0005-0000-0000-0000DB860000}"/>
    <cellStyle name="Wrap 2 2 4 2 9 2" xfId="31393" xr:uid="{00000000-0005-0000-0000-0000DC860000}"/>
    <cellStyle name="Wrap 2 2 4 3" xfId="31394" xr:uid="{00000000-0005-0000-0000-0000DD860000}"/>
    <cellStyle name="Wrap 2 2 4 3 10" xfId="31395" xr:uid="{00000000-0005-0000-0000-0000DE860000}"/>
    <cellStyle name="Wrap 2 2 4 3 2" xfId="31396" xr:uid="{00000000-0005-0000-0000-0000DF860000}"/>
    <cellStyle name="Wrap 2 2 4 3 2 2" xfId="31397" xr:uid="{00000000-0005-0000-0000-0000E0860000}"/>
    <cellStyle name="Wrap 2 2 4 3 3" xfId="31398" xr:uid="{00000000-0005-0000-0000-0000E1860000}"/>
    <cellStyle name="Wrap 2 2 4 3 3 2" xfId="31399" xr:uid="{00000000-0005-0000-0000-0000E2860000}"/>
    <cellStyle name="Wrap 2 2 4 3 4" xfId="31400" xr:uid="{00000000-0005-0000-0000-0000E3860000}"/>
    <cellStyle name="Wrap 2 2 4 3 4 2" xfId="31401" xr:uid="{00000000-0005-0000-0000-0000E4860000}"/>
    <cellStyle name="Wrap 2 2 4 3 5" xfId="31402" xr:uid="{00000000-0005-0000-0000-0000E5860000}"/>
    <cellStyle name="Wrap 2 2 4 3 5 2" xfId="31403" xr:uid="{00000000-0005-0000-0000-0000E6860000}"/>
    <cellStyle name="Wrap 2 2 4 3 6" xfId="31404" xr:uid="{00000000-0005-0000-0000-0000E7860000}"/>
    <cellStyle name="Wrap 2 2 4 3 6 2" xfId="31405" xr:uid="{00000000-0005-0000-0000-0000E8860000}"/>
    <cellStyle name="Wrap 2 2 4 3 7" xfId="31406" xr:uid="{00000000-0005-0000-0000-0000E9860000}"/>
    <cellStyle name="Wrap 2 2 4 3 7 2" xfId="31407" xr:uid="{00000000-0005-0000-0000-0000EA860000}"/>
    <cellStyle name="Wrap 2 2 4 3 8" xfId="31408" xr:uid="{00000000-0005-0000-0000-0000EB860000}"/>
    <cellStyle name="Wrap 2 2 4 3 8 2" xfId="31409" xr:uid="{00000000-0005-0000-0000-0000EC860000}"/>
    <cellStyle name="Wrap 2 2 4 3 9" xfId="31410" xr:uid="{00000000-0005-0000-0000-0000ED860000}"/>
    <cellStyle name="Wrap 2 2 4 3 9 2" xfId="31411" xr:uid="{00000000-0005-0000-0000-0000EE860000}"/>
    <cellStyle name="Wrap 2 2 4 4" xfId="31412" xr:uid="{00000000-0005-0000-0000-0000EF860000}"/>
    <cellStyle name="Wrap 2 2 4 4 10" xfId="31413" xr:uid="{00000000-0005-0000-0000-0000F0860000}"/>
    <cellStyle name="Wrap 2 2 4 4 2" xfId="31414" xr:uid="{00000000-0005-0000-0000-0000F1860000}"/>
    <cellStyle name="Wrap 2 2 4 4 2 2" xfId="31415" xr:uid="{00000000-0005-0000-0000-0000F2860000}"/>
    <cellStyle name="Wrap 2 2 4 4 3" xfId="31416" xr:uid="{00000000-0005-0000-0000-0000F3860000}"/>
    <cellStyle name="Wrap 2 2 4 4 3 2" xfId="31417" xr:uid="{00000000-0005-0000-0000-0000F4860000}"/>
    <cellStyle name="Wrap 2 2 4 4 4" xfId="31418" xr:uid="{00000000-0005-0000-0000-0000F5860000}"/>
    <cellStyle name="Wrap 2 2 4 4 4 2" xfId="31419" xr:uid="{00000000-0005-0000-0000-0000F6860000}"/>
    <cellStyle name="Wrap 2 2 4 4 5" xfId="31420" xr:uid="{00000000-0005-0000-0000-0000F7860000}"/>
    <cellStyle name="Wrap 2 2 4 4 5 2" xfId="31421" xr:uid="{00000000-0005-0000-0000-0000F8860000}"/>
    <cellStyle name="Wrap 2 2 4 4 6" xfId="31422" xr:uid="{00000000-0005-0000-0000-0000F9860000}"/>
    <cellStyle name="Wrap 2 2 4 4 6 2" xfId="31423" xr:uid="{00000000-0005-0000-0000-0000FA860000}"/>
    <cellStyle name="Wrap 2 2 4 4 7" xfId="31424" xr:uid="{00000000-0005-0000-0000-0000FB860000}"/>
    <cellStyle name="Wrap 2 2 4 4 7 2" xfId="31425" xr:uid="{00000000-0005-0000-0000-0000FC860000}"/>
    <cellStyle name="Wrap 2 2 4 4 8" xfId="31426" xr:uid="{00000000-0005-0000-0000-0000FD860000}"/>
    <cellStyle name="Wrap 2 2 4 4 8 2" xfId="31427" xr:uid="{00000000-0005-0000-0000-0000FE860000}"/>
    <cellStyle name="Wrap 2 2 4 4 9" xfId="31428" xr:uid="{00000000-0005-0000-0000-0000FF860000}"/>
    <cellStyle name="Wrap 2 2 4 4 9 2" xfId="31429" xr:uid="{00000000-0005-0000-0000-000000870000}"/>
    <cellStyle name="Wrap 2 2 4 5" xfId="31430" xr:uid="{00000000-0005-0000-0000-000001870000}"/>
    <cellStyle name="Wrap 2 2 4 5 10" xfId="31431" xr:uid="{00000000-0005-0000-0000-000002870000}"/>
    <cellStyle name="Wrap 2 2 4 5 2" xfId="31432" xr:uid="{00000000-0005-0000-0000-000003870000}"/>
    <cellStyle name="Wrap 2 2 4 5 2 2" xfId="31433" xr:uid="{00000000-0005-0000-0000-000004870000}"/>
    <cellStyle name="Wrap 2 2 4 5 3" xfId="31434" xr:uid="{00000000-0005-0000-0000-000005870000}"/>
    <cellStyle name="Wrap 2 2 4 5 3 2" xfId="31435" xr:uid="{00000000-0005-0000-0000-000006870000}"/>
    <cellStyle name="Wrap 2 2 4 5 4" xfId="31436" xr:uid="{00000000-0005-0000-0000-000007870000}"/>
    <cellStyle name="Wrap 2 2 4 5 4 2" xfId="31437" xr:uid="{00000000-0005-0000-0000-000008870000}"/>
    <cellStyle name="Wrap 2 2 4 5 5" xfId="31438" xr:uid="{00000000-0005-0000-0000-000009870000}"/>
    <cellStyle name="Wrap 2 2 4 5 5 2" xfId="31439" xr:uid="{00000000-0005-0000-0000-00000A870000}"/>
    <cellStyle name="Wrap 2 2 4 5 6" xfId="31440" xr:uid="{00000000-0005-0000-0000-00000B870000}"/>
    <cellStyle name="Wrap 2 2 4 5 6 2" xfId="31441" xr:uid="{00000000-0005-0000-0000-00000C870000}"/>
    <cellStyle name="Wrap 2 2 4 5 7" xfId="31442" xr:uid="{00000000-0005-0000-0000-00000D870000}"/>
    <cellStyle name="Wrap 2 2 4 5 7 2" xfId="31443" xr:uid="{00000000-0005-0000-0000-00000E870000}"/>
    <cellStyle name="Wrap 2 2 4 5 8" xfId="31444" xr:uid="{00000000-0005-0000-0000-00000F870000}"/>
    <cellStyle name="Wrap 2 2 4 5 8 2" xfId="31445" xr:uid="{00000000-0005-0000-0000-000010870000}"/>
    <cellStyle name="Wrap 2 2 4 5 9" xfId="31446" xr:uid="{00000000-0005-0000-0000-000011870000}"/>
    <cellStyle name="Wrap 2 2 4 5 9 2" xfId="31447" xr:uid="{00000000-0005-0000-0000-000012870000}"/>
    <cellStyle name="Wrap 2 2 4 6" xfId="31448" xr:uid="{00000000-0005-0000-0000-000013870000}"/>
    <cellStyle name="Wrap 2 2 4 6 10" xfId="31449" xr:uid="{00000000-0005-0000-0000-000014870000}"/>
    <cellStyle name="Wrap 2 2 4 6 2" xfId="31450" xr:uid="{00000000-0005-0000-0000-000015870000}"/>
    <cellStyle name="Wrap 2 2 4 6 2 2" xfId="31451" xr:uid="{00000000-0005-0000-0000-000016870000}"/>
    <cellStyle name="Wrap 2 2 4 6 3" xfId="31452" xr:uid="{00000000-0005-0000-0000-000017870000}"/>
    <cellStyle name="Wrap 2 2 4 6 3 2" xfId="31453" xr:uid="{00000000-0005-0000-0000-000018870000}"/>
    <cellStyle name="Wrap 2 2 4 6 4" xfId="31454" xr:uid="{00000000-0005-0000-0000-000019870000}"/>
    <cellStyle name="Wrap 2 2 4 6 4 2" xfId="31455" xr:uid="{00000000-0005-0000-0000-00001A870000}"/>
    <cellStyle name="Wrap 2 2 4 6 5" xfId="31456" xr:uid="{00000000-0005-0000-0000-00001B870000}"/>
    <cellStyle name="Wrap 2 2 4 6 5 2" xfId="31457" xr:uid="{00000000-0005-0000-0000-00001C870000}"/>
    <cellStyle name="Wrap 2 2 4 6 6" xfId="31458" xr:uid="{00000000-0005-0000-0000-00001D870000}"/>
    <cellStyle name="Wrap 2 2 4 6 6 2" xfId="31459" xr:uid="{00000000-0005-0000-0000-00001E870000}"/>
    <cellStyle name="Wrap 2 2 4 6 7" xfId="31460" xr:uid="{00000000-0005-0000-0000-00001F870000}"/>
    <cellStyle name="Wrap 2 2 4 6 7 2" xfId="31461" xr:uid="{00000000-0005-0000-0000-000020870000}"/>
    <cellStyle name="Wrap 2 2 4 6 8" xfId="31462" xr:uid="{00000000-0005-0000-0000-000021870000}"/>
    <cellStyle name="Wrap 2 2 4 6 8 2" xfId="31463" xr:uid="{00000000-0005-0000-0000-000022870000}"/>
    <cellStyle name="Wrap 2 2 4 6 9" xfId="31464" xr:uid="{00000000-0005-0000-0000-000023870000}"/>
    <cellStyle name="Wrap 2 2 4 6 9 2" xfId="31465" xr:uid="{00000000-0005-0000-0000-000024870000}"/>
    <cellStyle name="Wrap 2 2 4 7" xfId="31466" xr:uid="{00000000-0005-0000-0000-000025870000}"/>
    <cellStyle name="Wrap 2 2 4 7 10" xfId="31467" xr:uid="{00000000-0005-0000-0000-000026870000}"/>
    <cellStyle name="Wrap 2 2 4 7 2" xfId="31468" xr:uid="{00000000-0005-0000-0000-000027870000}"/>
    <cellStyle name="Wrap 2 2 4 7 2 2" xfId="31469" xr:uid="{00000000-0005-0000-0000-000028870000}"/>
    <cellStyle name="Wrap 2 2 4 7 3" xfId="31470" xr:uid="{00000000-0005-0000-0000-000029870000}"/>
    <cellStyle name="Wrap 2 2 4 7 3 2" xfId="31471" xr:uid="{00000000-0005-0000-0000-00002A870000}"/>
    <cellStyle name="Wrap 2 2 4 7 4" xfId="31472" xr:uid="{00000000-0005-0000-0000-00002B870000}"/>
    <cellStyle name="Wrap 2 2 4 7 4 2" xfId="31473" xr:uid="{00000000-0005-0000-0000-00002C870000}"/>
    <cellStyle name="Wrap 2 2 4 7 5" xfId="31474" xr:uid="{00000000-0005-0000-0000-00002D870000}"/>
    <cellStyle name="Wrap 2 2 4 7 5 2" xfId="31475" xr:uid="{00000000-0005-0000-0000-00002E870000}"/>
    <cellStyle name="Wrap 2 2 4 7 6" xfId="31476" xr:uid="{00000000-0005-0000-0000-00002F870000}"/>
    <cellStyle name="Wrap 2 2 4 7 6 2" xfId="31477" xr:uid="{00000000-0005-0000-0000-000030870000}"/>
    <cellStyle name="Wrap 2 2 4 7 7" xfId="31478" xr:uid="{00000000-0005-0000-0000-000031870000}"/>
    <cellStyle name="Wrap 2 2 4 7 7 2" xfId="31479" xr:uid="{00000000-0005-0000-0000-000032870000}"/>
    <cellStyle name="Wrap 2 2 4 7 8" xfId="31480" xr:uid="{00000000-0005-0000-0000-000033870000}"/>
    <cellStyle name="Wrap 2 2 4 7 8 2" xfId="31481" xr:uid="{00000000-0005-0000-0000-000034870000}"/>
    <cellStyle name="Wrap 2 2 4 7 9" xfId="31482" xr:uid="{00000000-0005-0000-0000-000035870000}"/>
    <cellStyle name="Wrap 2 2 4 7 9 2" xfId="31483" xr:uid="{00000000-0005-0000-0000-000036870000}"/>
    <cellStyle name="Wrap 2 2 4 8" xfId="31484" xr:uid="{00000000-0005-0000-0000-000037870000}"/>
    <cellStyle name="Wrap 2 2 4 8 10" xfId="31485" xr:uid="{00000000-0005-0000-0000-000038870000}"/>
    <cellStyle name="Wrap 2 2 4 8 2" xfId="31486" xr:uid="{00000000-0005-0000-0000-000039870000}"/>
    <cellStyle name="Wrap 2 2 4 8 2 2" xfId="31487" xr:uid="{00000000-0005-0000-0000-00003A870000}"/>
    <cellStyle name="Wrap 2 2 4 8 3" xfId="31488" xr:uid="{00000000-0005-0000-0000-00003B870000}"/>
    <cellStyle name="Wrap 2 2 4 8 3 2" xfId="31489" xr:uid="{00000000-0005-0000-0000-00003C870000}"/>
    <cellStyle name="Wrap 2 2 4 8 4" xfId="31490" xr:uid="{00000000-0005-0000-0000-00003D870000}"/>
    <cellStyle name="Wrap 2 2 4 8 4 2" xfId="31491" xr:uid="{00000000-0005-0000-0000-00003E870000}"/>
    <cellStyle name="Wrap 2 2 4 8 5" xfId="31492" xr:uid="{00000000-0005-0000-0000-00003F870000}"/>
    <cellStyle name="Wrap 2 2 4 8 5 2" xfId="31493" xr:uid="{00000000-0005-0000-0000-000040870000}"/>
    <cellStyle name="Wrap 2 2 4 8 6" xfId="31494" xr:uid="{00000000-0005-0000-0000-000041870000}"/>
    <cellStyle name="Wrap 2 2 4 8 6 2" xfId="31495" xr:uid="{00000000-0005-0000-0000-000042870000}"/>
    <cellStyle name="Wrap 2 2 4 8 7" xfId="31496" xr:uid="{00000000-0005-0000-0000-000043870000}"/>
    <cellStyle name="Wrap 2 2 4 8 7 2" xfId="31497" xr:uid="{00000000-0005-0000-0000-000044870000}"/>
    <cellStyle name="Wrap 2 2 4 8 8" xfId="31498" xr:uid="{00000000-0005-0000-0000-000045870000}"/>
    <cellStyle name="Wrap 2 2 4 8 8 2" xfId="31499" xr:uid="{00000000-0005-0000-0000-000046870000}"/>
    <cellStyle name="Wrap 2 2 4 8 9" xfId="31500" xr:uid="{00000000-0005-0000-0000-000047870000}"/>
    <cellStyle name="Wrap 2 2 4 8 9 2" xfId="31501" xr:uid="{00000000-0005-0000-0000-000048870000}"/>
    <cellStyle name="Wrap 2 2 4 9" xfId="31502" xr:uid="{00000000-0005-0000-0000-000049870000}"/>
    <cellStyle name="Wrap 2 2 4 9 10" xfId="31503" xr:uid="{00000000-0005-0000-0000-00004A870000}"/>
    <cellStyle name="Wrap 2 2 4 9 2" xfId="31504" xr:uid="{00000000-0005-0000-0000-00004B870000}"/>
    <cellStyle name="Wrap 2 2 4 9 2 2" xfId="31505" xr:uid="{00000000-0005-0000-0000-00004C870000}"/>
    <cellStyle name="Wrap 2 2 4 9 3" xfId="31506" xr:uid="{00000000-0005-0000-0000-00004D870000}"/>
    <cellStyle name="Wrap 2 2 4 9 3 2" xfId="31507" xr:uid="{00000000-0005-0000-0000-00004E870000}"/>
    <cellStyle name="Wrap 2 2 4 9 4" xfId="31508" xr:uid="{00000000-0005-0000-0000-00004F870000}"/>
    <cellStyle name="Wrap 2 2 4 9 4 2" xfId="31509" xr:uid="{00000000-0005-0000-0000-000050870000}"/>
    <cellStyle name="Wrap 2 2 4 9 5" xfId="31510" xr:uid="{00000000-0005-0000-0000-000051870000}"/>
    <cellStyle name="Wrap 2 2 4 9 5 2" xfId="31511" xr:uid="{00000000-0005-0000-0000-000052870000}"/>
    <cellStyle name="Wrap 2 2 4 9 6" xfId="31512" xr:uid="{00000000-0005-0000-0000-000053870000}"/>
    <cellStyle name="Wrap 2 2 4 9 6 2" xfId="31513" xr:uid="{00000000-0005-0000-0000-000054870000}"/>
    <cellStyle name="Wrap 2 2 4 9 7" xfId="31514" xr:uid="{00000000-0005-0000-0000-000055870000}"/>
    <cellStyle name="Wrap 2 2 4 9 7 2" xfId="31515" xr:uid="{00000000-0005-0000-0000-000056870000}"/>
    <cellStyle name="Wrap 2 2 4 9 8" xfId="31516" xr:uid="{00000000-0005-0000-0000-000057870000}"/>
    <cellStyle name="Wrap 2 2 4 9 8 2" xfId="31517" xr:uid="{00000000-0005-0000-0000-000058870000}"/>
    <cellStyle name="Wrap 2 2 4 9 9" xfId="31518" xr:uid="{00000000-0005-0000-0000-000059870000}"/>
    <cellStyle name="Wrap 2 2 4 9 9 2" xfId="31519" xr:uid="{00000000-0005-0000-0000-00005A870000}"/>
    <cellStyle name="Wrap 2 2 5" xfId="31520" xr:uid="{00000000-0005-0000-0000-00005B870000}"/>
    <cellStyle name="Wrap 2 2 5 10" xfId="31521" xr:uid="{00000000-0005-0000-0000-00005C870000}"/>
    <cellStyle name="Wrap 2 2 5 10 2" xfId="31522" xr:uid="{00000000-0005-0000-0000-00005D870000}"/>
    <cellStyle name="Wrap 2 2 5 10 2 2" xfId="31523" xr:uid="{00000000-0005-0000-0000-00005E870000}"/>
    <cellStyle name="Wrap 2 2 5 10 3" xfId="31524" xr:uid="{00000000-0005-0000-0000-00005F870000}"/>
    <cellStyle name="Wrap 2 2 5 10 3 2" xfId="31525" xr:uid="{00000000-0005-0000-0000-000060870000}"/>
    <cellStyle name="Wrap 2 2 5 10 4" xfId="31526" xr:uid="{00000000-0005-0000-0000-000061870000}"/>
    <cellStyle name="Wrap 2 2 5 10 4 2" xfId="31527" xr:uid="{00000000-0005-0000-0000-000062870000}"/>
    <cellStyle name="Wrap 2 2 5 10 5" xfId="31528" xr:uid="{00000000-0005-0000-0000-000063870000}"/>
    <cellStyle name="Wrap 2 2 5 10 5 2" xfId="31529" xr:uid="{00000000-0005-0000-0000-000064870000}"/>
    <cellStyle name="Wrap 2 2 5 10 6" xfId="31530" xr:uid="{00000000-0005-0000-0000-000065870000}"/>
    <cellStyle name="Wrap 2 2 5 10 6 2" xfId="31531" xr:uid="{00000000-0005-0000-0000-000066870000}"/>
    <cellStyle name="Wrap 2 2 5 10 7" xfId="31532" xr:uid="{00000000-0005-0000-0000-000067870000}"/>
    <cellStyle name="Wrap 2 2 5 10 7 2" xfId="31533" xr:uid="{00000000-0005-0000-0000-000068870000}"/>
    <cellStyle name="Wrap 2 2 5 10 8" xfId="31534" xr:uid="{00000000-0005-0000-0000-000069870000}"/>
    <cellStyle name="Wrap 2 2 5 10 8 2" xfId="31535" xr:uid="{00000000-0005-0000-0000-00006A870000}"/>
    <cellStyle name="Wrap 2 2 5 10 9" xfId="31536" xr:uid="{00000000-0005-0000-0000-00006B870000}"/>
    <cellStyle name="Wrap 2 2 5 11" xfId="31537" xr:uid="{00000000-0005-0000-0000-00006C870000}"/>
    <cellStyle name="Wrap 2 2 5 11 2" xfId="31538" xr:uid="{00000000-0005-0000-0000-00006D870000}"/>
    <cellStyle name="Wrap 2 2 5 12" xfId="31539" xr:uid="{00000000-0005-0000-0000-00006E870000}"/>
    <cellStyle name="Wrap 2 2 5 12 2" xfId="31540" xr:uid="{00000000-0005-0000-0000-00006F870000}"/>
    <cellStyle name="Wrap 2 2 5 13" xfId="31541" xr:uid="{00000000-0005-0000-0000-000070870000}"/>
    <cellStyle name="Wrap 2 2 5 13 2" xfId="31542" xr:uid="{00000000-0005-0000-0000-000071870000}"/>
    <cellStyle name="Wrap 2 2 5 14" xfId="31543" xr:uid="{00000000-0005-0000-0000-000072870000}"/>
    <cellStyle name="Wrap 2 2 5 14 2" xfId="31544" xr:uid="{00000000-0005-0000-0000-000073870000}"/>
    <cellStyle name="Wrap 2 2 5 15" xfId="31545" xr:uid="{00000000-0005-0000-0000-000074870000}"/>
    <cellStyle name="Wrap 2 2 5 15 2" xfId="31546" xr:uid="{00000000-0005-0000-0000-000075870000}"/>
    <cellStyle name="Wrap 2 2 5 16" xfId="31547" xr:uid="{00000000-0005-0000-0000-000076870000}"/>
    <cellStyle name="Wrap 2 2 5 16 2" xfId="31548" xr:uid="{00000000-0005-0000-0000-000077870000}"/>
    <cellStyle name="Wrap 2 2 5 17" xfId="31549" xr:uid="{00000000-0005-0000-0000-000078870000}"/>
    <cellStyle name="Wrap 2 2 5 17 2" xfId="31550" xr:uid="{00000000-0005-0000-0000-000079870000}"/>
    <cellStyle name="Wrap 2 2 5 18" xfId="31551" xr:uid="{00000000-0005-0000-0000-00007A870000}"/>
    <cellStyle name="Wrap 2 2 5 2" xfId="31552" xr:uid="{00000000-0005-0000-0000-00007B870000}"/>
    <cellStyle name="Wrap 2 2 5 2 10" xfId="31553" xr:uid="{00000000-0005-0000-0000-00007C870000}"/>
    <cellStyle name="Wrap 2 2 5 2 2" xfId="31554" xr:uid="{00000000-0005-0000-0000-00007D870000}"/>
    <cellStyle name="Wrap 2 2 5 2 2 2" xfId="31555" xr:uid="{00000000-0005-0000-0000-00007E870000}"/>
    <cellStyle name="Wrap 2 2 5 2 3" xfId="31556" xr:uid="{00000000-0005-0000-0000-00007F870000}"/>
    <cellStyle name="Wrap 2 2 5 2 3 2" xfId="31557" xr:uid="{00000000-0005-0000-0000-000080870000}"/>
    <cellStyle name="Wrap 2 2 5 2 4" xfId="31558" xr:uid="{00000000-0005-0000-0000-000081870000}"/>
    <cellStyle name="Wrap 2 2 5 2 4 2" xfId="31559" xr:uid="{00000000-0005-0000-0000-000082870000}"/>
    <cellStyle name="Wrap 2 2 5 2 5" xfId="31560" xr:uid="{00000000-0005-0000-0000-000083870000}"/>
    <cellStyle name="Wrap 2 2 5 2 5 2" xfId="31561" xr:uid="{00000000-0005-0000-0000-000084870000}"/>
    <cellStyle name="Wrap 2 2 5 2 6" xfId="31562" xr:uid="{00000000-0005-0000-0000-000085870000}"/>
    <cellStyle name="Wrap 2 2 5 2 6 2" xfId="31563" xr:uid="{00000000-0005-0000-0000-000086870000}"/>
    <cellStyle name="Wrap 2 2 5 2 7" xfId="31564" xr:uid="{00000000-0005-0000-0000-000087870000}"/>
    <cellStyle name="Wrap 2 2 5 2 7 2" xfId="31565" xr:uid="{00000000-0005-0000-0000-000088870000}"/>
    <cellStyle name="Wrap 2 2 5 2 8" xfId="31566" xr:uid="{00000000-0005-0000-0000-000089870000}"/>
    <cellStyle name="Wrap 2 2 5 2 8 2" xfId="31567" xr:uid="{00000000-0005-0000-0000-00008A870000}"/>
    <cellStyle name="Wrap 2 2 5 2 9" xfId="31568" xr:uid="{00000000-0005-0000-0000-00008B870000}"/>
    <cellStyle name="Wrap 2 2 5 2 9 2" xfId="31569" xr:uid="{00000000-0005-0000-0000-00008C870000}"/>
    <cellStyle name="Wrap 2 2 5 3" xfId="31570" xr:uid="{00000000-0005-0000-0000-00008D870000}"/>
    <cellStyle name="Wrap 2 2 5 3 10" xfId="31571" xr:uid="{00000000-0005-0000-0000-00008E870000}"/>
    <cellStyle name="Wrap 2 2 5 3 2" xfId="31572" xr:uid="{00000000-0005-0000-0000-00008F870000}"/>
    <cellStyle name="Wrap 2 2 5 3 2 2" xfId="31573" xr:uid="{00000000-0005-0000-0000-000090870000}"/>
    <cellStyle name="Wrap 2 2 5 3 3" xfId="31574" xr:uid="{00000000-0005-0000-0000-000091870000}"/>
    <cellStyle name="Wrap 2 2 5 3 3 2" xfId="31575" xr:uid="{00000000-0005-0000-0000-000092870000}"/>
    <cellStyle name="Wrap 2 2 5 3 4" xfId="31576" xr:uid="{00000000-0005-0000-0000-000093870000}"/>
    <cellStyle name="Wrap 2 2 5 3 4 2" xfId="31577" xr:uid="{00000000-0005-0000-0000-000094870000}"/>
    <cellStyle name="Wrap 2 2 5 3 5" xfId="31578" xr:uid="{00000000-0005-0000-0000-000095870000}"/>
    <cellStyle name="Wrap 2 2 5 3 5 2" xfId="31579" xr:uid="{00000000-0005-0000-0000-000096870000}"/>
    <cellStyle name="Wrap 2 2 5 3 6" xfId="31580" xr:uid="{00000000-0005-0000-0000-000097870000}"/>
    <cellStyle name="Wrap 2 2 5 3 6 2" xfId="31581" xr:uid="{00000000-0005-0000-0000-000098870000}"/>
    <cellStyle name="Wrap 2 2 5 3 7" xfId="31582" xr:uid="{00000000-0005-0000-0000-000099870000}"/>
    <cellStyle name="Wrap 2 2 5 3 7 2" xfId="31583" xr:uid="{00000000-0005-0000-0000-00009A870000}"/>
    <cellStyle name="Wrap 2 2 5 3 8" xfId="31584" xr:uid="{00000000-0005-0000-0000-00009B870000}"/>
    <cellStyle name="Wrap 2 2 5 3 8 2" xfId="31585" xr:uid="{00000000-0005-0000-0000-00009C870000}"/>
    <cellStyle name="Wrap 2 2 5 3 9" xfId="31586" xr:uid="{00000000-0005-0000-0000-00009D870000}"/>
    <cellStyle name="Wrap 2 2 5 3 9 2" xfId="31587" xr:uid="{00000000-0005-0000-0000-00009E870000}"/>
    <cellStyle name="Wrap 2 2 5 4" xfId="31588" xr:uid="{00000000-0005-0000-0000-00009F870000}"/>
    <cellStyle name="Wrap 2 2 5 4 10" xfId="31589" xr:uid="{00000000-0005-0000-0000-0000A0870000}"/>
    <cellStyle name="Wrap 2 2 5 4 2" xfId="31590" xr:uid="{00000000-0005-0000-0000-0000A1870000}"/>
    <cellStyle name="Wrap 2 2 5 4 2 2" xfId="31591" xr:uid="{00000000-0005-0000-0000-0000A2870000}"/>
    <cellStyle name="Wrap 2 2 5 4 3" xfId="31592" xr:uid="{00000000-0005-0000-0000-0000A3870000}"/>
    <cellStyle name="Wrap 2 2 5 4 3 2" xfId="31593" xr:uid="{00000000-0005-0000-0000-0000A4870000}"/>
    <cellStyle name="Wrap 2 2 5 4 4" xfId="31594" xr:uid="{00000000-0005-0000-0000-0000A5870000}"/>
    <cellStyle name="Wrap 2 2 5 4 4 2" xfId="31595" xr:uid="{00000000-0005-0000-0000-0000A6870000}"/>
    <cellStyle name="Wrap 2 2 5 4 5" xfId="31596" xr:uid="{00000000-0005-0000-0000-0000A7870000}"/>
    <cellStyle name="Wrap 2 2 5 4 5 2" xfId="31597" xr:uid="{00000000-0005-0000-0000-0000A8870000}"/>
    <cellStyle name="Wrap 2 2 5 4 6" xfId="31598" xr:uid="{00000000-0005-0000-0000-0000A9870000}"/>
    <cellStyle name="Wrap 2 2 5 4 6 2" xfId="31599" xr:uid="{00000000-0005-0000-0000-0000AA870000}"/>
    <cellStyle name="Wrap 2 2 5 4 7" xfId="31600" xr:uid="{00000000-0005-0000-0000-0000AB870000}"/>
    <cellStyle name="Wrap 2 2 5 4 7 2" xfId="31601" xr:uid="{00000000-0005-0000-0000-0000AC870000}"/>
    <cellStyle name="Wrap 2 2 5 4 8" xfId="31602" xr:uid="{00000000-0005-0000-0000-0000AD870000}"/>
    <cellStyle name="Wrap 2 2 5 4 8 2" xfId="31603" xr:uid="{00000000-0005-0000-0000-0000AE870000}"/>
    <cellStyle name="Wrap 2 2 5 4 9" xfId="31604" xr:uid="{00000000-0005-0000-0000-0000AF870000}"/>
    <cellStyle name="Wrap 2 2 5 4 9 2" xfId="31605" xr:uid="{00000000-0005-0000-0000-0000B0870000}"/>
    <cellStyle name="Wrap 2 2 5 5" xfId="31606" xr:uid="{00000000-0005-0000-0000-0000B1870000}"/>
    <cellStyle name="Wrap 2 2 5 5 10" xfId="31607" xr:uid="{00000000-0005-0000-0000-0000B2870000}"/>
    <cellStyle name="Wrap 2 2 5 5 2" xfId="31608" xr:uid="{00000000-0005-0000-0000-0000B3870000}"/>
    <cellStyle name="Wrap 2 2 5 5 2 2" xfId="31609" xr:uid="{00000000-0005-0000-0000-0000B4870000}"/>
    <cellStyle name="Wrap 2 2 5 5 3" xfId="31610" xr:uid="{00000000-0005-0000-0000-0000B5870000}"/>
    <cellStyle name="Wrap 2 2 5 5 3 2" xfId="31611" xr:uid="{00000000-0005-0000-0000-0000B6870000}"/>
    <cellStyle name="Wrap 2 2 5 5 4" xfId="31612" xr:uid="{00000000-0005-0000-0000-0000B7870000}"/>
    <cellStyle name="Wrap 2 2 5 5 4 2" xfId="31613" xr:uid="{00000000-0005-0000-0000-0000B8870000}"/>
    <cellStyle name="Wrap 2 2 5 5 5" xfId="31614" xr:uid="{00000000-0005-0000-0000-0000B9870000}"/>
    <cellStyle name="Wrap 2 2 5 5 5 2" xfId="31615" xr:uid="{00000000-0005-0000-0000-0000BA870000}"/>
    <cellStyle name="Wrap 2 2 5 5 6" xfId="31616" xr:uid="{00000000-0005-0000-0000-0000BB870000}"/>
    <cellStyle name="Wrap 2 2 5 5 6 2" xfId="31617" xr:uid="{00000000-0005-0000-0000-0000BC870000}"/>
    <cellStyle name="Wrap 2 2 5 5 7" xfId="31618" xr:uid="{00000000-0005-0000-0000-0000BD870000}"/>
    <cellStyle name="Wrap 2 2 5 5 7 2" xfId="31619" xr:uid="{00000000-0005-0000-0000-0000BE870000}"/>
    <cellStyle name="Wrap 2 2 5 5 8" xfId="31620" xr:uid="{00000000-0005-0000-0000-0000BF870000}"/>
    <cellStyle name="Wrap 2 2 5 5 8 2" xfId="31621" xr:uid="{00000000-0005-0000-0000-0000C0870000}"/>
    <cellStyle name="Wrap 2 2 5 5 9" xfId="31622" xr:uid="{00000000-0005-0000-0000-0000C1870000}"/>
    <cellStyle name="Wrap 2 2 5 5 9 2" xfId="31623" xr:uid="{00000000-0005-0000-0000-0000C2870000}"/>
    <cellStyle name="Wrap 2 2 5 6" xfId="31624" xr:uid="{00000000-0005-0000-0000-0000C3870000}"/>
    <cellStyle name="Wrap 2 2 5 6 10" xfId="31625" xr:uid="{00000000-0005-0000-0000-0000C4870000}"/>
    <cellStyle name="Wrap 2 2 5 6 2" xfId="31626" xr:uid="{00000000-0005-0000-0000-0000C5870000}"/>
    <cellStyle name="Wrap 2 2 5 6 2 2" xfId="31627" xr:uid="{00000000-0005-0000-0000-0000C6870000}"/>
    <cellStyle name="Wrap 2 2 5 6 3" xfId="31628" xr:uid="{00000000-0005-0000-0000-0000C7870000}"/>
    <cellStyle name="Wrap 2 2 5 6 3 2" xfId="31629" xr:uid="{00000000-0005-0000-0000-0000C8870000}"/>
    <cellStyle name="Wrap 2 2 5 6 4" xfId="31630" xr:uid="{00000000-0005-0000-0000-0000C9870000}"/>
    <cellStyle name="Wrap 2 2 5 6 4 2" xfId="31631" xr:uid="{00000000-0005-0000-0000-0000CA870000}"/>
    <cellStyle name="Wrap 2 2 5 6 5" xfId="31632" xr:uid="{00000000-0005-0000-0000-0000CB870000}"/>
    <cellStyle name="Wrap 2 2 5 6 5 2" xfId="31633" xr:uid="{00000000-0005-0000-0000-0000CC870000}"/>
    <cellStyle name="Wrap 2 2 5 6 6" xfId="31634" xr:uid="{00000000-0005-0000-0000-0000CD870000}"/>
    <cellStyle name="Wrap 2 2 5 6 6 2" xfId="31635" xr:uid="{00000000-0005-0000-0000-0000CE870000}"/>
    <cellStyle name="Wrap 2 2 5 6 7" xfId="31636" xr:uid="{00000000-0005-0000-0000-0000CF870000}"/>
    <cellStyle name="Wrap 2 2 5 6 7 2" xfId="31637" xr:uid="{00000000-0005-0000-0000-0000D0870000}"/>
    <cellStyle name="Wrap 2 2 5 6 8" xfId="31638" xr:uid="{00000000-0005-0000-0000-0000D1870000}"/>
    <cellStyle name="Wrap 2 2 5 6 8 2" xfId="31639" xr:uid="{00000000-0005-0000-0000-0000D2870000}"/>
    <cellStyle name="Wrap 2 2 5 6 9" xfId="31640" xr:uid="{00000000-0005-0000-0000-0000D3870000}"/>
    <cellStyle name="Wrap 2 2 5 6 9 2" xfId="31641" xr:uid="{00000000-0005-0000-0000-0000D4870000}"/>
    <cellStyle name="Wrap 2 2 5 7" xfId="31642" xr:uid="{00000000-0005-0000-0000-0000D5870000}"/>
    <cellStyle name="Wrap 2 2 5 7 10" xfId="31643" xr:uid="{00000000-0005-0000-0000-0000D6870000}"/>
    <cellStyle name="Wrap 2 2 5 7 2" xfId="31644" xr:uid="{00000000-0005-0000-0000-0000D7870000}"/>
    <cellStyle name="Wrap 2 2 5 7 2 2" xfId="31645" xr:uid="{00000000-0005-0000-0000-0000D8870000}"/>
    <cellStyle name="Wrap 2 2 5 7 3" xfId="31646" xr:uid="{00000000-0005-0000-0000-0000D9870000}"/>
    <cellStyle name="Wrap 2 2 5 7 3 2" xfId="31647" xr:uid="{00000000-0005-0000-0000-0000DA870000}"/>
    <cellStyle name="Wrap 2 2 5 7 4" xfId="31648" xr:uid="{00000000-0005-0000-0000-0000DB870000}"/>
    <cellStyle name="Wrap 2 2 5 7 4 2" xfId="31649" xr:uid="{00000000-0005-0000-0000-0000DC870000}"/>
    <cellStyle name="Wrap 2 2 5 7 5" xfId="31650" xr:uid="{00000000-0005-0000-0000-0000DD870000}"/>
    <cellStyle name="Wrap 2 2 5 7 5 2" xfId="31651" xr:uid="{00000000-0005-0000-0000-0000DE870000}"/>
    <cellStyle name="Wrap 2 2 5 7 6" xfId="31652" xr:uid="{00000000-0005-0000-0000-0000DF870000}"/>
    <cellStyle name="Wrap 2 2 5 7 6 2" xfId="31653" xr:uid="{00000000-0005-0000-0000-0000E0870000}"/>
    <cellStyle name="Wrap 2 2 5 7 7" xfId="31654" xr:uid="{00000000-0005-0000-0000-0000E1870000}"/>
    <cellStyle name="Wrap 2 2 5 7 7 2" xfId="31655" xr:uid="{00000000-0005-0000-0000-0000E2870000}"/>
    <cellStyle name="Wrap 2 2 5 7 8" xfId="31656" xr:uid="{00000000-0005-0000-0000-0000E3870000}"/>
    <cellStyle name="Wrap 2 2 5 7 8 2" xfId="31657" xr:uid="{00000000-0005-0000-0000-0000E4870000}"/>
    <cellStyle name="Wrap 2 2 5 7 9" xfId="31658" xr:uid="{00000000-0005-0000-0000-0000E5870000}"/>
    <cellStyle name="Wrap 2 2 5 7 9 2" xfId="31659" xr:uid="{00000000-0005-0000-0000-0000E6870000}"/>
    <cellStyle name="Wrap 2 2 5 8" xfId="31660" xr:uid="{00000000-0005-0000-0000-0000E7870000}"/>
    <cellStyle name="Wrap 2 2 5 8 10" xfId="31661" xr:uid="{00000000-0005-0000-0000-0000E8870000}"/>
    <cellStyle name="Wrap 2 2 5 8 2" xfId="31662" xr:uid="{00000000-0005-0000-0000-0000E9870000}"/>
    <cellStyle name="Wrap 2 2 5 8 2 2" xfId="31663" xr:uid="{00000000-0005-0000-0000-0000EA870000}"/>
    <cellStyle name="Wrap 2 2 5 8 3" xfId="31664" xr:uid="{00000000-0005-0000-0000-0000EB870000}"/>
    <cellStyle name="Wrap 2 2 5 8 3 2" xfId="31665" xr:uid="{00000000-0005-0000-0000-0000EC870000}"/>
    <cellStyle name="Wrap 2 2 5 8 4" xfId="31666" xr:uid="{00000000-0005-0000-0000-0000ED870000}"/>
    <cellStyle name="Wrap 2 2 5 8 4 2" xfId="31667" xr:uid="{00000000-0005-0000-0000-0000EE870000}"/>
    <cellStyle name="Wrap 2 2 5 8 5" xfId="31668" xr:uid="{00000000-0005-0000-0000-0000EF870000}"/>
    <cellStyle name="Wrap 2 2 5 8 5 2" xfId="31669" xr:uid="{00000000-0005-0000-0000-0000F0870000}"/>
    <cellStyle name="Wrap 2 2 5 8 6" xfId="31670" xr:uid="{00000000-0005-0000-0000-0000F1870000}"/>
    <cellStyle name="Wrap 2 2 5 8 6 2" xfId="31671" xr:uid="{00000000-0005-0000-0000-0000F2870000}"/>
    <cellStyle name="Wrap 2 2 5 8 7" xfId="31672" xr:uid="{00000000-0005-0000-0000-0000F3870000}"/>
    <cellStyle name="Wrap 2 2 5 8 7 2" xfId="31673" xr:uid="{00000000-0005-0000-0000-0000F4870000}"/>
    <cellStyle name="Wrap 2 2 5 8 8" xfId="31674" xr:uid="{00000000-0005-0000-0000-0000F5870000}"/>
    <cellStyle name="Wrap 2 2 5 8 8 2" xfId="31675" xr:uid="{00000000-0005-0000-0000-0000F6870000}"/>
    <cellStyle name="Wrap 2 2 5 8 9" xfId="31676" xr:uid="{00000000-0005-0000-0000-0000F7870000}"/>
    <cellStyle name="Wrap 2 2 5 8 9 2" xfId="31677" xr:uid="{00000000-0005-0000-0000-0000F8870000}"/>
    <cellStyle name="Wrap 2 2 5 9" xfId="31678" xr:uid="{00000000-0005-0000-0000-0000F9870000}"/>
    <cellStyle name="Wrap 2 2 5 9 10" xfId="31679" xr:uid="{00000000-0005-0000-0000-0000FA870000}"/>
    <cellStyle name="Wrap 2 2 5 9 2" xfId="31680" xr:uid="{00000000-0005-0000-0000-0000FB870000}"/>
    <cellStyle name="Wrap 2 2 5 9 2 2" xfId="31681" xr:uid="{00000000-0005-0000-0000-0000FC870000}"/>
    <cellStyle name="Wrap 2 2 5 9 3" xfId="31682" xr:uid="{00000000-0005-0000-0000-0000FD870000}"/>
    <cellStyle name="Wrap 2 2 5 9 3 2" xfId="31683" xr:uid="{00000000-0005-0000-0000-0000FE870000}"/>
    <cellStyle name="Wrap 2 2 5 9 4" xfId="31684" xr:uid="{00000000-0005-0000-0000-0000FF870000}"/>
    <cellStyle name="Wrap 2 2 5 9 4 2" xfId="31685" xr:uid="{00000000-0005-0000-0000-000000880000}"/>
    <cellStyle name="Wrap 2 2 5 9 5" xfId="31686" xr:uid="{00000000-0005-0000-0000-000001880000}"/>
    <cellStyle name="Wrap 2 2 5 9 5 2" xfId="31687" xr:uid="{00000000-0005-0000-0000-000002880000}"/>
    <cellStyle name="Wrap 2 2 5 9 6" xfId="31688" xr:uid="{00000000-0005-0000-0000-000003880000}"/>
    <cellStyle name="Wrap 2 2 5 9 6 2" xfId="31689" xr:uid="{00000000-0005-0000-0000-000004880000}"/>
    <cellStyle name="Wrap 2 2 5 9 7" xfId="31690" xr:uid="{00000000-0005-0000-0000-000005880000}"/>
    <cellStyle name="Wrap 2 2 5 9 7 2" xfId="31691" xr:uid="{00000000-0005-0000-0000-000006880000}"/>
    <cellStyle name="Wrap 2 2 5 9 8" xfId="31692" xr:uid="{00000000-0005-0000-0000-000007880000}"/>
    <cellStyle name="Wrap 2 2 5 9 8 2" xfId="31693" xr:uid="{00000000-0005-0000-0000-000008880000}"/>
    <cellStyle name="Wrap 2 2 5 9 9" xfId="31694" xr:uid="{00000000-0005-0000-0000-000009880000}"/>
    <cellStyle name="Wrap 2 2 5 9 9 2" xfId="31695" xr:uid="{00000000-0005-0000-0000-00000A880000}"/>
    <cellStyle name="Wrap 2 2 6" xfId="31696" xr:uid="{00000000-0005-0000-0000-00000B880000}"/>
    <cellStyle name="Wrap 2 2 6 10" xfId="31697" xr:uid="{00000000-0005-0000-0000-00000C880000}"/>
    <cellStyle name="Wrap 2 2 6 10 2" xfId="31698" xr:uid="{00000000-0005-0000-0000-00000D880000}"/>
    <cellStyle name="Wrap 2 2 6 10 2 2" xfId="31699" xr:uid="{00000000-0005-0000-0000-00000E880000}"/>
    <cellStyle name="Wrap 2 2 6 10 3" xfId="31700" xr:uid="{00000000-0005-0000-0000-00000F880000}"/>
    <cellStyle name="Wrap 2 2 6 10 3 2" xfId="31701" xr:uid="{00000000-0005-0000-0000-000010880000}"/>
    <cellStyle name="Wrap 2 2 6 10 4" xfId="31702" xr:uid="{00000000-0005-0000-0000-000011880000}"/>
    <cellStyle name="Wrap 2 2 6 10 4 2" xfId="31703" xr:uid="{00000000-0005-0000-0000-000012880000}"/>
    <cellStyle name="Wrap 2 2 6 10 5" xfId="31704" xr:uid="{00000000-0005-0000-0000-000013880000}"/>
    <cellStyle name="Wrap 2 2 6 10 5 2" xfId="31705" xr:uid="{00000000-0005-0000-0000-000014880000}"/>
    <cellStyle name="Wrap 2 2 6 10 6" xfId="31706" xr:uid="{00000000-0005-0000-0000-000015880000}"/>
    <cellStyle name="Wrap 2 2 6 10 6 2" xfId="31707" xr:uid="{00000000-0005-0000-0000-000016880000}"/>
    <cellStyle name="Wrap 2 2 6 10 7" xfId="31708" xr:uid="{00000000-0005-0000-0000-000017880000}"/>
    <cellStyle name="Wrap 2 2 6 10 7 2" xfId="31709" xr:uid="{00000000-0005-0000-0000-000018880000}"/>
    <cellStyle name="Wrap 2 2 6 10 8" xfId="31710" xr:uid="{00000000-0005-0000-0000-000019880000}"/>
    <cellStyle name="Wrap 2 2 6 10 8 2" xfId="31711" xr:uid="{00000000-0005-0000-0000-00001A880000}"/>
    <cellStyle name="Wrap 2 2 6 10 9" xfId="31712" xr:uid="{00000000-0005-0000-0000-00001B880000}"/>
    <cellStyle name="Wrap 2 2 6 11" xfId="31713" xr:uid="{00000000-0005-0000-0000-00001C880000}"/>
    <cellStyle name="Wrap 2 2 6 11 2" xfId="31714" xr:uid="{00000000-0005-0000-0000-00001D880000}"/>
    <cellStyle name="Wrap 2 2 6 12" xfId="31715" xr:uid="{00000000-0005-0000-0000-00001E880000}"/>
    <cellStyle name="Wrap 2 2 6 12 2" xfId="31716" xr:uid="{00000000-0005-0000-0000-00001F880000}"/>
    <cellStyle name="Wrap 2 2 6 13" xfId="31717" xr:uid="{00000000-0005-0000-0000-000020880000}"/>
    <cellStyle name="Wrap 2 2 6 13 2" xfId="31718" xr:uid="{00000000-0005-0000-0000-000021880000}"/>
    <cellStyle name="Wrap 2 2 6 14" xfId="31719" xr:uid="{00000000-0005-0000-0000-000022880000}"/>
    <cellStyle name="Wrap 2 2 6 14 2" xfId="31720" xr:uid="{00000000-0005-0000-0000-000023880000}"/>
    <cellStyle name="Wrap 2 2 6 15" xfId="31721" xr:uid="{00000000-0005-0000-0000-000024880000}"/>
    <cellStyle name="Wrap 2 2 6 15 2" xfId="31722" xr:uid="{00000000-0005-0000-0000-000025880000}"/>
    <cellStyle name="Wrap 2 2 6 16" xfId="31723" xr:uid="{00000000-0005-0000-0000-000026880000}"/>
    <cellStyle name="Wrap 2 2 6 16 2" xfId="31724" xr:uid="{00000000-0005-0000-0000-000027880000}"/>
    <cellStyle name="Wrap 2 2 6 17" xfId="31725" xr:uid="{00000000-0005-0000-0000-000028880000}"/>
    <cellStyle name="Wrap 2 2 6 17 2" xfId="31726" xr:uid="{00000000-0005-0000-0000-000029880000}"/>
    <cellStyle name="Wrap 2 2 6 18" xfId="31727" xr:uid="{00000000-0005-0000-0000-00002A880000}"/>
    <cellStyle name="Wrap 2 2 6 2" xfId="31728" xr:uid="{00000000-0005-0000-0000-00002B880000}"/>
    <cellStyle name="Wrap 2 2 6 2 10" xfId="31729" xr:uid="{00000000-0005-0000-0000-00002C880000}"/>
    <cellStyle name="Wrap 2 2 6 2 2" xfId="31730" xr:uid="{00000000-0005-0000-0000-00002D880000}"/>
    <cellStyle name="Wrap 2 2 6 2 2 2" xfId="31731" xr:uid="{00000000-0005-0000-0000-00002E880000}"/>
    <cellStyle name="Wrap 2 2 6 2 3" xfId="31732" xr:uid="{00000000-0005-0000-0000-00002F880000}"/>
    <cellStyle name="Wrap 2 2 6 2 3 2" xfId="31733" xr:uid="{00000000-0005-0000-0000-000030880000}"/>
    <cellStyle name="Wrap 2 2 6 2 4" xfId="31734" xr:uid="{00000000-0005-0000-0000-000031880000}"/>
    <cellStyle name="Wrap 2 2 6 2 4 2" xfId="31735" xr:uid="{00000000-0005-0000-0000-000032880000}"/>
    <cellStyle name="Wrap 2 2 6 2 5" xfId="31736" xr:uid="{00000000-0005-0000-0000-000033880000}"/>
    <cellStyle name="Wrap 2 2 6 2 5 2" xfId="31737" xr:uid="{00000000-0005-0000-0000-000034880000}"/>
    <cellStyle name="Wrap 2 2 6 2 6" xfId="31738" xr:uid="{00000000-0005-0000-0000-000035880000}"/>
    <cellStyle name="Wrap 2 2 6 2 6 2" xfId="31739" xr:uid="{00000000-0005-0000-0000-000036880000}"/>
    <cellStyle name="Wrap 2 2 6 2 7" xfId="31740" xr:uid="{00000000-0005-0000-0000-000037880000}"/>
    <cellStyle name="Wrap 2 2 6 2 7 2" xfId="31741" xr:uid="{00000000-0005-0000-0000-000038880000}"/>
    <cellStyle name="Wrap 2 2 6 2 8" xfId="31742" xr:uid="{00000000-0005-0000-0000-000039880000}"/>
    <cellStyle name="Wrap 2 2 6 2 8 2" xfId="31743" xr:uid="{00000000-0005-0000-0000-00003A880000}"/>
    <cellStyle name="Wrap 2 2 6 2 9" xfId="31744" xr:uid="{00000000-0005-0000-0000-00003B880000}"/>
    <cellStyle name="Wrap 2 2 6 2 9 2" xfId="31745" xr:uid="{00000000-0005-0000-0000-00003C880000}"/>
    <cellStyle name="Wrap 2 2 6 3" xfId="31746" xr:uid="{00000000-0005-0000-0000-00003D880000}"/>
    <cellStyle name="Wrap 2 2 6 3 10" xfId="31747" xr:uid="{00000000-0005-0000-0000-00003E880000}"/>
    <cellStyle name="Wrap 2 2 6 3 2" xfId="31748" xr:uid="{00000000-0005-0000-0000-00003F880000}"/>
    <cellStyle name="Wrap 2 2 6 3 2 2" xfId="31749" xr:uid="{00000000-0005-0000-0000-000040880000}"/>
    <cellStyle name="Wrap 2 2 6 3 3" xfId="31750" xr:uid="{00000000-0005-0000-0000-000041880000}"/>
    <cellStyle name="Wrap 2 2 6 3 3 2" xfId="31751" xr:uid="{00000000-0005-0000-0000-000042880000}"/>
    <cellStyle name="Wrap 2 2 6 3 4" xfId="31752" xr:uid="{00000000-0005-0000-0000-000043880000}"/>
    <cellStyle name="Wrap 2 2 6 3 4 2" xfId="31753" xr:uid="{00000000-0005-0000-0000-000044880000}"/>
    <cellStyle name="Wrap 2 2 6 3 5" xfId="31754" xr:uid="{00000000-0005-0000-0000-000045880000}"/>
    <cellStyle name="Wrap 2 2 6 3 5 2" xfId="31755" xr:uid="{00000000-0005-0000-0000-000046880000}"/>
    <cellStyle name="Wrap 2 2 6 3 6" xfId="31756" xr:uid="{00000000-0005-0000-0000-000047880000}"/>
    <cellStyle name="Wrap 2 2 6 3 6 2" xfId="31757" xr:uid="{00000000-0005-0000-0000-000048880000}"/>
    <cellStyle name="Wrap 2 2 6 3 7" xfId="31758" xr:uid="{00000000-0005-0000-0000-000049880000}"/>
    <cellStyle name="Wrap 2 2 6 3 7 2" xfId="31759" xr:uid="{00000000-0005-0000-0000-00004A880000}"/>
    <cellStyle name="Wrap 2 2 6 3 8" xfId="31760" xr:uid="{00000000-0005-0000-0000-00004B880000}"/>
    <cellStyle name="Wrap 2 2 6 3 8 2" xfId="31761" xr:uid="{00000000-0005-0000-0000-00004C880000}"/>
    <cellStyle name="Wrap 2 2 6 3 9" xfId="31762" xr:uid="{00000000-0005-0000-0000-00004D880000}"/>
    <cellStyle name="Wrap 2 2 6 3 9 2" xfId="31763" xr:uid="{00000000-0005-0000-0000-00004E880000}"/>
    <cellStyle name="Wrap 2 2 6 4" xfId="31764" xr:uid="{00000000-0005-0000-0000-00004F880000}"/>
    <cellStyle name="Wrap 2 2 6 4 10" xfId="31765" xr:uid="{00000000-0005-0000-0000-000050880000}"/>
    <cellStyle name="Wrap 2 2 6 4 2" xfId="31766" xr:uid="{00000000-0005-0000-0000-000051880000}"/>
    <cellStyle name="Wrap 2 2 6 4 2 2" xfId="31767" xr:uid="{00000000-0005-0000-0000-000052880000}"/>
    <cellStyle name="Wrap 2 2 6 4 3" xfId="31768" xr:uid="{00000000-0005-0000-0000-000053880000}"/>
    <cellStyle name="Wrap 2 2 6 4 3 2" xfId="31769" xr:uid="{00000000-0005-0000-0000-000054880000}"/>
    <cellStyle name="Wrap 2 2 6 4 4" xfId="31770" xr:uid="{00000000-0005-0000-0000-000055880000}"/>
    <cellStyle name="Wrap 2 2 6 4 4 2" xfId="31771" xr:uid="{00000000-0005-0000-0000-000056880000}"/>
    <cellStyle name="Wrap 2 2 6 4 5" xfId="31772" xr:uid="{00000000-0005-0000-0000-000057880000}"/>
    <cellStyle name="Wrap 2 2 6 4 5 2" xfId="31773" xr:uid="{00000000-0005-0000-0000-000058880000}"/>
    <cellStyle name="Wrap 2 2 6 4 6" xfId="31774" xr:uid="{00000000-0005-0000-0000-000059880000}"/>
    <cellStyle name="Wrap 2 2 6 4 6 2" xfId="31775" xr:uid="{00000000-0005-0000-0000-00005A880000}"/>
    <cellStyle name="Wrap 2 2 6 4 7" xfId="31776" xr:uid="{00000000-0005-0000-0000-00005B880000}"/>
    <cellStyle name="Wrap 2 2 6 4 7 2" xfId="31777" xr:uid="{00000000-0005-0000-0000-00005C880000}"/>
    <cellStyle name="Wrap 2 2 6 4 8" xfId="31778" xr:uid="{00000000-0005-0000-0000-00005D880000}"/>
    <cellStyle name="Wrap 2 2 6 4 8 2" xfId="31779" xr:uid="{00000000-0005-0000-0000-00005E880000}"/>
    <cellStyle name="Wrap 2 2 6 4 9" xfId="31780" xr:uid="{00000000-0005-0000-0000-00005F880000}"/>
    <cellStyle name="Wrap 2 2 6 4 9 2" xfId="31781" xr:uid="{00000000-0005-0000-0000-000060880000}"/>
    <cellStyle name="Wrap 2 2 6 5" xfId="31782" xr:uid="{00000000-0005-0000-0000-000061880000}"/>
    <cellStyle name="Wrap 2 2 6 5 10" xfId="31783" xr:uid="{00000000-0005-0000-0000-000062880000}"/>
    <cellStyle name="Wrap 2 2 6 5 2" xfId="31784" xr:uid="{00000000-0005-0000-0000-000063880000}"/>
    <cellStyle name="Wrap 2 2 6 5 2 2" xfId="31785" xr:uid="{00000000-0005-0000-0000-000064880000}"/>
    <cellStyle name="Wrap 2 2 6 5 3" xfId="31786" xr:uid="{00000000-0005-0000-0000-000065880000}"/>
    <cellStyle name="Wrap 2 2 6 5 3 2" xfId="31787" xr:uid="{00000000-0005-0000-0000-000066880000}"/>
    <cellStyle name="Wrap 2 2 6 5 4" xfId="31788" xr:uid="{00000000-0005-0000-0000-000067880000}"/>
    <cellStyle name="Wrap 2 2 6 5 4 2" xfId="31789" xr:uid="{00000000-0005-0000-0000-000068880000}"/>
    <cellStyle name="Wrap 2 2 6 5 5" xfId="31790" xr:uid="{00000000-0005-0000-0000-000069880000}"/>
    <cellStyle name="Wrap 2 2 6 5 5 2" xfId="31791" xr:uid="{00000000-0005-0000-0000-00006A880000}"/>
    <cellStyle name="Wrap 2 2 6 5 6" xfId="31792" xr:uid="{00000000-0005-0000-0000-00006B880000}"/>
    <cellStyle name="Wrap 2 2 6 5 6 2" xfId="31793" xr:uid="{00000000-0005-0000-0000-00006C880000}"/>
    <cellStyle name="Wrap 2 2 6 5 7" xfId="31794" xr:uid="{00000000-0005-0000-0000-00006D880000}"/>
    <cellStyle name="Wrap 2 2 6 5 7 2" xfId="31795" xr:uid="{00000000-0005-0000-0000-00006E880000}"/>
    <cellStyle name="Wrap 2 2 6 5 8" xfId="31796" xr:uid="{00000000-0005-0000-0000-00006F880000}"/>
    <cellStyle name="Wrap 2 2 6 5 8 2" xfId="31797" xr:uid="{00000000-0005-0000-0000-000070880000}"/>
    <cellStyle name="Wrap 2 2 6 5 9" xfId="31798" xr:uid="{00000000-0005-0000-0000-000071880000}"/>
    <cellStyle name="Wrap 2 2 6 5 9 2" xfId="31799" xr:uid="{00000000-0005-0000-0000-000072880000}"/>
    <cellStyle name="Wrap 2 2 6 6" xfId="31800" xr:uid="{00000000-0005-0000-0000-000073880000}"/>
    <cellStyle name="Wrap 2 2 6 6 10" xfId="31801" xr:uid="{00000000-0005-0000-0000-000074880000}"/>
    <cellStyle name="Wrap 2 2 6 6 2" xfId="31802" xr:uid="{00000000-0005-0000-0000-000075880000}"/>
    <cellStyle name="Wrap 2 2 6 6 2 2" xfId="31803" xr:uid="{00000000-0005-0000-0000-000076880000}"/>
    <cellStyle name="Wrap 2 2 6 6 3" xfId="31804" xr:uid="{00000000-0005-0000-0000-000077880000}"/>
    <cellStyle name="Wrap 2 2 6 6 3 2" xfId="31805" xr:uid="{00000000-0005-0000-0000-000078880000}"/>
    <cellStyle name="Wrap 2 2 6 6 4" xfId="31806" xr:uid="{00000000-0005-0000-0000-000079880000}"/>
    <cellStyle name="Wrap 2 2 6 6 4 2" xfId="31807" xr:uid="{00000000-0005-0000-0000-00007A880000}"/>
    <cellStyle name="Wrap 2 2 6 6 5" xfId="31808" xr:uid="{00000000-0005-0000-0000-00007B880000}"/>
    <cellStyle name="Wrap 2 2 6 6 5 2" xfId="31809" xr:uid="{00000000-0005-0000-0000-00007C880000}"/>
    <cellStyle name="Wrap 2 2 6 6 6" xfId="31810" xr:uid="{00000000-0005-0000-0000-00007D880000}"/>
    <cellStyle name="Wrap 2 2 6 6 6 2" xfId="31811" xr:uid="{00000000-0005-0000-0000-00007E880000}"/>
    <cellStyle name="Wrap 2 2 6 6 7" xfId="31812" xr:uid="{00000000-0005-0000-0000-00007F880000}"/>
    <cellStyle name="Wrap 2 2 6 6 7 2" xfId="31813" xr:uid="{00000000-0005-0000-0000-000080880000}"/>
    <cellStyle name="Wrap 2 2 6 6 8" xfId="31814" xr:uid="{00000000-0005-0000-0000-000081880000}"/>
    <cellStyle name="Wrap 2 2 6 6 8 2" xfId="31815" xr:uid="{00000000-0005-0000-0000-000082880000}"/>
    <cellStyle name="Wrap 2 2 6 6 9" xfId="31816" xr:uid="{00000000-0005-0000-0000-000083880000}"/>
    <cellStyle name="Wrap 2 2 6 6 9 2" xfId="31817" xr:uid="{00000000-0005-0000-0000-000084880000}"/>
    <cellStyle name="Wrap 2 2 6 7" xfId="31818" xr:uid="{00000000-0005-0000-0000-000085880000}"/>
    <cellStyle name="Wrap 2 2 6 7 10" xfId="31819" xr:uid="{00000000-0005-0000-0000-000086880000}"/>
    <cellStyle name="Wrap 2 2 6 7 2" xfId="31820" xr:uid="{00000000-0005-0000-0000-000087880000}"/>
    <cellStyle name="Wrap 2 2 6 7 2 2" xfId="31821" xr:uid="{00000000-0005-0000-0000-000088880000}"/>
    <cellStyle name="Wrap 2 2 6 7 3" xfId="31822" xr:uid="{00000000-0005-0000-0000-000089880000}"/>
    <cellStyle name="Wrap 2 2 6 7 3 2" xfId="31823" xr:uid="{00000000-0005-0000-0000-00008A880000}"/>
    <cellStyle name="Wrap 2 2 6 7 4" xfId="31824" xr:uid="{00000000-0005-0000-0000-00008B880000}"/>
    <cellStyle name="Wrap 2 2 6 7 4 2" xfId="31825" xr:uid="{00000000-0005-0000-0000-00008C880000}"/>
    <cellStyle name="Wrap 2 2 6 7 5" xfId="31826" xr:uid="{00000000-0005-0000-0000-00008D880000}"/>
    <cellStyle name="Wrap 2 2 6 7 5 2" xfId="31827" xr:uid="{00000000-0005-0000-0000-00008E880000}"/>
    <cellStyle name="Wrap 2 2 6 7 6" xfId="31828" xr:uid="{00000000-0005-0000-0000-00008F880000}"/>
    <cellStyle name="Wrap 2 2 6 7 6 2" xfId="31829" xr:uid="{00000000-0005-0000-0000-000090880000}"/>
    <cellStyle name="Wrap 2 2 6 7 7" xfId="31830" xr:uid="{00000000-0005-0000-0000-000091880000}"/>
    <cellStyle name="Wrap 2 2 6 7 7 2" xfId="31831" xr:uid="{00000000-0005-0000-0000-000092880000}"/>
    <cellStyle name="Wrap 2 2 6 7 8" xfId="31832" xr:uid="{00000000-0005-0000-0000-000093880000}"/>
    <cellStyle name="Wrap 2 2 6 7 8 2" xfId="31833" xr:uid="{00000000-0005-0000-0000-000094880000}"/>
    <cellStyle name="Wrap 2 2 6 7 9" xfId="31834" xr:uid="{00000000-0005-0000-0000-000095880000}"/>
    <cellStyle name="Wrap 2 2 6 7 9 2" xfId="31835" xr:uid="{00000000-0005-0000-0000-000096880000}"/>
    <cellStyle name="Wrap 2 2 6 8" xfId="31836" xr:uid="{00000000-0005-0000-0000-000097880000}"/>
    <cellStyle name="Wrap 2 2 6 8 10" xfId="31837" xr:uid="{00000000-0005-0000-0000-000098880000}"/>
    <cellStyle name="Wrap 2 2 6 8 2" xfId="31838" xr:uid="{00000000-0005-0000-0000-000099880000}"/>
    <cellStyle name="Wrap 2 2 6 8 2 2" xfId="31839" xr:uid="{00000000-0005-0000-0000-00009A880000}"/>
    <cellStyle name="Wrap 2 2 6 8 3" xfId="31840" xr:uid="{00000000-0005-0000-0000-00009B880000}"/>
    <cellStyle name="Wrap 2 2 6 8 3 2" xfId="31841" xr:uid="{00000000-0005-0000-0000-00009C880000}"/>
    <cellStyle name="Wrap 2 2 6 8 4" xfId="31842" xr:uid="{00000000-0005-0000-0000-00009D880000}"/>
    <cellStyle name="Wrap 2 2 6 8 4 2" xfId="31843" xr:uid="{00000000-0005-0000-0000-00009E880000}"/>
    <cellStyle name="Wrap 2 2 6 8 5" xfId="31844" xr:uid="{00000000-0005-0000-0000-00009F880000}"/>
    <cellStyle name="Wrap 2 2 6 8 5 2" xfId="31845" xr:uid="{00000000-0005-0000-0000-0000A0880000}"/>
    <cellStyle name="Wrap 2 2 6 8 6" xfId="31846" xr:uid="{00000000-0005-0000-0000-0000A1880000}"/>
    <cellStyle name="Wrap 2 2 6 8 6 2" xfId="31847" xr:uid="{00000000-0005-0000-0000-0000A2880000}"/>
    <cellStyle name="Wrap 2 2 6 8 7" xfId="31848" xr:uid="{00000000-0005-0000-0000-0000A3880000}"/>
    <cellStyle name="Wrap 2 2 6 8 7 2" xfId="31849" xr:uid="{00000000-0005-0000-0000-0000A4880000}"/>
    <cellStyle name="Wrap 2 2 6 8 8" xfId="31850" xr:uid="{00000000-0005-0000-0000-0000A5880000}"/>
    <cellStyle name="Wrap 2 2 6 8 8 2" xfId="31851" xr:uid="{00000000-0005-0000-0000-0000A6880000}"/>
    <cellStyle name="Wrap 2 2 6 8 9" xfId="31852" xr:uid="{00000000-0005-0000-0000-0000A7880000}"/>
    <cellStyle name="Wrap 2 2 6 8 9 2" xfId="31853" xr:uid="{00000000-0005-0000-0000-0000A8880000}"/>
    <cellStyle name="Wrap 2 2 6 9" xfId="31854" xr:uid="{00000000-0005-0000-0000-0000A9880000}"/>
    <cellStyle name="Wrap 2 2 6 9 10" xfId="31855" xr:uid="{00000000-0005-0000-0000-0000AA880000}"/>
    <cellStyle name="Wrap 2 2 6 9 2" xfId="31856" xr:uid="{00000000-0005-0000-0000-0000AB880000}"/>
    <cellStyle name="Wrap 2 2 6 9 2 2" xfId="31857" xr:uid="{00000000-0005-0000-0000-0000AC880000}"/>
    <cellStyle name="Wrap 2 2 6 9 3" xfId="31858" xr:uid="{00000000-0005-0000-0000-0000AD880000}"/>
    <cellStyle name="Wrap 2 2 6 9 3 2" xfId="31859" xr:uid="{00000000-0005-0000-0000-0000AE880000}"/>
    <cellStyle name="Wrap 2 2 6 9 4" xfId="31860" xr:uid="{00000000-0005-0000-0000-0000AF880000}"/>
    <cellStyle name="Wrap 2 2 6 9 4 2" xfId="31861" xr:uid="{00000000-0005-0000-0000-0000B0880000}"/>
    <cellStyle name="Wrap 2 2 6 9 5" xfId="31862" xr:uid="{00000000-0005-0000-0000-0000B1880000}"/>
    <cellStyle name="Wrap 2 2 6 9 5 2" xfId="31863" xr:uid="{00000000-0005-0000-0000-0000B2880000}"/>
    <cellStyle name="Wrap 2 2 6 9 6" xfId="31864" xr:uid="{00000000-0005-0000-0000-0000B3880000}"/>
    <cellStyle name="Wrap 2 2 6 9 6 2" xfId="31865" xr:uid="{00000000-0005-0000-0000-0000B4880000}"/>
    <cellStyle name="Wrap 2 2 6 9 7" xfId="31866" xr:uid="{00000000-0005-0000-0000-0000B5880000}"/>
    <cellStyle name="Wrap 2 2 6 9 7 2" xfId="31867" xr:uid="{00000000-0005-0000-0000-0000B6880000}"/>
    <cellStyle name="Wrap 2 2 6 9 8" xfId="31868" xr:uid="{00000000-0005-0000-0000-0000B7880000}"/>
    <cellStyle name="Wrap 2 2 6 9 8 2" xfId="31869" xr:uid="{00000000-0005-0000-0000-0000B8880000}"/>
    <cellStyle name="Wrap 2 2 6 9 9" xfId="31870" xr:uid="{00000000-0005-0000-0000-0000B9880000}"/>
    <cellStyle name="Wrap 2 2 6 9 9 2" xfId="31871" xr:uid="{00000000-0005-0000-0000-0000BA880000}"/>
    <cellStyle name="Wrap 2 2 7" xfId="31872" xr:uid="{00000000-0005-0000-0000-0000BB880000}"/>
    <cellStyle name="Wrap 2 2 7 10" xfId="31873" xr:uid="{00000000-0005-0000-0000-0000BC880000}"/>
    <cellStyle name="Wrap 2 2 7 10 2" xfId="31874" xr:uid="{00000000-0005-0000-0000-0000BD880000}"/>
    <cellStyle name="Wrap 2 2 7 10 2 2" xfId="31875" xr:uid="{00000000-0005-0000-0000-0000BE880000}"/>
    <cellStyle name="Wrap 2 2 7 10 3" xfId="31876" xr:uid="{00000000-0005-0000-0000-0000BF880000}"/>
    <cellStyle name="Wrap 2 2 7 10 3 2" xfId="31877" xr:uid="{00000000-0005-0000-0000-0000C0880000}"/>
    <cellStyle name="Wrap 2 2 7 10 4" xfId="31878" xr:uid="{00000000-0005-0000-0000-0000C1880000}"/>
    <cellStyle name="Wrap 2 2 7 10 4 2" xfId="31879" xr:uid="{00000000-0005-0000-0000-0000C2880000}"/>
    <cellStyle name="Wrap 2 2 7 10 5" xfId="31880" xr:uid="{00000000-0005-0000-0000-0000C3880000}"/>
    <cellStyle name="Wrap 2 2 7 10 5 2" xfId="31881" xr:uid="{00000000-0005-0000-0000-0000C4880000}"/>
    <cellStyle name="Wrap 2 2 7 10 6" xfId="31882" xr:uid="{00000000-0005-0000-0000-0000C5880000}"/>
    <cellStyle name="Wrap 2 2 7 10 6 2" xfId="31883" xr:uid="{00000000-0005-0000-0000-0000C6880000}"/>
    <cellStyle name="Wrap 2 2 7 10 7" xfId="31884" xr:uid="{00000000-0005-0000-0000-0000C7880000}"/>
    <cellStyle name="Wrap 2 2 7 10 7 2" xfId="31885" xr:uid="{00000000-0005-0000-0000-0000C8880000}"/>
    <cellStyle name="Wrap 2 2 7 10 8" xfId="31886" xr:uid="{00000000-0005-0000-0000-0000C9880000}"/>
    <cellStyle name="Wrap 2 2 7 10 8 2" xfId="31887" xr:uid="{00000000-0005-0000-0000-0000CA880000}"/>
    <cellStyle name="Wrap 2 2 7 10 9" xfId="31888" xr:uid="{00000000-0005-0000-0000-0000CB880000}"/>
    <cellStyle name="Wrap 2 2 7 11" xfId="31889" xr:uid="{00000000-0005-0000-0000-0000CC880000}"/>
    <cellStyle name="Wrap 2 2 7 11 2" xfId="31890" xr:uid="{00000000-0005-0000-0000-0000CD880000}"/>
    <cellStyle name="Wrap 2 2 7 12" xfId="31891" xr:uid="{00000000-0005-0000-0000-0000CE880000}"/>
    <cellStyle name="Wrap 2 2 7 12 2" xfId="31892" xr:uid="{00000000-0005-0000-0000-0000CF880000}"/>
    <cellStyle name="Wrap 2 2 7 13" xfId="31893" xr:uid="{00000000-0005-0000-0000-0000D0880000}"/>
    <cellStyle name="Wrap 2 2 7 13 2" xfId="31894" xr:uid="{00000000-0005-0000-0000-0000D1880000}"/>
    <cellStyle name="Wrap 2 2 7 14" xfId="31895" xr:uid="{00000000-0005-0000-0000-0000D2880000}"/>
    <cellStyle name="Wrap 2 2 7 14 2" xfId="31896" xr:uid="{00000000-0005-0000-0000-0000D3880000}"/>
    <cellStyle name="Wrap 2 2 7 15" xfId="31897" xr:uid="{00000000-0005-0000-0000-0000D4880000}"/>
    <cellStyle name="Wrap 2 2 7 15 2" xfId="31898" xr:uid="{00000000-0005-0000-0000-0000D5880000}"/>
    <cellStyle name="Wrap 2 2 7 16" xfId="31899" xr:uid="{00000000-0005-0000-0000-0000D6880000}"/>
    <cellStyle name="Wrap 2 2 7 16 2" xfId="31900" xr:uid="{00000000-0005-0000-0000-0000D7880000}"/>
    <cellStyle name="Wrap 2 2 7 17" xfId="31901" xr:uid="{00000000-0005-0000-0000-0000D8880000}"/>
    <cellStyle name="Wrap 2 2 7 17 2" xfId="31902" xr:uid="{00000000-0005-0000-0000-0000D9880000}"/>
    <cellStyle name="Wrap 2 2 7 18" xfId="31903" xr:uid="{00000000-0005-0000-0000-0000DA880000}"/>
    <cellStyle name="Wrap 2 2 7 2" xfId="31904" xr:uid="{00000000-0005-0000-0000-0000DB880000}"/>
    <cellStyle name="Wrap 2 2 7 2 10" xfId="31905" xr:uid="{00000000-0005-0000-0000-0000DC880000}"/>
    <cellStyle name="Wrap 2 2 7 2 2" xfId="31906" xr:uid="{00000000-0005-0000-0000-0000DD880000}"/>
    <cellStyle name="Wrap 2 2 7 2 2 2" xfId="31907" xr:uid="{00000000-0005-0000-0000-0000DE880000}"/>
    <cellStyle name="Wrap 2 2 7 2 3" xfId="31908" xr:uid="{00000000-0005-0000-0000-0000DF880000}"/>
    <cellStyle name="Wrap 2 2 7 2 3 2" xfId="31909" xr:uid="{00000000-0005-0000-0000-0000E0880000}"/>
    <cellStyle name="Wrap 2 2 7 2 4" xfId="31910" xr:uid="{00000000-0005-0000-0000-0000E1880000}"/>
    <cellStyle name="Wrap 2 2 7 2 4 2" xfId="31911" xr:uid="{00000000-0005-0000-0000-0000E2880000}"/>
    <cellStyle name="Wrap 2 2 7 2 5" xfId="31912" xr:uid="{00000000-0005-0000-0000-0000E3880000}"/>
    <cellStyle name="Wrap 2 2 7 2 5 2" xfId="31913" xr:uid="{00000000-0005-0000-0000-0000E4880000}"/>
    <cellStyle name="Wrap 2 2 7 2 6" xfId="31914" xr:uid="{00000000-0005-0000-0000-0000E5880000}"/>
    <cellStyle name="Wrap 2 2 7 2 6 2" xfId="31915" xr:uid="{00000000-0005-0000-0000-0000E6880000}"/>
    <cellStyle name="Wrap 2 2 7 2 7" xfId="31916" xr:uid="{00000000-0005-0000-0000-0000E7880000}"/>
    <cellStyle name="Wrap 2 2 7 2 7 2" xfId="31917" xr:uid="{00000000-0005-0000-0000-0000E8880000}"/>
    <cellStyle name="Wrap 2 2 7 2 8" xfId="31918" xr:uid="{00000000-0005-0000-0000-0000E9880000}"/>
    <cellStyle name="Wrap 2 2 7 2 8 2" xfId="31919" xr:uid="{00000000-0005-0000-0000-0000EA880000}"/>
    <cellStyle name="Wrap 2 2 7 2 9" xfId="31920" xr:uid="{00000000-0005-0000-0000-0000EB880000}"/>
    <cellStyle name="Wrap 2 2 7 2 9 2" xfId="31921" xr:uid="{00000000-0005-0000-0000-0000EC880000}"/>
    <cellStyle name="Wrap 2 2 7 3" xfId="31922" xr:uid="{00000000-0005-0000-0000-0000ED880000}"/>
    <cellStyle name="Wrap 2 2 7 3 10" xfId="31923" xr:uid="{00000000-0005-0000-0000-0000EE880000}"/>
    <cellStyle name="Wrap 2 2 7 3 2" xfId="31924" xr:uid="{00000000-0005-0000-0000-0000EF880000}"/>
    <cellStyle name="Wrap 2 2 7 3 2 2" xfId="31925" xr:uid="{00000000-0005-0000-0000-0000F0880000}"/>
    <cellStyle name="Wrap 2 2 7 3 3" xfId="31926" xr:uid="{00000000-0005-0000-0000-0000F1880000}"/>
    <cellStyle name="Wrap 2 2 7 3 3 2" xfId="31927" xr:uid="{00000000-0005-0000-0000-0000F2880000}"/>
    <cellStyle name="Wrap 2 2 7 3 4" xfId="31928" xr:uid="{00000000-0005-0000-0000-0000F3880000}"/>
    <cellStyle name="Wrap 2 2 7 3 4 2" xfId="31929" xr:uid="{00000000-0005-0000-0000-0000F4880000}"/>
    <cellStyle name="Wrap 2 2 7 3 5" xfId="31930" xr:uid="{00000000-0005-0000-0000-0000F5880000}"/>
    <cellStyle name="Wrap 2 2 7 3 5 2" xfId="31931" xr:uid="{00000000-0005-0000-0000-0000F6880000}"/>
    <cellStyle name="Wrap 2 2 7 3 6" xfId="31932" xr:uid="{00000000-0005-0000-0000-0000F7880000}"/>
    <cellStyle name="Wrap 2 2 7 3 6 2" xfId="31933" xr:uid="{00000000-0005-0000-0000-0000F8880000}"/>
    <cellStyle name="Wrap 2 2 7 3 7" xfId="31934" xr:uid="{00000000-0005-0000-0000-0000F9880000}"/>
    <cellStyle name="Wrap 2 2 7 3 7 2" xfId="31935" xr:uid="{00000000-0005-0000-0000-0000FA880000}"/>
    <cellStyle name="Wrap 2 2 7 3 8" xfId="31936" xr:uid="{00000000-0005-0000-0000-0000FB880000}"/>
    <cellStyle name="Wrap 2 2 7 3 8 2" xfId="31937" xr:uid="{00000000-0005-0000-0000-0000FC880000}"/>
    <cellStyle name="Wrap 2 2 7 3 9" xfId="31938" xr:uid="{00000000-0005-0000-0000-0000FD880000}"/>
    <cellStyle name="Wrap 2 2 7 3 9 2" xfId="31939" xr:uid="{00000000-0005-0000-0000-0000FE880000}"/>
    <cellStyle name="Wrap 2 2 7 4" xfId="31940" xr:uid="{00000000-0005-0000-0000-0000FF880000}"/>
    <cellStyle name="Wrap 2 2 7 4 10" xfId="31941" xr:uid="{00000000-0005-0000-0000-000000890000}"/>
    <cellStyle name="Wrap 2 2 7 4 2" xfId="31942" xr:uid="{00000000-0005-0000-0000-000001890000}"/>
    <cellStyle name="Wrap 2 2 7 4 2 2" xfId="31943" xr:uid="{00000000-0005-0000-0000-000002890000}"/>
    <cellStyle name="Wrap 2 2 7 4 3" xfId="31944" xr:uid="{00000000-0005-0000-0000-000003890000}"/>
    <cellStyle name="Wrap 2 2 7 4 3 2" xfId="31945" xr:uid="{00000000-0005-0000-0000-000004890000}"/>
    <cellStyle name="Wrap 2 2 7 4 4" xfId="31946" xr:uid="{00000000-0005-0000-0000-000005890000}"/>
    <cellStyle name="Wrap 2 2 7 4 4 2" xfId="31947" xr:uid="{00000000-0005-0000-0000-000006890000}"/>
    <cellStyle name="Wrap 2 2 7 4 5" xfId="31948" xr:uid="{00000000-0005-0000-0000-000007890000}"/>
    <cellStyle name="Wrap 2 2 7 4 5 2" xfId="31949" xr:uid="{00000000-0005-0000-0000-000008890000}"/>
    <cellStyle name="Wrap 2 2 7 4 6" xfId="31950" xr:uid="{00000000-0005-0000-0000-000009890000}"/>
    <cellStyle name="Wrap 2 2 7 4 6 2" xfId="31951" xr:uid="{00000000-0005-0000-0000-00000A890000}"/>
    <cellStyle name="Wrap 2 2 7 4 7" xfId="31952" xr:uid="{00000000-0005-0000-0000-00000B890000}"/>
    <cellStyle name="Wrap 2 2 7 4 7 2" xfId="31953" xr:uid="{00000000-0005-0000-0000-00000C890000}"/>
    <cellStyle name="Wrap 2 2 7 4 8" xfId="31954" xr:uid="{00000000-0005-0000-0000-00000D890000}"/>
    <cellStyle name="Wrap 2 2 7 4 8 2" xfId="31955" xr:uid="{00000000-0005-0000-0000-00000E890000}"/>
    <cellStyle name="Wrap 2 2 7 4 9" xfId="31956" xr:uid="{00000000-0005-0000-0000-00000F890000}"/>
    <cellStyle name="Wrap 2 2 7 4 9 2" xfId="31957" xr:uid="{00000000-0005-0000-0000-000010890000}"/>
    <cellStyle name="Wrap 2 2 7 5" xfId="31958" xr:uid="{00000000-0005-0000-0000-000011890000}"/>
    <cellStyle name="Wrap 2 2 7 5 10" xfId="31959" xr:uid="{00000000-0005-0000-0000-000012890000}"/>
    <cellStyle name="Wrap 2 2 7 5 2" xfId="31960" xr:uid="{00000000-0005-0000-0000-000013890000}"/>
    <cellStyle name="Wrap 2 2 7 5 2 2" xfId="31961" xr:uid="{00000000-0005-0000-0000-000014890000}"/>
    <cellStyle name="Wrap 2 2 7 5 3" xfId="31962" xr:uid="{00000000-0005-0000-0000-000015890000}"/>
    <cellStyle name="Wrap 2 2 7 5 3 2" xfId="31963" xr:uid="{00000000-0005-0000-0000-000016890000}"/>
    <cellStyle name="Wrap 2 2 7 5 4" xfId="31964" xr:uid="{00000000-0005-0000-0000-000017890000}"/>
    <cellStyle name="Wrap 2 2 7 5 4 2" xfId="31965" xr:uid="{00000000-0005-0000-0000-000018890000}"/>
    <cellStyle name="Wrap 2 2 7 5 5" xfId="31966" xr:uid="{00000000-0005-0000-0000-000019890000}"/>
    <cellStyle name="Wrap 2 2 7 5 5 2" xfId="31967" xr:uid="{00000000-0005-0000-0000-00001A890000}"/>
    <cellStyle name="Wrap 2 2 7 5 6" xfId="31968" xr:uid="{00000000-0005-0000-0000-00001B890000}"/>
    <cellStyle name="Wrap 2 2 7 5 6 2" xfId="31969" xr:uid="{00000000-0005-0000-0000-00001C890000}"/>
    <cellStyle name="Wrap 2 2 7 5 7" xfId="31970" xr:uid="{00000000-0005-0000-0000-00001D890000}"/>
    <cellStyle name="Wrap 2 2 7 5 7 2" xfId="31971" xr:uid="{00000000-0005-0000-0000-00001E890000}"/>
    <cellStyle name="Wrap 2 2 7 5 8" xfId="31972" xr:uid="{00000000-0005-0000-0000-00001F890000}"/>
    <cellStyle name="Wrap 2 2 7 5 8 2" xfId="31973" xr:uid="{00000000-0005-0000-0000-000020890000}"/>
    <cellStyle name="Wrap 2 2 7 5 9" xfId="31974" xr:uid="{00000000-0005-0000-0000-000021890000}"/>
    <cellStyle name="Wrap 2 2 7 5 9 2" xfId="31975" xr:uid="{00000000-0005-0000-0000-000022890000}"/>
    <cellStyle name="Wrap 2 2 7 6" xfId="31976" xr:uid="{00000000-0005-0000-0000-000023890000}"/>
    <cellStyle name="Wrap 2 2 7 6 10" xfId="31977" xr:uid="{00000000-0005-0000-0000-000024890000}"/>
    <cellStyle name="Wrap 2 2 7 6 2" xfId="31978" xr:uid="{00000000-0005-0000-0000-000025890000}"/>
    <cellStyle name="Wrap 2 2 7 6 2 2" xfId="31979" xr:uid="{00000000-0005-0000-0000-000026890000}"/>
    <cellStyle name="Wrap 2 2 7 6 3" xfId="31980" xr:uid="{00000000-0005-0000-0000-000027890000}"/>
    <cellStyle name="Wrap 2 2 7 6 3 2" xfId="31981" xr:uid="{00000000-0005-0000-0000-000028890000}"/>
    <cellStyle name="Wrap 2 2 7 6 4" xfId="31982" xr:uid="{00000000-0005-0000-0000-000029890000}"/>
    <cellStyle name="Wrap 2 2 7 6 4 2" xfId="31983" xr:uid="{00000000-0005-0000-0000-00002A890000}"/>
    <cellStyle name="Wrap 2 2 7 6 5" xfId="31984" xr:uid="{00000000-0005-0000-0000-00002B890000}"/>
    <cellStyle name="Wrap 2 2 7 6 5 2" xfId="31985" xr:uid="{00000000-0005-0000-0000-00002C890000}"/>
    <cellStyle name="Wrap 2 2 7 6 6" xfId="31986" xr:uid="{00000000-0005-0000-0000-00002D890000}"/>
    <cellStyle name="Wrap 2 2 7 6 6 2" xfId="31987" xr:uid="{00000000-0005-0000-0000-00002E890000}"/>
    <cellStyle name="Wrap 2 2 7 6 7" xfId="31988" xr:uid="{00000000-0005-0000-0000-00002F890000}"/>
    <cellStyle name="Wrap 2 2 7 6 7 2" xfId="31989" xr:uid="{00000000-0005-0000-0000-000030890000}"/>
    <cellStyle name="Wrap 2 2 7 6 8" xfId="31990" xr:uid="{00000000-0005-0000-0000-000031890000}"/>
    <cellStyle name="Wrap 2 2 7 6 8 2" xfId="31991" xr:uid="{00000000-0005-0000-0000-000032890000}"/>
    <cellStyle name="Wrap 2 2 7 6 9" xfId="31992" xr:uid="{00000000-0005-0000-0000-000033890000}"/>
    <cellStyle name="Wrap 2 2 7 6 9 2" xfId="31993" xr:uid="{00000000-0005-0000-0000-000034890000}"/>
    <cellStyle name="Wrap 2 2 7 7" xfId="31994" xr:uid="{00000000-0005-0000-0000-000035890000}"/>
    <cellStyle name="Wrap 2 2 7 7 10" xfId="31995" xr:uid="{00000000-0005-0000-0000-000036890000}"/>
    <cellStyle name="Wrap 2 2 7 7 2" xfId="31996" xr:uid="{00000000-0005-0000-0000-000037890000}"/>
    <cellStyle name="Wrap 2 2 7 7 2 2" xfId="31997" xr:uid="{00000000-0005-0000-0000-000038890000}"/>
    <cellStyle name="Wrap 2 2 7 7 3" xfId="31998" xr:uid="{00000000-0005-0000-0000-000039890000}"/>
    <cellStyle name="Wrap 2 2 7 7 3 2" xfId="31999" xr:uid="{00000000-0005-0000-0000-00003A890000}"/>
    <cellStyle name="Wrap 2 2 7 7 4" xfId="32000" xr:uid="{00000000-0005-0000-0000-00003B890000}"/>
    <cellStyle name="Wrap 2 2 7 7 4 2" xfId="32001" xr:uid="{00000000-0005-0000-0000-00003C890000}"/>
    <cellStyle name="Wrap 2 2 7 7 5" xfId="32002" xr:uid="{00000000-0005-0000-0000-00003D890000}"/>
    <cellStyle name="Wrap 2 2 7 7 5 2" xfId="32003" xr:uid="{00000000-0005-0000-0000-00003E890000}"/>
    <cellStyle name="Wrap 2 2 7 7 6" xfId="32004" xr:uid="{00000000-0005-0000-0000-00003F890000}"/>
    <cellStyle name="Wrap 2 2 7 7 6 2" xfId="32005" xr:uid="{00000000-0005-0000-0000-000040890000}"/>
    <cellStyle name="Wrap 2 2 7 7 7" xfId="32006" xr:uid="{00000000-0005-0000-0000-000041890000}"/>
    <cellStyle name="Wrap 2 2 7 7 7 2" xfId="32007" xr:uid="{00000000-0005-0000-0000-000042890000}"/>
    <cellStyle name="Wrap 2 2 7 7 8" xfId="32008" xr:uid="{00000000-0005-0000-0000-000043890000}"/>
    <cellStyle name="Wrap 2 2 7 7 8 2" xfId="32009" xr:uid="{00000000-0005-0000-0000-000044890000}"/>
    <cellStyle name="Wrap 2 2 7 7 9" xfId="32010" xr:uid="{00000000-0005-0000-0000-000045890000}"/>
    <cellStyle name="Wrap 2 2 7 7 9 2" xfId="32011" xr:uid="{00000000-0005-0000-0000-000046890000}"/>
    <cellStyle name="Wrap 2 2 7 8" xfId="32012" xr:uid="{00000000-0005-0000-0000-000047890000}"/>
    <cellStyle name="Wrap 2 2 7 8 10" xfId="32013" xr:uid="{00000000-0005-0000-0000-000048890000}"/>
    <cellStyle name="Wrap 2 2 7 8 2" xfId="32014" xr:uid="{00000000-0005-0000-0000-000049890000}"/>
    <cellStyle name="Wrap 2 2 7 8 2 2" xfId="32015" xr:uid="{00000000-0005-0000-0000-00004A890000}"/>
    <cellStyle name="Wrap 2 2 7 8 3" xfId="32016" xr:uid="{00000000-0005-0000-0000-00004B890000}"/>
    <cellStyle name="Wrap 2 2 7 8 3 2" xfId="32017" xr:uid="{00000000-0005-0000-0000-00004C890000}"/>
    <cellStyle name="Wrap 2 2 7 8 4" xfId="32018" xr:uid="{00000000-0005-0000-0000-00004D890000}"/>
    <cellStyle name="Wrap 2 2 7 8 4 2" xfId="32019" xr:uid="{00000000-0005-0000-0000-00004E890000}"/>
    <cellStyle name="Wrap 2 2 7 8 5" xfId="32020" xr:uid="{00000000-0005-0000-0000-00004F890000}"/>
    <cellStyle name="Wrap 2 2 7 8 5 2" xfId="32021" xr:uid="{00000000-0005-0000-0000-000050890000}"/>
    <cellStyle name="Wrap 2 2 7 8 6" xfId="32022" xr:uid="{00000000-0005-0000-0000-000051890000}"/>
    <cellStyle name="Wrap 2 2 7 8 6 2" xfId="32023" xr:uid="{00000000-0005-0000-0000-000052890000}"/>
    <cellStyle name="Wrap 2 2 7 8 7" xfId="32024" xr:uid="{00000000-0005-0000-0000-000053890000}"/>
    <cellStyle name="Wrap 2 2 7 8 7 2" xfId="32025" xr:uid="{00000000-0005-0000-0000-000054890000}"/>
    <cellStyle name="Wrap 2 2 7 8 8" xfId="32026" xr:uid="{00000000-0005-0000-0000-000055890000}"/>
    <cellStyle name="Wrap 2 2 7 8 8 2" xfId="32027" xr:uid="{00000000-0005-0000-0000-000056890000}"/>
    <cellStyle name="Wrap 2 2 7 8 9" xfId="32028" xr:uid="{00000000-0005-0000-0000-000057890000}"/>
    <cellStyle name="Wrap 2 2 7 8 9 2" xfId="32029" xr:uid="{00000000-0005-0000-0000-000058890000}"/>
    <cellStyle name="Wrap 2 2 7 9" xfId="32030" xr:uid="{00000000-0005-0000-0000-000059890000}"/>
    <cellStyle name="Wrap 2 2 7 9 10" xfId="32031" xr:uid="{00000000-0005-0000-0000-00005A890000}"/>
    <cellStyle name="Wrap 2 2 7 9 2" xfId="32032" xr:uid="{00000000-0005-0000-0000-00005B890000}"/>
    <cellStyle name="Wrap 2 2 7 9 2 2" xfId="32033" xr:uid="{00000000-0005-0000-0000-00005C890000}"/>
    <cellStyle name="Wrap 2 2 7 9 3" xfId="32034" xr:uid="{00000000-0005-0000-0000-00005D890000}"/>
    <cellStyle name="Wrap 2 2 7 9 3 2" xfId="32035" xr:uid="{00000000-0005-0000-0000-00005E890000}"/>
    <cellStyle name="Wrap 2 2 7 9 4" xfId="32036" xr:uid="{00000000-0005-0000-0000-00005F890000}"/>
    <cellStyle name="Wrap 2 2 7 9 4 2" xfId="32037" xr:uid="{00000000-0005-0000-0000-000060890000}"/>
    <cellStyle name="Wrap 2 2 7 9 5" xfId="32038" xr:uid="{00000000-0005-0000-0000-000061890000}"/>
    <cellStyle name="Wrap 2 2 7 9 5 2" xfId="32039" xr:uid="{00000000-0005-0000-0000-000062890000}"/>
    <cellStyle name="Wrap 2 2 7 9 6" xfId="32040" xr:uid="{00000000-0005-0000-0000-000063890000}"/>
    <cellStyle name="Wrap 2 2 7 9 6 2" xfId="32041" xr:uid="{00000000-0005-0000-0000-000064890000}"/>
    <cellStyle name="Wrap 2 2 7 9 7" xfId="32042" xr:uid="{00000000-0005-0000-0000-000065890000}"/>
    <cellStyle name="Wrap 2 2 7 9 7 2" xfId="32043" xr:uid="{00000000-0005-0000-0000-000066890000}"/>
    <cellStyle name="Wrap 2 2 7 9 8" xfId="32044" xr:uid="{00000000-0005-0000-0000-000067890000}"/>
    <cellStyle name="Wrap 2 2 7 9 8 2" xfId="32045" xr:uid="{00000000-0005-0000-0000-000068890000}"/>
    <cellStyle name="Wrap 2 2 7 9 9" xfId="32046" xr:uid="{00000000-0005-0000-0000-000069890000}"/>
    <cellStyle name="Wrap 2 2 7 9 9 2" xfId="32047" xr:uid="{00000000-0005-0000-0000-00006A890000}"/>
    <cellStyle name="Wrap 2 2 8" xfId="32048" xr:uid="{00000000-0005-0000-0000-00006B890000}"/>
    <cellStyle name="Wrap 2 2 8 10" xfId="32049" xr:uid="{00000000-0005-0000-0000-00006C890000}"/>
    <cellStyle name="Wrap 2 2 8 10 2" xfId="32050" xr:uid="{00000000-0005-0000-0000-00006D890000}"/>
    <cellStyle name="Wrap 2 2 8 10 2 2" xfId="32051" xr:uid="{00000000-0005-0000-0000-00006E890000}"/>
    <cellStyle name="Wrap 2 2 8 10 3" xfId="32052" xr:uid="{00000000-0005-0000-0000-00006F890000}"/>
    <cellStyle name="Wrap 2 2 8 10 3 2" xfId="32053" xr:uid="{00000000-0005-0000-0000-000070890000}"/>
    <cellStyle name="Wrap 2 2 8 10 4" xfId="32054" xr:uid="{00000000-0005-0000-0000-000071890000}"/>
    <cellStyle name="Wrap 2 2 8 10 4 2" xfId="32055" xr:uid="{00000000-0005-0000-0000-000072890000}"/>
    <cellStyle name="Wrap 2 2 8 10 5" xfId="32056" xr:uid="{00000000-0005-0000-0000-000073890000}"/>
    <cellStyle name="Wrap 2 2 8 10 5 2" xfId="32057" xr:uid="{00000000-0005-0000-0000-000074890000}"/>
    <cellStyle name="Wrap 2 2 8 10 6" xfId="32058" xr:uid="{00000000-0005-0000-0000-000075890000}"/>
    <cellStyle name="Wrap 2 2 8 10 6 2" xfId="32059" xr:uid="{00000000-0005-0000-0000-000076890000}"/>
    <cellStyle name="Wrap 2 2 8 10 7" xfId="32060" xr:uid="{00000000-0005-0000-0000-000077890000}"/>
    <cellStyle name="Wrap 2 2 8 10 7 2" xfId="32061" xr:uid="{00000000-0005-0000-0000-000078890000}"/>
    <cellStyle name="Wrap 2 2 8 10 8" xfId="32062" xr:uid="{00000000-0005-0000-0000-000079890000}"/>
    <cellStyle name="Wrap 2 2 8 10 8 2" xfId="32063" xr:uid="{00000000-0005-0000-0000-00007A890000}"/>
    <cellStyle name="Wrap 2 2 8 10 9" xfId="32064" xr:uid="{00000000-0005-0000-0000-00007B890000}"/>
    <cellStyle name="Wrap 2 2 8 11" xfId="32065" xr:uid="{00000000-0005-0000-0000-00007C890000}"/>
    <cellStyle name="Wrap 2 2 8 11 2" xfId="32066" xr:uid="{00000000-0005-0000-0000-00007D890000}"/>
    <cellStyle name="Wrap 2 2 8 12" xfId="32067" xr:uid="{00000000-0005-0000-0000-00007E890000}"/>
    <cellStyle name="Wrap 2 2 8 12 2" xfId="32068" xr:uid="{00000000-0005-0000-0000-00007F890000}"/>
    <cellStyle name="Wrap 2 2 8 13" xfId="32069" xr:uid="{00000000-0005-0000-0000-000080890000}"/>
    <cellStyle name="Wrap 2 2 8 13 2" xfId="32070" xr:uid="{00000000-0005-0000-0000-000081890000}"/>
    <cellStyle name="Wrap 2 2 8 14" xfId="32071" xr:uid="{00000000-0005-0000-0000-000082890000}"/>
    <cellStyle name="Wrap 2 2 8 14 2" xfId="32072" xr:uid="{00000000-0005-0000-0000-000083890000}"/>
    <cellStyle name="Wrap 2 2 8 15" xfId="32073" xr:uid="{00000000-0005-0000-0000-000084890000}"/>
    <cellStyle name="Wrap 2 2 8 15 2" xfId="32074" xr:uid="{00000000-0005-0000-0000-000085890000}"/>
    <cellStyle name="Wrap 2 2 8 16" xfId="32075" xr:uid="{00000000-0005-0000-0000-000086890000}"/>
    <cellStyle name="Wrap 2 2 8 16 2" xfId="32076" xr:uid="{00000000-0005-0000-0000-000087890000}"/>
    <cellStyle name="Wrap 2 2 8 17" xfId="32077" xr:uid="{00000000-0005-0000-0000-000088890000}"/>
    <cellStyle name="Wrap 2 2 8 17 2" xfId="32078" xr:uid="{00000000-0005-0000-0000-000089890000}"/>
    <cellStyle name="Wrap 2 2 8 18" xfId="32079" xr:uid="{00000000-0005-0000-0000-00008A890000}"/>
    <cellStyle name="Wrap 2 2 8 2" xfId="32080" xr:uid="{00000000-0005-0000-0000-00008B890000}"/>
    <cellStyle name="Wrap 2 2 8 2 10" xfId="32081" xr:uid="{00000000-0005-0000-0000-00008C890000}"/>
    <cellStyle name="Wrap 2 2 8 2 2" xfId="32082" xr:uid="{00000000-0005-0000-0000-00008D890000}"/>
    <cellStyle name="Wrap 2 2 8 2 2 2" xfId="32083" xr:uid="{00000000-0005-0000-0000-00008E890000}"/>
    <cellStyle name="Wrap 2 2 8 2 3" xfId="32084" xr:uid="{00000000-0005-0000-0000-00008F890000}"/>
    <cellStyle name="Wrap 2 2 8 2 3 2" xfId="32085" xr:uid="{00000000-0005-0000-0000-000090890000}"/>
    <cellStyle name="Wrap 2 2 8 2 4" xfId="32086" xr:uid="{00000000-0005-0000-0000-000091890000}"/>
    <cellStyle name="Wrap 2 2 8 2 4 2" xfId="32087" xr:uid="{00000000-0005-0000-0000-000092890000}"/>
    <cellStyle name="Wrap 2 2 8 2 5" xfId="32088" xr:uid="{00000000-0005-0000-0000-000093890000}"/>
    <cellStyle name="Wrap 2 2 8 2 5 2" xfId="32089" xr:uid="{00000000-0005-0000-0000-000094890000}"/>
    <cellStyle name="Wrap 2 2 8 2 6" xfId="32090" xr:uid="{00000000-0005-0000-0000-000095890000}"/>
    <cellStyle name="Wrap 2 2 8 2 6 2" xfId="32091" xr:uid="{00000000-0005-0000-0000-000096890000}"/>
    <cellStyle name="Wrap 2 2 8 2 7" xfId="32092" xr:uid="{00000000-0005-0000-0000-000097890000}"/>
    <cellStyle name="Wrap 2 2 8 2 7 2" xfId="32093" xr:uid="{00000000-0005-0000-0000-000098890000}"/>
    <cellStyle name="Wrap 2 2 8 2 8" xfId="32094" xr:uid="{00000000-0005-0000-0000-000099890000}"/>
    <cellStyle name="Wrap 2 2 8 2 8 2" xfId="32095" xr:uid="{00000000-0005-0000-0000-00009A890000}"/>
    <cellStyle name="Wrap 2 2 8 2 9" xfId="32096" xr:uid="{00000000-0005-0000-0000-00009B890000}"/>
    <cellStyle name="Wrap 2 2 8 2 9 2" xfId="32097" xr:uid="{00000000-0005-0000-0000-00009C890000}"/>
    <cellStyle name="Wrap 2 2 8 3" xfId="32098" xr:uid="{00000000-0005-0000-0000-00009D890000}"/>
    <cellStyle name="Wrap 2 2 8 3 10" xfId="32099" xr:uid="{00000000-0005-0000-0000-00009E890000}"/>
    <cellStyle name="Wrap 2 2 8 3 2" xfId="32100" xr:uid="{00000000-0005-0000-0000-00009F890000}"/>
    <cellStyle name="Wrap 2 2 8 3 2 2" xfId="32101" xr:uid="{00000000-0005-0000-0000-0000A0890000}"/>
    <cellStyle name="Wrap 2 2 8 3 3" xfId="32102" xr:uid="{00000000-0005-0000-0000-0000A1890000}"/>
    <cellStyle name="Wrap 2 2 8 3 3 2" xfId="32103" xr:uid="{00000000-0005-0000-0000-0000A2890000}"/>
    <cellStyle name="Wrap 2 2 8 3 4" xfId="32104" xr:uid="{00000000-0005-0000-0000-0000A3890000}"/>
    <cellStyle name="Wrap 2 2 8 3 4 2" xfId="32105" xr:uid="{00000000-0005-0000-0000-0000A4890000}"/>
    <cellStyle name="Wrap 2 2 8 3 5" xfId="32106" xr:uid="{00000000-0005-0000-0000-0000A5890000}"/>
    <cellStyle name="Wrap 2 2 8 3 5 2" xfId="32107" xr:uid="{00000000-0005-0000-0000-0000A6890000}"/>
    <cellStyle name="Wrap 2 2 8 3 6" xfId="32108" xr:uid="{00000000-0005-0000-0000-0000A7890000}"/>
    <cellStyle name="Wrap 2 2 8 3 6 2" xfId="32109" xr:uid="{00000000-0005-0000-0000-0000A8890000}"/>
    <cellStyle name="Wrap 2 2 8 3 7" xfId="32110" xr:uid="{00000000-0005-0000-0000-0000A9890000}"/>
    <cellStyle name="Wrap 2 2 8 3 7 2" xfId="32111" xr:uid="{00000000-0005-0000-0000-0000AA890000}"/>
    <cellStyle name="Wrap 2 2 8 3 8" xfId="32112" xr:uid="{00000000-0005-0000-0000-0000AB890000}"/>
    <cellStyle name="Wrap 2 2 8 3 8 2" xfId="32113" xr:uid="{00000000-0005-0000-0000-0000AC890000}"/>
    <cellStyle name="Wrap 2 2 8 3 9" xfId="32114" xr:uid="{00000000-0005-0000-0000-0000AD890000}"/>
    <cellStyle name="Wrap 2 2 8 3 9 2" xfId="32115" xr:uid="{00000000-0005-0000-0000-0000AE890000}"/>
    <cellStyle name="Wrap 2 2 8 4" xfId="32116" xr:uid="{00000000-0005-0000-0000-0000AF890000}"/>
    <cellStyle name="Wrap 2 2 8 4 10" xfId="32117" xr:uid="{00000000-0005-0000-0000-0000B0890000}"/>
    <cellStyle name="Wrap 2 2 8 4 2" xfId="32118" xr:uid="{00000000-0005-0000-0000-0000B1890000}"/>
    <cellStyle name="Wrap 2 2 8 4 2 2" xfId="32119" xr:uid="{00000000-0005-0000-0000-0000B2890000}"/>
    <cellStyle name="Wrap 2 2 8 4 3" xfId="32120" xr:uid="{00000000-0005-0000-0000-0000B3890000}"/>
    <cellStyle name="Wrap 2 2 8 4 3 2" xfId="32121" xr:uid="{00000000-0005-0000-0000-0000B4890000}"/>
    <cellStyle name="Wrap 2 2 8 4 4" xfId="32122" xr:uid="{00000000-0005-0000-0000-0000B5890000}"/>
    <cellStyle name="Wrap 2 2 8 4 4 2" xfId="32123" xr:uid="{00000000-0005-0000-0000-0000B6890000}"/>
    <cellStyle name="Wrap 2 2 8 4 5" xfId="32124" xr:uid="{00000000-0005-0000-0000-0000B7890000}"/>
    <cellStyle name="Wrap 2 2 8 4 5 2" xfId="32125" xr:uid="{00000000-0005-0000-0000-0000B8890000}"/>
    <cellStyle name="Wrap 2 2 8 4 6" xfId="32126" xr:uid="{00000000-0005-0000-0000-0000B9890000}"/>
    <cellStyle name="Wrap 2 2 8 4 6 2" xfId="32127" xr:uid="{00000000-0005-0000-0000-0000BA890000}"/>
    <cellStyle name="Wrap 2 2 8 4 7" xfId="32128" xr:uid="{00000000-0005-0000-0000-0000BB890000}"/>
    <cellStyle name="Wrap 2 2 8 4 7 2" xfId="32129" xr:uid="{00000000-0005-0000-0000-0000BC890000}"/>
    <cellStyle name="Wrap 2 2 8 4 8" xfId="32130" xr:uid="{00000000-0005-0000-0000-0000BD890000}"/>
    <cellStyle name="Wrap 2 2 8 4 8 2" xfId="32131" xr:uid="{00000000-0005-0000-0000-0000BE890000}"/>
    <cellStyle name="Wrap 2 2 8 4 9" xfId="32132" xr:uid="{00000000-0005-0000-0000-0000BF890000}"/>
    <cellStyle name="Wrap 2 2 8 4 9 2" xfId="32133" xr:uid="{00000000-0005-0000-0000-0000C0890000}"/>
    <cellStyle name="Wrap 2 2 8 5" xfId="32134" xr:uid="{00000000-0005-0000-0000-0000C1890000}"/>
    <cellStyle name="Wrap 2 2 8 5 10" xfId="32135" xr:uid="{00000000-0005-0000-0000-0000C2890000}"/>
    <cellStyle name="Wrap 2 2 8 5 2" xfId="32136" xr:uid="{00000000-0005-0000-0000-0000C3890000}"/>
    <cellStyle name="Wrap 2 2 8 5 2 2" xfId="32137" xr:uid="{00000000-0005-0000-0000-0000C4890000}"/>
    <cellStyle name="Wrap 2 2 8 5 3" xfId="32138" xr:uid="{00000000-0005-0000-0000-0000C5890000}"/>
    <cellStyle name="Wrap 2 2 8 5 3 2" xfId="32139" xr:uid="{00000000-0005-0000-0000-0000C6890000}"/>
    <cellStyle name="Wrap 2 2 8 5 4" xfId="32140" xr:uid="{00000000-0005-0000-0000-0000C7890000}"/>
    <cellStyle name="Wrap 2 2 8 5 4 2" xfId="32141" xr:uid="{00000000-0005-0000-0000-0000C8890000}"/>
    <cellStyle name="Wrap 2 2 8 5 5" xfId="32142" xr:uid="{00000000-0005-0000-0000-0000C9890000}"/>
    <cellStyle name="Wrap 2 2 8 5 5 2" xfId="32143" xr:uid="{00000000-0005-0000-0000-0000CA890000}"/>
    <cellStyle name="Wrap 2 2 8 5 6" xfId="32144" xr:uid="{00000000-0005-0000-0000-0000CB890000}"/>
    <cellStyle name="Wrap 2 2 8 5 6 2" xfId="32145" xr:uid="{00000000-0005-0000-0000-0000CC890000}"/>
    <cellStyle name="Wrap 2 2 8 5 7" xfId="32146" xr:uid="{00000000-0005-0000-0000-0000CD890000}"/>
    <cellStyle name="Wrap 2 2 8 5 7 2" xfId="32147" xr:uid="{00000000-0005-0000-0000-0000CE890000}"/>
    <cellStyle name="Wrap 2 2 8 5 8" xfId="32148" xr:uid="{00000000-0005-0000-0000-0000CF890000}"/>
    <cellStyle name="Wrap 2 2 8 5 8 2" xfId="32149" xr:uid="{00000000-0005-0000-0000-0000D0890000}"/>
    <cellStyle name="Wrap 2 2 8 5 9" xfId="32150" xr:uid="{00000000-0005-0000-0000-0000D1890000}"/>
    <cellStyle name="Wrap 2 2 8 5 9 2" xfId="32151" xr:uid="{00000000-0005-0000-0000-0000D2890000}"/>
    <cellStyle name="Wrap 2 2 8 6" xfId="32152" xr:uid="{00000000-0005-0000-0000-0000D3890000}"/>
    <cellStyle name="Wrap 2 2 8 6 10" xfId="32153" xr:uid="{00000000-0005-0000-0000-0000D4890000}"/>
    <cellStyle name="Wrap 2 2 8 6 2" xfId="32154" xr:uid="{00000000-0005-0000-0000-0000D5890000}"/>
    <cellStyle name="Wrap 2 2 8 6 2 2" xfId="32155" xr:uid="{00000000-0005-0000-0000-0000D6890000}"/>
    <cellStyle name="Wrap 2 2 8 6 3" xfId="32156" xr:uid="{00000000-0005-0000-0000-0000D7890000}"/>
    <cellStyle name="Wrap 2 2 8 6 3 2" xfId="32157" xr:uid="{00000000-0005-0000-0000-0000D8890000}"/>
    <cellStyle name="Wrap 2 2 8 6 4" xfId="32158" xr:uid="{00000000-0005-0000-0000-0000D9890000}"/>
    <cellStyle name="Wrap 2 2 8 6 4 2" xfId="32159" xr:uid="{00000000-0005-0000-0000-0000DA890000}"/>
    <cellStyle name="Wrap 2 2 8 6 5" xfId="32160" xr:uid="{00000000-0005-0000-0000-0000DB890000}"/>
    <cellStyle name="Wrap 2 2 8 6 5 2" xfId="32161" xr:uid="{00000000-0005-0000-0000-0000DC890000}"/>
    <cellStyle name="Wrap 2 2 8 6 6" xfId="32162" xr:uid="{00000000-0005-0000-0000-0000DD890000}"/>
    <cellStyle name="Wrap 2 2 8 6 6 2" xfId="32163" xr:uid="{00000000-0005-0000-0000-0000DE890000}"/>
    <cellStyle name="Wrap 2 2 8 6 7" xfId="32164" xr:uid="{00000000-0005-0000-0000-0000DF890000}"/>
    <cellStyle name="Wrap 2 2 8 6 7 2" xfId="32165" xr:uid="{00000000-0005-0000-0000-0000E0890000}"/>
    <cellStyle name="Wrap 2 2 8 6 8" xfId="32166" xr:uid="{00000000-0005-0000-0000-0000E1890000}"/>
    <cellStyle name="Wrap 2 2 8 6 8 2" xfId="32167" xr:uid="{00000000-0005-0000-0000-0000E2890000}"/>
    <cellStyle name="Wrap 2 2 8 6 9" xfId="32168" xr:uid="{00000000-0005-0000-0000-0000E3890000}"/>
    <cellStyle name="Wrap 2 2 8 6 9 2" xfId="32169" xr:uid="{00000000-0005-0000-0000-0000E4890000}"/>
    <cellStyle name="Wrap 2 2 8 7" xfId="32170" xr:uid="{00000000-0005-0000-0000-0000E5890000}"/>
    <cellStyle name="Wrap 2 2 8 7 10" xfId="32171" xr:uid="{00000000-0005-0000-0000-0000E6890000}"/>
    <cellStyle name="Wrap 2 2 8 7 2" xfId="32172" xr:uid="{00000000-0005-0000-0000-0000E7890000}"/>
    <cellStyle name="Wrap 2 2 8 7 2 2" xfId="32173" xr:uid="{00000000-0005-0000-0000-0000E8890000}"/>
    <cellStyle name="Wrap 2 2 8 7 3" xfId="32174" xr:uid="{00000000-0005-0000-0000-0000E9890000}"/>
    <cellStyle name="Wrap 2 2 8 7 3 2" xfId="32175" xr:uid="{00000000-0005-0000-0000-0000EA890000}"/>
    <cellStyle name="Wrap 2 2 8 7 4" xfId="32176" xr:uid="{00000000-0005-0000-0000-0000EB890000}"/>
    <cellStyle name="Wrap 2 2 8 7 4 2" xfId="32177" xr:uid="{00000000-0005-0000-0000-0000EC890000}"/>
    <cellStyle name="Wrap 2 2 8 7 5" xfId="32178" xr:uid="{00000000-0005-0000-0000-0000ED890000}"/>
    <cellStyle name="Wrap 2 2 8 7 5 2" xfId="32179" xr:uid="{00000000-0005-0000-0000-0000EE890000}"/>
    <cellStyle name="Wrap 2 2 8 7 6" xfId="32180" xr:uid="{00000000-0005-0000-0000-0000EF890000}"/>
    <cellStyle name="Wrap 2 2 8 7 6 2" xfId="32181" xr:uid="{00000000-0005-0000-0000-0000F0890000}"/>
    <cellStyle name="Wrap 2 2 8 7 7" xfId="32182" xr:uid="{00000000-0005-0000-0000-0000F1890000}"/>
    <cellStyle name="Wrap 2 2 8 7 7 2" xfId="32183" xr:uid="{00000000-0005-0000-0000-0000F2890000}"/>
    <cellStyle name="Wrap 2 2 8 7 8" xfId="32184" xr:uid="{00000000-0005-0000-0000-0000F3890000}"/>
    <cellStyle name="Wrap 2 2 8 7 8 2" xfId="32185" xr:uid="{00000000-0005-0000-0000-0000F4890000}"/>
    <cellStyle name="Wrap 2 2 8 7 9" xfId="32186" xr:uid="{00000000-0005-0000-0000-0000F5890000}"/>
    <cellStyle name="Wrap 2 2 8 7 9 2" xfId="32187" xr:uid="{00000000-0005-0000-0000-0000F6890000}"/>
    <cellStyle name="Wrap 2 2 8 8" xfId="32188" xr:uid="{00000000-0005-0000-0000-0000F7890000}"/>
    <cellStyle name="Wrap 2 2 8 8 10" xfId="32189" xr:uid="{00000000-0005-0000-0000-0000F8890000}"/>
    <cellStyle name="Wrap 2 2 8 8 2" xfId="32190" xr:uid="{00000000-0005-0000-0000-0000F9890000}"/>
    <cellStyle name="Wrap 2 2 8 8 2 2" xfId="32191" xr:uid="{00000000-0005-0000-0000-0000FA890000}"/>
    <cellStyle name="Wrap 2 2 8 8 3" xfId="32192" xr:uid="{00000000-0005-0000-0000-0000FB890000}"/>
    <cellStyle name="Wrap 2 2 8 8 3 2" xfId="32193" xr:uid="{00000000-0005-0000-0000-0000FC890000}"/>
    <cellStyle name="Wrap 2 2 8 8 4" xfId="32194" xr:uid="{00000000-0005-0000-0000-0000FD890000}"/>
    <cellStyle name="Wrap 2 2 8 8 4 2" xfId="32195" xr:uid="{00000000-0005-0000-0000-0000FE890000}"/>
    <cellStyle name="Wrap 2 2 8 8 5" xfId="32196" xr:uid="{00000000-0005-0000-0000-0000FF890000}"/>
    <cellStyle name="Wrap 2 2 8 8 5 2" xfId="32197" xr:uid="{00000000-0005-0000-0000-0000008A0000}"/>
    <cellStyle name="Wrap 2 2 8 8 6" xfId="32198" xr:uid="{00000000-0005-0000-0000-0000018A0000}"/>
    <cellStyle name="Wrap 2 2 8 8 6 2" xfId="32199" xr:uid="{00000000-0005-0000-0000-0000028A0000}"/>
    <cellStyle name="Wrap 2 2 8 8 7" xfId="32200" xr:uid="{00000000-0005-0000-0000-0000038A0000}"/>
    <cellStyle name="Wrap 2 2 8 8 7 2" xfId="32201" xr:uid="{00000000-0005-0000-0000-0000048A0000}"/>
    <cellStyle name="Wrap 2 2 8 8 8" xfId="32202" xr:uid="{00000000-0005-0000-0000-0000058A0000}"/>
    <cellStyle name="Wrap 2 2 8 8 8 2" xfId="32203" xr:uid="{00000000-0005-0000-0000-0000068A0000}"/>
    <cellStyle name="Wrap 2 2 8 8 9" xfId="32204" xr:uid="{00000000-0005-0000-0000-0000078A0000}"/>
    <cellStyle name="Wrap 2 2 8 8 9 2" xfId="32205" xr:uid="{00000000-0005-0000-0000-0000088A0000}"/>
    <cellStyle name="Wrap 2 2 8 9" xfId="32206" xr:uid="{00000000-0005-0000-0000-0000098A0000}"/>
    <cellStyle name="Wrap 2 2 8 9 10" xfId="32207" xr:uid="{00000000-0005-0000-0000-00000A8A0000}"/>
    <cellStyle name="Wrap 2 2 8 9 2" xfId="32208" xr:uid="{00000000-0005-0000-0000-00000B8A0000}"/>
    <cellStyle name="Wrap 2 2 8 9 2 2" xfId="32209" xr:uid="{00000000-0005-0000-0000-00000C8A0000}"/>
    <cellStyle name="Wrap 2 2 8 9 3" xfId="32210" xr:uid="{00000000-0005-0000-0000-00000D8A0000}"/>
    <cellStyle name="Wrap 2 2 8 9 3 2" xfId="32211" xr:uid="{00000000-0005-0000-0000-00000E8A0000}"/>
    <cellStyle name="Wrap 2 2 8 9 4" xfId="32212" xr:uid="{00000000-0005-0000-0000-00000F8A0000}"/>
    <cellStyle name="Wrap 2 2 8 9 4 2" xfId="32213" xr:uid="{00000000-0005-0000-0000-0000108A0000}"/>
    <cellStyle name="Wrap 2 2 8 9 5" xfId="32214" xr:uid="{00000000-0005-0000-0000-0000118A0000}"/>
    <cellStyle name="Wrap 2 2 8 9 5 2" xfId="32215" xr:uid="{00000000-0005-0000-0000-0000128A0000}"/>
    <cellStyle name="Wrap 2 2 8 9 6" xfId="32216" xr:uid="{00000000-0005-0000-0000-0000138A0000}"/>
    <cellStyle name="Wrap 2 2 8 9 6 2" xfId="32217" xr:uid="{00000000-0005-0000-0000-0000148A0000}"/>
    <cellStyle name="Wrap 2 2 8 9 7" xfId="32218" xr:uid="{00000000-0005-0000-0000-0000158A0000}"/>
    <cellStyle name="Wrap 2 2 8 9 7 2" xfId="32219" xr:uid="{00000000-0005-0000-0000-0000168A0000}"/>
    <cellStyle name="Wrap 2 2 8 9 8" xfId="32220" xr:uid="{00000000-0005-0000-0000-0000178A0000}"/>
    <cellStyle name="Wrap 2 2 8 9 8 2" xfId="32221" xr:uid="{00000000-0005-0000-0000-0000188A0000}"/>
    <cellStyle name="Wrap 2 2 8 9 9" xfId="32222" xr:uid="{00000000-0005-0000-0000-0000198A0000}"/>
    <cellStyle name="Wrap 2 2 8 9 9 2" xfId="32223" xr:uid="{00000000-0005-0000-0000-00001A8A0000}"/>
    <cellStyle name="Wrap 2 3" xfId="207" xr:uid="{00000000-0005-0000-0000-00001B8A0000}"/>
    <cellStyle name="Wrap 2 3 2" xfId="32224" xr:uid="{00000000-0005-0000-0000-00001C8A0000}"/>
    <cellStyle name="Wrap 2 3 2 10" xfId="32225" xr:uid="{00000000-0005-0000-0000-00001D8A0000}"/>
    <cellStyle name="Wrap 2 3 2 10 10" xfId="32226" xr:uid="{00000000-0005-0000-0000-00001E8A0000}"/>
    <cellStyle name="Wrap 2 3 2 10 2" xfId="32227" xr:uid="{00000000-0005-0000-0000-00001F8A0000}"/>
    <cellStyle name="Wrap 2 3 2 10 2 2" xfId="32228" xr:uid="{00000000-0005-0000-0000-0000208A0000}"/>
    <cellStyle name="Wrap 2 3 2 10 3" xfId="32229" xr:uid="{00000000-0005-0000-0000-0000218A0000}"/>
    <cellStyle name="Wrap 2 3 2 10 3 2" xfId="32230" xr:uid="{00000000-0005-0000-0000-0000228A0000}"/>
    <cellStyle name="Wrap 2 3 2 10 4" xfId="32231" xr:uid="{00000000-0005-0000-0000-0000238A0000}"/>
    <cellStyle name="Wrap 2 3 2 10 4 2" xfId="32232" xr:uid="{00000000-0005-0000-0000-0000248A0000}"/>
    <cellStyle name="Wrap 2 3 2 10 5" xfId="32233" xr:uid="{00000000-0005-0000-0000-0000258A0000}"/>
    <cellStyle name="Wrap 2 3 2 10 5 2" xfId="32234" xr:uid="{00000000-0005-0000-0000-0000268A0000}"/>
    <cellStyle name="Wrap 2 3 2 10 6" xfId="32235" xr:uid="{00000000-0005-0000-0000-0000278A0000}"/>
    <cellStyle name="Wrap 2 3 2 10 6 2" xfId="32236" xr:uid="{00000000-0005-0000-0000-0000288A0000}"/>
    <cellStyle name="Wrap 2 3 2 10 7" xfId="32237" xr:uid="{00000000-0005-0000-0000-0000298A0000}"/>
    <cellStyle name="Wrap 2 3 2 10 7 2" xfId="32238" xr:uid="{00000000-0005-0000-0000-00002A8A0000}"/>
    <cellStyle name="Wrap 2 3 2 10 8" xfId="32239" xr:uid="{00000000-0005-0000-0000-00002B8A0000}"/>
    <cellStyle name="Wrap 2 3 2 10 8 2" xfId="32240" xr:uid="{00000000-0005-0000-0000-00002C8A0000}"/>
    <cellStyle name="Wrap 2 3 2 10 9" xfId="32241" xr:uid="{00000000-0005-0000-0000-00002D8A0000}"/>
    <cellStyle name="Wrap 2 3 2 10 9 2" xfId="32242" xr:uid="{00000000-0005-0000-0000-00002E8A0000}"/>
    <cellStyle name="Wrap 2 3 2 11" xfId="32243" xr:uid="{00000000-0005-0000-0000-00002F8A0000}"/>
    <cellStyle name="Wrap 2 3 2 11 2" xfId="32244" xr:uid="{00000000-0005-0000-0000-0000308A0000}"/>
    <cellStyle name="Wrap 2 3 2 11 2 2" xfId="32245" xr:uid="{00000000-0005-0000-0000-0000318A0000}"/>
    <cellStyle name="Wrap 2 3 2 11 3" xfId="32246" xr:uid="{00000000-0005-0000-0000-0000328A0000}"/>
    <cellStyle name="Wrap 2 3 2 11 3 2" xfId="32247" xr:uid="{00000000-0005-0000-0000-0000338A0000}"/>
    <cellStyle name="Wrap 2 3 2 11 4" xfId="32248" xr:uid="{00000000-0005-0000-0000-0000348A0000}"/>
    <cellStyle name="Wrap 2 3 2 11 4 2" xfId="32249" xr:uid="{00000000-0005-0000-0000-0000358A0000}"/>
    <cellStyle name="Wrap 2 3 2 11 5" xfId="32250" xr:uid="{00000000-0005-0000-0000-0000368A0000}"/>
    <cellStyle name="Wrap 2 3 2 11 5 2" xfId="32251" xr:uid="{00000000-0005-0000-0000-0000378A0000}"/>
    <cellStyle name="Wrap 2 3 2 11 6" xfId="32252" xr:uid="{00000000-0005-0000-0000-0000388A0000}"/>
    <cellStyle name="Wrap 2 3 2 11 6 2" xfId="32253" xr:uid="{00000000-0005-0000-0000-0000398A0000}"/>
    <cellStyle name="Wrap 2 3 2 11 7" xfId="32254" xr:uid="{00000000-0005-0000-0000-00003A8A0000}"/>
    <cellStyle name="Wrap 2 3 2 11 7 2" xfId="32255" xr:uid="{00000000-0005-0000-0000-00003B8A0000}"/>
    <cellStyle name="Wrap 2 3 2 11 8" xfId="32256" xr:uid="{00000000-0005-0000-0000-00003C8A0000}"/>
    <cellStyle name="Wrap 2 3 2 11 8 2" xfId="32257" xr:uid="{00000000-0005-0000-0000-00003D8A0000}"/>
    <cellStyle name="Wrap 2 3 2 11 9" xfId="32258" xr:uid="{00000000-0005-0000-0000-00003E8A0000}"/>
    <cellStyle name="Wrap 2 3 2 2" xfId="32259" xr:uid="{00000000-0005-0000-0000-00003F8A0000}"/>
    <cellStyle name="Wrap 2 3 2 2 10" xfId="32260" xr:uid="{00000000-0005-0000-0000-0000408A0000}"/>
    <cellStyle name="Wrap 2 3 2 2 2" xfId="32261" xr:uid="{00000000-0005-0000-0000-0000418A0000}"/>
    <cellStyle name="Wrap 2 3 2 2 2 2" xfId="32262" xr:uid="{00000000-0005-0000-0000-0000428A0000}"/>
    <cellStyle name="Wrap 2 3 2 2 3" xfId="32263" xr:uid="{00000000-0005-0000-0000-0000438A0000}"/>
    <cellStyle name="Wrap 2 3 2 2 3 2" xfId="32264" xr:uid="{00000000-0005-0000-0000-0000448A0000}"/>
    <cellStyle name="Wrap 2 3 2 2 4" xfId="32265" xr:uid="{00000000-0005-0000-0000-0000458A0000}"/>
    <cellStyle name="Wrap 2 3 2 2 4 2" xfId="32266" xr:uid="{00000000-0005-0000-0000-0000468A0000}"/>
    <cellStyle name="Wrap 2 3 2 2 5" xfId="32267" xr:uid="{00000000-0005-0000-0000-0000478A0000}"/>
    <cellStyle name="Wrap 2 3 2 2 5 2" xfId="32268" xr:uid="{00000000-0005-0000-0000-0000488A0000}"/>
    <cellStyle name="Wrap 2 3 2 2 6" xfId="32269" xr:uid="{00000000-0005-0000-0000-0000498A0000}"/>
    <cellStyle name="Wrap 2 3 2 2 6 2" xfId="32270" xr:uid="{00000000-0005-0000-0000-00004A8A0000}"/>
    <cellStyle name="Wrap 2 3 2 2 7" xfId="32271" xr:uid="{00000000-0005-0000-0000-00004B8A0000}"/>
    <cellStyle name="Wrap 2 3 2 2 7 2" xfId="32272" xr:uid="{00000000-0005-0000-0000-00004C8A0000}"/>
    <cellStyle name="Wrap 2 3 2 2 8" xfId="32273" xr:uid="{00000000-0005-0000-0000-00004D8A0000}"/>
    <cellStyle name="Wrap 2 3 2 2 8 2" xfId="32274" xr:uid="{00000000-0005-0000-0000-00004E8A0000}"/>
    <cellStyle name="Wrap 2 3 2 2 9" xfId="32275" xr:uid="{00000000-0005-0000-0000-00004F8A0000}"/>
    <cellStyle name="Wrap 2 3 2 2 9 2" xfId="32276" xr:uid="{00000000-0005-0000-0000-0000508A0000}"/>
    <cellStyle name="Wrap 2 3 2 3" xfId="32277" xr:uid="{00000000-0005-0000-0000-0000518A0000}"/>
    <cellStyle name="Wrap 2 3 2 3 10" xfId="32278" xr:uid="{00000000-0005-0000-0000-0000528A0000}"/>
    <cellStyle name="Wrap 2 3 2 3 2" xfId="32279" xr:uid="{00000000-0005-0000-0000-0000538A0000}"/>
    <cellStyle name="Wrap 2 3 2 3 2 2" xfId="32280" xr:uid="{00000000-0005-0000-0000-0000548A0000}"/>
    <cellStyle name="Wrap 2 3 2 3 3" xfId="32281" xr:uid="{00000000-0005-0000-0000-0000558A0000}"/>
    <cellStyle name="Wrap 2 3 2 3 3 2" xfId="32282" xr:uid="{00000000-0005-0000-0000-0000568A0000}"/>
    <cellStyle name="Wrap 2 3 2 3 4" xfId="32283" xr:uid="{00000000-0005-0000-0000-0000578A0000}"/>
    <cellStyle name="Wrap 2 3 2 3 4 2" xfId="32284" xr:uid="{00000000-0005-0000-0000-0000588A0000}"/>
    <cellStyle name="Wrap 2 3 2 3 5" xfId="32285" xr:uid="{00000000-0005-0000-0000-0000598A0000}"/>
    <cellStyle name="Wrap 2 3 2 3 5 2" xfId="32286" xr:uid="{00000000-0005-0000-0000-00005A8A0000}"/>
    <cellStyle name="Wrap 2 3 2 3 6" xfId="32287" xr:uid="{00000000-0005-0000-0000-00005B8A0000}"/>
    <cellStyle name="Wrap 2 3 2 3 6 2" xfId="32288" xr:uid="{00000000-0005-0000-0000-00005C8A0000}"/>
    <cellStyle name="Wrap 2 3 2 3 7" xfId="32289" xr:uid="{00000000-0005-0000-0000-00005D8A0000}"/>
    <cellStyle name="Wrap 2 3 2 3 7 2" xfId="32290" xr:uid="{00000000-0005-0000-0000-00005E8A0000}"/>
    <cellStyle name="Wrap 2 3 2 3 8" xfId="32291" xr:uid="{00000000-0005-0000-0000-00005F8A0000}"/>
    <cellStyle name="Wrap 2 3 2 3 8 2" xfId="32292" xr:uid="{00000000-0005-0000-0000-0000608A0000}"/>
    <cellStyle name="Wrap 2 3 2 3 9" xfId="32293" xr:uid="{00000000-0005-0000-0000-0000618A0000}"/>
    <cellStyle name="Wrap 2 3 2 3 9 2" xfId="32294" xr:uid="{00000000-0005-0000-0000-0000628A0000}"/>
    <cellStyle name="Wrap 2 3 2 4" xfId="32295" xr:uid="{00000000-0005-0000-0000-0000638A0000}"/>
    <cellStyle name="Wrap 2 3 2 4 10" xfId="32296" xr:uid="{00000000-0005-0000-0000-0000648A0000}"/>
    <cellStyle name="Wrap 2 3 2 4 2" xfId="32297" xr:uid="{00000000-0005-0000-0000-0000658A0000}"/>
    <cellStyle name="Wrap 2 3 2 4 2 2" xfId="32298" xr:uid="{00000000-0005-0000-0000-0000668A0000}"/>
    <cellStyle name="Wrap 2 3 2 4 3" xfId="32299" xr:uid="{00000000-0005-0000-0000-0000678A0000}"/>
    <cellStyle name="Wrap 2 3 2 4 3 2" xfId="32300" xr:uid="{00000000-0005-0000-0000-0000688A0000}"/>
    <cellStyle name="Wrap 2 3 2 4 4" xfId="32301" xr:uid="{00000000-0005-0000-0000-0000698A0000}"/>
    <cellStyle name="Wrap 2 3 2 4 4 2" xfId="32302" xr:uid="{00000000-0005-0000-0000-00006A8A0000}"/>
    <cellStyle name="Wrap 2 3 2 4 5" xfId="32303" xr:uid="{00000000-0005-0000-0000-00006B8A0000}"/>
    <cellStyle name="Wrap 2 3 2 4 5 2" xfId="32304" xr:uid="{00000000-0005-0000-0000-00006C8A0000}"/>
    <cellStyle name="Wrap 2 3 2 4 6" xfId="32305" xr:uid="{00000000-0005-0000-0000-00006D8A0000}"/>
    <cellStyle name="Wrap 2 3 2 4 6 2" xfId="32306" xr:uid="{00000000-0005-0000-0000-00006E8A0000}"/>
    <cellStyle name="Wrap 2 3 2 4 7" xfId="32307" xr:uid="{00000000-0005-0000-0000-00006F8A0000}"/>
    <cellStyle name="Wrap 2 3 2 4 7 2" xfId="32308" xr:uid="{00000000-0005-0000-0000-0000708A0000}"/>
    <cellStyle name="Wrap 2 3 2 4 8" xfId="32309" xr:uid="{00000000-0005-0000-0000-0000718A0000}"/>
    <cellStyle name="Wrap 2 3 2 4 8 2" xfId="32310" xr:uid="{00000000-0005-0000-0000-0000728A0000}"/>
    <cellStyle name="Wrap 2 3 2 4 9" xfId="32311" xr:uid="{00000000-0005-0000-0000-0000738A0000}"/>
    <cellStyle name="Wrap 2 3 2 4 9 2" xfId="32312" xr:uid="{00000000-0005-0000-0000-0000748A0000}"/>
    <cellStyle name="Wrap 2 3 2 5" xfId="32313" xr:uid="{00000000-0005-0000-0000-0000758A0000}"/>
    <cellStyle name="Wrap 2 3 2 5 10" xfId="32314" xr:uid="{00000000-0005-0000-0000-0000768A0000}"/>
    <cellStyle name="Wrap 2 3 2 5 2" xfId="32315" xr:uid="{00000000-0005-0000-0000-0000778A0000}"/>
    <cellStyle name="Wrap 2 3 2 5 2 2" xfId="32316" xr:uid="{00000000-0005-0000-0000-0000788A0000}"/>
    <cellStyle name="Wrap 2 3 2 5 3" xfId="32317" xr:uid="{00000000-0005-0000-0000-0000798A0000}"/>
    <cellStyle name="Wrap 2 3 2 5 3 2" xfId="32318" xr:uid="{00000000-0005-0000-0000-00007A8A0000}"/>
    <cellStyle name="Wrap 2 3 2 5 4" xfId="32319" xr:uid="{00000000-0005-0000-0000-00007B8A0000}"/>
    <cellStyle name="Wrap 2 3 2 5 4 2" xfId="32320" xr:uid="{00000000-0005-0000-0000-00007C8A0000}"/>
    <cellStyle name="Wrap 2 3 2 5 5" xfId="32321" xr:uid="{00000000-0005-0000-0000-00007D8A0000}"/>
    <cellStyle name="Wrap 2 3 2 5 5 2" xfId="32322" xr:uid="{00000000-0005-0000-0000-00007E8A0000}"/>
    <cellStyle name="Wrap 2 3 2 5 6" xfId="32323" xr:uid="{00000000-0005-0000-0000-00007F8A0000}"/>
    <cellStyle name="Wrap 2 3 2 5 6 2" xfId="32324" xr:uid="{00000000-0005-0000-0000-0000808A0000}"/>
    <cellStyle name="Wrap 2 3 2 5 7" xfId="32325" xr:uid="{00000000-0005-0000-0000-0000818A0000}"/>
    <cellStyle name="Wrap 2 3 2 5 7 2" xfId="32326" xr:uid="{00000000-0005-0000-0000-0000828A0000}"/>
    <cellStyle name="Wrap 2 3 2 5 8" xfId="32327" xr:uid="{00000000-0005-0000-0000-0000838A0000}"/>
    <cellStyle name="Wrap 2 3 2 5 8 2" xfId="32328" xr:uid="{00000000-0005-0000-0000-0000848A0000}"/>
    <cellStyle name="Wrap 2 3 2 5 9" xfId="32329" xr:uid="{00000000-0005-0000-0000-0000858A0000}"/>
    <cellStyle name="Wrap 2 3 2 5 9 2" xfId="32330" xr:uid="{00000000-0005-0000-0000-0000868A0000}"/>
    <cellStyle name="Wrap 2 3 2 6" xfId="32331" xr:uid="{00000000-0005-0000-0000-0000878A0000}"/>
    <cellStyle name="Wrap 2 3 2 6 10" xfId="32332" xr:uid="{00000000-0005-0000-0000-0000888A0000}"/>
    <cellStyle name="Wrap 2 3 2 6 2" xfId="32333" xr:uid="{00000000-0005-0000-0000-0000898A0000}"/>
    <cellStyle name="Wrap 2 3 2 6 2 2" xfId="32334" xr:uid="{00000000-0005-0000-0000-00008A8A0000}"/>
    <cellStyle name="Wrap 2 3 2 6 3" xfId="32335" xr:uid="{00000000-0005-0000-0000-00008B8A0000}"/>
    <cellStyle name="Wrap 2 3 2 6 3 2" xfId="32336" xr:uid="{00000000-0005-0000-0000-00008C8A0000}"/>
    <cellStyle name="Wrap 2 3 2 6 4" xfId="32337" xr:uid="{00000000-0005-0000-0000-00008D8A0000}"/>
    <cellStyle name="Wrap 2 3 2 6 4 2" xfId="32338" xr:uid="{00000000-0005-0000-0000-00008E8A0000}"/>
    <cellStyle name="Wrap 2 3 2 6 5" xfId="32339" xr:uid="{00000000-0005-0000-0000-00008F8A0000}"/>
    <cellStyle name="Wrap 2 3 2 6 5 2" xfId="32340" xr:uid="{00000000-0005-0000-0000-0000908A0000}"/>
    <cellStyle name="Wrap 2 3 2 6 6" xfId="32341" xr:uid="{00000000-0005-0000-0000-0000918A0000}"/>
    <cellStyle name="Wrap 2 3 2 6 6 2" xfId="32342" xr:uid="{00000000-0005-0000-0000-0000928A0000}"/>
    <cellStyle name="Wrap 2 3 2 6 7" xfId="32343" xr:uid="{00000000-0005-0000-0000-0000938A0000}"/>
    <cellStyle name="Wrap 2 3 2 6 7 2" xfId="32344" xr:uid="{00000000-0005-0000-0000-0000948A0000}"/>
    <cellStyle name="Wrap 2 3 2 6 8" xfId="32345" xr:uid="{00000000-0005-0000-0000-0000958A0000}"/>
    <cellStyle name="Wrap 2 3 2 6 8 2" xfId="32346" xr:uid="{00000000-0005-0000-0000-0000968A0000}"/>
    <cellStyle name="Wrap 2 3 2 6 9" xfId="32347" xr:uid="{00000000-0005-0000-0000-0000978A0000}"/>
    <cellStyle name="Wrap 2 3 2 6 9 2" xfId="32348" xr:uid="{00000000-0005-0000-0000-0000988A0000}"/>
    <cellStyle name="Wrap 2 3 2 7" xfId="32349" xr:uid="{00000000-0005-0000-0000-0000998A0000}"/>
    <cellStyle name="Wrap 2 3 2 7 10" xfId="32350" xr:uid="{00000000-0005-0000-0000-00009A8A0000}"/>
    <cellStyle name="Wrap 2 3 2 7 2" xfId="32351" xr:uid="{00000000-0005-0000-0000-00009B8A0000}"/>
    <cellStyle name="Wrap 2 3 2 7 2 2" xfId="32352" xr:uid="{00000000-0005-0000-0000-00009C8A0000}"/>
    <cellStyle name="Wrap 2 3 2 7 3" xfId="32353" xr:uid="{00000000-0005-0000-0000-00009D8A0000}"/>
    <cellStyle name="Wrap 2 3 2 7 3 2" xfId="32354" xr:uid="{00000000-0005-0000-0000-00009E8A0000}"/>
    <cellStyle name="Wrap 2 3 2 7 4" xfId="32355" xr:uid="{00000000-0005-0000-0000-00009F8A0000}"/>
    <cellStyle name="Wrap 2 3 2 7 4 2" xfId="32356" xr:uid="{00000000-0005-0000-0000-0000A08A0000}"/>
    <cellStyle name="Wrap 2 3 2 7 5" xfId="32357" xr:uid="{00000000-0005-0000-0000-0000A18A0000}"/>
    <cellStyle name="Wrap 2 3 2 7 5 2" xfId="32358" xr:uid="{00000000-0005-0000-0000-0000A28A0000}"/>
    <cellStyle name="Wrap 2 3 2 7 6" xfId="32359" xr:uid="{00000000-0005-0000-0000-0000A38A0000}"/>
    <cellStyle name="Wrap 2 3 2 7 6 2" xfId="32360" xr:uid="{00000000-0005-0000-0000-0000A48A0000}"/>
    <cellStyle name="Wrap 2 3 2 7 7" xfId="32361" xr:uid="{00000000-0005-0000-0000-0000A58A0000}"/>
    <cellStyle name="Wrap 2 3 2 7 7 2" xfId="32362" xr:uid="{00000000-0005-0000-0000-0000A68A0000}"/>
    <cellStyle name="Wrap 2 3 2 7 8" xfId="32363" xr:uid="{00000000-0005-0000-0000-0000A78A0000}"/>
    <cellStyle name="Wrap 2 3 2 7 8 2" xfId="32364" xr:uid="{00000000-0005-0000-0000-0000A88A0000}"/>
    <cellStyle name="Wrap 2 3 2 7 9" xfId="32365" xr:uid="{00000000-0005-0000-0000-0000A98A0000}"/>
    <cellStyle name="Wrap 2 3 2 7 9 2" xfId="32366" xr:uid="{00000000-0005-0000-0000-0000AA8A0000}"/>
    <cellStyle name="Wrap 2 3 2 8" xfId="32367" xr:uid="{00000000-0005-0000-0000-0000AB8A0000}"/>
    <cellStyle name="Wrap 2 3 2 8 10" xfId="32368" xr:uid="{00000000-0005-0000-0000-0000AC8A0000}"/>
    <cellStyle name="Wrap 2 3 2 8 2" xfId="32369" xr:uid="{00000000-0005-0000-0000-0000AD8A0000}"/>
    <cellStyle name="Wrap 2 3 2 8 2 2" xfId="32370" xr:uid="{00000000-0005-0000-0000-0000AE8A0000}"/>
    <cellStyle name="Wrap 2 3 2 8 3" xfId="32371" xr:uid="{00000000-0005-0000-0000-0000AF8A0000}"/>
    <cellStyle name="Wrap 2 3 2 8 3 2" xfId="32372" xr:uid="{00000000-0005-0000-0000-0000B08A0000}"/>
    <cellStyle name="Wrap 2 3 2 8 4" xfId="32373" xr:uid="{00000000-0005-0000-0000-0000B18A0000}"/>
    <cellStyle name="Wrap 2 3 2 8 4 2" xfId="32374" xr:uid="{00000000-0005-0000-0000-0000B28A0000}"/>
    <cellStyle name="Wrap 2 3 2 8 5" xfId="32375" xr:uid="{00000000-0005-0000-0000-0000B38A0000}"/>
    <cellStyle name="Wrap 2 3 2 8 5 2" xfId="32376" xr:uid="{00000000-0005-0000-0000-0000B48A0000}"/>
    <cellStyle name="Wrap 2 3 2 8 6" xfId="32377" xr:uid="{00000000-0005-0000-0000-0000B58A0000}"/>
    <cellStyle name="Wrap 2 3 2 8 6 2" xfId="32378" xr:uid="{00000000-0005-0000-0000-0000B68A0000}"/>
    <cellStyle name="Wrap 2 3 2 8 7" xfId="32379" xr:uid="{00000000-0005-0000-0000-0000B78A0000}"/>
    <cellStyle name="Wrap 2 3 2 8 7 2" xfId="32380" xr:uid="{00000000-0005-0000-0000-0000B88A0000}"/>
    <cellStyle name="Wrap 2 3 2 8 8" xfId="32381" xr:uid="{00000000-0005-0000-0000-0000B98A0000}"/>
    <cellStyle name="Wrap 2 3 2 8 8 2" xfId="32382" xr:uid="{00000000-0005-0000-0000-0000BA8A0000}"/>
    <cellStyle name="Wrap 2 3 2 8 9" xfId="32383" xr:uid="{00000000-0005-0000-0000-0000BB8A0000}"/>
    <cellStyle name="Wrap 2 3 2 8 9 2" xfId="32384" xr:uid="{00000000-0005-0000-0000-0000BC8A0000}"/>
    <cellStyle name="Wrap 2 3 2 9" xfId="32385" xr:uid="{00000000-0005-0000-0000-0000BD8A0000}"/>
    <cellStyle name="Wrap 2 3 2 9 10" xfId="32386" xr:uid="{00000000-0005-0000-0000-0000BE8A0000}"/>
    <cellStyle name="Wrap 2 3 2 9 2" xfId="32387" xr:uid="{00000000-0005-0000-0000-0000BF8A0000}"/>
    <cellStyle name="Wrap 2 3 2 9 2 2" xfId="32388" xr:uid="{00000000-0005-0000-0000-0000C08A0000}"/>
    <cellStyle name="Wrap 2 3 2 9 3" xfId="32389" xr:uid="{00000000-0005-0000-0000-0000C18A0000}"/>
    <cellStyle name="Wrap 2 3 2 9 3 2" xfId="32390" xr:uid="{00000000-0005-0000-0000-0000C28A0000}"/>
    <cellStyle name="Wrap 2 3 2 9 4" xfId="32391" xr:uid="{00000000-0005-0000-0000-0000C38A0000}"/>
    <cellStyle name="Wrap 2 3 2 9 4 2" xfId="32392" xr:uid="{00000000-0005-0000-0000-0000C48A0000}"/>
    <cellStyle name="Wrap 2 3 2 9 5" xfId="32393" xr:uid="{00000000-0005-0000-0000-0000C58A0000}"/>
    <cellStyle name="Wrap 2 3 2 9 5 2" xfId="32394" xr:uid="{00000000-0005-0000-0000-0000C68A0000}"/>
    <cellStyle name="Wrap 2 3 2 9 6" xfId="32395" xr:uid="{00000000-0005-0000-0000-0000C78A0000}"/>
    <cellStyle name="Wrap 2 3 2 9 6 2" xfId="32396" xr:uid="{00000000-0005-0000-0000-0000C88A0000}"/>
    <cellStyle name="Wrap 2 3 2 9 7" xfId="32397" xr:uid="{00000000-0005-0000-0000-0000C98A0000}"/>
    <cellStyle name="Wrap 2 3 2 9 7 2" xfId="32398" xr:uid="{00000000-0005-0000-0000-0000CA8A0000}"/>
    <cellStyle name="Wrap 2 3 2 9 8" xfId="32399" xr:uid="{00000000-0005-0000-0000-0000CB8A0000}"/>
    <cellStyle name="Wrap 2 3 2 9 8 2" xfId="32400" xr:uid="{00000000-0005-0000-0000-0000CC8A0000}"/>
    <cellStyle name="Wrap 2 3 2 9 9" xfId="32401" xr:uid="{00000000-0005-0000-0000-0000CD8A0000}"/>
    <cellStyle name="Wrap 2 3 2 9 9 2" xfId="32402" xr:uid="{00000000-0005-0000-0000-0000CE8A0000}"/>
    <cellStyle name="Wrap 2 3 3" xfId="32403" xr:uid="{00000000-0005-0000-0000-0000CF8A0000}"/>
    <cellStyle name="Wrap 2 3 3 10" xfId="32404" xr:uid="{00000000-0005-0000-0000-0000D08A0000}"/>
    <cellStyle name="Wrap 2 3 3 10 10" xfId="32405" xr:uid="{00000000-0005-0000-0000-0000D18A0000}"/>
    <cellStyle name="Wrap 2 3 3 10 2" xfId="32406" xr:uid="{00000000-0005-0000-0000-0000D28A0000}"/>
    <cellStyle name="Wrap 2 3 3 10 2 2" xfId="32407" xr:uid="{00000000-0005-0000-0000-0000D38A0000}"/>
    <cellStyle name="Wrap 2 3 3 10 3" xfId="32408" xr:uid="{00000000-0005-0000-0000-0000D48A0000}"/>
    <cellStyle name="Wrap 2 3 3 10 3 2" xfId="32409" xr:uid="{00000000-0005-0000-0000-0000D58A0000}"/>
    <cellStyle name="Wrap 2 3 3 10 4" xfId="32410" xr:uid="{00000000-0005-0000-0000-0000D68A0000}"/>
    <cellStyle name="Wrap 2 3 3 10 4 2" xfId="32411" xr:uid="{00000000-0005-0000-0000-0000D78A0000}"/>
    <cellStyle name="Wrap 2 3 3 10 5" xfId="32412" xr:uid="{00000000-0005-0000-0000-0000D88A0000}"/>
    <cellStyle name="Wrap 2 3 3 10 5 2" xfId="32413" xr:uid="{00000000-0005-0000-0000-0000D98A0000}"/>
    <cellStyle name="Wrap 2 3 3 10 6" xfId="32414" xr:uid="{00000000-0005-0000-0000-0000DA8A0000}"/>
    <cellStyle name="Wrap 2 3 3 10 6 2" xfId="32415" xr:uid="{00000000-0005-0000-0000-0000DB8A0000}"/>
    <cellStyle name="Wrap 2 3 3 10 7" xfId="32416" xr:uid="{00000000-0005-0000-0000-0000DC8A0000}"/>
    <cellStyle name="Wrap 2 3 3 10 7 2" xfId="32417" xr:uid="{00000000-0005-0000-0000-0000DD8A0000}"/>
    <cellStyle name="Wrap 2 3 3 10 8" xfId="32418" xr:uid="{00000000-0005-0000-0000-0000DE8A0000}"/>
    <cellStyle name="Wrap 2 3 3 10 8 2" xfId="32419" xr:uid="{00000000-0005-0000-0000-0000DF8A0000}"/>
    <cellStyle name="Wrap 2 3 3 10 9" xfId="32420" xr:uid="{00000000-0005-0000-0000-0000E08A0000}"/>
    <cellStyle name="Wrap 2 3 3 10 9 2" xfId="32421" xr:uid="{00000000-0005-0000-0000-0000E18A0000}"/>
    <cellStyle name="Wrap 2 3 3 11" xfId="32422" xr:uid="{00000000-0005-0000-0000-0000E28A0000}"/>
    <cellStyle name="Wrap 2 3 3 11 2" xfId="32423" xr:uid="{00000000-0005-0000-0000-0000E38A0000}"/>
    <cellStyle name="Wrap 2 3 3 11 2 2" xfId="32424" xr:uid="{00000000-0005-0000-0000-0000E48A0000}"/>
    <cellStyle name="Wrap 2 3 3 11 3" xfId="32425" xr:uid="{00000000-0005-0000-0000-0000E58A0000}"/>
    <cellStyle name="Wrap 2 3 3 11 3 2" xfId="32426" xr:uid="{00000000-0005-0000-0000-0000E68A0000}"/>
    <cellStyle name="Wrap 2 3 3 11 4" xfId="32427" xr:uid="{00000000-0005-0000-0000-0000E78A0000}"/>
    <cellStyle name="Wrap 2 3 3 11 4 2" xfId="32428" xr:uid="{00000000-0005-0000-0000-0000E88A0000}"/>
    <cellStyle name="Wrap 2 3 3 11 5" xfId="32429" xr:uid="{00000000-0005-0000-0000-0000E98A0000}"/>
    <cellStyle name="Wrap 2 3 3 11 5 2" xfId="32430" xr:uid="{00000000-0005-0000-0000-0000EA8A0000}"/>
    <cellStyle name="Wrap 2 3 3 11 6" xfId="32431" xr:uid="{00000000-0005-0000-0000-0000EB8A0000}"/>
    <cellStyle name="Wrap 2 3 3 11 6 2" xfId="32432" xr:uid="{00000000-0005-0000-0000-0000EC8A0000}"/>
    <cellStyle name="Wrap 2 3 3 11 7" xfId="32433" xr:uid="{00000000-0005-0000-0000-0000ED8A0000}"/>
    <cellStyle name="Wrap 2 3 3 11 7 2" xfId="32434" xr:uid="{00000000-0005-0000-0000-0000EE8A0000}"/>
    <cellStyle name="Wrap 2 3 3 11 8" xfId="32435" xr:uid="{00000000-0005-0000-0000-0000EF8A0000}"/>
    <cellStyle name="Wrap 2 3 3 11 8 2" xfId="32436" xr:uid="{00000000-0005-0000-0000-0000F08A0000}"/>
    <cellStyle name="Wrap 2 3 3 11 9" xfId="32437" xr:uid="{00000000-0005-0000-0000-0000F18A0000}"/>
    <cellStyle name="Wrap 2 3 3 2" xfId="32438" xr:uid="{00000000-0005-0000-0000-0000F28A0000}"/>
    <cellStyle name="Wrap 2 3 3 2 10" xfId="32439" xr:uid="{00000000-0005-0000-0000-0000F38A0000}"/>
    <cellStyle name="Wrap 2 3 3 2 2" xfId="32440" xr:uid="{00000000-0005-0000-0000-0000F48A0000}"/>
    <cellStyle name="Wrap 2 3 3 2 2 2" xfId="32441" xr:uid="{00000000-0005-0000-0000-0000F58A0000}"/>
    <cellStyle name="Wrap 2 3 3 2 3" xfId="32442" xr:uid="{00000000-0005-0000-0000-0000F68A0000}"/>
    <cellStyle name="Wrap 2 3 3 2 3 2" xfId="32443" xr:uid="{00000000-0005-0000-0000-0000F78A0000}"/>
    <cellStyle name="Wrap 2 3 3 2 4" xfId="32444" xr:uid="{00000000-0005-0000-0000-0000F88A0000}"/>
    <cellStyle name="Wrap 2 3 3 2 4 2" xfId="32445" xr:uid="{00000000-0005-0000-0000-0000F98A0000}"/>
    <cellStyle name="Wrap 2 3 3 2 5" xfId="32446" xr:uid="{00000000-0005-0000-0000-0000FA8A0000}"/>
    <cellStyle name="Wrap 2 3 3 2 5 2" xfId="32447" xr:uid="{00000000-0005-0000-0000-0000FB8A0000}"/>
    <cellStyle name="Wrap 2 3 3 2 6" xfId="32448" xr:uid="{00000000-0005-0000-0000-0000FC8A0000}"/>
    <cellStyle name="Wrap 2 3 3 2 6 2" xfId="32449" xr:uid="{00000000-0005-0000-0000-0000FD8A0000}"/>
    <cellStyle name="Wrap 2 3 3 2 7" xfId="32450" xr:uid="{00000000-0005-0000-0000-0000FE8A0000}"/>
    <cellStyle name="Wrap 2 3 3 2 7 2" xfId="32451" xr:uid="{00000000-0005-0000-0000-0000FF8A0000}"/>
    <cellStyle name="Wrap 2 3 3 2 8" xfId="32452" xr:uid="{00000000-0005-0000-0000-0000008B0000}"/>
    <cellStyle name="Wrap 2 3 3 2 8 2" xfId="32453" xr:uid="{00000000-0005-0000-0000-0000018B0000}"/>
    <cellStyle name="Wrap 2 3 3 2 9" xfId="32454" xr:uid="{00000000-0005-0000-0000-0000028B0000}"/>
    <cellStyle name="Wrap 2 3 3 2 9 2" xfId="32455" xr:uid="{00000000-0005-0000-0000-0000038B0000}"/>
    <cellStyle name="Wrap 2 3 3 3" xfId="32456" xr:uid="{00000000-0005-0000-0000-0000048B0000}"/>
    <cellStyle name="Wrap 2 3 3 3 10" xfId="32457" xr:uid="{00000000-0005-0000-0000-0000058B0000}"/>
    <cellStyle name="Wrap 2 3 3 3 2" xfId="32458" xr:uid="{00000000-0005-0000-0000-0000068B0000}"/>
    <cellStyle name="Wrap 2 3 3 3 2 2" xfId="32459" xr:uid="{00000000-0005-0000-0000-0000078B0000}"/>
    <cellStyle name="Wrap 2 3 3 3 3" xfId="32460" xr:uid="{00000000-0005-0000-0000-0000088B0000}"/>
    <cellStyle name="Wrap 2 3 3 3 3 2" xfId="32461" xr:uid="{00000000-0005-0000-0000-0000098B0000}"/>
    <cellStyle name="Wrap 2 3 3 3 4" xfId="32462" xr:uid="{00000000-0005-0000-0000-00000A8B0000}"/>
    <cellStyle name="Wrap 2 3 3 3 4 2" xfId="32463" xr:uid="{00000000-0005-0000-0000-00000B8B0000}"/>
    <cellStyle name="Wrap 2 3 3 3 5" xfId="32464" xr:uid="{00000000-0005-0000-0000-00000C8B0000}"/>
    <cellStyle name="Wrap 2 3 3 3 5 2" xfId="32465" xr:uid="{00000000-0005-0000-0000-00000D8B0000}"/>
    <cellStyle name="Wrap 2 3 3 3 6" xfId="32466" xr:uid="{00000000-0005-0000-0000-00000E8B0000}"/>
    <cellStyle name="Wrap 2 3 3 3 6 2" xfId="32467" xr:uid="{00000000-0005-0000-0000-00000F8B0000}"/>
    <cellStyle name="Wrap 2 3 3 3 7" xfId="32468" xr:uid="{00000000-0005-0000-0000-0000108B0000}"/>
    <cellStyle name="Wrap 2 3 3 3 7 2" xfId="32469" xr:uid="{00000000-0005-0000-0000-0000118B0000}"/>
    <cellStyle name="Wrap 2 3 3 3 8" xfId="32470" xr:uid="{00000000-0005-0000-0000-0000128B0000}"/>
    <cellStyle name="Wrap 2 3 3 3 8 2" xfId="32471" xr:uid="{00000000-0005-0000-0000-0000138B0000}"/>
    <cellStyle name="Wrap 2 3 3 3 9" xfId="32472" xr:uid="{00000000-0005-0000-0000-0000148B0000}"/>
    <cellStyle name="Wrap 2 3 3 3 9 2" xfId="32473" xr:uid="{00000000-0005-0000-0000-0000158B0000}"/>
    <cellStyle name="Wrap 2 3 3 4" xfId="32474" xr:uid="{00000000-0005-0000-0000-0000168B0000}"/>
    <cellStyle name="Wrap 2 3 3 4 10" xfId="32475" xr:uid="{00000000-0005-0000-0000-0000178B0000}"/>
    <cellStyle name="Wrap 2 3 3 4 2" xfId="32476" xr:uid="{00000000-0005-0000-0000-0000188B0000}"/>
    <cellStyle name="Wrap 2 3 3 4 2 2" xfId="32477" xr:uid="{00000000-0005-0000-0000-0000198B0000}"/>
    <cellStyle name="Wrap 2 3 3 4 3" xfId="32478" xr:uid="{00000000-0005-0000-0000-00001A8B0000}"/>
    <cellStyle name="Wrap 2 3 3 4 3 2" xfId="32479" xr:uid="{00000000-0005-0000-0000-00001B8B0000}"/>
    <cellStyle name="Wrap 2 3 3 4 4" xfId="32480" xr:uid="{00000000-0005-0000-0000-00001C8B0000}"/>
    <cellStyle name="Wrap 2 3 3 4 4 2" xfId="32481" xr:uid="{00000000-0005-0000-0000-00001D8B0000}"/>
    <cellStyle name="Wrap 2 3 3 4 5" xfId="32482" xr:uid="{00000000-0005-0000-0000-00001E8B0000}"/>
    <cellStyle name="Wrap 2 3 3 4 5 2" xfId="32483" xr:uid="{00000000-0005-0000-0000-00001F8B0000}"/>
    <cellStyle name="Wrap 2 3 3 4 6" xfId="32484" xr:uid="{00000000-0005-0000-0000-0000208B0000}"/>
    <cellStyle name="Wrap 2 3 3 4 6 2" xfId="32485" xr:uid="{00000000-0005-0000-0000-0000218B0000}"/>
    <cellStyle name="Wrap 2 3 3 4 7" xfId="32486" xr:uid="{00000000-0005-0000-0000-0000228B0000}"/>
    <cellStyle name="Wrap 2 3 3 4 7 2" xfId="32487" xr:uid="{00000000-0005-0000-0000-0000238B0000}"/>
    <cellStyle name="Wrap 2 3 3 4 8" xfId="32488" xr:uid="{00000000-0005-0000-0000-0000248B0000}"/>
    <cellStyle name="Wrap 2 3 3 4 8 2" xfId="32489" xr:uid="{00000000-0005-0000-0000-0000258B0000}"/>
    <cellStyle name="Wrap 2 3 3 4 9" xfId="32490" xr:uid="{00000000-0005-0000-0000-0000268B0000}"/>
    <cellStyle name="Wrap 2 3 3 4 9 2" xfId="32491" xr:uid="{00000000-0005-0000-0000-0000278B0000}"/>
    <cellStyle name="Wrap 2 3 3 5" xfId="32492" xr:uid="{00000000-0005-0000-0000-0000288B0000}"/>
    <cellStyle name="Wrap 2 3 3 5 10" xfId="32493" xr:uid="{00000000-0005-0000-0000-0000298B0000}"/>
    <cellStyle name="Wrap 2 3 3 5 2" xfId="32494" xr:uid="{00000000-0005-0000-0000-00002A8B0000}"/>
    <cellStyle name="Wrap 2 3 3 5 2 2" xfId="32495" xr:uid="{00000000-0005-0000-0000-00002B8B0000}"/>
    <cellStyle name="Wrap 2 3 3 5 3" xfId="32496" xr:uid="{00000000-0005-0000-0000-00002C8B0000}"/>
    <cellStyle name="Wrap 2 3 3 5 3 2" xfId="32497" xr:uid="{00000000-0005-0000-0000-00002D8B0000}"/>
    <cellStyle name="Wrap 2 3 3 5 4" xfId="32498" xr:uid="{00000000-0005-0000-0000-00002E8B0000}"/>
    <cellStyle name="Wrap 2 3 3 5 4 2" xfId="32499" xr:uid="{00000000-0005-0000-0000-00002F8B0000}"/>
    <cellStyle name="Wrap 2 3 3 5 5" xfId="32500" xr:uid="{00000000-0005-0000-0000-0000308B0000}"/>
    <cellStyle name="Wrap 2 3 3 5 5 2" xfId="32501" xr:uid="{00000000-0005-0000-0000-0000318B0000}"/>
    <cellStyle name="Wrap 2 3 3 5 6" xfId="32502" xr:uid="{00000000-0005-0000-0000-0000328B0000}"/>
    <cellStyle name="Wrap 2 3 3 5 6 2" xfId="32503" xr:uid="{00000000-0005-0000-0000-0000338B0000}"/>
    <cellStyle name="Wrap 2 3 3 5 7" xfId="32504" xr:uid="{00000000-0005-0000-0000-0000348B0000}"/>
    <cellStyle name="Wrap 2 3 3 5 7 2" xfId="32505" xr:uid="{00000000-0005-0000-0000-0000358B0000}"/>
    <cellStyle name="Wrap 2 3 3 5 8" xfId="32506" xr:uid="{00000000-0005-0000-0000-0000368B0000}"/>
    <cellStyle name="Wrap 2 3 3 5 8 2" xfId="32507" xr:uid="{00000000-0005-0000-0000-0000378B0000}"/>
    <cellStyle name="Wrap 2 3 3 5 9" xfId="32508" xr:uid="{00000000-0005-0000-0000-0000388B0000}"/>
    <cellStyle name="Wrap 2 3 3 5 9 2" xfId="32509" xr:uid="{00000000-0005-0000-0000-0000398B0000}"/>
    <cellStyle name="Wrap 2 3 3 6" xfId="32510" xr:uid="{00000000-0005-0000-0000-00003A8B0000}"/>
    <cellStyle name="Wrap 2 3 3 6 10" xfId="32511" xr:uid="{00000000-0005-0000-0000-00003B8B0000}"/>
    <cellStyle name="Wrap 2 3 3 6 2" xfId="32512" xr:uid="{00000000-0005-0000-0000-00003C8B0000}"/>
    <cellStyle name="Wrap 2 3 3 6 2 2" xfId="32513" xr:uid="{00000000-0005-0000-0000-00003D8B0000}"/>
    <cellStyle name="Wrap 2 3 3 6 3" xfId="32514" xr:uid="{00000000-0005-0000-0000-00003E8B0000}"/>
    <cellStyle name="Wrap 2 3 3 6 3 2" xfId="32515" xr:uid="{00000000-0005-0000-0000-00003F8B0000}"/>
    <cellStyle name="Wrap 2 3 3 6 4" xfId="32516" xr:uid="{00000000-0005-0000-0000-0000408B0000}"/>
    <cellStyle name="Wrap 2 3 3 6 4 2" xfId="32517" xr:uid="{00000000-0005-0000-0000-0000418B0000}"/>
    <cellStyle name="Wrap 2 3 3 6 5" xfId="32518" xr:uid="{00000000-0005-0000-0000-0000428B0000}"/>
    <cellStyle name="Wrap 2 3 3 6 5 2" xfId="32519" xr:uid="{00000000-0005-0000-0000-0000438B0000}"/>
    <cellStyle name="Wrap 2 3 3 6 6" xfId="32520" xr:uid="{00000000-0005-0000-0000-0000448B0000}"/>
    <cellStyle name="Wrap 2 3 3 6 6 2" xfId="32521" xr:uid="{00000000-0005-0000-0000-0000458B0000}"/>
    <cellStyle name="Wrap 2 3 3 6 7" xfId="32522" xr:uid="{00000000-0005-0000-0000-0000468B0000}"/>
    <cellStyle name="Wrap 2 3 3 6 7 2" xfId="32523" xr:uid="{00000000-0005-0000-0000-0000478B0000}"/>
    <cellStyle name="Wrap 2 3 3 6 8" xfId="32524" xr:uid="{00000000-0005-0000-0000-0000488B0000}"/>
    <cellStyle name="Wrap 2 3 3 6 8 2" xfId="32525" xr:uid="{00000000-0005-0000-0000-0000498B0000}"/>
    <cellStyle name="Wrap 2 3 3 6 9" xfId="32526" xr:uid="{00000000-0005-0000-0000-00004A8B0000}"/>
    <cellStyle name="Wrap 2 3 3 6 9 2" xfId="32527" xr:uid="{00000000-0005-0000-0000-00004B8B0000}"/>
    <cellStyle name="Wrap 2 3 3 7" xfId="32528" xr:uid="{00000000-0005-0000-0000-00004C8B0000}"/>
    <cellStyle name="Wrap 2 3 3 7 10" xfId="32529" xr:uid="{00000000-0005-0000-0000-00004D8B0000}"/>
    <cellStyle name="Wrap 2 3 3 7 2" xfId="32530" xr:uid="{00000000-0005-0000-0000-00004E8B0000}"/>
    <cellStyle name="Wrap 2 3 3 7 2 2" xfId="32531" xr:uid="{00000000-0005-0000-0000-00004F8B0000}"/>
    <cellStyle name="Wrap 2 3 3 7 3" xfId="32532" xr:uid="{00000000-0005-0000-0000-0000508B0000}"/>
    <cellStyle name="Wrap 2 3 3 7 3 2" xfId="32533" xr:uid="{00000000-0005-0000-0000-0000518B0000}"/>
    <cellStyle name="Wrap 2 3 3 7 4" xfId="32534" xr:uid="{00000000-0005-0000-0000-0000528B0000}"/>
    <cellStyle name="Wrap 2 3 3 7 4 2" xfId="32535" xr:uid="{00000000-0005-0000-0000-0000538B0000}"/>
    <cellStyle name="Wrap 2 3 3 7 5" xfId="32536" xr:uid="{00000000-0005-0000-0000-0000548B0000}"/>
    <cellStyle name="Wrap 2 3 3 7 5 2" xfId="32537" xr:uid="{00000000-0005-0000-0000-0000558B0000}"/>
    <cellStyle name="Wrap 2 3 3 7 6" xfId="32538" xr:uid="{00000000-0005-0000-0000-0000568B0000}"/>
    <cellStyle name="Wrap 2 3 3 7 6 2" xfId="32539" xr:uid="{00000000-0005-0000-0000-0000578B0000}"/>
    <cellStyle name="Wrap 2 3 3 7 7" xfId="32540" xr:uid="{00000000-0005-0000-0000-0000588B0000}"/>
    <cellStyle name="Wrap 2 3 3 7 7 2" xfId="32541" xr:uid="{00000000-0005-0000-0000-0000598B0000}"/>
    <cellStyle name="Wrap 2 3 3 7 8" xfId="32542" xr:uid="{00000000-0005-0000-0000-00005A8B0000}"/>
    <cellStyle name="Wrap 2 3 3 7 8 2" xfId="32543" xr:uid="{00000000-0005-0000-0000-00005B8B0000}"/>
    <cellStyle name="Wrap 2 3 3 7 9" xfId="32544" xr:uid="{00000000-0005-0000-0000-00005C8B0000}"/>
    <cellStyle name="Wrap 2 3 3 7 9 2" xfId="32545" xr:uid="{00000000-0005-0000-0000-00005D8B0000}"/>
    <cellStyle name="Wrap 2 3 3 8" xfId="32546" xr:uid="{00000000-0005-0000-0000-00005E8B0000}"/>
    <cellStyle name="Wrap 2 3 3 8 10" xfId="32547" xr:uid="{00000000-0005-0000-0000-00005F8B0000}"/>
    <cellStyle name="Wrap 2 3 3 8 2" xfId="32548" xr:uid="{00000000-0005-0000-0000-0000608B0000}"/>
    <cellStyle name="Wrap 2 3 3 8 2 2" xfId="32549" xr:uid="{00000000-0005-0000-0000-0000618B0000}"/>
    <cellStyle name="Wrap 2 3 3 8 3" xfId="32550" xr:uid="{00000000-0005-0000-0000-0000628B0000}"/>
    <cellStyle name="Wrap 2 3 3 8 3 2" xfId="32551" xr:uid="{00000000-0005-0000-0000-0000638B0000}"/>
    <cellStyle name="Wrap 2 3 3 8 4" xfId="32552" xr:uid="{00000000-0005-0000-0000-0000648B0000}"/>
    <cellStyle name="Wrap 2 3 3 8 4 2" xfId="32553" xr:uid="{00000000-0005-0000-0000-0000658B0000}"/>
    <cellStyle name="Wrap 2 3 3 8 5" xfId="32554" xr:uid="{00000000-0005-0000-0000-0000668B0000}"/>
    <cellStyle name="Wrap 2 3 3 8 5 2" xfId="32555" xr:uid="{00000000-0005-0000-0000-0000678B0000}"/>
    <cellStyle name="Wrap 2 3 3 8 6" xfId="32556" xr:uid="{00000000-0005-0000-0000-0000688B0000}"/>
    <cellStyle name="Wrap 2 3 3 8 6 2" xfId="32557" xr:uid="{00000000-0005-0000-0000-0000698B0000}"/>
    <cellStyle name="Wrap 2 3 3 8 7" xfId="32558" xr:uid="{00000000-0005-0000-0000-00006A8B0000}"/>
    <cellStyle name="Wrap 2 3 3 8 7 2" xfId="32559" xr:uid="{00000000-0005-0000-0000-00006B8B0000}"/>
    <cellStyle name="Wrap 2 3 3 8 8" xfId="32560" xr:uid="{00000000-0005-0000-0000-00006C8B0000}"/>
    <cellStyle name="Wrap 2 3 3 8 8 2" xfId="32561" xr:uid="{00000000-0005-0000-0000-00006D8B0000}"/>
    <cellStyle name="Wrap 2 3 3 8 9" xfId="32562" xr:uid="{00000000-0005-0000-0000-00006E8B0000}"/>
    <cellStyle name="Wrap 2 3 3 8 9 2" xfId="32563" xr:uid="{00000000-0005-0000-0000-00006F8B0000}"/>
    <cellStyle name="Wrap 2 3 3 9" xfId="32564" xr:uid="{00000000-0005-0000-0000-0000708B0000}"/>
    <cellStyle name="Wrap 2 3 3 9 10" xfId="32565" xr:uid="{00000000-0005-0000-0000-0000718B0000}"/>
    <cellStyle name="Wrap 2 3 3 9 2" xfId="32566" xr:uid="{00000000-0005-0000-0000-0000728B0000}"/>
    <cellStyle name="Wrap 2 3 3 9 2 2" xfId="32567" xr:uid="{00000000-0005-0000-0000-0000738B0000}"/>
    <cellStyle name="Wrap 2 3 3 9 3" xfId="32568" xr:uid="{00000000-0005-0000-0000-0000748B0000}"/>
    <cellStyle name="Wrap 2 3 3 9 3 2" xfId="32569" xr:uid="{00000000-0005-0000-0000-0000758B0000}"/>
    <cellStyle name="Wrap 2 3 3 9 4" xfId="32570" xr:uid="{00000000-0005-0000-0000-0000768B0000}"/>
    <cellStyle name="Wrap 2 3 3 9 4 2" xfId="32571" xr:uid="{00000000-0005-0000-0000-0000778B0000}"/>
    <cellStyle name="Wrap 2 3 3 9 5" xfId="32572" xr:uid="{00000000-0005-0000-0000-0000788B0000}"/>
    <cellStyle name="Wrap 2 3 3 9 5 2" xfId="32573" xr:uid="{00000000-0005-0000-0000-0000798B0000}"/>
    <cellStyle name="Wrap 2 3 3 9 6" xfId="32574" xr:uid="{00000000-0005-0000-0000-00007A8B0000}"/>
    <cellStyle name="Wrap 2 3 3 9 6 2" xfId="32575" xr:uid="{00000000-0005-0000-0000-00007B8B0000}"/>
    <cellStyle name="Wrap 2 3 3 9 7" xfId="32576" xr:uid="{00000000-0005-0000-0000-00007C8B0000}"/>
    <cellStyle name="Wrap 2 3 3 9 7 2" xfId="32577" xr:uid="{00000000-0005-0000-0000-00007D8B0000}"/>
    <cellStyle name="Wrap 2 3 3 9 8" xfId="32578" xr:uid="{00000000-0005-0000-0000-00007E8B0000}"/>
    <cellStyle name="Wrap 2 3 3 9 8 2" xfId="32579" xr:uid="{00000000-0005-0000-0000-00007F8B0000}"/>
    <cellStyle name="Wrap 2 3 3 9 9" xfId="32580" xr:uid="{00000000-0005-0000-0000-0000808B0000}"/>
    <cellStyle name="Wrap 2 3 3 9 9 2" xfId="32581" xr:uid="{00000000-0005-0000-0000-0000818B0000}"/>
    <cellStyle name="Wrap 2 3 4" xfId="32582" xr:uid="{00000000-0005-0000-0000-0000828B0000}"/>
    <cellStyle name="Wrap 2 3 4 10" xfId="32583" xr:uid="{00000000-0005-0000-0000-0000838B0000}"/>
    <cellStyle name="Wrap 2 3 4 10 2" xfId="32584" xr:uid="{00000000-0005-0000-0000-0000848B0000}"/>
    <cellStyle name="Wrap 2 3 4 10 2 2" xfId="32585" xr:uid="{00000000-0005-0000-0000-0000858B0000}"/>
    <cellStyle name="Wrap 2 3 4 10 3" xfId="32586" xr:uid="{00000000-0005-0000-0000-0000868B0000}"/>
    <cellStyle name="Wrap 2 3 4 10 3 2" xfId="32587" xr:uid="{00000000-0005-0000-0000-0000878B0000}"/>
    <cellStyle name="Wrap 2 3 4 10 4" xfId="32588" xr:uid="{00000000-0005-0000-0000-0000888B0000}"/>
    <cellStyle name="Wrap 2 3 4 10 4 2" xfId="32589" xr:uid="{00000000-0005-0000-0000-0000898B0000}"/>
    <cellStyle name="Wrap 2 3 4 10 5" xfId="32590" xr:uid="{00000000-0005-0000-0000-00008A8B0000}"/>
    <cellStyle name="Wrap 2 3 4 10 5 2" xfId="32591" xr:uid="{00000000-0005-0000-0000-00008B8B0000}"/>
    <cellStyle name="Wrap 2 3 4 10 6" xfId="32592" xr:uid="{00000000-0005-0000-0000-00008C8B0000}"/>
    <cellStyle name="Wrap 2 3 4 10 6 2" xfId="32593" xr:uid="{00000000-0005-0000-0000-00008D8B0000}"/>
    <cellStyle name="Wrap 2 3 4 10 7" xfId="32594" xr:uid="{00000000-0005-0000-0000-00008E8B0000}"/>
    <cellStyle name="Wrap 2 3 4 10 7 2" xfId="32595" xr:uid="{00000000-0005-0000-0000-00008F8B0000}"/>
    <cellStyle name="Wrap 2 3 4 10 8" xfId="32596" xr:uid="{00000000-0005-0000-0000-0000908B0000}"/>
    <cellStyle name="Wrap 2 3 4 10 8 2" xfId="32597" xr:uid="{00000000-0005-0000-0000-0000918B0000}"/>
    <cellStyle name="Wrap 2 3 4 10 9" xfId="32598" xr:uid="{00000000-0005-0000-0000-0000928B0000}"/>
    <cellStyle name="Wrap 2 3 4 11" xfId="32599" xr:uid="{00000000-0005-0000-0000-0000938B0000}"/>
    <cellStyle name="Wrap 2 3 4 11 2" xfId="32600" xr:uid="{00000000-0005-0000-0000-0000948B0000}"/>
    <cellStyle name="Wrap 2 3 4 12" xfId="32601" xr:uid="{00000000-0005-0000-0000-0000958B0000}"/>
    <cellStyle name="Wrap 2 3 4 12 2" xfId="32602" xr:uid="{00000000-0005-0000-0000-0000968B0000}"/>
    <cellStyle name="Wrap 2 3 4 13" xfId="32603" xr:uid="{00000000-0005-0000-0000-0000978B0000}"/>
    <cellStyle name="Wrap 2 3 4 13 2" xfId="32604" xr:uid="{00000000-0005-0000-0000-0000988B0000}"/>
    <cellStyle name="Wrap 2 3 4 14" xfId="32605" xr:uid="{00000000-0005-0000-0000-0000998B0000}"/>
    <cellStyle name="Wrap 2 3 4 14 2" xfId="32606" xr:uid="{00000000-0005-0000-0000-00009A8B0000}"/>
    <cellStyle name="Wrap 2 3 4 15" xfId="32607" xr:uid="{00000000-0005-0000-0000-00009B8B0000}"/>
    <cellStyle name="Wrap 2 3 4 15 2" xfId="32608" xr:uid="{00000000-0005-0000-0000-00009C8B0000}"/>
    <cellStyle name="Wrap 2 3 4 16" xfId="32609" xr:uid="{00000000-0005-0000-0000-00009D8B0000}"/>
    <cellStyle name="Wrap 2 3 4 16 2" xfId="32610" xr:uid="{00000000-0005-0000-0000-00009E8B0000}"/>
    <cellStyle name="Wrap 2 3 4 17" xfId="32611" xr:uid="{00000000-0005-0000-0000-00009F8B0000}"/>
    <cellStyle name="Wrap 2 3 4 17 2" xfId="32612" xr:uid="{00000000-0005-0000-0000-0000A08B0000}"/>
    <cellStyle name="Wrap 2 3 4 18" xfId="32613" xr:uid="{00000000-0005-0000-0000-0000A18B0000}"/>
    <cellStyle name="Wrap 2 3 4 2" xfId="32614" xr:uid="{00000000-0005-0000-0000-0000A28B0000}"/>
    <cellStyle name="Wrap 2 3 4 2 10" xfId="32615" xr:uid="{00000000-0005-0000-0000-0000A38B0000}"/>
    <cellStyle name="Wrap 2 3 4 2 2" xfId="32616" xr:uid="{00000000-0005-0000-0000-0000A48B0000}"/>
    <cellStyle name="Wrap 2 3 4 2 2 2" xfId="32617" xr:uid="{00000000-0005-0000-0000-0000A58B0000}"/>
    <cellStyle name="Wrap 2 3 4 2 3" xfId="32618" xr:uid="{00000000-0005-0000-0000-0000A68B0000}"/>
    <cellStyle name="Wrap 2 3 4 2 3 2" xfId="32619" xr:uid="{00000000-0005-0000-0000-0000A78B0000}"/>
    <cellStyle name="Wrap 2 3 4 2 4" xfId="32620" xr:uid="{00000000-0005-0000-0000-0000A88B0000}"/>
    <cellStyle name="Wrap 2 3 4 2 4 2" xfId="32621" xr:uid="{00000000-0005-0000-0000-0000A98B0000}"/>
    <cellStyle name="Wrap 2 3 4 2 5" xfId="32622" xr:uid="{00000000-0005-0000-0000-0000AA8B0000}"/>
    <cellStyle name="Wrap 2 3 4 2 5 2" xfId="32623" xr:uid="{00000000-0005-0000-0000-0000AB8B0000}"/>
    <cellStyle name="Wrap 2 3 4 2 6" xfId="32624" xr:uid="{00000000-0005-0000-0000-0000AC8B0000}"/>
    <cellStyle name="Wrap 2 3 4 2 6 2" xfId="32625" xr:uid="{00000000-0005-0000-0000-0000AD8B0000}"/>
    <cellStyle name="Wrap 2 3 4 2 7" xfId="32626" xr:uid="{00000000-0005-0000-0000-0000AE8B0000}"/>
    <cellStyle name="Wrap 2 3 4 2 7 2" xfId="32627" xr:uid="{00000000-0005-0000-0000-0000AF8B0000}"/>
    <cellStyle name="Wrap 2 3 4 2 8" xfId="32628" xr:uid="{00000000-0005-0000-0000-0000B08B0000}"/>
    <cellStyle name="Wrap 2 3 4 2 8 2" xfId="32629" xr:uid="{00000000-0005-0000-0000-0000B18B0000}"/>
    <cellStyle name="Wrap 2 3 4 2 9" xfId="32630" xr:uid="{00000000-0005-0000-0000-0000B28B0000}"/>
    <cellStyle name="Wrap 2 3 4 2 9 2" xfId="32631" xr:uid="{00000000-0005-0000-0000-0000B38B0000}"/>
    <cellStyle name="Wrap 2 3 4 3" xfId="32632" xr:uid="{00000000-0005-0000-0000-0000B48B0000}"/>
    <cellStyle name="Wrap 2 3 4 3 10" xfId="32633" xr:uid="{00000000-0005-0000-0000-0000B58B0000}"/>
    <cellStyle name="Wrap 2 3 4 3 2" xfId="32634" xr:uid="{00000000-0005-0000-0000-0000B68B0000}"/>
    <cellStyle name="Wrap 2 3 4 3 2 2" xfId="32635" xr:uid="{00000000-0005-0000-0000-0000B78B0000}"/>
    <cellStyle name="Wrap 2 3 4 3 3" xfId="32636" xr:uid="{00000000-0005-0000-0000-0000B88B0000}"/>
    <cellStyle name="Wrap 2 3 4 3 3 2" xfId="32637" xr:uid="{00000000-0005-0000-0000-0000B98B0000}"/>
    <cellStyle name="Wrap 2 3 4 3 4" xfId="32638" xr:uid="{00000000-0005-0000-0000-0000BA8B0000}"/>
    <cellStyle name="Wrap 2 3 4 3 4 2" xfId="32639" xr:uid="{00000000-0005-0000-0000-0000BB8B0000}"/>
    <cellStyle name="Wrap 2 3 4 3 5" xfId="32640" xr:uid="{00000000-0005-0000-0000-0000BC8B0000}"/>
    <cellStyle name="Wrap 2 3 4 3 5 2" xfId="32641" xr:uid="{00000000-0005-0000-0000-0000BD8B0000}"/>
    <cellStyle name="Wrap 2 3 4 3 6" xfId="32642" xr:uid="{00000000-0005-0000-0000-0000BE8B0000}"/>
    <cellStyle name="Wrap 2 3 4 3 6 2" xfId="32643" xr:uid="{00000000-0005-0000-0000-0000BF8B0000}"/>
    <cellStyle name="Wrap 2 3 4 3 7" xfId="32644" xr:uid="{00000000-0005-0000-0000-0000C08B0000}"/>
    <cellStyle name="Wrap 2 3 4 3 7 2" xfId="32645" xr:uid="{00000000-0005-0000-0000-0000C18B0000}"/>
    <cellStyle name="Wrap 2 3 4 3 8" xfId="32646" xr:uid="{00000000-0005-0000-0000-0000C28B0000}"/>
    <cellStyle name="Wrap 2 3 4 3 8 2" xfId="32647" xr:uid="{00000000-0005-0000-0000-0000C38B0000}"/>
    <cellStyle name="Wrap 2 3 4 3 9" xfId="32648" xr:uid="{00000000-0005-0000-0000-0000C48B0000}"/>
    <cellStyle name="Wrap 2 3 4 3 9 2" xfId="32649" xr:uid="{00000000-0005-0000-0000-0000C58B0000}"/>
    <cellStyle name="Wrap 2 3 4 4" xfId="32650" xr:uid="{00000000-0005-0000-0000-0000C68B0000}"/>
    <cellStyle name="Wrap 2 3 4 4 10" xfId="32651" xr:uid="{00000000-0005-0000-0000-0000C78B0000}"/>
    <cellStyle name="Wrap 2 3 4 4 2" xfId="32652" xr:uid="{00000000-0005-0000-0000-0000C88B0000}"/>
    <cellStyle name="Wrap 2 3 4 4 2 2" xfId="32653" xr:uid="{00000000-0005-0000-0000-0000C98B0000}"/>
    <cellStyle name="Wrap 2 3 4 4 3" xfId="32654" xr:uid="{00000000-0005-0000-0000-0000CA8B0000}"/>
    <cellStyle name="Wrap 2 3 4 4 3 2" xfId="32655" xr:uid="{00000000-0005-0000-0000-0000CB8B0000}"/>
    <cellStyle name="Wrap 2 3 4 4 4" xfId="32656" xr:uid="{00000000-0005-0000-0000-0000CC8B0000}"/>
    <cellStyle name="Wrap 2 3 4 4 4 2" xfId="32657" xr:uid="{00000000-0005-0000-0000-0000CD8B0000}"/>
    <cellStyle name="Wrap 2 3 4 4 5" xfId="32658" xr:uid="{00000000-0005-0000-0000-0000CE8B0000}"/>
    <cellStyle name="Wrap 2 3 4 4 5 2" xfId="32659" xr:uid="{00000000-0005-0000-0000-0000CF8B0000}"/>
    <cellStyle name="Wrap 2 3 4 4 6" xfId="32660" xr:uid="{00000000-0005-0000-0000-0000D08B0000}"/>
    <cellStyle name="Wrap 2 3 4 4 6 2" xfId="32661" xr:uid="{00000000-0005-0000-0000-0000D18B0000}"/>
    <cellStyle name="Wrap 2 3 4 4 7" xfId="32662" xr:uid="{00000000-0005-0000-0000-0000D28B0000}"/>
    <cellStyle name="Wrap 2 3 4 4 7 2" xfId="32663" xr:uid="{00000000-0005-0000-0000-0000D38B0000}"/>
    <cellStyle name="Wrap 2 3 4 4 8" xfId="32664" xr:uid="{00000000-0005-0000-0000-0000D48B0000}"/>
    <cellStyle name="Wrap 2 3 4 4 8 2" xfId="32665" xr:uid="{00000000-0005-0000-0000-0000D58B0000}"/>
    <cellStyle name="Wrap 2 3 4 4 9" xfId="32666" xr:uid="{00000000-0005-0000-0000-0000D68B0000}"/>
    <cellStyle name="Wrap 2 3 4 4 9 2" xfId="32667" xr:uid="{00000000-0005-0000-0000-0000D78B0000}"/>
    <cellStyle name="Wrap 2 3 4 5" xfId="32668" xr:uid="{00000000-0005-0000-0000-0000D88B0000}"/>
    <cellStyle name="Wrap 2 3 4 5 10" xfId="32669" xr:uid="{00000000-0005-0000-0000-0000D98B0000}"/>
    <cellStyle name="Wrap 2 3 4 5 2" xfId="32670" xr:uid="{00000000-0005-0000-0000-0000DA8B0000}"/>
    <cellStyle name="Wrap 2 3 4 5 2 2" xfId="32671" xr:uid="{00000000-0005-0000-0000-0000DB8B0000}"/>
    <cellStyle name="Wrap 2 3 4 5 3" xfId="32672" xr:uid="{00000000-0005-0000-0000-0000DC8B0000}"/>
    <cellStyle name="Wrap 2 3 4 5 3 2" xfId="32673" xr:uid="{00000000-0005-0000-0000-0000DD8B0000}"/>
    <cellStyle name="Wrap 2 3 4 5 4" xfId="32674" xr:uid="{00000000-0005-0000-0000-0000DE8B0000}"/>
    <cellStyle name="Wrap 2 3 4 5 4 2" xfId="32675" xr:uid="{00000000-0005-0000-0000-0000DF8B0000}"/>
    <cellStyle name="Wrap 2 3 4 5 5" xfId="32676" xr:uid="{00000000-0005-0000-0000-0000E08B0000}"/>
    <cellStyle name="Wrap 2 3 4 5 5 2" xfId="32677" xr:uid="{00000000-0005-0000-0000-0000E18B0000}"/>
    <cellStyle name="Wrap 2 3 4 5 6" xfId="32678" xr:uid="{00000000-0005-0000-0000-0000E28B0000}"/>
    <cellStyle name="Wrap 2 3 4 5 6 2" xfId="32679" xr:uid="{00000000-0005-0000-0000-0000E38B0000}"/>
    <cellStyle name="Wrap 2 3 4 5 7" xfId="32680" xr:uid="{00000000-0005-0000-0000-0000E48B0000}"/>
    <cellStyle name="Wrap 2 3 4 5 7 2" xfId="32681" xr:uid="{00000000-0005-0000-0000-0000E58B0000}"/>
    <cellStyle name="Wrap 2 3 4 5 8" xfId="32682" xr:uid="{00000000-0005-0000-0000-0000E68B0000}"/>
    <cellStyle name="Wrap 2 3 4 5 8 2" xfId="32683" xr:uid="{00000000-0005-0000-0000-0000E78B0000}"/>
    <cellStyle name="Wrap 2 3 4 5 9" xfId="32684" xr:uid="{00000000-0005-0000-0000-0000E88B0000}"/>
    <cellStyle name="Wrap 2 3 4 5 9 2" xfId="32685" xr:uid="{00000000-0005-0000-0000-0000E98B0000}"/>
    <cellStyle name="Wrap 2 3 4 6" xfId="32686" xr:uid="{00000000-0005-0000-0000-0000EA8B0000}"/>
    <cellStyle name="Wrap 2 3 4 6 10" xfId="32687" xr:uid="{00000000-0005-0000-0000-0000EB8B0000}"/>
    <cellStyle name="Wrap 2 3 4 6 2" xfId="32688" xr:uid="{00000000-0005-0000-0000-0000EC8B0000}"/>
    <cellStyle name="Wrap 2 3 4 6 2 2" xfId="32689" xr:uid="{00000000-0005-0000-0000-0000ED8B0000}"/>
    <cellStyle name="Wrap 2 3 4 6 3" xfId="32690" xr:uid="{00000000-0005-0000-0000-0000EE8B0000}"/>
    <cellStyle name="Wrap 2 3 4 6 3 2" xfId="32691" xr:uid="{00000000-0005-0000-0000-0000EF8B0000}"/>
    <cellStyle name="Wrap 2 3 4 6 4" xfId="32692" xr:uid="{00000000-0005-0000-0000-0000F08B0000}"/>
    <cellStyle name="Wrap 2 3 4 6 4 2" xfId="32693" xr:uid="{00000000-0005-0000-0000-0000F18B0000}"/>
    <cellStyle name="Wrap 2 3 4 6 5" xfId="32694" xr:uid="{00000000-0005-0000-0000-0000F28B0000}"/>
    <cellStyle name="Wrap 2 3 4 6 5 2" xfId="32695" xr:uid="{00000000-0005-0000-0000-0000F38B0000}"/>
    <cellStyle name="Wrap 2 3 4 6 6" xfId="32696" xr:uid="{00000000-0005-0000-0000-0000F48B0000}"/>
    <cellStyle name="Wrap 2 3 4 6 6 2" xfId="32697" xr:uid="{00000000-0005-0000-0000-0000F58B0000}"/>
    <cellStyle name="Wrap 2 3 4 6 7" xfId="32698" xr:uid="{00000000-0005-0000-0000-0000F68B0000}"/>
    <cellStyle name="Wrap 2 3 4 6 7 2" xfId="32699" xr:uid="{00000000-0005-0000-0000-0000F78B0000}"/>
    <cellStyle name="Wrap 2 3 4 6 8" xfId="32700" xr:uid="{00000000-0005-0000-0000-0000F88B0000}"/>
    <cellStyle name="Wrap 2 3 4 6 8 2" xfId="32701" xr:uid="{00000000-0005-0000-0000-0000F98B0000}"/>
    <cellStyle name="Wrap 2 3 4 6 9" xfId="32702" xr:uid="{00000000-0005-0000-0000-0000FA8B0000}"/>
    <cellStyle name="Wrap 2 3 4 6 9 2" xfId="32703" xr:uid="{00000000-0005-0000-0000-0000FB8B0000}"/>
    <cellStyle name="Wrap 2 3 4 7" xfId="32704" xr:uid="{00000000-0005-0000-0000-0000FC8B0000}"/>
    <cellStyle name="Wrap 2 3 4 7 10" xfId="32705" xr:uid="{00000000-0005-0000-0000-0000FD8B0000}"/>
    <cellStyle name="Wrap 2 3 4 7 2" xfId="32706" xr:uid="{00000000-0005-0000-0000-0000FE8B0000}"/>
    <cellStyle name="Wrap 2 3 4 7 2 2" xfId="32707" xr:uid="{00000000-0005-0000-0000-0000FF8B0000}"/>
    <cellStyle name="Wrap 2 3 4 7 3" xfId="32708" xr:uid="{00000000-0005-0000-0000-0000008C0000}"/>
    <cellStyle name="Wrap 2 3 4 7 3 2" xfId="32709" xr:uid="{00000000-0005-0000-0000-0000018C0000}"/>
    <cellStyle name="Wrap 2 3 4 7 4" xfId="32710" xr:uid="{00000000-0005-0000-0000-0000028C0000}"/>
    <cellStyle name="Wrap 2 3 4 7 4 2" xfId="32711" xr:uid="{00000000-0005-0000-0000-0000038C0000}"/>
    <cellStyle name="Wrap 2 3 4 7 5" xfId="32712" xr:uid="{00000000-0005-0000-0000-0000048C0000}"/>
    <cellStyle name="Wrap 2 3 4 7 5 2" xfId="32713" xr:uid="{00000000-0005-0000-0000-0000058C0000}"/>
    <cellStyle name="Wrap 2 3 4 7 6" xfId="32714" xr:uid="{00000000-0005-0000-0000-0000068C0000}"/>
    <cellStyle name="Wrap 2 3 4 7 6 2" xfId="32715" xr:uid="{00000000-0005-0000-0000-0000078C0000}"/>
    <cellStyle name="Wrap 2 3 4 7 7" xfId="32716" xr:uid="{00000000-0005-0000-0000-0000088C0000}"/>
    <cellStyle name="Wrap 2 3 4 7 7 2" xfId="32717" xr:uid="{00000000-0005-0000-0000-0000098C0000}"/>
    <cellStyle name="Wrap 2 3 4 7 8" xfId="32718" xr:uid="{00000000-0005-0000-0000-00000A8C0000}"/>
    <cellStyle name="Wrap 2 3 4 7 8 2" xfId="32719" xr:uid="{00000000-0005-0000-0000-00000B8C0000}"/>
    <cellStyle name="Wrap 2 3 4 7 9" xfId="32720" xr:uid="{00000000-0005-0000-0000-00000C8C0000}"/>
    <cellStyle name="Wrap 2 3 4 7 9 2" xfId="32721" xr:uid="{00000000-0005-0000-0000-00000D8C0000}"/>
    <cellStyle name="Wrap 2 3 4 8" xfId="32722" xr:uid="{00000000-0005-0000-0000-00000E8C0000}"/>
    <cellStyle name="Wrap 2 3 4 8 10" xfId="32723" xr:uid="{00000000-0005-0000-0000-00000F8C0000}"/>
    <cellStyle name="Wrap 2 3 4 8 2" xfId="32724" xr:uid="{00000000-0005-0000-0000-0000108C0000}"/>
    <cellStyle name="Wrap 2 3 4 8 2 2" xfId="32725" xr:uid="{00000000-0005-0000-0000-0000118C0000}"/>
    <cellStyle name="Wrap 2 3 4 8 3" xfId="32726" xr:uid="{00000000-0005-0000-0000-0000128C0000}"/>
    <cellStyle name="Wrap 2 3 4 8 3 2" xfId="32727" xr:uid="{00000000-0005-0000-0000-0000138C0000}"/>
    <cellStyle name="Wrap 2 3 4 8 4" xfId="32728" xr:uid="{00000000-0005-0000-0000-0000148C0000}"/>
    <cellStyle name="Wrap 2 3 4 8 4 2" xfId="32729" xr:uid="{00000000-0005-0000-0000-0000158C0000}"/>
    <cellStyle name="Wrap 2 3 4 8 5" xfId="32730" xr:uid="{00000000-0005-0000-0000-0000168C0000}"/>
    <cellStyle name="Wrap 2 3 4 8 5 2" xfId="32731" xr:uid="{00000000-0005-0000-0000-0000178C0000}"/>
    <cellStyle name="Wrap 2 3 4 8 6" xfId="32732" xr:uid="{00000000-0005-0000-0000-0000188C0000}"/>
    <cellStyle name="Wrap 2 3 4 8 6 2" xfId="32733" xr:uid="{00000000-0005-0000-0000-0000198C0000}"/>
    <cellStyle name="Wrap 2 3 4 8 7" xfId="32734" xr:uid="{00000000-0005-0000-0000-00001A8C0000}"/>
    <cellStyle name="Wrap 2 3 4 8 7 2" xfId="32735" xr:uid="{00000000-0005-0000-0000-00001B8C0000}"/>
    <cellStyle name="Wrap 2 3 4 8 8" xfId="32736" xr:uid="{00000000-0005-0000-0000-00001C8C0000}"/>
    <cellStyle name="Wrap 2 3 4 8 8 2" xfId="32737" xr:uid="{00000000-0005-0000-0000-00001D8C0000}"/>
    <cellStyle name="Wrap 2 3 4 8 9" xfId="32738" xr:uid="{00000000-0005-0000-0000-00001E8C0000}"/>
    <cellStyle name="Wrap 2 3 4 8 9 2" xfId="32739" xr:uid="{00000000-0005-0000-0000-00001F8C0000}"/>
    <cellStyle name="Wrap 2 3 4 9" xfId="32740" xr:uid="{00000000-0005-0000-0000-0000208C0000}"/>
    <cellStyle name="Wrap 2 3 4 9 10" xfId="32741" xr:uid="{00000000-0005-0000-0000-0000218C0000}"/>
    <cellStyle name="Wrap 2 3 4 9 2" xfId="32742" xr:uid="{00000000-0005-0000-0000-0000228C0000}"/>
    <cellStyle name="Wrap 2 3 4 9 2 2" xfId="32743" xr:uid="{00000000-0005-0000-0000-0000238C0000}"/>
    <cellStyle name="Wrap 2 3 4 9 3" xfId="32744" xr:uid="{00000000-0005-0000-0000-0000248C0000}"/>
    <cellStyle name="Wrap 2 3 4 9 3 2" xfId="32745" xr:uid="{00000000-0005-0000-0000-0000258C0000}"/>
    <cellStyle name="Wrap 2 3 4 9 4" xfId="32746" xr:uid="{00000000-0005-0000-0000-0000268C0000}"/>
    <cellStyle name="Wrap 2 3 4 9 4 2" xfId="32747" xr:uid="{00000000-0005-0000-0000-0000278C0000}"/>
    <cellStyle name="Wrap 2 3 4 9 5" xfId="32748" xr:uid="{00000000-0005-0000-0000-0000288C0000}"/>
    <cellStyle name="Wrap 2 3 4 9 5 2" xfId="32749" xr:uid="{00000000-0005-0000-0000-0000298C0000}"/>
    <cellStyle name="Wrap 2 3 4 9 6" xfId="32750" xr:uid="{00000000-0005-0000-0000-00002A8C0000}"/>
    <cellStyle name="Wrap 2 3 4 9 6 2" xfId="32751" xr:uid="{00000000-0005-0000-0000-00002B8C0000}"/>
    <cellStyle name="Wrap 2 3 4 9 7" xfId="32752" xr:uid="{00000000-0005-0000-0000-00002C8C0000}"/>
    <cellStyle name="Wrap 2 3 4 9 7 2" xfId="32753" xr:uid="{00000000-0005-0000-0000-00002D8C0000}"/>
    <cellStyle name="Wrap 2 3 4 9 8" xfId="32754" xr:uid="{00000000-0005-0000-0000-00002E8C0000}"/>
    <cellStyle name="Wrap 2 3 4 9 8 2" xfId="32755" xr:uid="{00000000-0005-0000-0000-00002F8C0000}"/>
    <cellStyle name="Wrap 2 3 4 9 9" xfId="32756" xr:uid="{00000000-0005-0000-0000-0000308C0000}"/>
    <cellStyle name="Wrap 2 3 4 9 9 2" xfId="32757" xr:uid="{00000000-0005-0000-0000-0000318C0000}"/>
    <cellStyle name="Wrap 2 3 5" xfId="32758" xr:uid="{00000000-0005-0000-0000-0000328C0000}"/>
    <cellStyle name="Wrap 2 3 5 10" xfId="32759" xr:uid="{00000000-0005-0000-0000-0000338C0000}"/>
    <cellStyle name="Wrap 2 3 5 10 2" xfId="32760" xr:uid="{00000000-0005-0000-0000-0000348C0000}"/>
    <cellStyle name="Wrap 2 3 5 10 2 2" xfId="32761" xr:uid="{00000000-0005-0000-0000-0000358C0000}"/>
    <cellStyle name="Wrap 2 3 5 10 3" xfId="32762" xr:uid="{00000000-0005-0000-0000-0000368C0000}"/>
    <cellStyle name="Wrap 2 3 5 10 3 2" xfId="32763" xr:uid="{00000000-0005-0000-0000-0000378C0000}"/>
    <cellStyle name="Wrap 2 3 5 10 4" xfId="32764" xr:uid="{00000000-0005-0000-0000-0000388C0000}"/>
    <cellStyle name="Wrap 2 3 5 10 4 2" xfId="32765" xr:uid="{00000000-0005-0000-0000-0000398C0000}"/>
    <cellStyle name="Wrap 2 3 5 10 5" xfId="32766" xr:uid="{00000000-0005-0000-0000-00003A8C0000}"/>
    <cellStyle name="Wrap 2 3 5 10 5 2" xfId="32767" xr:uid="{00000000-0005-0000-0000-00003B8C0000}"/>
    <cellStyle name="Wrap 2 3 5 10 6" xfId="32768" xr:uid="{00000000-0005-0000-0000-00003C8C0000}"/>
    <cellStyle name="Wrap 2 3 5 10 6 2" xfId="32769" xr:uid="{00000000-0005-0000-0000-00003D8C0000}"/>
    <cellStyle name="Wrap 2 3 5 10 7" xfId="32770" xr:uid="{00000000-0005-0000-0000-00003E8C0000}"/>
    <cellStyle name="Wrap 2 3 5 10 7 2" xfId="32771" xr:uid="{00000000-0005-0000-0000-00003F8C0000}"/>
    <cellStyle name="Wrap 2 3 5 10 8" xfId="32772" xr:uid="{00000000-0005-0000-0000-0000408C0000}"/>
    <cellStyle name="Wrap 2 3 5 10 8 2" xfId="32773" xr:uid="{00000000-0005-0000-0000-0000418C0000}"/>
    <cellStyle name="Wrap 2 3 5 10 9" xfId="32774" xr:uid="{00000000-0005-0000-0000-0000428C0000}"/>
    <cellStyle name="Wrap 2 3 5 11" xfId="32775" xr:uid="{00000000-0005-0000-0000-0000438C0000}"/>
    <cellStyle name="Wrap 2 3 5 11 2" xfId="32776" xr:uid="{00000000-0005-0000-0000-0000448C0000}"/>
    <cellStyle name="Wrap 2 3 5 12" xfId="32777" xr:uid="{00000000-0005-0000-0000-0000458C0000}"/>
    <cellStyle name="Wrap 2 3 5 12 2" xfId="32778" xr:uid="{00000000-0005-0000-0000-0000468C0000}"/>
    <cellStyle name="Wrap 2 3 5 13" xfId="32779" xr:uid="{00000000-0005-0000-0000-0000478C0000}"/>
    <cellStyle name="Wrap 2 3 5 13 2" xfId="32780" xr:uid="{00000000-0005-0000-0000-0000488C0000}"/>
    <cellStyle name="Wrap 2 3 5 14" xfId="32781" xr:uid="{00000000-0005-0000-0000-0000498C0000}"/>
    <cellStyle name="Wrap 2 3 5 14 2" xfId="32782" xr:uid="{00000000-0005-0000-0000-00004A8C0000}"/>
    <cellStyle name="Wrap 2 3 5 15" xfId="32783" xr:uid="{00000000-0005-0000-0000-00004B8C0000}"/>
    <cellStyle name="Wrap 2 3 5 15 2" xfId="32784" xr:uid="{00000000-0005-0000-0000-00004C8C0000}"/>
    <cellStyle name="Wrap 2 3 5 16" xfId="32785" xr:uid="{00000000-0005-0000-0000-00004D8C0000}"/>
    <cellStyle name="Wrap 2 3 5 16 2" xfId="32786" xr:uid="{00000000-0005-0000-0000-00004E8C0000}"/>
    <cellStyle name="Wrap 2 3 5 17" xfId="32787" xr:uid="{00000000-0005-0000-0000-00004F8C0000}"/>
    <cellStyle name="Wrap 2 3 5 17 2" xfId="32788" xr:uid="{00000000-0005-0000-0000-0000508C0000}"/>
    <cellStyle name="Wrap 2 3 5 18" xfId="32789" xr:uid="{00000000-0005-0000-0000-0000518C0000}"/>
    <cellStyle name="Wrap 2 3 5 2" xfId="32790" xr:uid="{00000000-0005-0000-0000-0000528C0000}"/>
    <cellStyle name="Wrap 2 3 5 2 10" xfId="32791" xr:uid="{00000000-0005-0000-0000-0000538C0000}"/>
    <cellStyle name="Wrap 2 3 5 2 2" xfId="32792" xr:uid="{00000000-0005-0000-0000-0000548C0000}"/>
    <cellStyle name="Wrap 2 3 5 2 2 2" xfId="32793" xr:uid="{00000000-0005-0000-0000-0000558C0000}"/>
    <cellStyle name="Wrap 2 3 5 2 3" xfId="32794" xr:uid="{00000000-0005-0000-0000-0000568C0000}"/>
    <cellStyle name="Wrap 2 3 5 2 3 2" xfId="32795" xr:uid="{00000000-0005-0000-0000-0000578C0000}"/>
    <cellStyle name="Wrap 2 3 5 2 4" xfId="32796" xr:uid="{00000000-0005-0000-0000-0000588C0000}"/>
    <cellStyle name="Wrap 2 3 5 2 4 2" xfId="32797" xr:uid="{00000000-0005-0000-0000-0000598C0000}"/>
    <cellStyle name="Wrap 2 3 5 2 5" xfId="32798" xr:uid="{00000000-0005-0000-0000-00005A8C0000}"/>
    <cellStyle name="Wrap 2 3 5 2 5 2" xfId="32799" xr:uid="{00000000-0005-0000-0000-00005B8C0000}"/>
    <cellStyle name="Wrap 2 3 5 2 6" xfId="32800" xr:uid="{00000000-0005-0000-0000-00005C8C0000}"/>
    <cellStyle name="Wrap 2 3 5 2 6 2" xfId="32801" xr:uid="{00000000-0005-0000-0000-00005D8C0000}"/>
    <cellStyle name="Wrap 2 3 5 2 7" xfId="32802" xr:uid="{00000000-0005-0000-0000-00005E8C0000}"/>
    <cellStyle name="Wrap 2 3 5 2 7 2" xfId="32803" xr:uid="{00000000-0005-0000-0000-00005F8C0000}"/>
    <cellStyle name="Wrap 2 3 5 2 8" xfId="32804" xr:uid="{00000000-0005-0000-0000-0000608C0000}"/>
    <cellStyle name="Wrap 2 3 5 2 8 2" xfId="32805" xr:uid="{00000000-0005-0000-0000-0000618C0000}"/>
    <cellStyle name="Wrap 2 3 5 2 9" xfId="32806" xr:uid="{00000000-0005-0000-0000-0000628C0000}"/>
    <cellStyle name="Wrap 2 3 5 2 9 2" xfId="32807" xr:uid="{00000000-0005-0000-0000-0000638C0000}"/>
    <cellStyle name="Wrap 2 3 5 3" xfId="32808" xr:uid="{00000000-0005-0000-0000-0000648C0000}"/>
    <cellStyle name="Wrap 2 3 5 3 10" xfId="32809" xr:uid="{00000000-0005-0000-0000-0000658C0000}"/>
    <cellStyle name="Wrap 2 3 5 3 2" xfId="32810" xr:uid="{00000000-0005-0000-0000-0000668C0000}"/>
    <cellStyle name="Wrap 2 3 5 3 2 2" xfId="32811" xr:uid="{00000000-0005-0000-0000-0000678C0000}"/>
    <cellStyle name="Wrap 2 3 5 3 3" xfId="32812" xr:uid="{00000000-0005-0000-0000-0000688C0000}"/>
    <cellStyle name="Wrap 2 3 5 3 3 2" xfId="32813" xr:uid="{00000000-0005-0000-0000-0000698C0000}"/>
    <cellStyle name="Wrap 2 3 5 3 4" xfId="32814" xr:uid="{00000000-0005-0000-0000-00006A8C0000}"/>
    <cellStyle name="Wrap 2 3 5 3 4 2" xfId="32815" xr:uid="{00000000-0005-0000-0000-00006B8C0000}"/>
    <cellStyle name="Wrap 2 3 5 3 5" xfId="32816" xr:uid="{00000000-0005-0000-0000-00006C8C0000}"/>
    <cellStyle name="Wrap 2 3 5 3 5 2" xfId="32817" xr:uid="{00000000-0005-0000-0000-00006D8C0000}"/>
    <cellStyle name="Wrap 2 3 5 3 6" xfId="32818" xr:uid="{00000000-0005-0000-0000-00006E8C0000}"/>
    <cellStyle name="Wrap 2 3 5 3 6 2" xfId="32819" xr:uid="{00000000-0005-0000-0000-00006F8C0000}"/>
    <cellStyle name="Wrap 2 3 5 3 7" xfId="32820" xr:uid="{00000000-0005-0000-0000-0000708C0000}"/>
    <cellStyle name="Wrap 2 3 5 3 7 2" xfId="32821" xr:uid="{00000000-0005-0000-0000-0000718C0000}"/>
    <cellStyle name="Wrap 2 3 5 3 8" xfId="32822" xr:uid="{00000000-0005-0000-0000-0000728C0000}"/>
    <cellStyle name="Wrap 2 3 5 3 8 2" xfId="32823" xr:uid="{00000000-0005-0000-0000-0000738C0000}"/>
    <cellStyle name="Wrap 2 3 5 3 9" xfId="32824" xr:uid="{00000000-0005-0000-0000-0000748C0000}"/>
    <cellStyle name="Wrap 2 3 5 3 9 2" xfId="32825" xr:uid="{00000000-0005-0000-0000-0000758C0000}"/>
    <cellStyle name="Wrap 2 3 5 4" xfId="32826" xr:uid="{00000000-0005-0000-0000-0000768C0000}"/>
    <cellStyle name="Wrap 2 3 5 4 10" xfId="32827" xr:uid="{00000000-0005-0000-0000-0000778C0000}"/>
    <cellStyle name="Wrap 2 3 5 4 2" xfId="32828" xr:uid="{00000000-0005-0000-0000-0000788C0000}"/>
    <cellStyle name="Wrap 2 3 5 4 2 2" xfId="32829" xr:uid="{00000000-0005-0000-0000-0000798C0000}"/>
    <cellStyle name="Wrap 2 3 5 4 3" xfId="32830" xr:uid="{00000000-0005-0000-0000-00007A8C0000}"/>
    <cellStyle name="Wrap 2 3 5 4 3 2" xfId="32831" xr:uid="{00000000-0005-0000-0000-00007B8C0000}"/>
    <cellStyle name="Wrap 2 3 5 4 4" xfId="32832" xr:uid="{00000000-0005-0000-0000-00007C8C0000}"/>
    <cellStyle name="Wrap 2 3 5 4 4 2" xfId="32833" xr:uid="{00000000-0005-0000-0000-00007D8C0000}"/>
    <cellStyle name="Wrap 2 3 5 4 5" xfId="32834" xr:uid="{00000000-0005-0000-0000-00007E8C0000}"/>
    <cellStyle name="Wrap 2 3 5 4 5 2" xfId="32835" xr:uid="{00000000-0005-0000-0000-00007F8C0000}"/>
    <cellStyle name="Wrap 2 3 5 4 6" xfId="32836" xr:uid="{00000000-0005-0000-0000-0000808C0000}"/>
    <cellStyle name="Wrap 2 3 5 4 6 2" xfId="32837" xr:uid="{00000000-0005-0000-0000-0000818C0000}"/>
    <cellStyle name="Wrap 2 3 5 4 7" xfId="32838" xr:uid="{00000000-0005-0000-0000-0000828C0000}"/>
    <cellStyle name="Wrap 2 3 5 4 7 2" xfId="32839" xr:uid="{00000000-0005-0000-0000-0000838C0000}"/>
    <cellStyle name="Wrap 2 3 5 4 8" xfId="32840" xr:uid="{00000000-0005-0000-0000-0000848C0000}"/>
    <cellStyle name="Wrap 2 3 5 4 8 2" xfId="32841" xr:uid="{00000000-0005-0000-0000-0000858C0000}"/>
    <cellStyle name="Wrap 2 3 5 4 9" xfId="32842" xr:uid="{00000000-0005-0000-0000-0000868C0000}"/>
    <cellStyle name="Wrap 2 3 5 4 9 2" xfId="32843" xr:uid="{00000000-0005-0000-0000-0000878C0000}"/>
    <cellStyle name="Wrap 2 3 5 5" xfId="32844" xr:uid="{00000000-0005-0000-0000-0000888C0000}"/>
    <cellStyle name="Wrap 2 3 5 5 10" xfId="32845" xr:uid="{00000000-0005-0000-0000-0000898C0000}"/>
    <cellStyle name="Wrap 2 3 5 5 2" xfId="32846" xr:uid="{00000000-0005-0000-0000-00008A8C0000}"/>
    <cellStyle name="Wrap 2 3 5 5 2 2" xfId="32847" xr:uid="{00000000-0005-0000-0000-00008B8C0000}"/>
    <cellStyle name="Wrap 2 3 5 5 3" xfId="32848" xr:uid="{00000000-0005-0000-0000-00008C8C0000}"/>
    <cellStyle name="Wrap 2 3 5 5 3 2" xfId="32849" xr:uid="{00000000-0005-0000-0000-00008D8C0000}"/>
    <cellStyle name="Wrap 2 3 5 5 4" xfId="32850" xr:uid="{00000000-0005-0000-0000-00008E8C0000}"/>
    <cellStyle name="Wrap 2 3 5 5 4 2" xfId="32851" xr:uid="{00000000-0005-0000-0000-00008F8C0000}"/>
    <cellStyle name="Wrap 2 3 5 5 5" xfId="32852" xr:uid="{00000000-0005-0000-0000-0000908C0000}"/>
    <cellStyle name="Wrap 2 3 5 5 5 2" xfId="32853" xr:uid="{00000000-0005-0000-0000-0000918C0000}"/>
    <cellStyle name="Wrap 2 3 5 5 6" xfId="32854" xr:uid="{00000000-0005-0000-0000-0000928C0000}"/>
    <cellStyle name="Wrap 2 3 5 5 6 2" xfId="32855" xr:uid="{00000000-0005-0000-0000-0000938C0000}"/>
    <cellStyle name="Wrap 2 3 5 5 7" xfId="32856" xr:uid="{00000000-0005-0000-0000-0000948C0000}"/>
    <cellStyle name="Wrap 2 3 5 5 7 2" xfId="32857" xr:uid="{00000000-0005-0000-0000-0000958C0000}"/>
    <cellStyle name="Wrap 2 3 5 5 8" xfId="32858" xr:uid="{00000000-0005-0000-0000-0000968C0000}"/>
    <cellStyle name="Wrap 2 3 5 5 8 2" xfId="32859" xr:uid="{00000000-0005-0000-0000-0000978C0000}"/>
    <cellStyle name="Wrap 2 3 5 5 9" xfId="32860" xr:uid="{00000000-0005-0000-0000-0000988C0000}"/>
    <cellStyle name="Wrap 2 3 5 5 9 2" xfId="32861" xr:uid="{00000000-0005-0000-0000-0000998C0000}"/>
    <cellStyle name="Wrap 2 3 5 6" xfId="32862" xr:uid="{00000000-0005-0000-0000-00009A8C0000}"/>
    <cellStyle name="Wrap 2 3 5 6 10" xfId="32863" xr:uid="{00000000-0005-0000-0000-00009B8C0000}"/>
    <cellStyle name="Wrap 2 3 5 6 2" xfId="32864" xr:uid="{00000000-0005-0000-0000-00009C8C0000}"/>
    <cellStyle name="Wrap 2 3 5 6 2 2" xfId="32865" xr:uid="{00000000-0005-0000-0000-00009D8C0000}"/>
    <cellStyle name="Wrap 2 3 5 6 3" xfId="32866" xr:uid="{00000000-0005-0000-0000-00009E8C0000}"/>
    <cellStyle name="Wrap 2 3 5 6 3 2" xfId="32867" xr:uid="{00000000-0005-0000-0000-00009F8C0000}"/>
    <cellStyle name="Wrap 2 3 5 6 4" xfId="32868" xr:uid="{00000000-0005-0000-0000-0000A08C0000}"/>
    <cellStyle name="Wrap 2 3 5 6 4 2" xfId="32869" xr:uid="{00000000-0005-0000-0000-0000A18C0000}"/>
    <cellStyle name="Wrap 2 3 5 6 5" xfId="32870" xr:uid="{00000000-0005-0000-0000-0000A28C0000}"/>
    <cellStyle name="Wrap 2 3 5 6 5 2" xfId="32871" xr:uid="{00000000-0005-0000-0000-0000A38C0000}"/>
    <cellStyle name="Wrap 2 3 5 6 6" xfId="32872" xr:uid="{00000000-0005-0000-0000-0000A48C0000}"/>
    <cellStyle name="Wrap 2 3 5 6 6 2" xfId="32873" xr:uid="{00000000-0005-0000-0000-0000A58C0000}"/>
    <cellStyle name="Wrap 2 3 5 6 7" xfId="32874" xr:uid="{00000000-0005-0000-0000-0000A68C0000}"/>
    <cellStyle name="Wrap 2 3 5 6 7 2" xfId="32875" xr:uid="{00000000-0005-0000-0000-0000A78C0000}"/>
    <cellStyle name="Wrap 2 3 5 6 8" xfId="32876" xr:uid="{00000000-0005-0000-0000-0000A88C0000}"/>
    <cellStyle name="Wrap 2 3 5 6 8 2" xfId="32877" xr:uid="{00000000-0005-0000-0000-0000A98C0000}"/>
    <cellStyle name="Wrap 2 3 5 6 9" xfId="32878" xr:uid="{00000000-0005-0000-0000-0000AA8C0000}"/>
    <cellStyle name="Wrap 2 3 5 6 9 2" xfId="32879" xr:uid="{00000000-0005-0000-0000-0000AB8C0000}"/>
    <cellStyle name="Wrap 2 3 5 7" xfId="32880" xr:uid="{00000000-0005-0000-0000-0000AC8C0000}"/>
    <cellStyle name="Wrap 2 3 5 7 10" xfId="32881" xr:uid="{00000000-0005-0000-0000-0000AD8C0000}"/>
    <cellStyle name="Wrap 2 3 5 7 2" xfId="32882" xr:uid="{00000000-0005-0000-0000-0000AE8C0000}"/>
    <cellStyle name="Wrap 2 3 5 7 2 2" xfId="32883" xr:uid="{00000000-0005-0000-0000-0000AF8C0000}"/>
    <cellStyle name="Wrap 2 3 5 7 3" xfId="32884" xr:uid="{00000000-0005-0000-0000-0000B08C0000}"/>
    <cellStyle name="Wrap 2 3 5 7 3 2" xfId="32885" xr:uid="{00000000-0005-0000-0000-0000B18C0000}"/>
    <cellStyle name="Wrap 2 3 5 7 4" xfId="32886" xr:uid="{00000000-0005-0000-0000-0000B28C0000}"/>
    <cellStyle name="Wrap 2 3 5 7 4 2" xfId="32887" xr:uid="{00000000-0005-0000-0000-0000B38C0000}"/>
    <cellStyle name="Wrap 2 3 5 7 5" xfId="32888" xr:uid="{00000000-0005-0000-0000-0000B48C0000}"/>
    <cellStyle name="Wrap 2 3 5 7 5 2" xfId="32889" xr:uid="{00000000-0005-0000-0000-0000B58C0000}"/>
    <cellStyle name="Wrap 2 3 5 7 6" xfId="32890" xr:uid="{00000000-0005-0000-0000-0000B68C0000}"/>
    <cellStyle name="Wrap 2 3 5 7 6 2" xfId="32891" xr:uid="{00000000-0005-0000-0000-0000B78C0000}"/>
    <cellStyle name="Wrap 2 3 5 7 7" xfId="32892" xr:uid="{00000000-0005-0000-0000-0000B88C0000}"/>
    <cellStyle name="Wrap 2 3 5 7 7 2" xfId="32893" xr:uid="{00000000-0005-0000-0000-0000B98C0000}"/>
    <cellStyle name="Wrap 2 3 5 7 8" xfId="32894" xr:uid="{00000000-0005-0000-0000-0000BA8C0000}"/>
    <cellStyle name="Wrap 2 3 5 7 8 2" xfId="32895" xr:uid="{00000000-0005-0000-0000-0000BB8C0000}"/>
    <cellStyle name="Wrap 2 3 5 7 9" xfId="32896" xr:uid="{00000000-0005-0000-0000-0000BC8C0000}"/>
    <cellStyle name="Wrap 2 3 5 7 9 2" xfId="32897" xr:uid="{00000000-0005-0000-0000-0000BD8C0000}"/>
    <cellStyle name="Wrap 2 3 5 8" xfId="32898" xr:uid="{00000000-0005-0000-0000-0000BE8C0000}"/>
    <cellStyle name="Wrap 2 3 5 8 10" xfId="32899" xr:uid="{00000000-0005-0000-0000-0000BF8C0000}"/>
    <cellStyle name="Wrap 2 3 5 8 2" xfId="32900" xr:uid="{00000000-0005-0000-0000-0000C08C0000}"/>
    <cellStyle name="Wrap 2 3 5 8 2 2" xfId="32901" xr:uid="{00000000-0005-0000-0000-0000C18C0000}"/>
    <cellStyle name="Wrap 2 3 5 8 3" xfId="32902" xr:uid="{00000000-0005-0000-0000-0000C28C0000}"/>
    <cellStyle name="Wrap 2 3 5 8 3 2" xfId="32903" xr:uid="{00000000-0005-0000-0000-0000C38C0000}"/>
    <cellStyle name="Wrap 2 3 5 8 4" xfId="32904" xr:uid="{00000000-0005-0000-0000-0000C48C0000}"/>
    <cellStyle name="Wrap 2 3 5 8 4 2" xfId="32905" xr:uid="{00000000-0005-0000-0000-0000C58C0000}"/>
    <cellStyle name="Wrap 2 3 5 8 5" xfId="32906" xr:uid="{00000000-0005-0000-0000-0000C68C0000}"/>
    <cellStyle name="Wrap 2 3 5 8 5 2" xfId="32907" xr:uid="{00000000-0005-0000-0000-0000C78C0000}"/>
    <cellStyle name="Wrap 2 3 5 8 6" xfId="32908" xr:uid="{00000000-0005-0000-0000-0000C88C0000}"/>
    <cellStyle name="Wrap 2 3 5 8 6 2" xfId="32909" xr:uid="{00000000-0005-0000-0000-0000C98C0000}"/>
    <cellStyle name="Wrap 2 3 5 8 7" xfId="32910" xr:uid="{00000000-0005-0000-0000-0000CA8C0000}"/>
    <cellStyle name="Wrap 2 3 5 8 7 2" xfId="32911" xr:uid="{00000000-0005-0000-0000-0000CB8C0000}"/>
    <cellStyle name="Wrap 2 3 5 8 8" xfId="32912" xr:uid="{00000000-0005-0000-0000-0000CC8C0000}"/>
    <cellStyle name="Wrap 2 3 5 8 8 2" xfId="32913" xr:uid="{00000000-0005-0000-0000-0000CD8C0000}"/>
    <cellStyle name="Wrap 2 3 5 8 9" xfId="32914" xr:uid="{00000000-0005-0000-0000-0000CE8C0000}"/>
    <cellStyle name="Wrap 2 3 5 8 9 2" xfId="32915" xr:uid="{00000000-0005-0000-0000-0000CF8C0000}"/>
    <cellStyle name="Wrap 2 3 5 9" xfId="32916" xr:uid="{00000000-0005-0000-0000-0000D08C0000}"/>
    <cellStyle name="Wrap 2 3 5 9 10" xfId="32917" xr:uid="{00000000-0005-0000-0000-0000D18C0000}"/>
    <cellStyle name="Wrap 2 3 5 9 2" xfId="32918" xr:uid="{00000000-0005-0000-0000-0000D28C0000}"/>
    <cellStyle name="Wrap 2 3 5 9 2 2" xfId="32919" xr:uid="{00000000-0005-0000-0000-0000D38C0000}"/>
    <cellStyle name="Wrap 2 3 5 9 3" xfId="32920" xr:uid="{00000000-0005-0000-0000-0000D48C0000}"/>
    <cellStyle name="Wrap 2 3 5 9 3 2" xfId="32921" xr:uid="{00000000-0005-0000-0000-0000D58C0000}"/>
    <cellStyle name="Wrap 2 3 5 9 4" xfId="32922" xr:uid="{00000000-0005-0000-0000-0000D68C0000}"/>
    <cellStyle name="Wrap 2 3 5 9 4 2" xfId="32923" xr:uid="{00000000-0005-0000-0000-0000D78C0000}"/>
    <cellStyle name="Wrap 2 3 5 9 5" xfId="32924" xr:uid="{00000000-0005-0000-0000-0000D88C0000}"/>
    <cellStyle name="Wrap 2 3 5 9 5 2" xfId="32925" xr:uid="{00000000-0005-0000-0000-0000D98C0000}"/>
    <cellStyle name="Wrap 2 3 5 9 6" xfId="32926" xr:uid="{00000000-0005-0000-0000-0000DA8C0000}"/>
    <cellStyle name="Wrap 2 3 5 9 6 2" xfId="32927" xr:uid="{00000000-0005-0000-0000-0000DB8C0000}"/>
    <cellStyle name="Wrap 2 3 5 9 7" xfId="32928" xr:uid="{00000000-0005-0000-0000-0000DC8C0000}"/>
    <cellStyle name="Wrap 2 3 5 9 7 2" xfId="32929" xr:uid="{00000000-0005-0000-0000-0000DD8C0000}"/>
    <cellStyle name="Wrap 2 3 5 9 8" xfId="32930" xr:uid="{00000000-0005-0000-0000-0000DE8C0000}"/>
    <cellStyle name="Wrap 2 3 5 9 8 2" xfId="32931" xr:uid="{00000000-0005-0000-0000-0000DF8C0000}"/>
    <cellStyle name="Wrap 2 3 5 9 9" xfId="32932" xr:uid="{00000000-0005-0000-0000-0000E08C0000}"/>
    <cellStyle name="Wrap 2 3 5 9 9 2" xfId="32933" xr:uid="{00000000-0005-0000-0000-0000E18C0000}"/>
    <cellStyle name="Wrap 2 3 6" xfId="32934" xr:uid="{00000000-0005-0000-0000-0000E28C0000}"/>
    <cellStyle name="Wrap 2 3 6 10" xfId="32935" xr:uid="{00000000-0005-0000-0000-0000E38C0000}"/>
    <cellStyle name="Wrap 2 3 6 10 2" xfId="32936" xr:uid="{00000000-0005-0000-0000-0000E48C0000}"/>
    <cellStyle name="Wrap 2 3 6 10 2 2" xfId="32937" xr:uid="{00000000-0005-0000-0000-0000E58C0000}"/>
    <cellStyle name="Wrap 2 3 6 10 3" xfId="32938" xr:uid="{00000000-0005-0000-0000-0000E68C0000}"/>
    <cellStyle name="Wrap 2 3 6 10 3 2" xfId="32939" xr:uid="{00000000-0005-0000-0000-0000E78C0000}"/>
    <cellStyle name="Wrap 2 3 6 10 4" xfId="32940" xr:uid="{00000000-0005-0000-0000-0000E88C0000}"/>
    <cellStyle name="Wrap 2 3 6 10 4 2" xfId="32941" xr:uid="{00000000-0005-0000-0000-0000E98C0000}"/>
    <cellStyle name="Wrap 2 3 6 10 5" xfId="32942" xr:uid="{00000000-0005-0000-0000-0000EA8C0000}"/>
    <cellStyle name="Wrap 2 3 6 10 5 2" xfId="32943" xr:uid="{00000000-0005-0000-0000-0000EB8C0000}"/>
    <cellStyle name="Wrap 2 3 6 10 6" xfId="32944" xr:uid="{00000000-0005-0000-0000-0000EC8C0000}"/>
    <cellStyle name="Wrap 2 3 6 10 6 2" xfId="32945" xr:uid="{00000000-0005-0000-0000-0000ED8C0000}"/>
    <cellStyle name="Wrap 2 3 6 10 7" xfId="32946" xr:uid="{00000000-0005-0000-0000-0000EE8C0000}"/>
    <cellStyle name="Wrap 2 3 6 10 7 2" xfId="32947" xr:uid="{00000000-0005-0000-0000-0000EF8C0000}"/>
    <cellStyle name="Wrap 2 3 6 10 8" xfId="32948" xr:uid="{00000000-0005-0000-0000-0000F08C0000}"/>
    <cellStyle name="Wrap 2 3 6 10 8 2" xfId="32949" xr:uid="{00000000-0005-0000-0000-0000F18C0000}"/>
    <cellStyle name="Wrap 2 3 6 10 9" xfId="32950" xr:uid="{00000000-0005-0000-0000-0000F28C0000}"/>
    <cellStyle name="Wrap 2 3 6 11" xfId="32951" xr:uid="{00000000-0005-0000-0000-0000F38C0000}"/>
    <cellStyle name="Wrap 2 3 6 11 2" xfId="32952" xr:uid="{00000000-0005-0000-0000-0000F48C0000}"/>
    <cellStyle name="Wrap 2 3 6 12" xfId="32953" xr:uid="{00000000-0005-0000-0000-0000F58C0000}"/>
    <cellStyle name="Wrap 2 3 6 12 2" xfId="32954" xr:uid="{00000000-0005-0000-0000-0000F68C0000}"/>
    <cellStyle name="Wrap 2 3 6 13" xfId="32955" xr:uid="{00000000-0005-0000-0000-0000F78C0000}"/>
    <cellStyle name="Wrap 2 3 6 13 2" xfId="32956" xr:uid="{00000000-0005-0000-0000-0000F88C0000}"/>
    <cellStyle name="Wrap 2 3 6 14" xfId="32957" xr:uid="{00000000-0005-0000-0000-0000F98C0000}"/>
    <cellStyle name="Wrap 2 3 6 14 2" xfId="32958" xr:uid="{00000000-0005-0000-0000-0000FA8C0000}"/>
    <cellStyle name="Wrap 2 3 6 15" xfId="32959" xr:uid="{00000000-0005-0000-0000-0000FB8C0000}"/>
    <cellStyle name="Wrap 2 3 6 15 2" xfId="32960" xr:uid="{00000000-0005-0000-0000-0000FC8C0000}"/>
    <cellStyle name="Wrap 2 3 6 16" xfId="32961" xr:uid="{00000000-0005-0000-0000-0000FD8C0000}"/>
    <cellStyle name="Wrap 2 3 6 16 2" xfId="32962" xr:uid="{00000000-0005-0000-0000-0000FE8C0000}"/>
    <cellStyle name="Wrap 2 3 6 17" xfId="32963" xr:uid="{00000000-0005-0000-0000-0000FF8C0000}"/>
    <cellStyle name="Wrap 2 3 6 17 2" xfId="32964" xr:uid="{00000000-0005-0000-0000-0000008D0000}"/>
    <cellStyle name="Wrap 2 3 6 18" xfId="32965" xr:uid="{00000000-0005-0000-0000-0000018D0000}"/>
    <cellStyle name="Wrap 2 3 6 2" xfId="32966" xr:uid="{00000000-0005-0000-0000-0000028D0000}"/>
    <cellStyle name="Wrap 2 3 6 2 10" xfId="32967" xr:uid="{00000000-0005-0000-0000-0000038D0000}"/>
    <cellStyle name="Wrap 2 3 6 2 2" xfId="32968" xr:uid="{00000000-0005-0000-0000-0000048D0000}"/>
    <cellStyle name="Wrap 2 3 6 2 2 2" xfId="32969" xr:uid="{00000000-0005-0000-0000-0000058D0000}"/>
    <cellStyle name="Wrap 2 3 6 2 3" xfId="32970" xr:uid="{00000000-0005-0000-0000-0000068D0000}"/>
    <cellStyle name="Wrap 2 3 6 2 3 2" xfId="32971" xr:uid="{00000000-0005-0000-0000-0000078D0000}"/>
    <cellStyle name="Wrap 2 3 6 2 4" xfId="32972" xr:uid="{00000000-0005-0000-0000-0000088D0000}"/>
    <cellStyle name="Wrap 2 3 6 2 4 2" xfId="32973" xr:uid="{00000000-0005-0000-0000-0000098D0000}"/>
    <cellStyle name="Wrap 2 3 6 2 5" xfId="32974" xr:uid="{00000000-0005-0000-0000-00000A8D0000}"/>
    <cellStyle name="Wrap 2 3 6 2 5 2" xfId="32975" xr:uid="{00000000-0005-0000-0000-00000B8D0000}"/>
    <cellStyle name="Wrap 2 3 6 2 6" xfId="32976" xr:uid="{00000000-0005-0000-0000-00000C8D0000}"/>
    <cellStyle name="Wrap 2 3 6 2 6 2" xfId="32977" xr:uid="{00000000-0005-0000-0000-00000D8D0000}"/>
    <cellStyle name="Wrap 2 3 6 2 7" xfId="32978" xr:uid="{00000000-0005-0000-0000-00000E8D0000}"/>
    <cellStyle name="Wrap 2 3 6 2 7 2" xfId="32979" xr:uid="{00000000-0005-0000-0000-00000F8D0000}"/>
    <cellStyle name="Wrap 2 3 6 2 8" xfId="32980" xr:uid="{00000000-0005-0000-0000-0000108D0000}"/>
    <cellStyle name="Wrap 2 3 6 2 8 2" xfId="32981" xr:uid="{00000000-0005-0000-0000-0000118D0000}"/>
    <cellStyle name="Wrap 2 3 6 2 9" xfId="32982" xr:uid="{00000000-0005-0000-0000-0000128D0000}"/>
    <cellStyle name="Wrap 2 3 6 2 9 2" xfId="32983" xr:uid="{00000000-0005-0000-0000-0000138D0000}"/>
    <cellStyle name="Wrap 2 3 6 3" xfId="32984" xr:uid="{00000000-0005-0000-0000-0000148D0000}"/>
    <cellStyle name="Wrap 2 3 6 3 10" xfId="32985" xr:uid="{00000000-0005-0000-0000-0000158D0000}"/>
    <cellStyle name="Wrap 2 3 6 3 2" xfId="32986" xr:uid="{00000000-0005-0000-0000-0000168D0000}"/>
    <cellStyle name="Wrap 2 3 6 3 2 2" xfId="32987" xr:uid="{00000000-0005-0000-0000-0000178D0000}"/>
    <cellStyle name="Wrap 2 3 6 3 3" xfId="32988" xr:uid="{00000000-0005-0000-0000-0000188D0000}"/>
    <cellStyle name="Wrap 2 3 6 3 3 2" xfId="32989" xr:uid="{00000000-0005-0000-0000-0000198D0000}"/>
    <cellStyle name="Wrap 2 3 6 3 4" xfId="32990" xr:uid="{00000000-0005-0000-0000-00001A8D0000}"/>
    <cellStyle name="Wrap 2 3 6 3 4 2" xfId="32991" xr:uid="{00000000-0005-0000-0000-00001B8D0000}"/>
    <cellStyle name="Wrap 2 3 6 3 5" xfId="32992" xr:uid="{00000000-0005-0000-0000-00001C8D0000}"/>
    <cellStyle name="Wrap 2 3 6 3 5 2" xfId="32993" xr:uid="{00000000-0005-0000-0000-00001D8D0000}"/>
    <cellStyle name="Wrap 2 3 6 3 6" xfId="32994" xr:uid="{00000000-0005-0000-0000-00001E8D0000}"/>
    <cellStyle name="Wrap 2 3 6 3 6 2" xfId="32995" xr:uid="{00000000-0005-0000-0000-00001F8D0000}"/>
    <cellStyle name="Wrap 2 3 6 3 7" xfId="32996" xr:uid="{00000000-0005-0000-0000-0000208D0000}"/>
    <cellStyle name="Wrap 2 3 6 3 7 2" xfId="32997" xr:uid="{00000000-0005-0000-0000-0000218D0000}"/>
    <cellStyle name="Wrap 2 3 6 3 8" xfId="32998" xr:uid="{00000000-0005-0000-0000-0000228D0000}"/>
    <cellStyle name="Wrap 2 3 6 3 8 2" xfId="32999" xr:uid="{00000000-0005-0000-0000-0000238D0000}"/>
    <cellStyle name="Wrap 2 3 6 3 9" xfId="33000" xr:uid="{00000000-0005-0000-0000-0000248D0000}"/>
    <cellStyle name="Wrap 2 3 6 3 9 2" xfId="33001" xr:uid="{00000000-0005-0000-0000-0000258D0000}"/>
    <cellStyle name="Wrap 2 3 6 4" xfId="33002" xr:uid="{00000000-0005-0000-0000-0000268D0000}"/>
    <cellStyle name="Wrap 2 3 6 4 10" xfId="33003" xr:uid="{00000000-0005-0000-0000-0000278D0000}"/>
    <cellStyle name="Wrap 2 3 6 4 2" xfId="33004" xr:uid="{00000000-0005-0000-0000-0000288D0000}"/>
    <cellStyle name="Wrap 2 3 6 4 2 2" xfId="33005" xr:uid="{00000000-0005-0000-0000-0000298D0000}"/>
    <cellStyle name="Wrap 2 3 6 4 3" xfId="33006" xr:uid="{00000000-0005-0000-0000-00002A8D0000}"/>
    <cellStyle name="Wrap 2 3 6 4 3 2" xfId="33007" xr:uid="{00000000-0005-0000-0000-00002B8D0000}"/>
    <cellStyle name="Wrap 2 3 6 4 4" xfId="33008" xr:uid="{00000000-0005-0000-0000-00002C8D0000}"/>
    <cellStyle name="Wrap 2 3 6 4 4 2" xfId="33009" xr:uid="{00000000-0005-0000-0000-00002D8D0000}"/>
    <cellStyle name="Wrap 2 3 6 4 5" xfId="33010" xr:uid="{00000000-0005-0000-0000-00002E8D0000}"/>
    <cellStyle name="Wrap 2 3 6 4 5 2" xfId="33011" xr:uid="{00000000-0005-0000-0000-00002F8D0000}"/>
    <cellStyle name="Wrap 2 3 6 4 6" xfId="33012" xr:uid="{00000000-0005-0000-0000-0000308D0000}"/>
    <cellStyle name="Wrap 2 3 6 4 6 2" xfId="33013" xr:uid="{00000000-0005-0000-0000-0000318D0000}"/>
    <cellStyle name="Wrap 2 3 6 4 7" xfId="33014" xr:uid="{00000000-0005-0000-0000-0000328D0000}"/>
    <cellStyle name="Wrap 2 3 6 4 7 2" xfId="33015" xr:uid="{00000000-0005-0000-0000-0000338D0000}"/>
    <cellStyle name="Wrap 2 3 6 4 8" xfId="33016" xr:uid="{00000000-0005-0000-0000-0000348D0000}"/>
    <cellStyle name="Wrap 2 3 6 4 8 2" xfId="33017" xr:uid="{00000000-0005-0000-0000-0000358D0000}"/>
    <cellStyle name="Wrap 2 3 6 4 9" xfId="33018" xr:uid="{00000000-0005-0000-0000-0000368D0000}"/>
    <cellStyle name="Wrap 2 3 6 4 9 2" xfId="33019" xr:uid="{00000000-0005-0000-0000-0000378D0000}"/>
    <cellStyle name="Wrap 2 3 6 5" xfId="33020" xr:uid="{00000000-0005-0000-0000-0000388D0000}"/>
    <cellStyle name="Wrap 2 3 6 5 10" xfId="33021" xr:uid="{00000000-0005-0000-0000-0000398D0000}"/>
    <cellStyle name="Wrap 2 3 6 5 2" xfId="33022" xr:uid="{00000000-0005-0000-0000-00003A8D0000}"/>
    <cellStyle name="Wrap 2 3 6 5 2 2" xfId="33023" xr:uid="{00000000-0005-0000-0000-00003B8D0000}"/>
    <cellStyle name="Wrap 2 3 6 5 3" xfId="33024" xr:uid="{00000000-0005-0000-0000-00003C8D0000}"/>
    <cellStyle name="Wrap 2 3 6 5 3 2" xfId="33025" xr:uid="{00000000-0005-0000-0000-00003D8D0000}"/>
    <cellStyle name="Wrap 2 3 6 5 4" xfId="33026" xr:uid="{00000000-0005-0000-0000-00003E8D0000}"/>
    <cellStyle name="Wrap 2 3 6 5 4 2" xfId="33027" xr:uid="{00000000-0005-0000-0000-00003F8D0000}"/>
    <cellStyle name="Wrap 2 3 6 5 5" xfId="33028" xr:uid="{00000000-0005-0000-0000-0000408D0000}"/>
    <cellStyle name="Wrap 2 3 6 5 5 2" xfId="33029" xr:uid="{00000000-0005-0000-0000-0000418D0000}"/>
    <cellStyle name="Wrap 2 3 6 5 6" xfId="33030" xr:uid="{00000000-0005-0000-0000-0000428D0000}"/>
    <cellStyle name="Wrap 2 3 6 5 6 2" xfId="33031" xr:uid="{00000000-0005-0000-0000-0000438D0000}"/>
    <cellStyle name="Wrap 2 3 6 5 7" xfId="33032" xr:uid="{00000000-0005-0000-0000-0000448D0000}"/>
    <cellStyle name="Wrap 2 3 6 5 7 2" xfId="33033" xr:uid="{00000000-0005-0000-0000-0000458D0000}"/>
    <cellStyle name="Wrap 2 3 6 5 8" xfId="33034" xr:uid="{00000000-0005-0000-0000-0000468D0000}"/>
    <cellStyle name="Wrap 2 3 6 5 8 2" xfId="33035" xr:uid="{00000000-0005-0000-0000-0000478D0000}"/>
    <cellStyle name="Wrap 2 3 6 5 9" xfId="33036" xr:uid="{00000000-0005-0000-0000-0000488D0000}"/>
    <cellStyle name="Wrap 2 3 6 5 9 2" xfId="33037" xr:uid="{00000000-0005-0000-0000-0000498D0000}"/>
    <cellStyle name="Wrap 2 3 6 6" xfId="33038" xr:uid="{00000000-0005-0000-0000-00004A8D0000}"/>
    <cellStyle name="Wrap 2 3 6 6 10" xfId="33039" xr:uid="{00000000-0005-0000-0000-00004B8D0000}"/>
    <cellStyle name="Wrap 2 3 6 6 2" xfId="33040" xr:uid="{00000000-0005-0000-0000-00004C8D0000}"/>
    <cellStyle name="Wrap 2 3 6 6 2 2" xfId="33041" xr:uid="{00000000-0005-0000-0000-00004D8D0000}"/>
    <cellStyle name="Wrap 2 3 6 6 3" xfId="33042" xr:uid="{00000000-0005-0000-0000-00004E8D0000}"/>
    <cellStyle name="Wrap 2 3 6 6 3 2" xfId="33043" xr:uid="{00000000-0005-0000-0000-00004F8D0000}"/>
    <cellStyle name="Wrap 2 3 6 6 4" xfId="33044" xr:uid="{00000000-0005-0000-0000-0000508D0000}"/>
    <cellStyle name="Wrap 2 3 6 6 4 2" xfId="33045" xr:uid="{00000000-0005-0000-0000-0000518D0000}"/>
    <cellStyle name="Wrap 2 3 6 6 5" xfId="33046" xr:uid="{00000000-0005-0000-0000-0000528D0000}"/>
    <cellStyle name="Wrap 2 3 6 6 5 2" xfId="33047" xr:uid="{00000000-0005-0000-0000-0000538D0000}"/>
    <cellStyle name="Wrap 2 3 6 6 6" xfId="33048" xr:uid="{00000000-0005-0000-0000-0000548D0000}"/>
    <cellStyle name="Wrap 2 3 6 6 6 2" xfId="33049" xr:uid="{00000000-0005-0000-0000-0000558D0000}"/>
    <cellStyle name="Wrap 2 3 6 6 7" xfId="33050" xr:uid="{00000000-0005-0000-0000-0000568D0000}"/>
    <cellStyle name="Wrap 2 3 6 6 7 2" xfId="33051" xr:uid="{00000000-0005-0000-0000-0000578D0000}"/>
    <cellStyle name="Wrap 2 3 6 6 8" xfId="33052" xr:uid="{00000000-0005-0000-0000-0000588D0000}"/>
    <cellStyle name="Wrap 2 3 6 6 8 2" xfId="33053" xr:uid="{00000000-0005-0000-0000-0000598D0000}"/>
    <cellStyle name="Wrap 2 3 6 6 9" xfId="33054" xr:uid="{00000000-0005-0000-0000-00005A8D0000}"/>
    <cellStyle name="Wrap 2 3 6 6 9 2" xfId="33055" xr:uid="{00000000-0005-0000-0000-00005B8D0000}"/>
    <cellStyle name="Wrap 2 3 6 7" xfId="33056" xr:uid="{00000000-0005-0000-0000-00005C8D0000}"/>
    <cellStyle name="Wrap 2 3 6 7 10" xfId="33057" xr:uid="{00000000-0005-0000-0000-00005D8D0000}"/>
    <cellStyle name="Wrap 2 3 6 7 2" xfId="33058" xr:uid="{00000000-0005-0000-0000-00005E8D0000}"/>
    <cellStyle name="Wrap 2 3 6 7 2 2" xfId="33059" xr:uid="{00000000-0005-0000-0000-00005F8D0000}"/>
    <cellStyle name="Wrap 2 3 6 7 3" xfId="33060" xr:uid="{00000000-0005-0000-0000-0000608D0000}"/>
    <cellStyle name="Wrap 2 3 6 7 3 2" xfId="33061" xr:uid="{00000000-0005-0000-0000-0000618D0000}"/>
    <cellStyle name="Wrap 2 3 6 7 4" xfId="33062" xr:uid="{00000000-0005-0000-0000-0000628D0000}"/>
    <cellStyle name="Wrap 2 3 6 7 4 2" xfId="33063" xr:uid="{00000000-0005-0000-0000-0000638D0000}"/>
    <cellStyle name="Wrap 2 3 6 7 5" xfId="33064" xr:uid="{00000000-0005-0000-0000-0000648D0000}"/>
    <cellStyle name="Wrap 2 3 6 7 5 2" xfId="33065" xr:uid="{00000000-0005-0000-0000-0000658D0000}"/>
    <cellStyle name="Wrap 2 3 6 7 6" xfId="33066" xr:uid="{00000000-0005-0000-0000-0000668D0000}"/>
    <cellStyle name="Wrap 2 3 6 7 6 2" xfId="33067" xr:uid="{00000000-0005-0000-0000-0000678D0000}"/>
    <cellStyle name="Wrap 2 3 6 7 7" xfId="33068" xr:uid="{00000000-0005-0000-0000-0000688D0000}"/>
    <cellStyle name="Wrap 2 3 6 7 7 2" xfId="33069" xr:uid="{00000000-0005-0000-0000-0000698D0000}"/>
    <cellStyle name="Wrap 2 3 6 7 8" xfId="33070" xr:uid="{00000000-0005-0000-0000-00006A8D0000}"/>
    <cellStyle name="Wrap 2 3 6 7 8 2" xfId="33071" xr:uid="{00000000-0005-0000-0000-00006B8D0000}"/>
    <cellStyle name="Wrap 2 3 6 7 9" xfId="33072" xr:uid="{00000000-0005-0000-0000-00006C8D0000}"/>
    <cellStyle name="Wrap 2 3 6 7 9 2" xfId="33073" xr:uid="{00000000-0005-0000-0000-00006D8D0000}"/>
    <cellStyle name="Wrap 2 3 6 8" xfId="33074" xr:uid="{00000000-0005-0000-0000-00006E8D0000}"/>
    <cellStyle name="Wrap 2 3 6 8 10" xfId="33075" xr:uid="{00000000-0005-0000-0000-00006F8D0000}"/>
    <cellStyle name="Wrap 2 3 6 8 2" xfId="33076" xr:uid="{00000000-0005-0000-0000-0000708D0000}"/>
    <cellStyle name="Wrap 2 3 6 8 2 2" xfId="33077" xr:uid="{00000000-0005-0000-0000-0000718D0000}"/>
    <cellStyle name="Wrap 2 3 6 8 3" xfId="33078" xr:uid="{00000000-0005-0000-0000-0000728D0000}"/>
    <cellStyle name="Wrap 2 3 6 8 3 2" xfId="33079" xr:uid="{00000000-0005-0000-0000-0000738D0000}"/>
    <cellStyle name="Wrap 2 3 6 8 4" xfId="33080" xr:uid="{00000000-0005-0000-0000-0000748D0000}"/>
    <cellStyle name="Wrap 2 3 6 8 4 2" xfId="33081" xr:uid="{00000000-0005-0000-0000-0000758D0000}"/>
    <cellStyle name="Wrap 2 3 6 8 5" xfId="33082" xr:uid="{00000000-0005-0000-0000-0000768D0000}"/>
    <cellStyle name="Wrap 2 3 6 8 5 2" xfId="33083" xr:uid="{00000000-0005-0000-0000-0000778D0000}"/>
    <cellStyle name="Wrap 2 3 6 8 6" xfId="33084" xr:uid="{00000000-0005-0000-0000-0000788D0000}"/>
    <cellStyle name="Wrap 2 3 6 8 6 2" xfId="33085" xr:uid="{00000000-0005-0000-0000-0000798D0000}"/>
    <cellStyle name="Wrap 2 3 6 8 7" xfId="33086" xr:uid="{00000000-0005-0000-0000-00007A8D0000}"/>
    <cellStyle name="Wrap 2 3 6 8 7 2" xfId="33087" xr:uid="{00000000-0005-0000-0000-00007B8D0000}"/>
    <cellStyle name="Wrap 2 3 6 8 8" xfId="33088" xr:uid="{00000000-0005-0000-0000-00007C8D0000}"/>
    <cellStyle name="Wrap 2 3 6 8 8 2" xfId="33089" xr:uid="{00000000-0005-0000-0000-00007D8D0000}"/>
    <cellStyle name="Wrap 2 3 6 8 9" xfId="33090" xr:uid="{00000000-0005-0000-0000-00007E8D0000}"/>
    <cellStyle name="Wrap 2 3 6 8 9 2" xfId="33091" xr:uid="{00000000-0005-0000-0000-00007F8D0000}"/>
    <cellStyle name="Wrap 2 3 6 9" xfId="33092" xr:uid="{00000000-0005-0000-0000-0000808D0000}"/>
    <cellStyle name="Wrap 2 3 6 9 10" xfId="33093" xr:uid="{00000000-0005-0000-0000-0000818D0000}"/>
    <cellStyle name="Wrap 2 3 6 9 2" xfId="33094" xr:uid="{00000000-0005-0000-0000-0000828D0000}"/>
    <cellStyle name="Wrap 2 3 6 9 2 2" xfId="33095" xr:uid="{00000000-0005-0000-0000-0000838D0000}"/>
    <cellStyle name="Wrap 2 3 6 9 3" xfId="33096" xr:uid="{00000000-0005-0000-0000-0000848D0000}"/>
    <cellStyle name="Wrap 2 3 6 9 3 2" xfId="33097" xr:uid="{00000000-0005-0000-0000-0000858D0000}"/>
    <cellStyle name="Wrap 2 3 6 9 4" xfId="33098" xr:uid="{00000000-0005-0000-0000-0000868D0000}"/>
    <cellStyle name="Wrap 2 3 6 9 4 2" xfId="33099" xr:uid="{00000000-0005-0000-0000-0000878D0000}"/>
    <cellStyle name="Wrap 2 3 6 9 5" xfId="33100" xr:uid="{00000000-0005-0000-0000-0000888D0000}"/>
    <cellStyle name="Wrap 2 3 6 9 5 2" xfId="33101" xr:uid="{00000000-0005-0000-0000-0000898D0000}"/>
    <cellStyle name="Wrap 2 3 6 9 6" xfId="33102" xr:uid="{00000000-0005-0000-0000-00008A8D0000}"/>
    <cellStyle name="Wrap 2 3 6 9 6 2" xfId="33103" xr:uid="{00000000-0005-0000-0000-00008B8D0000}"/>
    <cellStyle name="Wrap 2 3 6 9 7" xfId="33104" xr:uid="{00000000-0005-0000-0000-00008C8D0000}"/>
    <cellStyle name="Wrap 2 3 6 9 7 2" xfId="33105" xr:uid="{00000000-0005-0000-0000-00008D8D0000}"/>
    <cellStyle name="Wrap 2 3 6 9 8" xfId="33106" xr:uid="{00000000-0005-0000-0000-00008E8D0000}"/>
    <cellStyle name="Wrap 2 3 6 9 8 2" xfId="33107" xr:uid="{00000000-0005-0000-0000-00008F8D0000}"/>
    <cellStyle name="Wrap 2 3 6 9 9" xfId="33108" xr:uid="{00000000-0005-0000-0000-0000908D0000}"/>
    <cellStyle name="Wrap 2 3 6 9 9 2" xfId="33109" xr:uid="{00000000-0005-0000-0000-0000918D0000}"/>
    <cellStyle name="Wrap 2 3 7" xfId="33110" xr:uid="{00000000-0005-0000-0000-0000928D0000}"/>
    <cellStyle name="Wrap 2 3 7 10" xfId="33111" xr:uid="{00000000-0005-0000-0000-0000938D0000}"/>
    <cellStyle name="Wrap 2 3 7 10 2" xfId="33112" xr:uid="{00000000-0005-0000-0000-0000948D0000}"/>
    <cellStyle name="Wrap 2 3 7 10 2 2" xfId="33113" xr:uid="{00000000-0005-0000-0000-0000958D0000}"/>
    <cellStyle name="Wrap 2 3 7 10 3" xfId="33114" xr:uid="{00000000-0005-0000-0000-0000968D0000}"/>
    <cellStyle name="Wrap 2 3 7 10 3 2" xfId="33115" xr:uid="{00000000-0005-0000-0000-0000978D0000}"/>
    <cellStyle name="Wrap 2 3 7 10 4" xfId="33116" xr:uid="{00000000-0005-0000-0000-0000988D0000}"/>
    <cellStyle name="Wrap 2 3 7 10 4 2" xfId="33117" xr:uid="{00000000-0005-0000-0000-0000998D0000}"/>
    <cellStyle name="Wrap 2 3 7 10 5" xfId="33118" xr:uid="{00000000-0005-0000-0000-00009A8D0000}"/>
    <cellStyle name="Wrap 2 3 7 10 5 2" xfId="33119" xr:uid="{00000000-0005-0000-0000-00009B8D0000}"/>
    <cellStyle name="Wrap 2 3 7 10 6" xfId="33120" xr:uid="{00000000-0005-0000-0000-00009C8D0000}"/>
    <cellStyle name="Wrap 2 3 7 10 6 2" xfId="33121" xr:uid="{00000000-0005-0000-0000-00009D8D0000}"/>
    <cellStyle name="Wrap 2 3 7 10 7" xfId="33122" xr:uid="{00000000-0005-0000-0000-00009E8D0000}"/>
    <cellStyle name="Wrap 2 3 7 10 7 2" xfId="33123" xr:uid="{00000000-0005-0000-0000-00009F8D0000}"/>
    <cellStyle name="Wrap 2 3 7 10 8" xfId="33124" xr:uid="{00000000-0005-0000-0000-0000A08D0000}"/>
    <cellStyle name="Wrap 2 3 7 10 8 2" xfId="33125" xr:uid="{00000000-0005-0000-0000-0000A18D0000}"/>
    <cellStyle name="Wrap 2 3 7 10 9" xfId="33126" xr:uid="{00000000-0005-0000-0000-0000A28D0000}"/>
    <cellStyle name="Wrap 2 3 7 11" xfId="33127" xr:uid="{00000000-0005-0000-0000-0000A38D0000}"/>
    <cellStyle name="Wrap 2 3 7 11 2" xfId="33128" xr:uid="{00000000-0005-0000-0000-0000A48D0000}"/>
    <cellStyle name="Wrap 2 3 7 12" xfId="33129" xr:uid="{00000000-0005-0000-0000-0000A58D0000}"/>
    <cellStyle name="Wrap 2 3 7 12 2" xfId="33130" xr:uid="{00000000-0005-0000-0000-0000A68D0000}"/>
    <cellStyle name="Wrap 2 3 7 13" xfId="33131" xr:uid="{00000000-0005-0000-0000-0000A78D0000}"/>
    <cellStyle name="Wrap 2 3 7 13 2" xfId="33132" xr:uid="{00000000-0005-0000-0000-0000A88D0000}"/>
    <cellStyle name="Wrap 2 3 7 14" xfId="33133" xr:uid="{00000000-0005-0000-0000-0000A98D0000}"/>
    <cellStyle name="Wrap 2 3 7 14 2" xfId="33134" xr:uid="{00000000-0005-0000-0000-0000AA8D0000}"/>
    <cellStyle name="Wrap 2 3 7 15" xfId="33135" xr:uid="{00000000-0005-0000-0000-0000AB8D0000}"/>
    <cellStyle name="Wrap 2 3 7 15 2" xfId="33136" xr:uid="{00000000-0005-0000-0000-0000AC8D0000}"/>
    <cellStyle name="Wrap 2 3 7 16" xfId="33137" xr:uid="{00000000-0005-0000-0000-0000AD8D0000}"/>
    <cellStyle name="Wrap 2 3 7 16 2" xfId="33138" xr:uid="{00000000-0005-0000-0000-0000AE8D0000}"/>
    <cellStyle name="Wrap 2 3 7 17" xfId="33139" xr:uid="{00000000-0005-0000-0000-0000AF8D0000}"/>
    <cellStyle name="Wrap 2 3 7 17 2" xfId="33140" xr:uid="{00000000-0005-0000-0000-0000B08D0000}"/>
    <cellStyle name="Wrap 2 3 7 18" xfId="33141" xr:uid="{00000000-0005-0000-0000-0000B18D0000}"/>
    <cellStyle name="Wrap 2 3 7 2" xfId="33142" xr:uid="{00000000-0005-0000-0000-0000B28D0000}"/>
    <cellStyle name="Wrap 2 3 7 2 10" xfId="33143" xr:uid="{00000000-0005-0000-0000-0000B38D0000}"/>
    <cellStyle name="Wrap 2 3 7 2 2" xfId="33144" xr:uid="{00000000-0005-0000-0000-0000B48D0000}"/>
    <cellStyle name="Wrap 2 3 7 2 2 2" xfId="33145" xr:uid="{00000000-0005-0000-0000-0000B58D0000}"/>
    <cellStyle name="Wrap 2 3 7 2 3" xfId="33146" xr:uid="{00000000-0005-0000-0000-0000B68D0000}"/>
    <cellStyle name="Wrap 2 3 7 2 3 2" xfId="33147" xr:uid="{00000000-0005-0000-0000-0000B78D0000}"/>
    <cellStyle name="Wrap 2 3 7 2 4" xfId="33148" xr:uid="{00000000-0005-0000-0000-0000B88D0000}"/>
    <cellStyle name="Wrap 2 3 7 2 4 2" xfId="33149" xr:uid="{00000000-0005-0000-0000-0000B98D0000}"/>
    <cellStyle name="Wrap 2 3 7 2 5" xfId="33150" xr:uid="{00000000-0005-0000-0000-0000BA8D0000}"/>
    <cellStyle name="Wrap 2 3 7 2 5 2" xfId="33151" xr:uid="{00000000-0005-0000-0000-0000BB8D0000}"/>
    <cellStyle name="Wrap 2 3 7 2 6" xfId="33152" xr:uid="{00000000-0005-0000-0000-0000BC8D0000}"/>
    <cellStyle name="Wrap 2 3 7 2 6 2" xfId="33153" xr:uid="{00000000-0005-0000-0000-0000BD8D0000}"/>
    <cellStyle name="Wrap 2 3 7 2 7" xfId="33154" xr:uid="{00000000-0005-0000-0000-0000BE8D0000}"/>
    <cellStyle name="Wrap 2 3 7 2 7 2" xfId="33155" xr:uid="{00000000-0005-0000-0000-0000BF8D0000}"/>
    <cellStyle name="Wrap 2 3 7 2 8" xfId="33156" xr:uid="{00000000-0005-0000-0000-0000C08D0000}"/>
    <cellStyle name="Wrap 2 3 7 2 8 2" xfId="33157" xr:uid="{00000000-0005-0000-0000-0000C18D0000}"/>
    <cellStyle name="Wrap 2 3 7 2 9" xfId="33158" xr:uid="{00000000-0005-0000-0000-0000C28D0000}"/>
    <cellStyle name="Wrap 2 3 7 2 9 2" xfId="33159" xr:uid="{00000000-0005-0000-0000-0000C38D0000}"/>
    <cellStyle name="Wrap 2 3 7 3" xfId="33160" xr:uid="{00000000-0005-0000-0000-0000C48D0000}"/>
    <cellStyle name="Wrap 2 3 7 3 10" xfId="33161" xr:uid="{00000000-0005-0000-0000-0000C58D0000}"/>
    <cellStyle name="Wrap 2 3 7 3 2" xfId="33162" xr:uid="{00000000-0005-0000-0000-0000C68D0000}"/>
    <cellStyle name="Wrap 2 3 7 3 2 2" xfId="33163" xr:uid="{00000000-0005-0000-0000-0000C78D0000}"/>
    <cellStyle name="Wrap 2 3 7 3 3" xfId="33164" xr:uid="{00000000-0005-0000-0000-0000C88D0000}"/>
    <cellStyle name="Wrap 2 3 7 3 3 2" xfId="33165" xr:uid="{00000000-0005-0000-0000-0000C98D0000}"/>
    <cellStyle name="Wrap 2 3 7 3 4" xfId="33166" xr:uid="{00000000-0005-0000-0000-0000CA8D0000}"/>
    <cellStyle name="Wrap 2 3 7 3 4 2" xfId="33167" xr:uid="{00000000-0005-0000-0000-0000CB8D0000}"/>
    <cellStyle name="Wrap 2 3 7 3 5" xfId="33168" xr:uid="{00000000-0005-0000-0000-0000CC8D0000}"/>
    <cellStyle name="Wrap 2 3 7 3 5 2" xfId="33169" xr:uid="{00000000-0005-0000-0000-0000CD8D0000}"/>
    <cellStyle name="Wrap 2 3 7 3 6" xfId="33170" xr:uid="{00000000-0005-0000-0000-0000CE8D0000}"/>
    <cellStyle name="Wrap 2 3 7 3 6 2" xfId="33171" xr:uid="{00000000-0005-0000-0000-0000CF8D0000}"/>
    <cellStyle name="Wrap 2 3 7 3 7" xfId="33172" xr:uid="{00000000-0005-0000-0000-0000D08D0000}"/>
    <cellStyle name="Wrap 2 3 7 3 7 2" xfId="33173" xr:uid="{00000000-0005-0000-0000-0000D18D0000}"/>
    <cellStyle name="Wrap 2 3 7 3 8" xfId="33174" xr:uid="{00000000-0005-0000-0000-0000D28D0000}"/>
    <cellStyle name="Wrap 2 3 7 3 8 2" xfId="33175" xr:uid="{00000000-0005-0000-0000-0000D38D0000}"/>
    <cellStyle name="Wrap 2 3 7 3 9" xfId="33176" xr:uid="{00000000-0005-0000-0000-0000D48D0000}"/>
    <cellStyle name="Wrap 2 3 7 3 9 2" xfId="33177" xr:uid="{00000000-0005-0000-0000-0000D58D0000}"/>
    <cellStyle name="Wrap 2 3 7 4" xfId="33178" xr:uid="{00000000-0005-0000-0000-0000D68D0000}"/>
    <cellStyle name="Wrap 2 3 7 4 10" xfId="33179" xr:uid="{00000000-0005-0000-0000-0000D78D0000}"/>
    <cellStyle name="Wrap 2 3 7 4 2" xfId="33180" xr:uid="{00000000-0005-0000-0000-0000D88D0000}"/>
    <cellStyle name="Wrap 2 3 7 4 2 2" xfId="33181" xr:uid="{00000000-0005-0000-0000-0000D98D0000}"/>
    <cellStyle name="Wrap 2 3 7 4 3" xfId="33182" xr:uid="{00000000-0005-0000-0000-0000DA8D0000}"/>
    <cellStyle name="Wrap 2 3 7 4 3 2" xfId="33183" xr:uid="{00000000-0005-0000-0000-0000DB8D0000}"/>
    <cellStyle name="Wrap 2 3 7 4 4" xfId="33184" xr:uid="{00000000-0005-0000-0000-0000DC8D0000}"/>
    <cellStyle name="Wrap 2 3 7 4 4 2" xfId="33185" xr:uid="{00000000-0005-0000-0000-0000DD8D0000}"/>
    <cellStyle name="Wrap 2 3 7 4 5" xfId="33186" xr:uid="{00000000-0005-0000-0000-0000DE8D0000}"/>
    <cellStyle name="Wrap 2 3 7 4 5 2" xfId="33187" xr:uid="{00000000-0005-0000-0000-0000DF8D0000}"/>
    <cellStyle name="Wrap 2 3 7 4 6" xfId="33188" xr:uid="{00000000-0005-0000-0000-0000E08D0000}"/>
    <cellStyle name="Wrap 2 3 7 4 6 2" xfId="33189" xr:uid="{00000000-0005-0000-0000-0000E18D0000}"/>
    <cellStyle name="Wrap 2 3 7 4 7" xfId="33190" xr:uid="{00000000-0005-0000-0000-0000E28D0000}"/>
    <cellStyle name="Wrap 2 3 7 4 7 2" xfId="33191" xr:uid="{00000000-0005-0000-0000-0000E38D0000}"/>
    <cellStyle name="Wrap 2 3 7 4 8" xfId="33192" xr:uid="{00000000-0005-0000-0000-0000E48D0000}"/>
    <cellStyle name="Wrap 2 3 7 4 8 2" xfId="33193" xr:uid="{00000000-0005-0000-0000-0000E58D0000}"/>
    <cellStyle name="Wrap 2 3 7 4 9" xfId="33194" xr:uid="{00000000-0005-0000-0000-0000E68D0000}"/>
    <cellStyle name="Wrap 2 3 7 4 9 2" xfId="33195" xr:uid="{00000000-0005-0000-0000-0000E78D0000}"/>
    <cellStyle name="Wrap 2 3 7 5" xfId="33196" xr:uid="{00000000-0005-0000-0000-0000E88D0000}"/>
    <cellStyle name="Wrap 2 3 7 5 10" xfId="33197" xr:uid="{00000000-0005-0000-0000-0000E98D0000}"/>
    <cellStyle name="Wrap 2 3 7 5 2" xfId="33198" xr:uid="{00000000-0005-0000-0000-0000EA8D0000}"/>
    <cellStyle name="Wrap 2 3 7 5 2 2" xfId="33199" xr:uid="{00000000-0005-0000-0000-0000EB8D0000}"/>
    <cellStyle name="Wrap 2 3 7 5 3" xfId="33200" xr:uid="{00000000-0005-0000-0000-0000EC8D0000}"/>
    <cellStyle name="Wrap 2 3 7 5 3 2" xfId="33201" xr:uid="{00000000-0005-0000-0000-0000ED8D0000}"/>
    <cellStyle name="Wrap 2 3 7 5 4" xfId="33202" xr:uid="{00000000-0005-0000-0000-0000EE8D0000}"/>
    <cellStyle name="Wrap 2 3 7 5 4 2" xfId="33203" xr:uid="{00000000-0005-0000-0000-0000EF8D0000}"/>
    <cellStyle name="Wrap 2 3 7 5 5" xfId="33204" xr:uid="{00000000-0005-0000-0000-0000F08D0000}"/>
    <cellStyle name="Wrap 2 3 7 5 5 2" xfId="33205" xr:uid="{00000000-0005-0000-0000-0000F18D0000}"/>
    <cellStyle name="Wrap 2 3 7 5 6" xfId="33206" xr:uid="{00000000-0005-0000-0000-0000F28D0000}"/>
    <cellStyle name="Wrap 2 3 7 5 6 2" xfId="33207" xr:uid="{00000000-0005-0000-0000-0000F38D0000}"/>
    <cellStyle name="Wrap 2 3 7 5 7" xfId="33208" xr:uid="{00000000-0005-0000-0000-0000F48D0000}"/>
    <cellStyle name="Wrap 2 3 7 5 7 2" xfId="33209" xr:uid="{00000000-0005-0000-0000-0000F58D0000}"/>
    <cellStyle name="Wrap 2 3 7 5 8" xfId="33210" xr:uid="{00000000-0005-0000-0000-0000F68D0000}"/>
    <cellStyle name="Wrap 2 3 7 5 8 2" xfId="33211" xr:uid="{00000000-0005-0000-0000-0000F78D0000}"/>
    <cellStyle name="Wrap 2 3 7 5 9" xfId="33212" xr:uid="{00000000-0005-0000-0000-0000F88D0000}"/>
    <cellStyle name="Wrap 2 3 7 5 9 2" xfId="33213" xr:uid="{00000000-0005-0000-0000-0000F98D0000}"/>
    <cellStyle name="Wrap 2 3 7 6" xfId="33214" xr:uid="{00000000-0005-0000-0000-0000FA8D0000}"/>
    <cellStyle name="Wrap 2 3 7 6 10" xfId="33215" xr:uid="{00000000-0005-0000-0000-0000FB8D0000}"/>
    <cellStyle name="Wrap 2 3 7 6 2" xfId="33216" xr:uid="{00000000-0005-0000-0000-0000FC8D0000}"/>
    <cellStyle name="Wrap 2 3 7 6 2 2" xfId="33217" xr:uid="{00000000-0005-0000-0000-0000FD8D0000}"/>
    <cellStyle name="Wrap 2 3 7 6 3" xfId="33218" xr:uid="{00000000-0005-0000-0000-0000FE8D0000}"/>
    <cellStyle name="Wrap 2 3 7 6 3 2" xfId="33219" xr:uid="{00000000-0005-0000-0000-0000FF8D0000}"/>
    <cellStyle name="Wrap 2 3 7 6 4" xfId="33220" xr:uid="{00000000-0005-0000-0000-0000008E0000}"/>
    <cellStyle name="Wrap 2 3 7 6 4 2" xfId="33221" xr:uid="{00000000-0005-0000-0000-0000018E0000}"/>
    <cellStyle name="Wrap 2 3 7 6 5" xfId="33222" xr:uid="{00000000-0005-0000-0000-0000028E0000}"/>
    <cellStyle name="Wrap 2 3 7 6 5 2" xfId="33223" xr:uid="{00000000-0005-0000-0000-0000038E0000}"/>
    <cellStyle name="Wrap 2 3 7 6 6" xfId="33224" xr:uid="{00000000-0005-0000-0000-0000048E0000}"/>
    <cellStyle name="Wrap 2 3 7 6 6 2" xfId="33225" xr:uid="{00000000-0005-0000-0000-0000058E0000}"/>
    <cellStyle name="Wrap 2 3 7 6 7" xfId="33226" xr:uid="{00000000-0005-0000-0000-0000068E0000}"/>
    <cellStyle name="Wrap 2 3 7 6 7 2" xfId="33227" xr:uid="{00000000-0005-0000-0000-0000078E0000}"/>
    <cellStyle name="Wrap 2 3 7 6 8" xfId="33228" xr:uid="{00000000-0005-0000-0000-0000088E0000}"/>
    <cellStyle name="Wrap 2 3 7 6 8 2" xfId="33229" xr:uid="{00000000-0005-0000-0000-0000098E0000}"/>
    <cellStyle name="Wrap 2 3 7 6 9" xfId="33230" xr:uid="{00000000-0005-0000-0000-00000A8E0000}"/>
    <cellStyle name="Wrap 2 3 7 6 9 2" xfId="33231" xr:uid="{00000000-0005-0000-0000-00000B8E0000}"/>
    <cellStyle name="Wrap 2 3 7 7" xfId="33232" xr:uid="{00000000-0005-0000-0000-00000C8E0000}"/>
    <cellStyle name="Wrap 2 3 7 7 10" xfId="33233" xr:uid="{00000000-0005-0000-0000-00000D8E0000}"/>
    <cellStyle name="Wrap 2 3 7 7 2" xfId="33234" xr:uid="{00000000-0005-0000-0000-00000E8E0000}"/>
    <cellStyle name="Wrap 2 3 7 7 2 2" xfId="33235" xr:uid="{00000000-0005-0000-0000-00000F8E0000}"/>
    <cellStyle name="Wrap 2 3 7 7 3" xfId="33236" xr:uid="{00000000-0005-0000-0000-0000108E0000}"/>
    <cellStyle name="Wrap 2 3 7 7 3 2" xfId="33237" xr:uid="{00000000-0005-0000-0000-0000118E0000}"/>
    <cellStyle name="Wrap 2 3 7 7 4" xfId="33238" xr:uid="{00000000-0005-0000-0000-0000128E0000}"/>
    <cellStyle name="Wrap 2 3 7 7 4 2" xfId="33239" xr:uid="{00000000-0005-0000-0000-0000138E0000}"/>
    <cellStyle name="Wrap 2 3 7 7 5" xfId="33240" xr:uid="{00000000-0005-0000-0000-0000148E0000}"/>
    <cellStyle name="Wrap 2 3 7 7 5 2" xfId="33241" xr:uid="{00000000-0005-0000-0000-0000158E0000}"/>
    <cellStyle name="Wrap 2 3 7 7 6" xfId="33242" xr:uid="{00000000-0005-0000-0000-0000168E0000}"/>
    <cellStyle name="Wrap 2 3 7 7 6 2" xfId="33243" xr:uid="{00000000-0005-0000-0000-0000178E0000}"/>
    <cellStyle name="Wrap 2 3 7 7 7" xfId="33244" xr:uid="{00000000-0005-0000-0000-0000188E0000}"/>
    <cellStyle name="Wrap 2 3 7 7 7 2" xfId="33245" xr:uid="{00000000-0005-0000-0000-0000198E0000}"/>
    <cellStyle name="Wrap 2 3 7 7 8" xfId="33246" xr:uid="{00000000-0005-0000-0000-00001A8E0000}"/>
    <cellStyle name="Wrap 2 3 7 7 8 2" xfId="33247" xr:uid="{00000000-0005-0000-0000-00001B8E0000}"/>
    <cellStyle name="Wrap 2 3 7 7 9" xfId="33248" xr:uid="{00000000-0005-0000-0000-00001C8E0000}"/>
    <cellStyle name="Wrap 2 3 7 7 9 2" xfId="33249" xr:uid="{00000000-0005-0000-0000-00001D8E0000}"/>
    <cellStyle name="Wrap 2 3 7 8" xfId="33250" xr:uid="{00000000-0005-0000-0000-00001E8E0000}"/>
    <cellStyle name="Wrap 2 3 7 8 10" xfId="33251" xr:uid="{00000000-0005-0000-0000-00001F8E0000}"/>
    <cellStyle name="Wrap 2 3 7 8 2" xfId="33252" xr:uid="{00000000-0005-0000-0000-0000208E0000}"/>
    <cellStyle name="Wrap 2 3 7 8 2 2" xfId="33253" xr:uid="{00000000-0005-0000-0000-0000218E0000}"/>
    <cellStyle name="Wrap 2 3 7 8 3" xfId="33254" xr:uid="{00000000-0005-0000-0000-0000228E0000}"/>
    <cellStyle name="Wrap 2 3 7 8 3 2" xfId="33255" xr:uid="{00000000-0005-0000-0000-0000238E0000}"/>
    <cellStyle name="Wrap 2 3 7 8 4" xfId="33256" xr:uid="{00000000-0005-0000-0000-0000248E0000}"/>
    <cellStyle name="Wrap 2 3 7 8 4 2" xfId="33257" xr:uid="{00000000-0005-0000-0000-0000258E0000}"/>
    <cellStyle name="Wrap 2 3 7 8 5" xfId="33258" xr:uid="{00000000-0005-0000-0000-0000268E0000}"/>
    <cellStyle name="Wrap 2 3 7 8 5 2" xfId="33259" xr:uid="{00000000-0005-0000-0000-0000278E0000}"/>
    <cellStyle name="Wrap 2 3 7 8 6" xfId="33260" xr:uid="{00000000-0005-0000-0000-0000288E0000}"/>
    <cellStyle name="Wrap 2 3 7 8 6 2" xfId="33261" xr:uid="{00000000-0005-0000-0000-0000298E0000}"/>
    <cellStyle name="Wrap 2 3 7 8 7" xfId="33262" xr:uid="{00000000-0005-0000-0000-00002A8E0000}"/>
    <cellStyle name="Wrap 2 3 7 8 7 2" xfId="33263" xr:uid="{00000000-0005-0000-0000-00002B8E0000}"/>
    <cellStyle name="Wrap 2 3 7 8 8" xfId="33264" xr:uid="{00000000-0005-0000-0000-00002C8E0000}"/>
    <cellStyle name="Wrap 2 3 7 8 8 2" xfId="33265" xr:uid="{00000000-0005-0000-0000-00002D8E0000}"/>
    <cellStyle name="Wrap 2 3 7 8 9" xfId="33266" xr:uid="{00000000-0005-0000-0000-00002E8E0000}"/>
    <cellStyle name="Wrap 2 3 7 8 9 2" xfId="33267" xr:uid="{00000000-0005-0000-0000-00002F8E0000}"/>
    <cellStyle name="Wrap 2 3 7 9" xfId="33268" xr:uid="{00000000-0005-0000-0000-0000308E0000}"/>
    <cellStyle name="Wrap 2 3 7 9 10" xfId="33269" xr:uid="{00000000-0005-0000-0000-0000318E0000}"/>
    <cellStyle name="Wrap 2 3 7 9 2" xfId="33270" xr:uid="{00000000-0005-0000-0000-0000328E0000}"/>
    <cellStyle name="Wrap 2 3 7 9 2 2" xfId="33271" xr:uid="{00000000-0005-0000-0000-0000338E0000}"/>
    <cellStyle name="Wrap 2 3 7 9 3" xfId="33272" xr:uid="{00000000-0005-0000-0000-0000348E0000}"/>
    <cellStyle name="Wrap 2 3 7 9 3 2" xfId="33273" xr:uid="{00000000-0005-0000-0000-0000358E0000}"/>
    <cellStyle name="Wrap 2 3 7 9 4" xfId="33274" xr:uid="{00000000-0005-0000-0000-0000368E0000}"/>
    <cellStyle name="Wrap 2 3 7 9 4 2" xfId="33275" xr:uid="{00000000-0005-0000-0000-0000378E0000}"/>
    <cellStyle name="Wrap 2 3 7 9 5" xfId="33276" xr:uid="{00000000-0005-0000-0000-0000388E0000}"/>
    <cellStyle name="Wrap 2 3 7 9 5 2" xfId="33277" xr:uid="{00000000-0005-0000-0000-0000398E0000}"/>
    <cellStyle name="Wrap 2 3 7 9 6" xfId="33278" xr:uid="{00000000-0005-0000-0000-00003A8E0000}"/>
    <cellStyle name="Wrap 2 3 7 9 6 2" xfId="33279" xr:uid="{00000000-0005-0000-0000-00003B8E0000}"/>
    <cellStyle name="Wrap 2 3 7 9 7" xfId="33280" xr:uid="{00000000-0005-0000-0000-00003C8E0000}"/>
    <cellStyle name="Wrap 2 3 7 9 7 2" xfId="33281" xr:uid="{00000000-0005-0000-0000-00003D8E0000}"/>
    <cellStyle name="Wrap 2 3 7 9 8" xfId="33282" xr:uid="{00000000-0005-0000-0000-00003E8E0000}"/>
    <cellStyle name="Wrap 2 3 7 9 8 2" xfId="33283" xr:uid="{00000000-0005-0000-0000-00003F8E0000}"/>
    <cellStyle name="Wrap 2 3 7 9 9" xfId="33284" xr:uid="{00000000-0005-0000-0000-0000408E0000}"/>
    <cellStyle name="Wrap 2 3 7 9 9 2" xfId="33285" xr:uid="{00000000-0005-0000-0000-0000418E0000}"/>
    <cellStyle name="Wrap 2 3 8" xfId="33286" xr:uid="{00000000-0005-0000-0000-0000428E0000}"/>
    <cellStyle name="Wrap 2 3 8 10" xfId="33287" xr:uid="{00000000-0005-0000-0000-0000438E0000}"/>
    <cellStyle name="Wrap 2 3 8 10 2" xfId="33288" xr:uid="{00000000-0005-0000-0000-0000448E0000}"/>
    <cellStyle name="Wrap 2 3 8 10 2 2" xfId="33289" xr:uid="{00000000-0005-0000-0000-0000458E0000}"/>
    <cellStyle name="Wrap 2 3 8 10 3" xfId="33290" xr:uid="{00000000-0005-0000-0000-0000468E0000}"/>
    <cellStyle name="Wrap 2 3 8 10 3 2" xfId="33291" xr:uid="{00000000-0005-0000-0000-0000478E0000}"/>
    <cellStyle name="Wrap 2 3 8 10 4" xfId="33292" xr:uid="{00000000-0005-0000-0000-0000488E0000}"/>
    <cellStyle name="Wrap 2 3 8 10 4 2" xfId="33293" xr:uid="{00000000-0005-0000-0000-0000498E0000}"/>
    <cellStyle name="Wrap 2 3 8 10 5" xfId="33294" xr:uid="{00000000-0005-0000-0000-00004A8E0000}"/>
    <cellStyle name="Wrap 2 3 8 10 5 2" xfId="33295" xr:uid="{00000000-0005-0000-0000-00004B8E0000}"/>
    <cellStyle name="Wrap 2 3 8 10 6" xfId="33296" xr:uid="{00000000-0005-0000-0000-00004C8E0000}"/>
    <cellStyle name="Wrap 2 3 8 10 6 2" xfId="33297" xr:uid="{00000000-0005-0000-0000-00004D8E0000}"/>
    <cellStyle name="Wrap 2 3 8 10 7" xfId="33298" xr:uid="{00000000-0005-0000-0000-00004E8E0000}"/>
    <cellStyle name="Wrap 2 3 8 10 7 2" xfId="33299" xr:uid="{00000000-0005-0000-0000-00004F8E0000}"/>
    <cellStyle name="Wrap 2 3 8 10 8" xfId="33300" xr:uid="{00000000-0005-0000-0000-0000508E0000}"/>
    <cellStyle name="Wrap 2 3 8 10 8 2" xfId="33301" xr:uid="{00000000-0005-0000-0000-0000518E0000}"/>
    <cellStyle name="Wrap 2 3 8 10 9" xfId="33302" xr:uid="{00000000-0005-0000-0000-0000528E0000}"/>
    <cellStyle name="Wrap 2 3 8 11" xfId="33303" xr:uid="{00000000-0005-0000-0000-0000538E0000}"/>
    <cellStyle name="Wrap 2 3 8 11 2" xfId="33304" xr:uid="{00000000-0005-0000-0000-0000548E0000}"/>
    <cellStyle name="Wrap 2 3 8 12" xfId="33305" xr:uid="{00000000-0005-0000-0000-0000558E0000}"/>
    <cellStyle name="Wrap 2 3 8 12 2" xfId="33306" xr:uid="{00000000-0005-0000-0000-0000568E0000}"/>
    <cellStyle name="Wrap 2 3 8 13" xfId="33307" xr:uid="{00000000-0005-0000-0000-0000578E0000}"/>
    <cellStyle name="Wrap 2 3 8 13 2" xfId="33308" xr:uid="{00000000-0005-0000-0000-0000588E0000}"/>
    <cellStyle name="Wrap 2 3 8 14" xfId="33309" xr:uid="{00000000-0005-0000-0000-0000598E0000}"/>
    <cellStyle name="Wrap 2 3 8 14 2" xfId="33310" xr:uid="{00000000-0005-0000-0000-00005A8E0000}"/>
    <cellStyle name="Wrap 2 3 8 15" xfId="33311" xr:uid="{00000000-0005-0000-0000-00005B8E0000}"/>
    <cellStyle name="Wrap 2 3 8 15 2" xfId="33312" xr:uid="{00000000-0005-0000-0000-00005C8E0000}"/>
    <cellStyle name="Wrap 2 3 8 16" xfId="33313" xr:uid="{00000000-0005-0000-0000-00005D8E0000}"/>
    <cellStyle name="Wrap 2 3 8 16 2" xfId="33314" xr:uid="{00000000-0005-0000-0000-00005E8E0000}"/>
    <cellStyle name="Wrap 2 3 8 17" xfId="33315" xr:uid="{00000000-0005-0000-0000-00005F8E0000}"/>
    <cellStyle name="Wrap 2 3 8 17 2" xfId="33316" xr:uid="{00000000-0005-0000-0000-0000608E0000}"/>
    <cellStyle name="Wrap 2 3 8 18" xfId="33317" xr:uid="{00000000-0005-0000-0000-0000618E0000}"/>
    <cellStyle name="Wrap 2 3 8 2" xfId="33318" xr:uid="{00000000-0005-0000-0000-0000628E0000}"/>
    <cellStyle name="Wrap 2 3 8 2 10" xfId="33319" xr:uid="{00000000-0005-0000-0000-0000638E0000}"/>
    <cellStyle name="Wrap 2 3 8 2 2" xfId="33320" xr:uid="{00000000-0005-0000-0000-0000648E0000}"/>
    <cellStyle name="Wrap 2 3 8 2 2 2" xfId="33321" xr:uid="{00000000-0005-0000-0000-0000658E0000}"/>
    <cellStyle name="Wrap 2 3 8 2 3" xfId="33322" xr:uid="{00000000-0005-0000-0000-0000668E0000}"/>
    <cellStyle name="Wrap 2 3 8 2 3 2" xfId="33323" xr:uid="{00000000-0005-0000-0000-0000678E0000}"/>
    <cellStyle name="Wrap 2 3 8 2 4" xfId="33324" xr:uid="{00000000-0005-0000-0000-0000688E0000}"/>
    <cellStyle name="Wrap 2 3 8 2 4 2" xfId="33325" xr:uid="{00000000-0005-0000-0000-0000698E0000}"/>
    <cellStyle name="Wrap 2 3 8 2 5" xfId="33326" xr:uid="{00000000-0005-0000-0000-00006A8E0000}"/>
    <cellStyle name="Wrap 2 3 8 2 5 2" xfId="33327" xr:uid="{00000000-0005-0000-0000-00006B8E0000}"/>
    <cellStyle name="Wrap 2 3 8 2 6" xfId="33328" xr:uid="{00000000-0005-0000-0000-00006C8E0000}"/>
    <cellStyle name="Wrap 2 3 8 2 6 2" xfId="33329" xr:uid="{00000000-0005-0000-0000-00006D8E0000}"/>
    <cellStyle name="Wrap 2 3 8 2 7" xfId="33330" xr:uid="{00000000-0005-0000-0000-00006E8E0000}"/>
    <cellStyle name="Wrap 2 3 8 2 7 2" xfId="33331" xr:uid="{00000000-0005-0000-0000-00006F8E0000}"/>
    <cellStyle name="Wrap 2 3 8 2 8" xfId="33332" xr:uid="{00000000-0005-0000-0000-0000708E0000}"/>
    <cellStyle name="Wrap 2 3 8 2 8 2" xfId="33333" xr:uid="{00000000-0005-0000-0000-0000718E0000}"/>
    <cellStyle name="Wrap 2 3 8 2 9" xfId="33334" xr:uid="{00000000-0005-0000-0000-0000728E0000}"/>
    <cellStyle name="Wrap 2 3 8 2 9 2" xfId="33335" xr:uid="{00000000-0005-0000-0000-0000738E0000}"/>
    <cellStyle name="Wrap 2 3 8 3" xfId="33336" xr:uid="{00000000-0005-0000-0000-0000748E0000}"/>
    <cellStyle name="Wrap 2 3 8 3 10" xfId="33337" xr:uid="{00000000-0005-0000-0000-0000758E0000}"/>
    <cellStyle name="Wrap 2 3 8 3 2" xfId="33338" xr:uid="{00000000-0005-0000-0000-0000768E0000}"/>
    <cellStyle name="Wrap 2 3 8 3 2 2" xfId="33339" xr:uid="{00000000-0005-0000-0000-0000778E0000}"/>
    <cellStyle name="Wrap 2 3 8 3 3" xfId="33340" xr:uid="{00000000-0005-0000-0000-0000788E0000}"/>
    <cellStyle name="Wrap 2 3 8 3 3 2" xfId="33341" xr:uid="{00000000-0005-0000-0000-0000798E0000}"/>
    <cellStyle name="Wrap 2 3 8 3 4" xfId="33342" xr:uid="{00000000-0005-0000-0000-00007A8E0000}"/>
    <cellStyle name="Wrap 2 3 8 3 4 2" xfId="33343" xr:uid="{00000000-0005-0000-0000-00007B8E0000}"/>
    <cellStyle name="Wrap 2 3 8 3 5" xfId="33344" xr:uid="{00000000-0005-0000-0000-00007C8E0000}"/>
    <cellStyle name="Wrap 2 3 8 3 5 2" xfId="33345" xr:uid="{00000000-0005-0000-0000-00007D8E0000}"/>
    <cellStyle name="Wrap 2 3 8 3 6" xfId="33346" xr:uid="{00000000-0005-0000-0000-00007E8E0000}"/>
    <cellStyle name="Wrap 2 3 8 3 6 2" xfId="33347" xr:uid="{00000000-0005-0000-0000-00007F8E0000}"/>
    <cellStyle name="Wrap 2 3 8 3 7" xfId="33348" xr:uid="{00000000-0005-0000-0000-0000808E0000}"/>
    <cellStyle name="Wrap 2 3 8 3 7 2" xfId="33349" xr:uid="{00000000-0005-0000-0000-0000818E0000}"/>
    <cellStyle name="Wrap 2 3 8 3 8" xfId="33350" xr:uid="{00000000-0005-0000-0000-0000828E0000}"/>
    <cellStyle name="Wrap 2 3 8 3 8 2" xfId="33351" xr:uid="{00000000-0005-0000-0000-0000838E0000}"/>
    <cellStyle name="Wrap 2 3 8 3 9" xfId="33352" xr:uid="{00000000-0005-0000-0000-0000848E0000}"/>
    <cellStyle name="Wrap 2 3 8 3 9 2" xfId="33353" xr:uid="{00000000-0005-0000-0000-0000858E0000}"/>
    <cellStyle name="Wrap 2 3 8 4" xfId="33354" xr:uid="{00000000-0005-0000-0000-0000868E0000}"/>
    <cellStyle name="Wrap 2 3 8 4 10" xfId="33355" xr:uid="{00000000-0005-0000-0000-0000878E0000}"/>
    <cellStyle name="Wrap 2 3 8 4 2" xfId="33356" xr:uid="{00000000-0005-0000-0000-0000888E0000}"/>
    <cellStyle name="Wrap 2 3 8 4 2 2" xfId="33357" xr:uid="{00000000-0005-0000-0000-0000898E0000}"/>
    <cellStyle name="Wrap 2 3 8 4 3" xfId="33358" xr:uid="{00000000-0005-0000-0000-00008A8E0000}"/>
    <cellStyle name="Wrap 2 3 8 4 3 2" xfId="33359" xr:uid="{00000000-0005-0000-0000-00008B8E0000}"/>
    <cellStyle name="Wrap 2 3 8 4 4" xfId="33360" xr:uid="{00000000-0005-0000-0000-00008C8E0000}"/>
    <cellStyle name="Wrap 2 3 8 4 4 2" xfId="33361" xr:uid="{00000000-0005-0000-0000-00008D8E0000}"/>
    <cellStyle name="Wrap 2 3 8 4 5" xfId="33362" xr:uid="{00000000-0005-0000-0000-00008E8E0000}"/>
    <cellStyle name="Wrap 2 3 8 4 5 2" xfId="33363" xr:uid="{00000000-0005-0000-0000-00008F8E0000}"/>
    <cellStyle name="Wrap 2 3 8 4 6" xfId="33364" xr:uid="{00000000-0005-0000-0000-0000908E0000}"/>
    <cellStyle name="Wrap 2 3 8 4 6 2" xfId="33365" xr:uid="{00000000-0005-0000-0000-0000918E0000}"/>
    <cellStyle name="Wrap 2 3 8 4 7" xfId="33366" xr:uid="{00000000-0005-0000-0000-0000928E0000}"/>
    <cellStyle name="Wrap 2 3 8 4 7 2" xfId="33367" xr:uid="{00000000-0005-0000-0000-0000938E0000}"/>
    <cellStyle name="Wrap 2 3 8 4 8" xfId="33368" xr:uid="{00000000-0005-0000-0000-0000948E0000}"/>
    <cellStyle name="Wrap 2 3 8 4 8 2" xfId="33369" xr:uid="{00000000-0005-0000-0000-0000958E0000}"/>
    <cellStyle name="Wrap 2 3 8 4 9" xfId="33370" xr:uid="{00000000-0005-0000-0000-0000968E0000}"/>
    <cellStyle name="Wrap 2 3 8 4 9 2" xfId="33371" xr:uid="{00000000-0005-0000-0000-0000978E0000}"/>
    <cellStyle name="Wrap 2 3 8 5" xfId="33372" xr:uid="{00000000-0005-0000-0000-0000988E0000}"/>
    <cellStyle name="Wrap 2 3 8 5 10" xfId="33373" xr:uid="{00000000-0005-0000-0000-0000998E0000}"/>
    <cellStyle name="Wrap 2 3 8 5 2" xfId="33374" xr:uid="{00000000-0005-0000-0000-00009A8E0000}"/>
    <cellStyle name="Wrap 2 3 8 5 2 2" xfId="33375" xr:uid="{00000000-0005-0000-0000-00009B8E0000}"/>
    <cellStyle name="Wrap 2 3 8 5 3" xfId="33376" xr:uid="{00000000-0005-0000-0000-00009C8E0000}"/>
    <cellStyle name="Wrap 2 3 8 5 3 2" xfId="33377" xr:uid="{00000000-0005-0000-0000-00009D8E0000}"/>
    <cellStyle name="Wrap 2 3 8 5 4" xfId="33378" xr:uid="{00000000-0005-0000-0000-00009E8E0000}"/>
    <cellStyle name="Wrap 2 3 8 5 4 2" xfId="33379" xr:uid="{00000000-0005-0000-0000-00009F8E0000}"/>
    <cellStyle name="Wrap 2 3 8 5 5" xfId="33380" xr:uid="{00000000-0005-0000-0000-0000A08E0000}"/>
    <cellStyle name="Wrap 2 3 8 5 5 2" xfId="33381" xr:uid="{00000000-0005-0000-0000-0000A18E0000}"/>
    <cellStyle name="Wrap 2 3 8 5 6" xfId="33382" xr:uid="{00000000-0005-0000-0000-0000A28E0000}"/>
    <cellStyle name="Wrap 2 3 8 5 6 2" xfId="33383" xr:uid="{00000000-0005-0000-0000-0000A38E0000}"/>
    <cellStyle name="Wrap 2 3 8 5 7" xfId="33384" xr:uid="{00000000-0005-0000-0000-0000A48E0000}"/>
    <cellStyle name="Wrap 2 3 8 5 7 2" xfId="33385" xr:uid="{00000000-0005-0000-0000-0000A58E0000}"/>
    <cellStyle name="Wrap 2 3 8 5 8" xfId="33386" xr:uid="{00000000-0005-0000-0000-0000A68E0000}"/>
    <cellStyle name="Wrap 2 3 8 5 8 2" xfId="33387" xr:uid="{00000000-0005-0000-0000-0000A78E0000}"/>
    <cellStyle name="Wrap 2 3 8 5 9" xfId="33388" xr:uid="{00000000-0005-0000-0000-0000A88E0000}"/>
    <cellStyle name="Wrap 2 3 8 5 9 2" xfId="33389" xr:uid="{00000000-0005-0000-0000-0000A98E0000}"/>
    <cellStyle name="Wrap 2 3 8 6" xfId="33390" xr:uid="{00000000-0005-0000-0000-0000AA8E0000}"/>
    <cellStyle name="Wrap 2 3 8 6 10" xfId="33391" xr:uid="{00000000-0005-0000-0000-0000AB8E0000}"/>
    <cellStyle name="Wrap 2 3 8 6 2" xfId="33392" xr:uid="{00000000-0005-0000-0000-0000AC8E0000}"/>
    <cellStyle name="Wrap 2 3 8 6 2 2" xfId="33393" xr:uid="{00000000-0005-0000-0000-0000AD8E0000}"/>
    <cellStyle name="Wrap 2 3 8 6 3" xfId="33394" xr:uid="{00000000-0005-0000-0000-0000AE8E0000}"/>
    <cellStyle name="Wrap 2 3 8 6 3 2" xfId="33395" xr:uid="{00000000-0005-0000-0000-0000AF8E0000}"/>
    <cellStyle name="Wrap 2 3 8 6 4" xfId="33396" xr:uid="{00000000-0005-0000-0000-0000B08E0000}"/>
    <cellStyle name="Wrap 2 3 8 6 4 2" xfId="33397" xr:uid="{00000000-0005-0000-0000-0000B18E0000}"/>
    <cellStyle name="Wrap 2 3 8 6 5" xfId="33398" xr:uid="{00000000-0005-0000-0000-0000B28E0000}"/>
    <cellStyle name="Wrap 2 3 8 6 5 2" xfId="33399" xr:uid="{00000000-0005-0000-0000-0000B38E0000}"/>
    <cellStyle name="Wrap 2 3 8 6 6" xfId="33400" xr:uid="{00000000-0005-0000-0000-0000B48E0000}"/>
    <cellStyle name="Wrap 2 3 8 6 6 2" xfId="33401" xr:uid="{00000000-0005-0000-0000-0000B58E0000}"/>
    <cellStyle name="Wrap 2 3 8 6 7" xfId="33402" xr:uid="{00000000-0005-0000-0000-0000B68E0000}"/>
    <cellStyle name="Wrap 2 3 8 6 7 2" xfId="33403" xr:uid="{00000000-0005-0000-0000-0000B78E0000}"/>
    <cellStyle name="Wrap 2 3 8 6 8" xfId="33404" xr:uid="{00000000-0005-0000-0000-0000B88E0000}"/>
    <cellStyle name="Wrap 2 3 8 6 8 2" xfId="33405" xr:uid="{00000000-0005-0000-0000-0000B98E0000}"/>
    <cellStyle name="Wrap 2 3 8 6 9" xfId="33406" xr:uid="{00000000-0005-0000-0000-0000BA8E0000}"/>
    <cellStyle name="Wrap 2 3 8 6 9 2" xfId="33407" xr:uid="{00000000-0005-0000-0000-0000BB8E0000}"/>
    <cellStyle name="Wrap 2 3 8 7" xfId="33408" xr:uid="{00000000-0005-0000-0000-0000BC8E0000}"/>
    <cellStyle name="Wrap 2 3 8 7 10" xfId="33409" xr:uid="{00000000-0005-0000-0000-0000BD8E0000}"/>
    <cellStyle name="Wrap 2 3 8 7 2" xfId="33410" xr:uid="{00000000-0005-0000-0000-0000BE8E0000}"/>
    <cellStyle name="Wrap 2 3 8 7 2 2" xfId="33411" xr:uid="{00000000-0005-0000-0000-0000BF8E0000}"/>
    <cellStyle name="Wrap 2 3 8 7 3" xfId="33412" xr:uid="{00000000-0005-0000-0000-0000C08E0000}"/>
    <cellStyle name="Wrap 2 3 8 7 3 2" xfId="33413" xr:uid="{00000000-0005-0000-0000-0000C18E0000}"/>
    <cellStyle name="Wrap 2 3 8 7 4" xfId="33414" xr:uid="{00000000-0005-0000-0000-0000C28E0000}"/>
    <cellStyle name="Wrap 2 3 8 7 4 2" xfId="33415" xr:uid="{00000000-0005-0000-0000-0000C38E0000}"/>
    <cellStyle name="Wrap 2 3 8 7 5" xfId="33416" xr:uid="{00000000-0005-0000-0000-0000C48E0000}"/>
    <cellStyle name="Wrap 2 3 8 7 5 2" xfId="33417" xr:uid="{00000000-0005-0000-0000-0000C58E0000}"/>
    <cellStyle name="Wrap 2 3 8 7 6" xfId="33418" xr:uid="{00000000-0005-0000-0000-0000C68E0000}"/>
    <cellStyle name="Wrap 2 3 8 7 6 2" xfId="33419" xr:uid="{00000000-0005-0000-0000-0000C78E0000}"/>
    <cellStyle name="Wrap 2 3 8 7 7" xfId="33420" xr:uid="{00000000-0005-0000-0000-0000C88E0000}"/>
    <cellStyle name="Wrap 2 3 8 7 7 2" xfId="33421" xr:uid="{00000000-0005-0000-0000-0000C98E0000}"/>
    <cellStyle name="Wrap 2 3 8 7 8" xfId="33422" xr:uid="{00000000-0005-0000-0000-0000CA8E0000}"/>
    <cellStyle name="Wrap 2 3 8 7 8 2" xfId="33423" xr:uid="{00000000-0005-0000-0000-0000CB8E0000}"/>
    <cellStyle name="Wrap 2 3 8 7 9" xfId="33424" xr:uid="{00000000-0005-0000-0000-0000CC8E0000}"/>
    <cellStyle name="Wrap 2 3 8 7 9 2" xfId="33425" xr:uid="{00000000-0005-0000-0000-0000CD8E0000}"/>
    <cellStyle name="Wrap 2 3 8 8" xfId="33426" xr:uid="{00000000-0005-0000-0000-0000CE8E0000}"/>
    <cellStyle name="Wrap 2 3 8 8 10" xfId="33427" xr:uid="{00000000-0005-0000-0000-0000CF8E0000}"/>
    <cellStyle name="Wrap 2 3 8 8 2" xfId="33428" xr:uid="{00000000-0005-0000-0000-0000D08E0000}"/>
    <cellStyle name="Wrap 2 3 8 8 2 2" xfId="33429" xr:uid="{00000000-0005-0000-0000-0000D18E0000}"/>
    <cellStyle name="Wrap 2 3 8 8 3" xfId="33430" xr:uid="{00000000-0005-0000-0000-0000D28E0000}"/>
    <cellStyle name="Wrap 2 3 8 8 3 2" xfId="33431" xr:uid="{00000000-0005-0000-0000-0000D38E0000}"/>
    <cellStyle name="Wrap 2 3 8 8 4" xfId="33432" xr:uid="{00000000-0005-0000-0000-0000D48E0000}"/>
    <cellStyle name="Wrap 2 3 8 8 4 2" xfId="33433" xr:uid="{00000000-0005-0000-0000-0000D58E0000}"/>
    <cellStyle name="Wrap 2 3 8 8 5" xfId="33434" xr:uid="{00000000-0005-0000-0000-0000D68E0000}"/>
    <cellStyle name="Wrap 2 3 8 8 5 2" xfId="33435" xr:uid="{00000000-0005-0000-0000-0000D78E0000}"/>
    <cellStyle name="Wrap 2 3 8 8 6" xfId="33436" xr:uid="{00000000-0005-0000-0000-0000D88E0000}"/>
    <cellStyle name="Wrap 2 3 8 8 6 2" xfId="33437" xr:uid="{00000000-0005-0000-0000-0000D98E0000}"/>
    <cellStyle name="Wrap 2 3 8 8 7" xfId="33438" xr:uid="{00000000-0005-0000-0000-0000DA8E0000}"/>
    <cellStyle name="Wrap 2 3 8 8 7 2" xfId="33439" xr:uid="{00000000-0005-0000-0000-0000DB8E0000}"/>
    <cellStyle name="Wrap 2 3 8 8 8" xfId="33440" xr:uid="{00000000-0005-0000-0000-0000DC8E0000}"/>
    <cellStyle name="Wrap 2 3 8 8 8 2" xfId="33441" xr:uid="{00000000-0005-0000-0000-0000DD8E0000}"/>
    <cellStyle name="Wrap 2 3 8 8 9" xfId="33442" xr:uid="{00000000-0005-0000-0000-0000DE8E0000}"/>
    <cellStyle name="Wrap 2 3 8 8 9 2" xfId="33443" xr:uid="{00000000-0005-0000-0000-0000DF8E0000}"/>
    <cellStyle name="Wrap 2 3 8 9" xfId="33444" xr:uid="{00000000-0005-0000-0000-0000E08E0000}"/>
    <cellStyle name="Wrap 2 3 8 9 10" xfId="33445" xr:uid="{00000000-0005-0000-0000-0000E18E0000}"/>
    <cellStyle name="Wrap 2 3 8 9 2" xfId="33446" xr:uid="{00000000-0005-0000-0000-0000E28E0000}"/>
    <cellStyle name="Wrap 2 3 8 9 2 2" xfId="33447" xr:uid="{00000000-0005-0000-0000-0000E38E0000}"/>
    <cellStyle name="Wrap 2 3 8 9 3" xfId="33448" xr:uid="{00000000-0005-0000-0000-0000E48E0000}"/>
    <cellStyle name="Wrap 2 3 8 9 3 2" xfId="33449" xr:uid="{00000000-0005-0000-0000-0000E58E0000}"/>
    <cellStyle name="Wrap 2 3 8 9 4" xfId="33450" xr:uid="{00000000-0005-0000-0000-0000E68E0000}"/>
    <cellStyle name="Wrap 2 3 8 9 4 2" xfId="33451" xr:uid="{00000000-0005-0000-0000-0000E78E0000}"/>
    <cellStyle name="Wrap 2 3 8 9 5" xfId="33452" xr:uid="{00000000-0005-0000-0000-0000E88E0000}"/>
    <cellStyle name="Wrap 2 3 8 9 5 2" xfId="33453" xr:uid="{00000000-0005-0000-0000-0000E98E0000}"/>
    <cellStyle name="Wrap 2 3 8 9 6" xfId="33454" xr:uid="{00000000-0005-0000-0000-0000EA8E0000}"/>
    <cellStyle name="Wrap 2 3 8 9 6 2" xfId="33455" xr:uid="{00000000-0005-0000-0000-0000EB8E0000}"/>
    <cellStyle name="Wrap 2 3 8 9 7" xfId="33456" xr:uid="{00000000-0005-0000-0000-0000EC8E0000}"/>
    <cellStyle name="Wrap 2 3 8 9 7 2" xfId="33457" xr:uid="{00000000-0005-0000-0000-0000ED8E0000}"/>
    <cellStyle name="Wrap 2 3 8 9 8" xfId="33458" xr:uid="{00000000-0005-0000-0000-0000EE8E0000}"/>
    <cellStyle name="Wrap 2 3 8 9 8 2" xfId="33459" xr:uid="{00000000-0005-0000-0000-0000EF8E0000}"/>
    <cellStyle name="Wrap 2 3 8 9 9" xfId="33460" xr:uid="{00000000-0005-0000-0000-0000F08E0000}"/>
    <cellStyle name="Wrap 2 3 8 9 9 2" xfId="33461" xr:uid="{00000000-0005-0000-0000-0000F18E0000}"/>
    <cellStyle name="Wrap 2 4" xfId="33462" xr:uid="{00000000-0005-0000-0000-0000F28E0000}"/>
    <cellStyle name="Wrap 2 4 10" xfId="33463" xr:uid="{00000000-0005-0000-0000-0000F38E0000}"/>
    <cellStyle name="Wrap 2 4 10 10" xfId="33464" xr:uid="{00000000-0005-0000-0000-0000F48E0000}"/>
    <cellStyle name="Wrap 2 4 10 2" xfId="33465" xr:uid="{00000000-0005-0000-0000-0000F58E0000}"/>
    <cellStyle name="Wrap 2 4 10 2 2" xfId="33466" xr:uid="{00000000-0005-0000-0000-0000F68E0000}"/>
    <cellStyle name="Wrap 2 4 10 3" xfId="33467" xr:uid="{00000000-0005-0000-0000-0000F78E0000}"/>
    <cellStyle name="Wrap 2 4 10 3 2" xfId="33468" xr:uid="{00000000-0005-0000-0000-0000F88E0000}"/>
    <cellStyle name="Wrap 2 4 10 4" xfId="33469" xr:uid="{00000000-0005-0000-0000-0000F98E0000}"/>
    <cellStyle name="Wrap 2 4 10 4 2" xfId="33470" xr:uid="{00000000-0005-0000-0000-0000FA8E0000}"/>
    <cellStyle name="Wrap 2 4 10 5" xfId="33471" xr:uid="{00000000-0005-0000-0000-0000FB8E0000}"/>
    <cellStyle name="Wrap 2 4 10 5 2" xfId="33472" xr:uid="{00000000-0005-0000-0000-0000FC8E0000}"/>
    <cellStyle name="Wrap 2 4 10 6" xfId="33473" xr:uid="{00000000-0005-0000-0000-0000FD8E0000}"/>
    <cellStyle name="Wrap 2 4 10 6 2" xfId="33474" xr:uid="{00000000-0005-0000-0000-0000FE8E0000}"/>
    <cellStyle name="Wrap 2 4 10 7" xfId="33475" xr:uid="{00000000-0005-0000-0000-0000FF8E0000}"/>
    <cellStyle name="Wrap 2 4 10 7 2" xfId="33476" xr:uid="{00000000-0005-0000-0000-0000008F0000}"/>
    <cellStyle name="Wrap 2 4 10 8" xfId="33477" xr:uid="{00000000-0005-0000-0000-0000018F0000}"/>
    <cellStyle name="Wrap 2 4 10 8 2" xfId="33478" xr:uid="{00000000-0005-0000-0000-0000028F0000}"/>
    <cellStyle name="Wrap 2 4 10 9" xfId="33479" xr:uid="{00000000-0005-0000-0000-0000038F0000}"/>
    <cellStyle name="Wrap 2 4 10 9 2" xfId="33480" xr:uid="{00000000-0005-0000-0000-0000048F0000}"/>
    <cellStyle name="Wrap 2 4 11" xfId="33481" xr:uid="{00000000-0005-0000-0000-0000058F0000}"/>
    <cellStyle name="Wrap 2 4 11 2" xfId="33482" xr:uid="{00000000-0005-0000-0000-0000068F0000}"/>
    <cellStyle name="Wrap 2 4 11 2 2" xfId="33483" xr:uid="{00000000-0005-0000-0000-0000078F0000}"/>
    <cellStyle name="Wrap 2 4 11 3" xfId="33484" xr:uid="{00000000-0005-0000-0000-0000088F0000}"/>
    <cellStyle name="Wrap 2 4 11 3 2" xfId="33485" xr:uid="{00000000-0005-0000-0000-0000098F0000}"/>
    <cellStyle name="Wrap 2 4 11 4" xfId="33486" xr:uid="{00000000-0005-0000-0000-00000A8F0000}"/>
    <cellStyle name="Wrap 2 4 11 4 2" xfId="33487" xr:uid="{00000000-0005-0000-0000-00000B8F0000}"/>
    <cellStyle name="Wrap 2 4 11 5" xfId="33488" xr:uid="{00000000-0005-0000-0000-00000C8F0000}"/>
    <cellStyle name="Wrap 2 4 11 5 2" xfId="33489" xr:uid="{00000000-0005-0000-0000-00000D8F0000}"/>
    <cellStyle name="Wrap 2 4 11 6" xfId="33490" xr:uid="{00000000-0005-0000-0000-00000E8F0000}"/>
    <cellStyle name="Wrap 2 4 11 6 2" xfId="33491" xr:uid="{00000000-0005-0000-0000-00000F8F0000}"/>
    <cellStyle name="Wrap 2 4 11 7" xfId="33492" xr:uid="{00000000-0005-0000-0000-0000108F0000}"/>
    <cellStyle name="Wrap 2 4 11 7 2" xfId="33493" xr:uid="{00000000-0005-0000-0000-0000118F0000}"/>
    <cellStyle name="Wrap 2 4 11 8" xfId="33494" xr:uid="{00000000-0005-0000-0000-0000128F0000}"/>
    <cellStyle name="Wrap 2 4 11 8 2" xfId="33495" xr:uid="{00000000-0005-0000-0000-0000138F0000}"/>
    <cellStyle name="Wrap 2 4 11 9" xfId="33496" xr:uid="{00000000-0005-0000-0000-0000148F0000}"/>
    <cellStyle name="Wrap 2 4 2" xfId="33497" xr:uid="{00000000-0005-0000-0000-0000158F0000}"/>
    <cellStyle name="Wrap 2 4 2 10" xfId="33498" xr:uid="{00000000-0005-0000-0000-0000168F0000}"/>
    <cellStyle name="Wrap 2 4 2 2" xfId="33499" xr:uid="{00000000-0005-0000-0000-0000178F0000}"/>
    <cellStyle name="Wrap 2 4 2 2 2" xfId="33500" xr:uid="{00000000-0005-0000-0000-0000188F0000}"/>
    <cellStyle name="Wrap 2 4 2 3" xfId="33501" xr:uid="{00000000-0005-0000-0000-0000198F0000}"/>
    <cellStyle name="Wrap 2 4 2 3 2" xfId="33502" xr:uid="{00000000-0005-0000-0000-00001A8F0000}"/>
    <cellStyle name="Wrap 2 4 2 4" xfId="33503" xr:uid="{00000000-0005-0000-0000-00001B8F0000}"/>
    <cellStyle name="Wrap 2 4 2 4 2" xfId="33504" xr:uid="{00000000-0005-0000-0000-00001C8F0000}"/>
    <cellStyle name="Wrap 2 4 2 5" xfId="33505" xr:uid="{00000000-0005-0000-0000-00001D8F0000}"/>
    <cellStyle name="Wrap 2 4 2 5 2" xfId="33506" xr:uid="{00000000-0005-0000-0000-00001E8F0000}"/>
    <cellStyle name="Wrap 2 4 2 6" xfId="33507" xr:uid="{00000000-0005-0000-0000-00001F8F0000}"/>
    <cellStyle name="Wrap 2 4 2 6 2" xfId="33508" xr:uid="{00000000-0005-0000-0000-0000208F0000}"/>
    <cellStyle name="Wrap 2 4 2 7" xfId="33509" xr:uid="{00000000-0005-0000-0000-0000218F0000}"/>
    <cellStyle name="Wrap 2 4 2 7 2" xfId="33510" xr:uid="{00000000-0005-0000-0000-0000228F0000}"/>
    <cellStyle name="Wrap 2 4 2 8" xfId="33511" xr:uid="{00000000-0005-0000-0000-0000238F0000}"/>
    <cellStyle name="Wrap 2 4 2 8 2" xfId="33512" xr:uid="{00000000-0005-0000-0000-0000248F0000}"/>
    <cellStyle name="Wrap 2 4 2 9" xfId="33513" xr:uid="{00000000-0005-0000-0000-0000258F0000}"/>
    <cellStyle name="Wrap 2 4 2 9 2" xfId="33514" xr:uid="{00000000-0005-0000-0000-0000268F0000}"/>
    <cellStyle name="Wrap 2 4 3" xfId="33515" xr:uid="{00000000-0005-0000-0000-0000278F0000}"/>
    <cellStyle name="Wrap 2 4 3 10" xfId="33516" xr:uid="{00000000-0005-0000-0000-0000288F0000}"/>
    <cellStyle name="Wrap 2 4 3 2" xfId="33517" xr:uid="{00000000-0005-0000-0000-0000298F0000}"/>
    <cellStyle name="Wrap 2 4 3 2 2" xfId="33518" xr:uid="{00000000-0005-0000-0000-00002A8F0000}"/>
    <cellStyle name="Wrap 2 4 3 3" xfId="33519" xr:uid="{00000000-0005-0000-0000-00002B8F0000}"/>
    <cellStyle name="Wrap 2 4 3 3 2" xfId="33520" xr:uid="{00000000-0005-0000-0000-00002C8F0000}"/>
    <cellStyle name="Wrap 2 4 3 4" xfId="33521" xr:uid="{00000000-0005-0000-0000-00002D8F0000}"/>
    <cellStyle name="Wrap 2 4 3 4 2" xfId="33522" xr:uid="{00000000-0005-0000-0000-00002E8F0000}"/>
    <cellStyle name="Wrap 2 4 3 5" xfId="33523" xr:uid="{00000000-0005-0000-0000-00002F8F0000}"/>
    <cellStyle name="Wrap 2 4 3 5 2" xfId="33524" xr:uid="{00000000-0005-0000-0000-0000308F0000}"/>
    <cellStyle name="Wrap 2 4 3 6" xfId="33525" xr:uid="{00000000-0005-0000-0000-0000318F0000}"/>
    <cellStyle name="Wrap 2 4 3 6 2" xfId="33526" xr:uid="{00000000-0005-0000-0000-0000328F0000}"/>
    <cellStyle name="Wrap 2 4 3 7" xfId="33527" xr:uid="{00000000-0005-0000-0000-0000338F0000}"/>
    <cellStyle name="Wrap 2 4 3 7 2" xfId="33528" xr:uid="{00000000-0005-0000-0000-0000348F0000}"/>
    <cellStyle name="Wrap 2 4 3 8" xfId="33529" xr:uid="{00000000-0005-0000-0000-0000358F0000}"/>
    <cellStyle name="Wrap 2 4 3 8 2" xfId="33530" xr:uid="{00000000-0005-0000-0000-0000368F0000}"/>
    <cellStyle name="Wrap 2 4 3 9" xfId="33531" xr:uid="{00000000-0005-0000-0000-0000378F0000}"/>
    <cellStyle name="Wrap 2 4 3 9 2" xfId="33532" xr:uid="{00000000-0005-0000-0000-0000388F0000}"/>
    <cellStyle name="Wrap 2 4 4" xfId="33533" xr:uid="{00000000-0005-0000-0000-0000398F0000}"/>
    <cellStyle name="Wrap 2 4 4 10" xfId="33534" xr:uid="{00000000-0005-0000-0000-00003A8F0000}"/>
    <cellStyle name="Wrap 2 4 4 2" xfId="33535" xr:uid="{00000000-0005-0000-0000-00003B8F0000}"/>
    <cellStyle name="Wrap 2 4 4 2 2" xfId="33536" xr:uid="{00000000-0005-0000-0000-00003C8F0000}"/>
    <cellStyle name="Wrap 2 4 4 3" xfId="33537" xr:uid="{00000000-0005-0000-0000-00003D8F0000}"/>
    <cellStyle name="Wrap 2 4 4 3 2" xfId="33538" xr:uid="{00000000-0005-0000-0000-00003E8F0000}"/>
    <cellStyle name="Wrap 2 4 4 4" xfId="33539" xr:uid="{00000000-0005-0000-0000-00003F8F0000}"/>
    <cellStyle name="Wrap 2 4 4 4 2" xfId="33540" xr:uid="{00000000-0005-0000-0000-0000408F0000}"/>
    <cellStyle name="Wrap 2 4 4 5" xfId="33541" xr:uid="{00000000-0005-0000-0000-0000418F0000}"/>
    <cellStyle name="Wrap 2 4 4 5 2" xfId="33542" xr:uid="{00000000-0005-0000-0000-0000428F0000}"/>
    <cellStyle name="Wrap 2 4 4 6" xfId="33543" xr:uid="{00000000-0005-0000-0000-0000438F0000}"/>
    <cellStyle name="Wrap 2 4 4 6 2" xfId="33544" xr:uid="{00000000-0005-0000-0000-0000448F0000}"/>
    <cellStyle name="Wrap 2 4 4 7" xfId="33545" xr:uid="{00000000-0005-0000-0000-0000458F0000}"/>
    <cellStyle name="Wrap 2 4 4 7 2" xfId="33546" xr:uid="{00000000-0005-0000-0000-0000468F0000}"/>
    <cellStyle name="Wrap 2 4 4 8" xfId="33547" xr:uid="{00000000-0005-0000-0000-0000478F0000}"/>
    <cellStyle name="Wrap 2 4 4 8 2" xfId="33548" xr:uid="{00000000-0005-0000-0000-0000488F0000}"/>
    <cellStyle name="Wrap 2 4 4 9" xfId="33549" xr:uid="{00000000-0005-0000-0000-0000498F0000}"/>
    <cellStyle name="Wrap 2 4 4 9 2" xfId="33550" xr:uid="{00000000-0005-0000-0000-00004A8F0000}"/>
    <cellStyle name="Wrap 2 4 5" xfId="33551" xr:uid="{00000000-0005-0000-0000-00004B8F0000}"/>
    <cellStyle name="Wrap 2 4 5 10" xfId="33552" xr:uid="{00000000-0005-0000-0000-00004C8F0000}"/>
    <cellStyle name="Wrap 2 4 5 2" xfId="33553" xr:uid="{00000000-0005-0000-0000-00004D8F0000}"/>
    <cellStyle name="Wrap 2 4 5 2 2" xfId="33554" xr:uid="{00000000-0005-0000-0000-00004E8F0000}"/>
    <cellStyle name="Wrap 2 4 5 3" xfId="33555" xr:uid="{00000000-0005-0000-0000-00004F8F0000}"/>
    <cellStyle name="Wrap 2 4 5 3 2" xfId="33556" xr:uid="{00000000-0005-0000-0000-0000508F0000}"/>
    <cellStyle name="Wrap 2 4 5 4" xfId="33557" xr:uid="{00000000-0005-0000-0000-0000518F0000}"/>
    <cellStyle name="Wrap 2 4 5 4 2" xfId="33558" xr:uid="{00000000-0005-0000-0000-0000528F0000}"/>
    <cellStyle name="Wrap 2 4 5 5" xfId="33559" xr:uid="{00000000-0005-0000-0000-0000538F0000}"/>
    <cellStyle name="Wrap 2 4 5 5 2" xfId="33560" xr:uid="{00000000-0005-0000-0000-0000548F0000}"/>
    <cellStyle name="Wrap 2 4 5 6" xfId="33561" xr:uid="{00000000-0005-0000-0000-0000558F0000}"/>
    <cellStyle name="Wrap 2 4 5 6 2" xfId="33562" xr:uid="{00000000-0005-0000-0000-0000568F0000}"/>
    <cellStyle name="Wrap 2 4 5 7" xfId="33563" xr:uid="{00000000-0005-0000-0000-0000578F0000}"/>
    <cellStyle name="Wrap 2 4 5 7 2" xfId="33564" xr:uid="{00000000-0005-0000-0000-0000588F0000}"/>
    <cellStyle name="Wrap 2 4 5 8" xfId="33565" xr:uid="{00000000-0005-0000-0000-0000598F0000}"/>
    <cellStyle name="Wrap 2 4 5 8 2" xfId="33566" xr:uid="{00000000-0005-0000-0000-00005A8F0000}"/>
    <cellStyle name="Wrap 2 4 5 9" xfId="33567" xr:uid="{00000000-0005-0000-0000-00005B8F0000}"/>
    <cellStyle name="Wrap 2 4 5 9 2" xfId="33568" xr:uid="{00000000-0005-0000-0000-00005C8F0000}"/>
    <cellStyle name="Wrap 2 4 6" xfId="33569" xr:uid="{00000000-0005-0000-0000-00005D8F0000}"/>
    <cellStyle name="Wrap 2 4 6 10" xfId="33570" xr:uid="{00000000-0005-0000-0000-00005E8F0000}"/>
    <cellStyle name="Wrap 2 4 6 2" xfId="33571" xr:uid="{00000000-0005-0000-0000-00005F8F0000}"/>
    <cellStyle name="Wrap 2 4 6 2 2" xfId="33572" xr:uid="{00000000-0005-0000-0000-0000608F0000}"/>
    <cellStyle name="Wrap 2 4 6 3" xfId="33573" xr:uid="{00000000-0005-0000-0000-0000618F0000}"/>
    <cellStyle name="Wrap 2 4 6 3 2" xfId="33574" xr:uid="{00000000-0005-0000-0000-0000628F0000}"/>
    <cellStyle name="Wrap 2 4 6 4" xfId="33575" xr:uid="{00000000-0005-0000-0000-0000638F0000}"/>
    <cellStyle name="Wrap 2 4 6 4 2" xfId="33576" xr:uid="{00000000-0005-0000-0000-0000648F0000}"/>
    <cellStyle name="Wrap 2 4 6 5" xfId="33577" xr:uid="{00000000-0005-0000-0000-0000658F0000}"/>
    <cellStyle name="Wrap 2 4 6 5 2" xfId="33578" xr:uid="{00000000-0005-0000-0000-0000668F0000}"/>
    <cellStyle name="Wrap 2 4 6 6" xfId="33579" xr:uid="{00000000-0005-0000-0000-0000678F0000}"/>
    <cellStyle name="Wrap 2 4 6 6 2" xfId="33580" xr:uid="{00000000-0005-0000-0000-0000688F0000}"/>
    <cellStyle name="Wrap 2 4 6 7" xfId="33581" xr:uid="{00000000-0005-0000-0000-0000698F0000}"/>
    <cellStyle name="Wrap 2 4 6 7 2" xfId="33582" xr:uid="{00000000-0005-0000-0000-00006A8F0000}"/>
    <cellStyle name="Wrap 2 4 6 8" xfId="33583" xr:uid="{00000000-0005-0000-0000-00006B8F0000}"/>
    <cellStyle name="Wrap 2 4 6 8 2" xfId="33584" xr:uid="{00000000-0005-0000-0000-00006C8F0000}"/>
    <cellStyle name="Wrap 2 4 6 9" xfId="33585" xr:uid="{00000000-0005-0000-0000-00006D8F0000}"/>
    <cellStyle name="Wrap 2 4 6 9 2" xfId="33586" xr:uid="{00000000-0005-0000-0000-00006E8F0000}"/>
    <cellStyle name="Wrap 2 4 7" xfId="33587" xr:uid="{00000000-0005-0000-0000-00006F8F0000}"/>
    <cellStyle name="Wrap 2 4 7 10" xfId="33588" xr:uid="{00000000-0005-0000-0000-0000708F0000}"/>
    <cellStyle name="Wrap 2 4 7 2" xfId="33589" xr:uid="{00000000-0005-0000-0000-0000718F0000}"/>
    <cellStyle name="Wrap 2 4 7 2 2" xfId="33590" xr:uid="{00000000-0005-0000-0000-0000728F0000}"/>
    <cellStyle name="Wrap 2 4 7 3" xfId="33591" xr:uid="{00000000-0005-0000-0000-0000738F0000}"/>
    <cellStyle name="Wrap 2 4 7 3 2" xfId="33592" xr:uid="{00000000-0005-0000-0000-0000748F0000}"/>
    <cellStyle name="Wrap 2 4 7 4" xfId="33593" xr:uid="{00000000-0005-0000-0000-0000758F0000}"/>
    <cellStyle name="Wrap 2 4 7 4 2" xfId="33594" xr:uid="{00000000-0005-0000-0000-0000768F0000}"/>
    <cellStyle name="Wrap 2 4 7 5" xfId="33595" xr:uid="{00000000-0005-0000-0000-0000778F0000}"/>
    <cellStyle name="Wrap 2 4 7 5 2" xfId="33596" xr:uid="{00000000-0005-0000-0000-0000788F0000}"/>
    <cellStyle name="Wrap 2 4 7 6" xfId="33597" xr:uid="{00000000-0005-0000-0000-0000798F0000}"/>
    <cellStyle name="Wrap 2 4 7 6 2" xfId="33598" xr:uid="{00000000-0005-0000-0000-00007A8F0000}"/>
    <cellStyle name="Wrap 2 4 7 7" xfId="33599" xr:uid="{00000000-0005-0000-0000-00007B8F0000}"/>
    <cellStyle name="Wrap 2 4 7 7 2" xfId="33600" xr:uid="{00000000-0005-0000-0000-00007C8F0000}"/>
    <cellStyle name="Wrap 2 4 7 8" xfId="33601" xr:uid="{00000000-0005-0000-0000-00007D8F0000}"/>
    <cellStyle name="Wrap 2 4 7 8 2" xfId="33602" xr:uid="{00000000-0005-0000-0000-00007E8F0000}"/>
    <cellStyle name="Wrap 2 4 7 9" xfId="33603" xr:uid="{00000000-0005-0000-0000-00007F8F0000}"/>
    <cellStyle name="Wrap 2 4 7 9 2" xfId="33604" xr:uid="{00000000-0005-0000-0000-0000808F0000}"/>
    <cellStyle name="Wrap 2 4 8" xfId="33605" xr:uid="{00000000-0005-0000-0000-0000818F0000}"/>
    <cellStyle name="Wrap 2 4 8 10" xfId="33606" xr:uid="{00000000-0005-0000-0000-0000828F0000}"/>
    <cellStyle name="Wrap 2 4 8 2" xfId="33607" xr:uid="{00000000-0005-0000-0000-0000838F0000}"/>
    <cellStyle name="Wrap 2 4 8 2 2" xfId="33608" xr:uid="{00000000-0005-0000-0000-0000848F0000}"/>
    <cellStyle name="Wrap 2 4 8 3" xfId="33609" xr:uid="{00000000-0005-0000-0000-0000858F0000}"/>
    <cellStyle name="Wrap 2 4 8 3 2" xfId="33610" xr:uid="{00000000-0005-0000-0000-0000868F0000}"/>
    <cellStyle name="Wrap 2 4 8 4" xfId="33611" xr:uid="{00000000-0005-0000-0000-0000878F0000}"/>
    <cellStyle name="Wrap 2 4 8 4 2" xfId="33612" xr:uid="{00000000-0005-0000-0000-0000888F0000}"/>
    <cellStyle name="Wrap 2 4 8 5" xfId="33613" xr:uid="{00000000-0005-0000-0000-0000898F0000}"/>
    <cellStyle name="Wrap 2 4 8 5 2" xfId="33614" xr:uid="{00000000-0005-0000-0000-00008A8F0000}"/>
    <cellStyle name="Wrap 2 4 8 6" xfId="33615" xr:uid="{00000000-0005-0000-0000-00008B8F0000}"/>
    <cellStyle name="Wrap 2 4 8 6 2" xfId="33616" xr:uid="{00000000-0005-0000-0000-00008C8F0000}"/>
    <cellStyle name="Wrap 2 4 8 7" xfId="33617" xr:uid="{00000000-0005-0000-0000-00008D8F0000}"/>
    <cellStyle name="Wrap 2 4 8 7 2" xfId="33618" xr:uid="{00000000-0005-0000-0000-00008E8F0000}"/>
    <cellStyle name="Wrap 2 4 8 8" xfId="33619" xr:uid="{00000000-0005-0000-0000-00008F8F0000}"/>
    <cellStyle name="Wrap 2 4 8 8 2" xfId="33620" xr:uid="{00000000-0005-0000-0000-0000908F0000}"/>
    <cellStyle name="Wrap 2 4 8 9" xfId="33621" xr:uid="{00000000-0005-0000-0000-0000918F0000}"/>
    <cellStyle name="Wrap 2 4 8 9 2" xfId="33622" xr:uid="{00000000-0005-0000-0000-0000928F0000}"/>
    <cellStyle name="Wrap 2 4 9" xfId="33623" xr:uid="{00000000-0005-0000-0000-0000938F0000}"/>
    <cellStyle name="Wrap 2 4 9 10" xfId="33624" xr:uid="{00000000-0005-0000-0000-0000948F0000}"/>
    <cellStyle name="Wrap 2 4 9 2" xfId="33625" xr:uid="{00000000-0005-0000-0000-0000958F0000}"/>
    <cellStyle name="Wrap 2 4 9 2 2" xfId="33626" xr:uid="{00000000-0005-0000-0000-0000968F0000}"/>
    <cellStyle name="Wrap 2 4 9 3" xfId="33627" xr:uid="{00000000-0005-0000-0000-0000978F0000}"/>
    <cellStyle name="Wrap 2 4 9 3 2" xfId="33628" xr:uid="{00000000-0005-0000-0000-0000988F0000}"/>
    <cellStyle name="Wrap 2 4 9 4" xfId="33629" xr:uid="{00000000-0005-0000-0000-0000998F0000}"/>
    <cellStyle name="Wrap 2 4 9 4 2" xfId="33630" xr:uid="{00000000-0005-0000-0000-00009A8F0000}"/>
    <cellStyle name="Wrap 2 4 9 5" xfId="33631" xr:uid="{00000000-0005-0000-0000-00009B8F0000}"/>
    <cellStyle name="Wrap 2 4 9 5 2" xfId="33632" xr:uid="{00000000-0005-0000-0000-00009C8F0000}"/>
    <cellStyle name="Wrap 2 4 9 6" xfId="33633" xr:uid="{00000000-0005-0000-0000-00009D8F0000}"/>
    <cellStyle name="Wrap 2 4 9 6 2" xfId="33634" xr:uid="{00000000-0005-0000-0000-00009E8F0000}"/>
    <cellStyle name="Wrap 2 4 9 7" xfId="33635" xr:uid="{00000000-0005-0000-0000-00009F8F0000}"/>
    <cellStyle name="Wrap 2 4 9 7 2" xfId="33636" xr:uid="{00000000-0005-0000-0000-0000A08F0000}"/>
    <cellStyle name="Wrap 2 4 9 8" xfId="33637" xr:uid="{00000000-0005-0000-0000-0000A18F0000}"/>
    <cellStyle name="Wrap 2 4 9 8 2" xfId="33638" xr:uid="{00000000-0005-0000-0000-0000A28F0000}"/>
    <cellStyle name="Wrap 2 4 9 9" xfId="33639" xr:uid="{00000000-0005-0000-0000-0000A38F0000}"/>
    <cellStyle name="Wrap 2 4 9 9 2" xfId="33640" xr:uid="{00000000-0005-0000-0000-0000A48F0000}"/>
    <cellStyle name="Wrap 2 5" xfId="33641" xr:uid="{00000000-0005-0000-0000-0000A58F0000}"/>
    <cellStyle name="Wrap 2 5 10" xfId="33642" xr:uid="{00000000-0005-0000-0000-0000A68F0000}"/>
    <cellStyle name="Wrap 2 5 10 10" xfId="33643" xr:uid="{00000000-0005-0000-0000-0000A78F0000}"/>
    <cellStyle name="Wrap 2 5 10 2" xfId="33644" xr:uid="{00000000-0005-0000-0000-0000A88F0000}"/>
    <cellStyle name="Wrap 2 5 10 2 2" xfId="33645" xr:uid="{00000000-0005-0000-0000-0000A98F0000}"/>
    <cellStyle name="Wrap 2 5 10 3" xfId="33646" xr:uid="{00000000-0005-0000-0000-0000AA8F0000}"/>
    <cellStyle name="Wrap 2 5 10 3 2" xfId="33647" xr:uid="{00000000-0005-0000-0000-0000AB8F0000}"/>
    <cellStyle name="Wrap 2 5 10 4" xfId="33648" xr:uid="{00000000-0005-0000-0000-0000AC8F0000}"/>
    <cellStyle name="Wrap 2 5 10 4 2" xfId="33649" xr:uid="{00000000-0005-0000-0000-0000AD8F0000}"/>
    <cellStyle name="Wrap 2 5 10 5" xfId="33650" xr:uid="{00000000-0005-0000-0000-0000AE8F0000}"/>
    <cellStyle name="Wrap 2 5 10 5 2" xfId="33651" xr:uid="{00000000-0005-0000-0000-0000AF8F0000}"/>
    <cellStyle name="Wrap 2 5 10 6" xfId="33652" xr:uid="{00000000-0005-0000-0000-0000B08F0000}"/>
    <cellStyle name="Wrap 2 5 10 6 2" xfId="33653" xr:uid="{00000000-0005-0000-0000-0000B18F0000}"/>
    <cellStyle name="Wrap 2 5 10 7" xfId="33654" xr:uid="{00000000-0005-0000-0000-0000B28F0000}"/>
    <cellStyle name="Wrap 2 5 10 7 2" xfId="33655" xr:uid="{00000000-0005-0000-0000-0000B38F0000}"/>
    <cellStyle name="Wrap 2 5 10 8" xfId="33656" xr:uid="{00000000-0005-0000-0000-0000B48F0000}"/>
    <cellStyle name="Wrap 2 5 10 8 2" xfId="33657" xr:uid="{00000000-0005-0000-0000-0000B58F0000}"/>
    <cellStyle name="Wrap 2 5 10 9" xfId="33658" xr:uid="{00000000-0005-0000-0000-0000B68F0000}"/>
    <cellStyle name="Wrap 2 5 10 9 2" xfId="33659" xr:uid="{00000000-0005-0000-0000-0000B78F0000}"/>
    <cellStyle name="Wrap 2 5 11" xfId="33660" xr:uid="{00000000-0005-0000-0000-0000B88F0000}"/>
    <cellStyle name="Wrap 2 5 11 2" xfId="33661" xr:uid="{00000000-0005-0000-0000-0000B98F0000}"/>
    <cellStyle name="Wrap 2 5 11 2 2" xfId="33662" xr:uid="{00000000-0005-0000-0000-0000BA8F0000}"/>
    <cellStyle name="Wrap 2 5 11 3" xfId="33663" xr:uid="{00000000-0005-0000-0000-0000BB8F0000}"/>
    <cellStyle name="Wrap 2 5 11 3 2" xfId="33664" xr:uid="{00000000-0005-0000-0000-0000BC8F0000}"/>
    <cellStyle name="Wrap 2 5 11 4" xfId="33665" xr:uid="{00000000-0005-0000-0000-0000BD8F0000}"/>
    <cellStyle name="Wrap 2 5 11 4 2" xfId="33666" xr:uid="{00000000-0005-0000-0000-0000BE8F0000}"/>
    <cellStyle name="Wrap 2 5 11 5" xfId="33667" xr:uid="{00000000-0005-0000-0000-0000BF8F0000}"/>
    <cellStyle name="Wrap 2 5 11 5 2" xfId="33668" xr:uid="{00000000-0005-0000-0000-0000C08F0000}"/>
    <cellStyle name="Wrap 2 5 11 6" xfId="33669" xr:uid="{00000000-0005-0000-0000-0000C18F0000}"/>
    <cellStyle name="Wrap 2 5 11 6 2" xfId="33670" xr:uid="{00000000-0005-0000-0000-0000C28F0000}"/>
    <cellStyle name="Wrap 2 5 11 7" xfId="33671" xr:uid="{00000000-0005-0000-0000-0000C38F0000}"/>
    <cellStyle name="Wrap 2 5 11 7 2" xfId="33672" xr:uid="{00000000-0005-0000-0000-0000C48F0000}"/>
    <cellStyle name="Wrap 2 5 11 8" xfId="33673" xr:uid="{00000000-0005-0000-0000-0000C58F0000}"/>
    <cellStyle name="Wrap 2 5 11 8 2" xfId="33674" xr:uid="{00000000-0005-0000-0000-0000C68F0000}"/>
    <cellStyle name="Wrap 2 5 11 9" xfId="33675" xr:uid="{00000000-0005-0000-0000-0000C78F0000}"/>
    <cellStyle name="Wrap 2 5 2" xfId="33676" xr:uid="{00000000-0005-0000-0000-0000C88F0000}"/>
    <cellStyle name="Wrap 2 5 2 10" xfId="33677" xr:uid="{00000000-0005-0000-0000-0000C98F0000}"/>
    <cellStyle name="Wrap 2 5 2 2" xfId="33678" xr:uid="{00000000-0005-0000-0000-0000CA8F0000}"/>
    <cellStyle name="Wrap 2 5 2 2 2" xfId="33679" xr:uid="{00000000-0005-0000-0000-0000CB8F0000}"/>
    <cellStyle name="Wrap 2 5 2 3" xfId="33680" xr:uid="{00000000-0005-0000-0000-0000CC8F0000}"/>
    <cellStyle name="Wrap 2 5 2 3 2" xfId="33681" xr:uid="{00000000-0005-0000-0000-0000CD8F0000}"/>
    <cellStyle name="Wrap 2 5 2 4" xfId="33682" xr:uid="{00000000-0005-0000-0000-0000CE8F0000}"/>
    <cellStyle name="Wrap 2 5 2 4 2" xfId="33683" xr:uid="{00000000-0005-0000-0000-0000CF8F0000}"/>
    <cellStyle name="Wrap 2 5 2 5" xfId="33684" xr:uid="{00000000-0005-0000-0000-0000D08F0000}"/>
    <cellStyle name="Wrap 2 5 2 5 2" xfId="33685" xr:uid="{00000000-0005-0000-0000-0000D18F0000}"/>
    <cellStyle name="Wrap 2 5 2 6" xfId="33686" xr:uid="{00000000-0005-0000-0000-0000D28F0000}"/>
    <cellStyle name="Wrap 2 5 2 6 2" xfId="33687" xr:uid="{00000000-0005-0000-0000-0000D38F0000}"/>
    <cellStyle name="Wrap 2 5 2 7" xfId="33688" xr:uid="{00000000-0005-0000-0000-0000D48F0000}"/>
    <cellStyle name="Wrap 2 5 2 7 2" xfId="33689" xr:uid="{00000000-0005-0000-0000-0000D58F0000}"/>
    <cellStyle name="Wrap 2 5 2 8" xfId="33690" xr:uid="{00000000-0005-0000-0000-0000D68F0000}"/>
    <cellStyle name="Wrap 2 5 2 8 2" xfId="33691" xr:uid="{00000000-0005-0000-0000-0000D78F0000}"/>
    <cellStyle name="Wrap 2 5 2 9" xfId="33692" xr:uid="{00000000-0005-0000-0000-0000D88F0000}"/>
    <cellStyle name="Wrap 2 5 2 9 2" xfId="33693" xr:uid="{00000000-0005-0000-0000-0000D98F0000}"/>
    <cellStyle name="Wrap 2 5 3" xfId="33694" xr:uid="{00000000-0005-0000-0000-0000DA8F0000}"/>
    <cellStyle name="Wrap 2 5 3 10" xfId="33695" xr:uid="{00000000-0005-0000-0000-0000DB8F0000}"/>
    <cellStyle name="Wrap 2 5 3 2" xfId="33696" xr:uid="{00000000-0005-0000-0000-0000DC8F0000}"/>
    <cellStyle name="Wrap 2 5 3 2 2" xfId="33697" xr:uid="{00000000-0005-0000-0000-0000DD8F0000}"/>
    <cellStyle name="Wrap 2 5 3 3" xfId="33698" xr:uid="{00000000-0005-0000-0000-0000DE8F0000}"/>
    <cellStyle name="Wrap 2 5 3 3 2" xfId="33699" xr:uid="{00000000-0005-0000-0000-0000DF8F0000}"/>
    <cellStyle name="Wrap 2 5 3 4" xfId="33700" xr:uid="{00000000-0005-0000-0000-0000E08F0000}"/>
    <cellStyle name="Wrap 2 5 3 4 2" xfId="33701" xr:uid="{00000000-0005-0000-0000-0000E18F0000}"/>
    <cellStyle name="Wrap 2 5 3 5" xfId="33702" xr:uid="{00000000-0005-0000-0000-0000E28F0000}"/>
    <cellStyle name="Wrap 2 5 3 5 2" xfId="33703" xr:uid="{00000000-0005-0000-0000-0000E38F0000}"/>
    <cellStyle name="Wrap 2 5 3 6" xfId="33704" xr:uid="{00000000-0005-0000-0000-0000E48F0000}"/>
    <cellStyle name="Wrap 2 5 3 6 2" xfId="33705" xr:uid="{00000000-0005-0000-0000-0000E58F0000}"/>
    <cellStyle name="Wrap 2 5 3 7" xfId="33706" xr:uid="{00000000-0005-0000-0000-0000E68F0000}"/>
    <cellStyle name="Wrap 2 5 3 7 2" xfId="33707" xr:uid="{00000000-0005-0000-0000-0000E78F0000}"/>
    <cellStyle name="Wrap 2 5 3 8" xfId="33708" xr:uid="{00000000-0005-0000-0000-0000E88F0000}"/>
    <cellStyle name="Wrap 2 5 3 8 2" xfId="33709" xr:uid="{00000000-0005-0000-0000-0000E98F0000}"/>
    <cellStyle name="Wrap 2 5 3 9" xfId="33710" xr:uid="{00000000-0005-0000-0000-0000EA8F0000}"/>
    <cellStyle name="Wrap 2 5 3 9 2" xfId="33711" xr:uid="{00000000-0005-0000-0000-0000EB8F0000}"/>
    <cellStyle name="Wrap 2 5 4" xfId="33712" xr:uid="{00000000-0005-0000-0000-0000EC8F0000}"/>
    <cellStyle name="Wrap 2 5 4 10" xfId="33713" xr:uid="{00000000-0005-0000-0000-0000ED8F0000}"/>
    <cellStyle name="Wrap 2 5 4 2" xfId="33714" xr:uid="{00000000-0005-0000-0000-0000EE8F0000}"/>
    <cellStyle name="Wrap 2 5 4 2 2" xfId="33715" xr:uid="{00000000-0005-0000-0000-0000EF8F0000}"/>
    <cellStyle name="Wrap 2 5 4 3" xfId="33716" xr:uid="{00000000-0005-0000-0000-0000F08F0000}"/>
    <cellStyle name="Wrap 2 5 4 3 2" xfId="33717" xr:uid="{00000000-0005-0000-0000-0000F18F0000}"/>
    <cellStyle name="Wrap 2 5 4 4" xfId="33718" xr:uid="{00000000-0005-0000-0000-0000F28F0000}"/>
    <cellStyle name="Wrap 2 5 4 4 2" xfId="33719" xr:uid="{00000000-0005-0000-0000-0000F38F0000}"/>
    <cellStyle name="Wrap 2 5 4 5" xfId="33720" xr:uid="{00000000-0005-0000-0000-0000F48F0000}"/>
    <cellStyle name="Wrap 2 5 4 5 2" xfId="33721" xr:uid="{00000000-0005-0000-0000-0000F58F0000}"/>
    <cellStyle name="Wrap 2 5 4 6" xfId="33722" xr:uid="{00000000-0005-0000-0000-0000F68F0000}"/>
    <cellStyle name="Wrap 2 5 4 6 2" xfId="33723" xr:uid="{00000000-0005-0000-0000-0000F78F0000}"/>
    <cellStyle name="Wrap 2 5 4 7" xfId="33724" xr:uid="{00000000-0005-0000-0000-0000F88F0000}"/>
    <cellStyle name="Wrap 2 5 4 7 2" xfId="33725" xr:uid="{00000000-0005-0000-0000-0000F98F0000}"/>
    <cellStyle name="Wrap 2 5 4 8" xfId="33726" xr:uid="{00000000-0005-0000-0000-0000FA8F0000}"/>
    <cellStyle name="Wrap 2 5 4 8 2" xfId="33727" xr:uid="{00000000-0005-0000-0000-0000FB8F0000}"/>
    <cellStyle name="Wrap 2 5 4 9" xfId="33728" xr:uid="{00000000-0005-0000-0000-0000FC8F0000}"/>
    <cellStyle name="Wrap 2 5 4 9 2" xfId="33729" xr:uid="{00000000-0005-0000-0000-0000FD8F0000}"/>
    <cellStyle name="Wrap 2 5 5" xfId="33730" xr:uid="{00000000-0005-0000-0000-0000FE8F0000}"/>
    <cellStyle name="Wrap 2 5 5 10" xfId="33731" xr:uid="{00000000-0005-0000-0000-0000FF8F0000}"/>
    <cellStyle name="Wrap 2 5 5 2" xfId="33732" xr:uid="{00000000-0005-0000-0000-000000900000}"/>
    <cellStyle name="Wrap 2 5 5 2 2" xfId="33733" xr:uid="{00000000-0005-0000-0000-000001900000}"/>
    <cellStyle name="Wrap 2 5 5 3" xfId="33734" xr:uid="{00000000-0005-0000-0000-000002900000}"/>
    <cellStyle name="Wrap 2 5 5 3 2" xfId="33735" xr:uid="{00000000-0005-0000-0000-000003900000}"/>
    <cellStyle name="Wrap 2 5 5 4" xfId="33736" xr:uid="{00000000-0005-0000-0000-000004900000}"/>
    <cellStyle name="Wrap 2 5 5 4 2" xfId="33737" xr:uid="{00000000-0005-0000-0000-000005900000}"/>
    <cellStyle name="Wrap 2 5 5 5" xfId="33738" xr:uid="{00000000-0005-0000-0000-000006900000}"/>
    <cellStyle name="Wrap 2 5 5 5 2" xfId="33739" xr:uid="{00000000-0005-0000-0000-000007900000}"/>
    <cellStyle name="Wrap 2 5 5 6" xfId="33740" xr:uid="{00000000-0005-0000-0000-000008900000}"/>
    <cellStyle name="Wrap 2 5 5 6 2" xfId="33741" xr:uid="{00000000-0005-0000-0000-000009900000}"/>
    <cellStyle name="Wrap 2 5 5 7" xfId="33742" xr:uid="{00000000-0005-0000-0000-00000A900000}"/>
    <cellStyle name="Wrap 2 5 5 7 2" xfId="33743" xr:uid="{00000000-0005-0000-0000-00000B900000}"/>
    <cellStyle name="Wrap 2 5 5 8" xfId="33744" xr:uid="{00000000-0005-0000-0000-00000C900000}"/>
    <cellStyle name="Wrap 2 5 5 8 2" xfId="33745" xr:uid="{00000000-0005-0000-0000-00000D900000}"/>
    <cellStyle name="Wrap 2 5 5 9" xfId="33746" xr:uid="{00000000-0005-0000-0000-00000E900000}"/>
    <cellStyle name="Wrap 2 5 5 9 2" xfId="33747" xr:uid="{00000000-0005-0000-0000-00000F900000}"/>
    <cellStyle name="Wrap 2 5 6" xfId="33748" xr:uid="{00000000-0005-0000-0000-000010900000}"/>
    <cellStyle name="Wrap 2 5 6 10" xfId="33749" xr:uid="{00000000-0005-0000-0000-000011900000}"/>
    <cellStyle name="Wrap 2 5 6 2" xfId="33750" xr:uid="{00000000-0005-0000-0000-000012900000}"/>
    <cellStyle name="Wrap 2 5 6 2 2" xfId="33751" xr:uid="{00000000-0005-0000-0000-000013900000}"/>
    <cellStyle name="Wrap 2 5 6 3" xfId="33752" xr:uid="{00000000-0005-0000-0000-000014900000}"/>
    <cellStyle name="Wrap 2 5 6 3 2" xfId="33753" xr:uid="{00000000-0005-0000-0000-000015900000}"/>
    <cellStyle name="Wrap 2 5 6 4" xfId="33754" xr:uid="{00000000-0005-0000-0000-000016900000}"/>
    <cellStyle name="Wrap 2 5 6 4 2" xfId="33755" xr:uid="{00000000-0005-0000-0000-000017900000}"/>
    <cellStyle name="Wrap 2 5 6 5" xfId="33756" xr:uid="{00000000-0005-0000-0000-000018900000}"/>
    <cellStyle name="Wrap 2 5 6 5 2" xfId="33757" xr:uid="{00000000-0005-0000-0000-000019900000}"/>
    <cellStyle name="Wrap 2 5 6 6" xfId="33758" xr:uid="{00000000-0005-0000-0000-00001A900000}"/>
    <cellStyle name="Wrap 2 5 6 6 2" xfId="33759" xr:uid="{00000000-0005-0000-0000-00001B900000}"/>
    <cellStyle name="Wrap 2 5 6 7" xfId="33760" xr:uid="{00000000-0005-0000-0000-00001C900000}"/>
    <cellStyle name="Wrap 2 5 6 7 2" xfId="33761" xr:uid="{00000000-0005-0000-0000-00001D900000}"/>
    <cellStyle name="Wrap 2 5 6 8" xfId="33762" xr:uid="{00000000-0005-0000-0000-00001E900000}"/>
    <cellStyle name="Wrap 2 5 6 8 2" xfId="33763" xr:uid="{00000000-0005-0000-0000-00001F900000}"/>
    <cellStyle name="Wrap 2 5 6 9" xfId="33764" xr:uid="{00000000-0005-0000-0000-000020900000}"/>
    <cellStyle name="Wrap 2 5 6 9 2" xfId="33765" xr:uid="{00000000-0005-0000-0000-000021900000}"/>
    <cellStyle name="Wrap 2 5 7" xfId="33766" xr:uid="{00000000-0005-0000-0000-000022900000}"/>
    <cellStyle name="Wrap 2 5 7 10" xfId="33767" xr:uid="{00000000-0005-0000-0000-000023900000}"/>
    <cellStyle name="Wrap 2 5 7 2" xfId="33768" xr:uid="{00000000-0005-0000-0000-000024900000}"/>
    <cellStyle name="Wrap 2 5 7 2 2" xfId="33769" xr:uid="{00000000-0005-0000-0000-000025900000}"/>
    <cellStyle name="Wrap 2 5 7 3" xfId="33770" xr:uid="{00000000-0005-0000-0000-000026900000}"/>
    <cellStyle name="Wrap 2 5 7 3 2" xfId="33771" xr:uid="{00000000-0005-0000-0000-000027900000}"/>
    <cellStyle name="Wrap 2 5 7 4" xfId="33772" xr:uid="{00000000-0005-0000-0000-000028900000}"/>
    <cellStyle name="Wrap 2 5 7 4 2" xfId="33773" xr:uid="{00000000-0005-0000-0000-000029900000}"/>
    <cellStyle name="Wrap 2 5 7 5" xfId="33774" xr:uid="{00000000-0005-0000-0000-00002A900000}"/>
    <cellStyle name="Wrap 2 5 7 5 2" xfId="33775" xr:uid="{00000000-0005-0000-0000-00002B900000}"/>
    <cellStyle name="Wrap 2 5 7 6" xfId="33776" xr:uid="{00000000-0005-0000-0000-00002C900000}"/>
    <cellStyle name="Wrap 2 5 7 6 2" xfId="33777" xr:uid="{00000000-0005-0000-0000-00002D900000}"/>
    <cellStyle name="Wrap 2 5 7 7" xfId="33778" xr:uid="{00000000-0005-0000-0000-00002E900000}"/>
    <cellStyle name="Wrap 2 5 7 7 2" xfId="33779" xr:uid="{00000000-0005-0000-0000-00002F900000}"/>
    <cellStyle name="Wrap 2 5 7 8" xfId="33780" xr:uid="{00000000-0005-0000-0000-000030900000}"/>
    <cellStyle name="Wrap 2 5 7 8 2" xfId="33781" xr:uid="{00000000-0005-0000-0000-000031900000}"/>
    <cellStyle name="Wrap 2 5 7 9" xfId="33782" xr:uid="{00000000-0005-0000-0000-000032900000}"/>
    <cellStyle name="Wrap 2 5 7 9 2" xfId="33783" xr:uid="{00000000-0005-0000-0000-000033900000}"/>
    <cellStyle name="Wrap 2 5 8" xfId="33784" xr:uid="{00000000-0005-0000-0000-000034900000}"/>
    <cellStyle name="Wrap 2 5 8 10" xfId="33785" xr:uid="{00000000-0005-0000-0000-000035900000}"/>
    <cellStyle name="Wrap 2 5 8 2" xfId="33786" xr:uid="{00000000-0005-0000-0000-000036900000}"/>
    <cellStyle name="Wrap 2 5 8 2 2" xfId="33787" xr:uid="{00000000-0005-0000-0000-000037900000}"/>
    <cellStyle name="Wrap 2 5 8 3" xfId="33788" xr:uid="{00000000-0005-0000-0000-000038900000}"/>
    <cellStyle name="Wrap 2 5 8 3 2" xfId="33789" xr:uid="{00000000-0005-0000-0000-000039900000}"/>
    <cellStyle name="Wrap 2 5 8 4" xfId="33790" xr:uid="{00000000-0005-0000-0000-00003A900000}"/>
    <cellStyle name="Wrap 2 5 8 4 2" xfId="33791" xr:uid="{00000000-0005-0000-0000-00003B900000}"/>
    <cellStyle name="Wrap 2 5 8 5" xfId="33792" xr:uid="{00000000-0005-0000-0000-00003C900000}"/>
    <cellStyle name="Wrap 2 5 8 5 2" xfId="33793" xr:uid="{00000000-0005-0000-0000-00003D900000}"/>
    <cellStyle name="Wrap 2 5 8 6" xfId="33794" xr:uid="{00000000-0005-0000-0000-00003E900000}"/>
    <cellStyle name="Wrap 2 5 8 6 2" xfId="33795" xr:uid="{00000000-0005-0000-0000-00003F900000}"/>
    <cellStyle name="Wrap 2 5 8 7" xfId="33796" xr:uid="{00000000-0005-0000-0000-000040900000}"/>
    <cellStyle name="Wrap 2 5 8 7 2" xfId="33797" xr:uid="{00000000-0005-0000-0000-000041900000}"/>
    <cellStyle name="Wrap 2 5 8 8" xfId="33798" xr:uid="{00000000-0005-0000-0000-000042900000}"/>
    <cellStyle name="Wrap 2 5 8 8 2" xfId="33799" xr:uid="{00000000-0005-0000-0000-000043900000}"/>
    <cellStyle name="Wrap 2 5 8 9" xfId="33800" xr:uid="{00000000-0005-0000-0000-000044900000}"/>
    <cellStyle name="Wrap 2 5 8 9 2" xfId="33801" xr:uid="{00000000-0005-0000-0000-000045900000}"/>
    <cellStyle name="Wrap 2 5 9" xfId="33802" xr:uid="{00000000-0005-0000-0000-000046900000}"/>
    <cellStyle name="Wrap 2 5 9 10" xfId="33803" xr:uid="{00000000-0005-0000-0000-000047900000}"/>
    <cellStyle name="Wrap 2 5 9 2" xfId="33804" xr:uid="{00000000-0005-0000-0000-000048900000}"/>
    <cellStyle name="Wrap 2 5 9 2 2" xfId="33805" xr:uid="{00000000-0005-0000-0000-000049900000}"/>
    <cellStyle name="Wrap 2 5 9 3" xfId="33806" xr:uid="{00000000-0005-0000-0000-00004A900000}"/>
    <cellStyle name="Wrap 2 5 9 3 2" xfId="33807" xr:uid="{00000000-0005-0000-0000-00004B900000}"/>
    <cellStyle name="Wrap 2 5 9 4" xfId="33808" xr:uid="{00000000-0005-0000-0000-00004C900000}"/>
    <cellStyle name="Wrap 2 5 9 4 2" xfId="33809" xr:uid="{00000000-0005-0000-0000-00004D900000}"/>
    <cellStyle name="Wrap 2 5 9 5" xfId="33810" xr:uid="{00000000-0005-0000-0000-00004E900000}"/>
    <cellStyle name="Wrap 2 5 9 5 2" xfId="33811" xr:uid="{00000000-0005-0000-0000-00004F900000}"/>
    <cellStyle name="Wrap 2 5 9 6" xfId="33812" xr:uid="{00000000-0005-0000-0000-000050900000}"/>
    <cellStyle name="Wrap 2 5 9 6 2" xfId="33813" xr:uid="{00000000-0005-0000-0000-000051900000}"/>
    <cellStyle name="Wrap 2 5 9 7" xfId="33814" xr:uid="{00000000-0005-0000-0000-000052900000}"/>
    <cellStyle name="Wrap 2 5 9 7 2" xfId="33815" xr:uid="{00000000-0005-0000-0000-000053900000}"/>
    <cellStyle name="Wrap 2 5 9 8" xfId="33816" xr:uid="{00000000-0005-0000-0000-000054900000}"/>
    <cellStyle name="Wrap 2 5 9 8 2" xfId="33817" xr:uid="{00000000-0005-0000-0000-000055900000}"/>
    <cellStyle name="Wrap 2 5 9 9" xfId="33818" xr:uid="{00000000-0005-0000-0000-000056900000}"/>
    <cellStyle name="Wrap 2 5 9 9 2" xfId="33819" xr:uid="{00000000-0005-0000-0000-000057900000}"/>
    <cellStyle name="Wrap 2 6" xfId="33820" xr:uid="{00000000-0005-0000-0000-000058900000}"/>
    <cellStyle name="Wrap 2 6 10" xfId="33821" xr:uid="{00000000-0005-0000-0000-000059900000}"/>
    <cellStyle name="Wrap 2 6 10 2" xfId="33822" xr:uid="{00000000-0005-0000-0000-00005A900000}"/>
    <cellStyle name="Wrap 2 6 10 2 2" xfId="33823" xr:uid="{00000000-0005-0000-0000-00005B900000}"/>
    <cellStyle name="Wrap 2 6 10 3" xfId="33824" xr:uid="{00000000-0005-0000-0000-00005C900000}"/>
    <cellStyle name="Wrap 2 6 10 3 2" xfId="33825" xr:uid="{00000000-0005-0000-0000-00005D900000}"/>
    <cellStyle name="Wrap 2 6 10 4" xfId="33826" xr:uid="{00000000-0005-0000-0000-00005E900000}"/>
    <cellStyle name="Wrap 2 6 10 4 2" xfId="33827" xr:uid="{00000000-0005-0000-0000-00005F900000}"/>
    <cellStyle name="Wrap 2 6 10 5" xfId="33828" xr:uid="{00000000-0005-0000-0000-000060900000}"/>
    <cellStyle name="Wrap 2 6 10 5 2" xfId="33829" xr:uid="{00000000-0005-0000-0000-000061900000}"/>
    <cellStyle name="Wrap 2 6 10 6" xfId="33830" xr:uid="{00000000-0005-0000-0000-000062900000}"/>
    <cellStyle name="Wrap 2 6 10 6 2" xfId="33831" xr:uid="{00000000-0005-0000-0000-000063900000}"/>
    <cellStyle name="Wrap 2 6 10 7" xfId="33832" xr:uid="{00000000-0005-0000-0000-000064900000}"/>
    <cellStyle name="Wrap 2 6 10 7 2" xfId="33833" xr:uid="{00000000-0005-0000-0000-000065900000}"/>
    <cellStyle name="Wrap 2 6 10 8" xfId="33834" xr:uid="{00000000-0005-0000-0000-000066900000}"/>
    <cellStyle name="Wrap 2 6 10 8 2" xfId="33835" xr:uid="{00000000-0005-0000-0000-000067900000}"/>
    <cellStyle name="Wrap 2 6 10 9" xfId="33836" xr:uid="{00000000-0005-0000-0000-000068900000}"/>
    <cellStyle name="Wrap 2 6 11" xfId="33837" xr:uid="{00000000-0005-0000-0000-000069900000}"/>
    <cellStyle name="Wrap 2 6 11 2" xfId="33838" xr:uid="{00000000-0005-0000-0000-00006A900000}"/>
    <cellStyle name="Wrap 2 6 12" xfId="33839" xr:uid="{00000000-0005-0000-0000-00006B900000}"/>
    <cellStyle name="Wrap 2 6 12 2" xfId="33840" xr:uid="{00000000-0005-0000-0000-00006C900000}"/>
    <cellStyle name="Wrap 2 6 13" xfId="33841" xr:uid="{00000000-0005-0000-0000-00006D900000}"/>
    <cellStyle name="Wrap 2 6 13 2" xfId="33842" xr:uid="{00000000-0005-0000-0000-00006E900000}"/>
    <cellStyle name="Wrap 2 6 14" xfId="33843" xr:uid="{00000000-0005-0000-0000-00006F900000}"/>
    <cellStyle name="Wrap 2 6 14 2" xfId="33844" xr:uid="{00000000-0005-0000-0000-000070900000}"/>
    <cellStyle name="Wrap 2 6 15" xfId="33845" xr:uid="{00000000-0005-0000-0000-000071900000}"/>
    <cellStyle name="Wrap 2 6 15 2" xfId="33846" xr:uid="{00000000-0005-0000-0000-000072900000}"/>
    <cellStyle name="Wrap 2 6 16" xfId="33847" xr:uid="{00000000-0005-0000-0000-000073900000}"/>
    <cellStyle name="Wrap 2 6 16 2" xfId="33848" xr:uid="{00000000-0005-0000-0000-000074900000}"/>
    <cellStyle name="Wrap 2 6 17" xfId="33849" xr:uid="{00000000-0005-0000-0000-000075900000}"/>
    <cellStyle name="Wrap 2 6 17 2" xfId="33850" xr:uid="{00000000-0005-0000-0000-000076900000}"/>
    <cellStyle name="Wrap 2 6 18" xfId="33851" xr:uid="{00000000-0005-0000-0000-000077900000}"/>
    <cellStyle name="Wrap 2 6 2" xfId="33852" xr:uid="{00000000-0005-0000-0000-000078900000}"/>
    <cellStyle name="Wrap 2 6 2 10" xfId="33853" xr:uid="{00000000-0005-0000-0000-000079900000}"/>
    <cellStyle name="Wrap 2 6 2 2" xfId="33854" xr:uid="{00000000-0005-0000-0000-00007A900000}"/>
    <cellStyle name="Wrap 2 6 2 2 2" xfId="33855" xr:uid="{00000000-0005-0000-0000-00007B900000}"/>
    <cellStyle name="Wrap 2 6 2 3" xfId="33856" xr:uid="{00000000-0005-0000-0000-00007C900000}"/>
    <cellStyle name="Wrap 2 6 2 3 2" xfId="33857" xr:uid="{00000000-0005-0000-0000-00007D900000}"/>
    <cellStyle name="Wrap 2 6 2 4" xfId="33858" xr:uid="{00000000-0005-0000-0000-00007E900000}"/>
    <cellStyle name="Wrap 2 6 2 4 2" xfId="33859" xr:uid="{00000000-0005-0000-0000-00007F900000}"/>
    <cellStyle name="Wrap 2 6 2 5" xfId="33860" xr:uid="{00000000-0005-0000-0000-000080900000}"/>
    <cellStyle name="Wrap 2 6 2 5 2" xfId="33861" xr:uid="{00000000-0005-0000-0000-000081900000}"/>
    <cellStyle name="Wrap 2 6 2 6" xfId="33862" xr:uid="{00000000-0005-0000-0000-000082900000}"/>
    <cellStyle name="Wrap 2 6 2 6 2" xfId="33863" xr:uid="{00000000-0005-0000-0000-000083900000}"/>
    <cellStyle name="Wrap 2 6 2 7" xfId="33864" xr:uid="{00000000-0005-0000-0000-000084900000}"/>
    <cellStyle name="Wrap 2 6 2 7 2" xfId="33865" xr:uid="{00000000-0005-0000-0000-000085900000}"/>
    <cellStyle name="Wrap 2 6 2 8" xfId="33866" xr:uid="{00000000-0005-0000-0000-000086900000}"/>
    <cellStyle name="Wrap 2 6 2 8 2" xfId="33867" xr:uid="{00000000-0005-0000-0000-000087900000}"/>
    <cellStyle name="Wrap 2 6 2 9" xfId="33868" xr:uid="{00000000-0005-0000-0000-000088900000}"/>
    <cellStyle name="Wrap 2 6 2 9 2" xfId="33869" xr:uid="{00000000-0005-0000-0000-000089900000}"/>
    <cellStyle name="Wrap 2 6 3" xfId="33870" xr:uid="{00000000-0005-0000-0000-00008A900000}"/>
    <cellStyle name="Wrap 2 6 3 10" xfId="33871" xr:uid="{00000000-0005-0000-0000-00008B900000}"/>
    <cellStyle name="Wrap 2 6 3 2" xfId="33872" xr:uid="{00000000-0005-0000-0000-00008C900000}"/>
    <cellStyle name="Wrap 2 6 3 2 2" xfId="33873" xr:uid="{00000000-0005-0000-0000-00008D900000}"/>
    <cellStyle name="Wrap 2 6 3 3" xfId="33874" xr:uid="{00000000-0005-0000-0000-00008E900000}"/>
    <cellStyle name="Wrap 2 6 3 3 2" xfId="33875" xr:uid="{00000000-0005-0000-0000-00008F900000}"/>
    <cellStyle name="Wrap 2 6 3 4" xfId="33876" xr:uid="{00000000-0005-0000-0000-000090900000}"/>
    <cellStyle name="Wrap 2 6 3 4 2" xfId="33877" xr:uid="{00000000-0005-0000-0000-000091900000}"/>
    <cellStyle name="Wrap 2 6 3 5" xfId="33878" xr:uid="{00000000-0005-0000-0000-000092900000}"/>
    <cellStyle name="Wrap 2 6 3 5 2" xfId="33879" xr:uid="{00000000-0005-0000-0000-000093900000}"/>
    <cellStyle name="Wrap 2 6 3 6" xfId="33880" xr:uid="{00000000-0005-0000-0000-000094900000}"/>
    <cellStyle name="Wrap 2 6 3 6 2" xfId="33881" xr:uid="{00000000-0005-0000-0000-000095900000}"/>
    <cellStyle name="Wrap 2 6 3 7" xfId="33882" xr:uid="{00000000-0005-0000-0000-000096900000}"/>
    <cellStyle name="Wrap 2 6 3 7 2" xfId="33883" xr:uid="{00000000-0005-0000-0000-000097900000}"/>
    <cellStyle name="Wrap 2 6 3 8" xfId="33884" xr:uid="{00000000-0005-0000-0000-000098900000}"/>
    <cellStyle name="Wrap 2 6 3 8 2" xfId="33885" xr:uid="{00000000-0005-0000-0000-000099900000}"/>
    <cellStyle name="Wrap 2 6 3 9" xfId="33886" xr:uid="{00000000-0005-0000-0000-00009A900000}"/>
    <cellStyle name="Wrap 2 6 3 9 2" xfId="33887" xr:uid="{00000000-0005-0000-0000-00009B900000}"/>
    <cellStyle name="Wrap 2 6 4" xfId="33888" xr:uid="{00000000-0005-0000-0000-00009C900000}"/>
    <cellStyle name="Wrap 2 6 4 10" xfId="33889" xr:uid="{00000000-0005-0000-0000-00009D900000}"/>
    <cellStyle name="Wrap 2 6 4 2" xfId="33890" xr:uid="{00000000-0005-0000-0000-00009E900000}"/>
    <cellStyle name="Wrap 2 6 4 2 2" xfId="33891" xr:uid="{00000000-0005-0000-0000-00009F900000}"/>
    <cellStyle name="Wrap 2 6 4 3" xfId="33892" xr:uid="{00000000-0005-0000-0000-0000A0900000}"/>
    <cellStyle name="Wrap 2 6 4 3 2" xfId="33893" xr:uid="{00000000-0005-0000-0000-0000A1900000}"/>
    <cellStyle name="Wrap 2 6 4 4" xfId="33894" xr:uid="{00000000-0005-0000-0000-0000A2900000}"/>
    <cellStyle name="Wrap 2 6 4 4 2" xfId="33895" xr:uid="{00000000-0005-0000-0000-0000A3900000}"/>
    <cellStyle name="Wrap 2 6 4 5" xfId="33896" xr:uid="{00000000-0005-0000-0000-0000A4900000}"/>
    <cellStyle name="Wrap 2 6 4 5 2" xfId="33897" xr:uid="{00000000-0005-0000-0000-0000A5900000}"/>
    <cellStyle name="Wrap 2 6 4 6" xfId="33898" xr:uid="{00000000-0005-0000-0000-0000A6900000}"/>
    <cellStyle name="Wrap 2 6 4 6 2" xfId="33899" xr:uid="{00000000-0005-0000-0000-0000A7900000}"/>
    <cellStyle name="Wrap 2 6 4 7" xfId="33900" xr:uid="{00000000-0005-0000-0000-0000A8900000}"/>
    <cellStyle name="Wrap 2 6 4 7 2" xfId="33901" xr:uid="{00000000-0005-0000-0000-0000A9900000}"/>
    <cellStyle name="Wrap 2 6 4 8" xfId="33902" xr:uid="{00000000-0005-0000-0000-0000AA900000}"/>
    <cellStyle name="Wrap 2 6 4 8 2" xfId="33903" xr:uid="{00000000-0005-0000-0000-0000AB900000}"/>
    <cellStyle name="Wrap 2 6 4 9" xfId="33904" xr:uid="{00000000-0005-0000-0000-0000AC900000}"/>
    <cellStyle name="Wrap 2 6 4 9 2" xfId="33905" xr:uid="{00000000-0005-0000-0000-0000AD900000}"/>
    <cellStyle name="Wrap 2 6 5" xfId="33906" xr:uid="{00000000-0005-0000-0000-0000AE900000}"/>
    <cellStyle name="Wrap 2 6 5 10" xfId="33907" xr:uid="{00000000-0005-0000-0000-0000AF900000}"/>
    <cellStyle name="Wrap 2 6 5 2" xfId="33908" xr:uid="{00000000-0005-0000-0000-0000B0900000}"/>
    <cellStyle name="Wrap 2 6 5 2 2" xfId="33909" xr:uid="{00000000-0005-0000-0000-0000B1900000}"/>
    <cellStyle name="Wrap 2 6 5 3" xfId="33910" xr:uid="{00000000-0005-0000-0000-0000B2900000}"/>
    <cellStyle name="Wrap 2 6 5 3 2" xfId="33911" xr:uid="{00000000-0005-0000-0000-0000B3900000}"/>
    <cellStyle name="Wrap 2 6 5 4" xfId="33912" xr:uid="{00000000-0005-0000-0000-0000B4900000}"/>
    <cellStyle name="Wrap 2 6 5 4 2" xfId="33913" xr:uid="{00000000-0005-0000-0000-0000B5900000}"/>
    <cellStyle name="Wrap 2 6 5 5" xfId="33914" xr:uid="{00000000-0005-0000-0000-0000B6900000}"/>
    <cellStyle name="Wrap 2 6 5 5 2" xfId="33915" xr:uid="{00000000-0005-0000-0000-0000B7900000}"/>
    <cellStyle name="Wrap 2 6 5 6" xfId="33916" xr:uid="{00000000-0005-0000-0000-0000B8900000}"/>
    <cellStyle name="Wrap 2 6 5 6 2" xfId="33917" xr:uid="{00000000-0005-0000-0000-0000B9900000}"/>
    <cellStyle name="Wrap 2 6 5 7" xfId="33918" xr:uid="{00000000-0005-0000-0000-0000BA900000}"/>
    <cellStyle name="Wrap 2 6 5 7 2" xfId="33919" xr:uid="{00000000-0005-0000-0000-0000BB900000}"/>
    <cellStyle name="Wrap 2 6 5 8" xfId="33920" xr:uid="{00000000-0005-0000-0000-0000BC900000}"/>
    <cellStyle name="Wrap 2 6 5 8 2" xfId="33921" xr:uid="{00000000-0005-0000-0000-0000BD900000}"/>
    <cellStyle name="Wrap 2 6 5 9" xfId="33922" xr:uid="{00000000-0005-0000-0000-0000BE900000}"/>
    <cellStyle name="Wrap 2 6 5 9 2" xfId="33923" xr:uid="{00000000-0005-0000-0000-0000BF900000}"/>
    <cellStyle name="Wrap 2 6 6" xfId="33924" xr:uid="{00000000-0005-0000-0000-0000C0900000}"/>
    <cellStyle name="Wrap 2 6 6 10" xfId="33925" xr:uid="{00000000-0005-0000-0000-0000C1900000}"/>
    <cellStyle name="Wrap 2 6 6 2" xfId="33926" xr:uid="{00000000-0005-0000-0000-0000C2900000}"/>
    <cellStyle name="Wrap 2 6 6 2 2" xfId="33927" xr:uid="{00000000-0005-0000-0000-0000C3900000}"/>
    <cellStyle name="Wrap 2 6 6 3" xfId="33928" xr:uid="{00000000-0005-0000-0000-0000C4900000}"/>
    <cellStyle name="Wrap 2 6 6 3 2" xfId="33929" xr:uid="{00000000-0005-0000-0000-0000C5900000}"/>
    <cellStyle name="Wrap 2 6 6 4" xfId="33930" xr:uid="{00000000-0005-0000-0000-0000C6900000}"/>
    <cellStyle name="Wrap 2 6 6 4 2" xfId="33931" xr:uid="{00000000-0005-0000-0000-0000C7900000}"/>
    <cellStyle name="Wrap 2 6 6 5" xfId="33932" xr:uid="{00000000-0005-0000-0000-0000C8900000}"/>
    <cellStyle name="Wrap 2 6 6 5 2" xfId="33933" xr:uid="{00000000-0005-0000-0000-0000C9900000}"/>
    <cellStyle name="Wrap 2 6 6 6" xfId="33934" xr:uid="{00000000-0005-0000-0000-0000CA900000}"/>
    <cellStyle name="Wrap 2 6 6 6 2" xfId="33935" xr:uid="{00000000-0005-0000-0000-0000CB900000}"/>
    <cellStyle name="Wrap 2 6 6 7" xfId="33936" xr:uid="{00000000-0005-0000-0000-0000CC900000}"/>
    <cellStyle name="Wrap 2 6 6 7 2" xfId="33937" xr:uid="{00000000-0005-0000-0000-0000CD900000}"/>
    <cellStyle name="Wrap 2 6 6 8" xfId="33938" xr:uid="{00000000-0005-0000-0000-0000CE900000}"/>
    <cellStyle name="Wrap 2 6 6 8 2" xfId="33939" xr:uid="{00000000-0005-0000-0000-0000CF900000}"/>
    <cellStyle name="Wrap 2 6 6 9" xfId="33940" xr:uid="{00000000-0005-0000-0000-0000D0900000}"/>
    <cellStyle name="Wrap 2 6 6 9 2" xfId="33941" xr:uid="{00000000-0005-0000-0000-0000D1900000}"/>
    <cellStyle name="Wrap 2 6 7" xfId="33942" xr:uid="{00000000-0005-0000-0000-0000D2900000}"/>
    <cellStyle name="Wrap 2 6 7 10" xfId="33943" xr:uid="{00000000-0005-0000-0000-0000D3900000}"/>
    <cellStyle name="Wrap 2 6 7 2" xfId="33944" xr:uid="{00000000-0005-0000-0000-0000D4900000}"/>
    <cellStyle name="Wrap 2 6 7 2 2" xfId="33945" xr:uid="{00000000-0005-0000-0000-0000D5900000}"/>
    <cellStyle name="Wrap 2 6 7 3" xfId="33946" xr:uid="{00000000-0005-0000-0000-0000D6900000}"/>
    <cellStyle name="Wrap 2 6 7 3 2" xfId="33947" xr:uid="{00000000-0005-0000-0000-0000D7900000}"/>
    <cellStyle name="Wrap 2 6 7 4" xfId="33948" xr:uid="{00000000-0005-0000-0000-0000D8900000}"/>
    <cellStyle name="Wrap 2 6 7 4 2" xfId="33949" xr:uid="{00000000-0005-0000-0000-0000D9900000}"/>
    <cellStyle name="Wrap 2 6 7 5" xfId="33950" xr:uid="{00000000-0005-0000-0000-0000DA900000}"/>
    <cellStyle name="Wrap 2 6 7 5 2" xfId="33951" xr:uid="{00000000-0005-0000-0000-0000DB900000}"/>
    <cellStyle name="Wrap 2 6 7 6" xfId="33952" xr:uid="{00000000-0005-0000-0000-0000DC900000}"/>
    <cellStyle name="Wrap 2 6 7 6 2" xfId="33953" xr:uid="{00000000-0005-0000-0000-0000DD900000}"/>
    <cellStyle name="Wrap 2 6 7 7" xfId="33954" xr:uid="{00000000-0005-0000-0000-0000DE900000}"/>
    <cellStyle name="Wrap 2 6 7 7 2" xfId="33955" xr:uid="{00000000-0005-0000-0000-0000DF900000}"/>
    <cellStyle name="Wrap 2 6 7 8" xfId="33956" xr:uid="{00000000-0005-0000-0000-0000E0900000}"/>
    <cellStyle name="Wrap 2 6 7 8 2" xfId="33957" xr:uid="{00000000-0005-0000-0000-0000E1900000}"/>
    <cellStyle name="Wrap 2 6 7 9" xfId="33958" xr:uid="{00000000-0005-0000-0000-0000E2900000}"/>
    <cellStyle name="Wrap 2 6 7 9 2" xfId="33959" xr:uid="{00000000-0005-0000-0000-0000E3900000}"/>
    <cellStyle name="Wrap 2 6 8" xfId="33960" xr:uid="{00000000-0005-0000-0000-0000E4900000}"/>
    <cellStyle name="Wrap 2 6 8 10" xfId="33961" xr:uid="{00000000-0005-0000-0000-0000E5900000}"/>
    <cellStyle name="Wrap 2 6 8 2" xfId="33962" xr:uid="{00000000-0005-0000-0000-0000E6900000}"/>
    <cellStyle name="Wrap 2 6 8 2 2" xfId="33963" xr:uid="{00000000-0005-0000-0000-0000E7900000}"/>
    <cellStyle name="Wrap 2 6 8 3" xfId="33964" xr:uid="{00000000-0005-0000-0000-0000E8900000}"/>
    <cellStyle name="Wrap 2 6 8 3 2" xfId="33965" xr:uid="{00000000-0005-0000-0000-0000E9900000}"/>
    <cellStyle name="Wrap 2 6 8 4" xfId="33966" xr:uid="{00000000-0005-0000-0000-0000EA900000}"/>
    <cellStyle name="Wrap 2 6 8 4 2" xfId="33967" xr:uid="{00000000-0005-0000-0000-0000EB900000}"/>
    <cellStyle name="Wrap 2 6 8 5" xfId="33968" xr:uid="{00000000-0005-0000-0000-0000EC900000}"/>
    <cellStyle name="Wrap 2 6 8 5 2" xfId="33969" xr:uid="{00000000-0005-0000-0000-0000ED900000}"/>
    <cellStyle name="Wrap 2 6 8 6" xfId="33970" xr:uid="{00000000-0005-0000-0000-0000EE900000}"/>
    <cellStyle name="Wrap 2 6 8 6 2" xfId="33971" xr:uid="{00000000-0005-0000-0000-0000EF900000}"/>
    <cellStyle name="Wrap 2 6 8 7" xfId="33972" xr:uid="{00000000-0005-0000-0000-0000F0900000}"/>
    <cellStyle name="Wrap 2 6 8 7 2" xfId="33973" xr:uid="{00000000-0005-0000-0000-0000F1900000}"/>
    <cellStyle name="Wrap 2 6 8 8" xfId="33974" xr:uid="{00000000-0005-0000-0000-0000F2900000}"/>
    <cellStyle name="Wrap 2 6 8 8 2" xfId="33975" xr:uid="{00000000-0005-0000-0000-0000F3900000}"/>
    <cellStyle name="Wrap 2 6 8 9" xfId="33976" xr:uid="{00000000-0005-0000-0000-0000F4900000}"/>
    <cellStyle name="Wrap 2 6 8 9 2" xfId="33977" xr:uid="{00000000-0005-0000-0000-0000F5900000}"/>
    <cellStyle name="Wrap 2 6 9" xfId="33978" xr:uid="{00000000-0005-0000-0000-0000F6900000}"/>
    <cellStyle name="Wrap 2 6 9 10" xfId="33979" xr:uid="{00000000-0005-0000-0000-0000F7900000}"/>
    <cellStyle name="Wrap 2 6 9 2" xfId="33980" xr:uid="{00000000-0005-0000-0000-0000F8900000}"/>
    <cellStyle name="Wrap 2 6 9 2 2" xfId="33981" xr:uid="{00000000-0005-0000-0000-0000F9900000}"/>
    <cellStyle name="Wrap 2 6 9 3" xfId="33982" xr:uid="{00000000-0005-0000-0000-0000FA900000}"/>
    <cellStyle name="Wrap 2 6 9 3 2" xfId="33983" xr:uid="{00000000-0005-0000-0000-0000FB900000}"/>
    <cellStyle name="Wrap 2 6 9 4" xfId="33984" xr:uid="{00000000-0005-0000-0000-0000FC900000}"/>
    <cellStyle name="Wrap 2 6 9 4 2" xfId="33985" xr:uid="{00000000-0005-0000-0000-0000FD900000}"/>
    <cellStyle name="Wrap 2 6 9 5" xfId="33986" xr:uid="{00000000-0005-0000-0000-0000FE900000}"/>
    <cellStyle name="Wrap 2 6 9 5 2" xfId="33987" xr:uid="{00000000-0005-0000-0000-0000FF900000}"/>
    <cellStyle name="Wrap 2 6 9 6" xfId="33988" xr:uid="{00000000-0005-0000-0000-000000910000}"/>
    <cellStyle name="Wrap 2 6 9 6 2" xfId="33989" xr:uid="{00000000-0005-0000-0000-000001910000}"/>
    <cellStyle name="Wrap 2 6 9 7" xfId="33990" xr:uid="{00000000-0005-0000-0000-000002910000}"/>
    <cellStyle name="Wrap 2 6 9 7 2" xfId="33991" xr:uid="{00000000-0005-0000-0000-000003910000}"/>
    <cellStyle name="Wrap 2 6 9 8" xfId="33992" xr:uid="{00000000-0005-0000-0000-000004910000}"/>
    <cellStyle name="Wrap 2 6 9 8 2" xfId="33993" xr:uid="{00000000-0005-0000-0000-000005910000}"/>
    <cellStyle name="Wrap 2 6 9 9" xfId="33994" xr:uid="{00000000-0005-0000-0000-000006910000}"/>
    <cellStyle name="Wrap 2 6 9 9 2" xfId="33995" xr:uid="{00000000-0005-0000-0000-000007910000}"/>
    <cellStyle name="Wrap 2 7" xfId="33996" xr:uid="{00000000-0005-0000-0000-000008910000}"/>
    <cellStyle name="Wrap 2 7 10" xfId="33997" xr:uid="{00000000-0005-0000-0000-000009910000}"/>
    <cellStyle name="Wrap 2 7 10 2" xfId="33998" xr:uid="{00000000-0005-0000-0000-00000A910000}"/>
    <cellStyle name="Wrap 2 7 10 2 2" xfId="33999" xr:uid="{00000000-0005-0000-0000-00000B910000}"/>
    <cellStyle name="Wrap 2 7 10 3" xfId="34000" xr:uid="{00000000-0005-0000-0000-00000C910000}"/>
    <cellStyle name="Wrap 2 7 10 3 2" xfId="34001" xr:uid="{00000000-0005-0000-0000-00000D910000}"/>
    <cellStyle name="Wrap 2 7 10 4" xfId="34002" xr:uid="{00000000-0005-0000-0000-00000E910000}"/>
    <cellStyle name="Wrap 2 7 10 4 2" xfId="34003" xr:uid="{00000000-0005-0000-0000-00000F910000}"/>
    <cellStyle name="Wrap 2 7 10 5" xfId="34004" xr:uid="{00000000-0005-0000-0000-000010910000}"/>
    <cellStyle name="Wrap 2 7 10 5 2" xfId="34005" xr:uid="{00000000-0005-0000-0000-000011910000}"/>
    <cellStyle name="Wrap 2 7 10 6" xfId="34006" xr:uid="{00000000-0005-0000-0000-000012910000}"/>
    <cellStyle name="Wrap 2 7 10 6 2" xfId="34007" xr:uid="{00000000-0005-0000-0000-000013910000}"/>
    <cellStyle name="Wrap 2 7 10 7" xfId="34008" xr:uid="{00000000-0005-0000-0000-000014910000}"/>
    <cellStyle name="Wrap 2 7 10 7 2" xfId="34009" xr:uid="{00000000-0005-0000-0000-000015910000}"/>
    <cellStyle name="Wrap 2 7 10 8" xfId="34010" xr:uid="{00000000-0005-0000-0000-000016910000}"/>
    <cellStyle name="Wrap 2 7 10 8 2" xfId="34011" xr:uid="{00000000-0005-0000-0000-000017910000}"/>
    <cellStyle name="Wrap 2 7 10 9" xfId="34012" xr:uid="{00000000-0005-0000-0000-000018910000}"/>
    <cellStyle name="Wrap 2 7 11" xfId="34013" xr:uid="{00000000-0005-0000-0000-000019910000}"/>
    <cellStyle name="Wrap 2 7 11 2" xfId="34014" xr:uid="{00000000-0005-0000-0000-00001A910000}"/>
    <cellStyle name="Wrap 2 7 12" xfId="34015" xr:uid="{00000000-0005-0000-0000-00001B910000}"/>
    <cellStyle name="Wrap 2 7 12 2" xfId="34016" xr:uid="{00000000-0005-0000-0000-00001C910000}"/>
    <cellStyle name="Wrap 2 7 13" xfId="34017" xr:uid="{00000000-0005-0000-0000-00001D910000}"/>
    <cellStyle name="Wrap 2 7 13 2" xfId="34018" xr:uid="{00000000-0005-0000-0000-00001E910000}"/>
    <cellStyle name="Wrap 2 7 14" xfId="34019" xr:uid="{00000000-0005-0000-0000-00001F910000}"/>
    <cellStyle name="Wrap 2 7 14 2" xfId="34020" xr:uid="{00000000-0005-0000-0000-000020910000}"/>
    <cellStyle name="Wrap 2 7 15" xfId="34021" xr:uid="{00000000-0005-0000-0000-000021910000}"/>
    <cellStyle name="Wrap 2 7 15 2" xfId="34022" xr:uid="{00000000-0005-0000-0000-000022910000}"/>
    <cellStyle name="Wrap 2 7 16" xfId="34023" xr:uid="{00000000-0005-0000-0000-000023910000}"/>
    <cellStyle name="Wrap 2 7 16 2" xfId="34024" xr:uid="{00000000-0005-0000-0000-000024910000}"/>
    <cellStyle name="Wrap 2 7 17" xfId="34025" xr:uid="{00000000-0005-0000-0000-000025910000}"/>
    <cellStyle name="Wrap 2 7 17 2" xfId="34026" xr:uid="{00000000-0005-0000-0000-000026910000}"/>
    <cellStyle name="Wrap 2 7 18" xfId="34027" xr:uid="{00000000-0005-0000-0000-000027910000}"/>
    <cellStyle name="Wrap 2 7 2" xfId="34028" xr:uid="{00000000-0005-0000-0000-000028910000}"/>
    <cellStyle name="Wrap 2 7 2 10" xfId="34029" xr:uid="{00000000-0005-0000-0000-000029910000}"/>
    <cellStyle name="Wrap 2 7 2 2" xfId="34030" xr:uid="{00000000-0005-0000-0000-00002A910000}"/>
    <cellStyle name="Wrap 2 7 2 2 2" xfId="34031" xr:uid="{00000000-0005-0000-0000-00002B910000}"/>
    <cellStyle name="Wrap 2 7 2 3" xfId="34032" xr:uid="{00000000-0005-0000-0000-00002C910000}"/>
    <cellStyle name="Wrap 2 7 2 3 2" xfId="34033" xr:uid="{00000000-0005-0000-0000-00002D910000}"/>
    <cellStyle name="Wrap 2 7 2 4" xfId="34034" xr:uid="{00000000-0005-0000-0000-00002E910000}"/>
    <cellStyle name="Wrap 2 7 2 4 2" xfId="34035" xr:uid="{00000000-0005-0000-0000-00002F910000}"/>
    <cellStyle name="Wrap 2 7 2 5" xfId="34036" xr:uid="{00000000-0005-0000-0000-000030910000}"/>
    <cellStyle name="Wrap 2 7 2 5 2" xfId="34037" xr:uid="{00000000-0005-0000-0000-000031910000}"/>
    <cellStyle name="Wrap 2 7 2 6" xfId="34038" xr:uid="{00000000-0005-0000-0000-000032910000}"/>
    <cellStyle name="Wrap 2 7 2 6 2" xfId="34039" xr:uid="{00000000-0005-0000-0000-000033910000}"/>
    <cellStyle name="Wrap 2 7 2 7" xfId="34040" xr:uid="{00000000-0005-0000-0000-000034910000}"/>
    <cellStyle name="Wrap 2 7 2 7 2" xfId="34041" xr:uid="{00000000-0005-0000-0000-000035910000}"/>
    <cellStyle name="Wrap 2 7 2 8" xfId="34042" xr:uid="{00000000-0005-0000-0000-000036910000}"/>
    <cellStyle name="Wrap 2 7 2 8 2" xfId="34043" xr:uid="{00000000-0005-0000-0000-000037910000}"/>
    <cellStyle name="Wrap 2 7 2 9" xfId="34044" xr:uid="{00000000-0005-0000-0000-000038910000}"/>
    <cellStyle name="Wrap 2 7 2 9 2" xfId="34045" xr:uid="{00000000-0005-0000-0000-000039910000}"/>
    <cellStyle name="Wrap 2 7 3" xfId="34046" xr:uid="{00000000-0005-0000-0000-00003A910000}"/>
    <cellStyle name="Wrap 2 7 3 10" xfId="34047" xr:uid="{00000000-0005-0000-0000-00003B910000}"/>
    <cellStyle name="Wrap 2 7 3 2" xfId="34048" xr:uid="{00000000-0005-0000-0000-00003C910000}"/>
    <cellStyle name="Wrap 2 7 3 2 2" xfId="34049" xr:uid="{00000000-0005-0000-0000-00003D910000}"/>
    <cellStyle name="Wrap 2 7 3 3" xfId="34050" xr:uid="{00000000-0005-0000-0000-00003E910000}"/>
    <cellStyle name="Wrap 2 7 3 3 2" xfId="34051" xr:uid="{00000000-0005-0000-0000-00003F910000}"/>
    <cellStyle name="Wrap 2 7 3 4" xfId="34052" xr:uid="{00000000-0005-0000-0000-000040910000}"/>
    <cellStyle name="Wrap 2 7 3 4 2" xfId="34053" xr:uid="{00000000-0005-0000-0000-000041910000}"/>
    <cellStyle name="Wrap 2 7 3 5" xfId="34054" xr:uid="{00000000-0005-0000-0000-000042910000}"/>
    <cellStyle name="Wrap 2 7 3 5 2" xfId="34055" xr:uid="{00000000-0005-0000-0000-000043910000}"/>
    <cellStyle name="Wrap 2 7 3 6" xfId="34056" xr:uid="{00000000-0005-0000-0000-000044910000}"/>
    <cellStyle name="Wrap 2 7 3 6 2" xfId="34057" xr:uid="{00000000-0005-0000-0000-000045910000}"/>
    <cellStyle name="Wrap 2 7 3 7" xfId="34058" xr:uid="{00000000-0005-0000-0000-000046910000}"/>
    <cellStyle name="Wrap 2 7 3 7 2" xfId="34059" xr:uid="{00000000-0005-0000-0000-000047910000}"/>
    <cellStyle name="Wrap 2 7 3 8" xfId="34060" xr:uid="{00000000-0005-0000-0000-000048910000}"/>
    <cellStyle name="Wrap 2 7 3 8 2" xfId="34061" xr:uid="{00000000-0005-0000-0000-000049910000}"/>
    <cellStyle name="Wrap 2 7 3 9" xfId="34062" xr:uid="{00000000-0005-0000-0000-00004A910000}"/>
    <cellStyle name="Wrap 2 7 3 9 2" xfId="34063" xr:uid="{00000000-0005-0000-0000-00004B910000}"/>
    <cellStyle name="Wrap 2 7 4" xfId="34064" xr:uid="{00000000-0005-0000-0000-00004C910000}"/>
    <cellStyle name="Wrap 2 7 4 10" xfId="34065" xr:uid="{00000000-0005-0000-0000-00004D910000}"/>
    <cellStyle name="Wrap 2 7 4 2" xfId="34066" xr:uid="{00000000-0005-0000-0000-00004E910000}"/>
    <cellStyle name="Wrap 2 7 4 2 2" xfId="34067" xr:uid="{00000000-0005-0000-0000-00004F910000}"/>
    <cellStyle name="Wrap 2 7 4 3" xfId="34068" xr:uid="{00000000-0005-0000-0000-000050910000}"/>
    <cellStyle name="Wrap 2 7 4 3 2" xfId="34069" xr:uid="{00000000-0005-0000-0000-000051910000}"/>
    <cellStyle name="Wrap 2 7 4 4" xfId="34070" xr:uid="{00000000-0005-0000-0000-000052910000}"/>
    <cellStyle name="Wrap 2 7 4 4 2" xfId="34071" xr:uid="{00000000-0005-0000-0000-000053910000}"/>
    <cellStyle name="Wrap 2 7 4 5" xfId="34072" xr:uid="{00000000-0005-0000-0000-000054910000}"/>
    <cellStyle name="Wrap 2 7 4 5 2" xfId="34073" xr:uid="{00000000-0005-0000-0000-000055910000}"/>
    <cellStyle name="Wrap 2 7 4 6" xfId="34074" xr:uid="{00000000-0005-0000-0000-000056910000}"/>
    <cellStyle name="Wrap 2 7 4 6 2" xfId="34075" xr:uid="{00000000-0005-0000-0000-000057910000}"/>
    <cellStyle name="Wrap 2 7 4 7" xfId="34076" xr:uid="{00000000-0005-0000-0000-000058910000}"/>
    <cellStyle name="Wrap 2 7 4 7 2" xfId="34077" xr:uid="{00000000-0005-0000-0000-000059910000}"/>
    <cellStyle name="Wrap 2 7 4 8" xfId="34078" xr:uid="{00000000-0005-0000-0000-00005A910000}"/>
    <cellStyle name="Wrap 2 7 4 8 2" xfId="34079" xr:uid="{00000000-0005-0000-0000-00005B910000}"/>
    <cellStyle name="Wrap 2 7 4 9" xfId="34080" xr:uid="{00000000-0005-0000-0000-00005C910000}"/>
    <cellStyle name="Wrap 2 7 4 9 2" xfId="34081" xr:uid="{00000000-0005-0000-0000-00005D910000}"/>
    <cellStyle name="Wrap 2 7 5" xfId="34082" xr:uid="{00000000-0005-0000-0000-00005E910000}"/>
    <cellStyle name="Wrap 2 7 5 10" xfId="34083" xr:uid="{00000000-0005-0000-0000-00005F910000}"/>
    <cellStyle name="Wrap 2 7 5 2" xfId="34084" xr:uid="{00000000-0005-0000-0000-000060910000}"/>
    <cellStyle name="Wrap 2 7 5 2 2" xfId="34085" xr:uid="{00000000-0005-0000-0000-000061910000}"/>
    <cellStyle name="Wrap 2 7 5 3" xfId="34086" xr:uid="{00000000-0005-0000-0000-000062910000}"/>
    <cellStyle name="Wrap 2 7 5 3 2" xfId="34087" xr:uid="{00000000-0005-0000-0000-000063910000}"/>
    <cellStyle name="Wrap 2 7 5 4" xfId="34088" xr:uid="{00000000-0005-0000-0000-000064910000}"/>
    <cellStyle name="Wrap 2 7 5 4 2" xfId="34089" xr:uid="{00000000-0005-0000-0000-000065910000}"/>
    <cellStyle name="Wrap 2 7 5 5" xfId="34090" xr:uid="{00000000-0005-0000-0000-000066910000}"/>
    <cellStyle name="Wrap 2 7 5 5 2" xfId="34091" xr:uid="{00000000-0005-0000-0000-000067910000}"/>
    <cellStyle name="Wrap 2 7 5 6" xfId="34092" xr:uid="{00000000-0005-0000-0000-000068910000}"/>
    <cellStyle name="Wrap 2 7 5 6 2" xfId="34093" xr:uid="{00000000-0005-0000-0000-000069910000}"/>
    <cellStyle name="Wrap 2 7 5 7" xfId="34094" xr:uid="{00000000-0005-0000-0000-00006A910000}"/>
    <cellStyle name="Wrap 2 7 5 7 2" xfId="34095" xr:uid="{00000000-0005-0000-0000-00006B910000}"/>
    <cellStyle name="Wrap 2 7 5 8" xfId="34096" xr:uid="{00000000-0005-0000-0000-00006C910000}"/>
    <cellStyle name="Wrap 2 7 5 8 2" xfId="34097" xr:uid="{00000000-0005-0000-0000-00006D910000}"/>
    <cellStyle name="Wrap 2 7 5 9" xfId="34098" xr:uid="{00000000-0005-0000-0000-00006E910000}"/>
    <cellStyle name="Wrap 2 7 5 9 2" xfId="34099" xr:uid="{00000000-0005-0000-0000-00006F910000}"/>
    <cellStyle name="Wrap 2 7 6" xfId="34100" xr:uid="{00000000-0005-0000-0000-000070910000}"/>
    <cellStyle name="Wrap 2 7 6 10" xfId="34101" xr:uid="{00000000-0005-0000-0000-000071910000}"/>
    <cellStyle name="Wrap 2 7 6 2" xfId="34102" xr:uid="{00000000-0005-0000-0000-000072910000}"/>
    <cellStyle name="Wrap 2 7 6 2 2" xfId="34103" xr:uid="{00000000-0005-0000-0000-000073910000}"/>
    <cellStyle name="Wrap 2 7 6 3" xfId="34104" xr:uid="{00000000-0005-0000-0000-000074910000}"/>
    <cellStyle name="Wrap 2 7 6 3 2" xfId="34105" xr:uid="{00000000-0005-0000-0000-000075910000}"/>
    <cellStyle name="Wrap 2 7 6 4" xfId="34106" xr:uid="{00000000-0005-0000-0000-000076910000}"/>
    <cellStyle name="Wrap 2 7 6 4 2" xfId="34107" xr:uid="{00000000-0005-0000-0000-000077910000}"/>
    <cellStyle name="Wrap 2 7 6 5" xfId="34108" xr:uid="{00000000-0005-0000-0000-000078910000}"/>
    <cellStyle name="Wrap 2 7 6 5 2" xfId="34109" xr:uid="{00000000-0005-0000-0000-000079910000}"/>
    <cellStyle name="Wrap 2 7 6 6" xfId="34110" xr:uid="{00000000-0005-0000-0000-00007A910000}"/>
    <cellStyle name="Wrap 2 7 6 6 2" xfId="34111" xr:uid="{00000000-0005-0000-0000-00007B910000}"/>
    <cellStyle name="Wrap 2 7 6 7" xfId="34112" xr:uid="{00000000-0005-0000-0000-00007C910000}"/>
    <cellStyle name="Wrap 2 7 6 7 2" xfId="34113" xr:uid="{00000000-0005-0000-0000-00007D910000}"/>
    <cellStyle name="Wrap 2 7 6 8" xfId="34114" xr:uid="{00000000-0005-0000-0000-00007E910000}"/>
    <cellStyle name="Wrap 2 7 6 8 2" xfId="34115" xr:uid="{00000000-0005-0000-0000-00007F910000}"/>
    <cellStyle name="Wrap 2 7 6 9" xfId="34116" xr:uid="{00000000-0005-0000-0000-000080910000}"/>
    <cellStyle name="Wrap 2 7 6 9 2" xfId="34117" xr:uid="{00000000-0005-0000-0000-000081910000}"/>
    <cellStyle name="Wrap 2 7 7" xfId="34118" xr:uid="{00000000-0005-0000-0000-000082910000}"/>
    <cellStyle name="Wrap 2 7 7 10" xfId="34119" xr:uid="{00000000-0005-0000-0000-000083910000}"/>
    <cellStyle name="Wrap 2 7 7 2" xfId="34120" xr:uid="{00000000-0005-0000-0000-000084910000}"/>
    <cellStyle name="Wrap 2 7 7 2 2" xfId="34121" xr:uid="{00000000-0005-0000-0000-000085910000}"/>
    <cellStyle name="Wrap 2 7 7 3" xfId="34122" xr:uid="{00000000-0005-0000-0000-000086910000}"/>
    <cellStyle name="Wrap 2 7 7 3 2" xfId="34123" xr:uid="{00000000-0005-0000-0000-000087910000}"/>
    <cellStyle name="Wrap 2 7 7 4" xfId="34124" xr:uid="{00000000-0005-0000-0000-000088910000}"/>
    <cellStyle name="Wrap 2 7 7 4 2" xfId="34125" xr:uid="{00000000-0005-0000-0000-000089910000}"/>
    <cellStyle name="Wrap 2 7 7 5" xfId="34126" xr:uid="{00000000-0005-0000-0000-00008A910000}"/>
    <cellStyle name="Wrap 2 7 7 5 2" xfId="34127" xr:uid="{00000000-0005-0000-0000-00008B910000}"/>
    <cellStyle name="Wrap 2 7 7 6" xfId="34128" xr:uid="{00000000-0005-0000-0000-00008C910000}"/>
    <cellStyle name="Wrap 2 7 7 6 2" xfId="34129" xr:uid="{00000000-0005-0000-0000-00008D910000}"/>
    <cellStyle name="Wrap 2 7 7 7" xfId="34130" xr:uid="{00000000-0005-0000-0000-00008E910000}"/>
    <cellStyle name="Wrap 2 7 7 7 2" xfId="34131" xr:uid="{00000000-0005-0000-0000-00008F910000}"/>
    <cellStyle name="Wrap 2 7 7 8" xfId="34132" xr:uid="{00000000-0005-0000-0000-000090910000}"/>
    <cellStyle name="Wrap 2 7 7 8 2" xfId="34133" xr:uid="{00000000-0005-0000-0000-000091910000}"/>
    <cellStyle name="Wrap 2 7 7 9" xfId="34134" xr:uid="{00000000-0005-0000-0000-000092910000}"/>
    <cellStyle name="Wrap 2 7 7 9 2" xfId="34135" xr:uid="{00000000-0005-0000-0000-000093910000}"/>
    <cellStyle name="Wrap 2 7 8" xfId="34136" xr:uid="{00000000-0005-0000-0000-000094910000}"/>
    <cellStyle name="Wrap 2 7 8 10" xfId="34137" xr:uid="{00000000-0005-0000-0000-000095910000}"/>
    <cellStyle name="Wrap 2 7 8 2" xfId="34138" xr:uid="{00000000-0005-0000-0000-000096910000}"/>
    <cellStyle name="Wrap 2 7 8 2 2" xfId="34139" xr:uid="{00000000-0005-0000-0000-000097910000}"/>
    <cellStyle name="Wrap 2 7 8 3" xfId="34140" xr:uid="{00000000-0005-0000-0000-000098910000}"/>
    <cellStyle name="Wrap 2 7 8 3 2" xfId="34141" xr:uid="{00000000-0005-0000-0000-000099910000}"/>
    <cellStyle name="Wrap 2 7 8 4" xfId="34142" xr:uid="{00000000-0005-0000-0000-00009A910000}"/>
    <cellStyle name="Wrap 2 7 8 4 2" xfId="34143" xr:uid="{00000000-0005-0000-0000-00009B910000}"/>
    <cellStyle name="Wrap 2 7 8 5" xfId="34144" xr:uid="{00000000-0005-0000-0000-00009C910000}"/>
    <cellStyle name="Wrap 2 7 8 5 2" xfId="34145" xr:uid="{00000000-0005-0000-0000-00009D910000}"/>
    <cellStyle name="Wrap 2 7 8 6" xfId="34146" xr:uid="{00000000-0005-0000-0000-00009E910000}"/>
    <cellStyle name="Wrap 2 7 8 6 2" xfId="34147" xr:uid="{00000000-0005-0000-0000-00009F910000}"/>
    <cellStyle name="Wrap 2 7 8 7" xfId="34148" xr:uid="{00000000-0005-0000-0000-0000A0910000}"/>
    <cellStyle name="Wrap 2 7 8 7 2" xfId="34149" xr:uid="{00000000-0005-0000-0000-0000A1910000}"/>
    <cellStyle name="Wrap 2 7 8 8" xfId="34150" xr:uid="{00000000-0005-0000-0000-0000A2910000}"/>
    <cellStyle name="Wrap 2 7 8 8 2" xfId="34151" xr:uid="{00000000-0005-0000-0000-0000A3910000}"/>
    <cellStyle name="Wrap 2 7 8 9" xfId="34152" xr:uid="{00000000-0005-0000-0000-0000A4910000}"/>
    <cellStyle name="Wrap 2 7 8 9 2" xfId="34153" xr:uid="{00000000-0005-0000-0000-0000A5910000}"/>
    <cellStyle name="Wrap 2 7 9" xfId="34154" xr:uid="{00000000-0005-0000-0000-0000A6910000}"/>
    <cellStyle name="Wrap 2 7 9 10" xfId="34155" xr:uid="{00000000-0005-0000-0000-0000A7910000}"/>
    <cellStyle name="Wrap 2 7 9 2" xfId="34156" xr:uid="{00000000-0005-0000-0000-0000A8910000}"/>
    <cellStyle name="Wrap 2 7 9 2 2" xfId="34157" xr:uid="{00000000-0005-0000-0000-0000A9910000}"/>
    <cellStyle name="Wrap 2 7 9 3" xfId="34158" xr:uid="{00000000-0005-0000-0000-0000AA910000}"/>
    <cellStyle name="Wrap 2 7 9 3 2" xfId="34159" xr:uid="{00000000-0005-0000-0000-0000AB910000}"/>
    <cellStyle name="Wrap 2 7 9 4" xfId="34160" xr:uid="{00000000-0005-0000-0000-0000AC910000}"/>
    <cellStyle name="Wrap 2 7 9 4 2" xfId="34161" xr:uid="{00000000-0005-0000-0000-0000AD910000}"/>
    <cellStyle name="Wrap 2 7 9 5" xfId="34162" xr:uid="{00000000-0005-0000-0000-0000AE910000}"/>
    <cellStyle name="Wrap 2 7 9 5 2" xfId="34163" xr:uid="{00000000-0005-0000-0000-0000AF910000}"/>
    <cellStyle name="Wrap 2 7 9 6" xfId="34164" xr:uid="{00000000-0005-0000-0000-0000B0910000}"/>
    <cellStyle name="Wrap 2 7 9 6 2" xfId="34165" xr:uid="{00000000-0005-0000-0000-0000B1910000}"/>
    <cellStyle name="Wrap 2 7 9 7" xfId="34166" xr:uid="{00000000-0005-0000-0000-0000B2910000}"/>
    <cellStyle name="Wrap 2 7 9 7 2" xfId="34167" xr:uid="{00000000-0005-0000-0000-0000B3910000}"/>
    <cellStyle name="Wrap 2 7 9 8" xfId="34168" xr:uid="{00000000-0005-0000-0000-0000B4910000}"/>
    <cellStyle name="Wrap 2 7 9 8 2" xfId="34169" xr:uid="{00000000-0005-0000-0000-0000B5910000}"/>
    <cellStyle name="Wrap 2 7 9 9" xfId="34170" xr:uid="{00000000-0005-0000-0000-0000B6910000}"/>
    <cellStyle name="Wrap 2 7 9 9 2" xfId="34171" xr:uid="{00000000-0005-0000-0000-0000B7910000}"/>
    <cellStyle name="Wrap 2 8" xfId="34172" xr:uid="{00000000-0005-0000-0000-0000B8910000}"/>
    <cellStyle name="Wrap 2 8 10" xfId="34173" xr:uid="{00000000-0005-0000-0000-0000B9910000}"/>
    <cellStyle name="Wrap 2 8 10 2" xfId="34174" xr:uid="{00000000-0005-0000-0000-0000BA910000}"/>
    <cellStyle name="Wrap 2 8 10 2 2" xfId="34175" xr:uid="{00000000-0005-0000-0000-0000BB910000}"/>
    <cellStyle name="Wrap 2 8 10 3" xfId="34176" xr:uid="{00000000-0005-0000-0000-0000BC910000}"/>
    <cellStyle name="Wrap 2 8 10 3 2" xfId="34177" xr:uid="{00000000-0005-0000-0000-0000BD910000}"/>
    <cellStyle name="Wrap 2 8 10 4" xfId="34178" xr:uid="{00000000-0005-0000-0000-0000BE910000}"/>
    <cellStyle name="Wrap 2 8 10 4 2" xfId="34179" xr:uid="{00000000-0005-0000-0000-0000BF910000}"/>
    <cellStyle name="Wrap 2 8 10 5" xfId="34180" xr:uid="{00000000-0005-0000-0000-0000C0910000}"/>
    <cellStyle name="Wrap 2 8 10 5 2" xfId="34181" xr:uid="{00000000-0005-0000-0000-0000C1910000}"/>
    <cellStyle name="Wrap 2 8 10 6" xfId="34182" xr:uid="{00000000-0005-0000-0000-0000C2910000}"/>
    <cellStyle name="Wrap 2 8 10 6 2" xfId="34183" xr:uid="{00000000-0005-0000-0000-0000C3910000}"/>
    <cellStyle name="Wrap 2 8 10 7" xfId="34184" xr:uid="{00000000-0005-0000-0000-0000C4910000}"/>
    <cellStyle name="Wrap 2 8 10 7 2" xfId="34185" xr:uid="{00000000-0005-0000-0000-0000C5910000}"/>
    <cellStyle name="Wrap 2 8 10 8" xfId="34186" xr:uid="{00000000-0005-0000-0000-0000C6910000}"/>
    <cellStyle name="Wrap 2 8 10 8 2" xfId="34187" xr:uid="{00000000-0005-0000-0000-0000C7910000}"/>
    <cellStyle name="Wrap 2 8 10 9" xfId="34188" xr:uid="{00000000-0005-0000-0000-0000C8910000}"/>
    <cellStyle name="Wrap 2 8 11" xfId="34189" xr:uid="{00000000-0005-0000-0000-0000C9910000}"/>
    <cellStyle name="Wrap 2 8 11 2" xfId="34190" xr:uid="{00000000-0005-0000-0000-0000CA910000}"/>
    <cellStyle name="Wrap 2 8 12" xfId="34191" xr:uid="{00000000-0005-0000-0000-0000CB910000}"/>
    <cellStyle name="Wrap 2 8 12 2" xfId="34192" xr:uid="{00000000-0005-0000-0000-0000CC910000}"/>
    <cellStyle name="Wrap 2 8 13" xfId="34193" xr:uid="{00000000-0005-0000-0000-0000CD910000}"/>
    <cellStyle name="Wrap 2 8 13 2" xfId="34194" xr:uid="{00000000-0005-0000-0000-0000CE910000}"/>
    <cellStyle name="Wrap 2 8 14" xfId="34195" xr:uid="{00000000-0005-0000-0000-0000CF910000}"/>
    <cellStyle name="Wrap 2 8 14 2" xfId="34196" xr:uid="{00000000-0005-0000-0000-0000D0910000}"/>
    <cellStyle name="Wrap 2 8 15" xfId="34197" xr:uid="{00000000-0005-0000-0000-0000D1910000}"/>
    <cellStyle name="Wrap 2 8 15 2" xfId="34198" xr:uid="{00000000-0005-0000-0000-0000D2910000}"/>
    <cellStyle name="Wrap 2 8 16" xfId="34199" xr:uid="{00000000-0005-0000-0000-0000D3910000}"/>
    <cellStyle name="Wrap 2 8 16 2" xfId="34200" xr:uid="{00000000-0005-0000-0000-0000D4910000}"/>
    <cellStyle name="Wrap 2 8 17" xfId="34201" xr:uid="{00000000-0005-0000-0000-0000D5910000}"/>
    <cellStyle name="Wrap 2 8 17 2" xfId="34202" xr:uid="{00000000-0005-0000-0000-0000D6910000}"/>
    <cellStyle name="Wrap 2 8 18" xfId="34203" xr:uid="{00000000-0005-0000-0000-0000D7910000}"/>
    <cellStyle name="Wrap 2 8 2" xfId="34204" xr:uid="{00000000-0005-0000-0000-0000D8910000}"/>
    <cellStyle name="Wrap 2 8 2 10" xfId="34205" xr:uid="{00000000-0005-0000-0000-0000D9910000}"/>
    <cellStyle name="Wrap 2 8 2 2" xfId="34206" xr:uid="{00000000-0005-0000-0000-0000DA910000}"/>
    <cellStyle name="Wrap 2 8 2 2 2" xfId="34207" xr:uid="{00000000-0005-0000-0000-0000DB910000}"/>
    <cellStyle name="Wrap 2 8 2 3" xfId="34208" xr:uid="{00000000-0005-0000-0000-0000DC910000}"/>
    <cellStyle name="Wrap 2 8 2 3 2" xfId="34209" xr:uid="{00000000-0005-0000-0000-0000DD910000}"/>
    <cellStyle name="Wrap 2 8 2 4" xfId="34210" xr:uid="{00000000-0005-0000-0000-0000DE910000}"/>
    <cellStyle name="Wrap 2 8 2 4 2" xfId="34211" xr:uid="{00000000-0005-0000-0000-0000DF910000}"/>
    <cellStyle name="Wrap 2 8 2 5" xfId="34212" xr:uid="{00000000-0005-0000-0000-0000E0910000}"/>
    <cellStyle name="Wrap 2 8 2 5 2" xfId="34213" xr:uid="{00000000-0005-0000-0000-0000E1910000}"/>
    <cellStyle name="Wrap 2 8 2 6" xfId="34214" xr:uid="{00000000-0005-0000-0000-0000E2910000}"/>
    <cellStyle name="Wrap 2 8 2 6 2" xfId="34215" xr:uid="{00000000-0005-0000-0000-0000E3910000}"/>
    <cellStyle name="Wrap 2 8 2 7" xfId="34216" xr:uid="{00000000-0005-0000-0000-0000E4910000}"/>
    <cellStyle name="Wrap 2 8 2 7 2" xfId="34217" xr:uid="{00000000-0005-0000-0000-0000E5910000}"/>
    <cellStyle name="Wrap 2 8 2 8" xfId="34218" xr:uid="{00000000-0005-0000-0000-0000E6910000}"/>
    <cellStyle name="Wrap 2 8 2 8 2" xfId="34219" xr:uid="{00000000-0005-0000-0000-0000E7910000}"/>
    <cellStyle name="Wrap 2 8 2 9" xfId="34220" xr:uid="{00000000-0005-0000-0000-0000E8910000}"/>
    <cellStyle name="Wrap 2 8 2 9 2" xfId="34221" xr:uid="{00000000-0005-0000-0000-0000E9910000}"/>
    <cellStyle name="Wrap 2 8 3" xfId="34222" xr:uid="{00000000-0005-0000-0000-0000EA910000}"/>
    <cellStyle name="Wrap 2 8 3 10" xfId="34223" xr:uid="{00000000-0005-0000-0000-0000EB910000}"/>
    <cellStyle name="Wrap 2 8 3 2" xfId="34224" xr:uid="{00000000-0005-0000-0000-0000EC910000}"/>
    <cellStyle name="Wrap 2 8 3 2 2" xfId="34225" xr:uid="{00000000-0005-0000-0000-0000ED910000}"/>
    <cellStyle name="Wrap 2 8 3 3" xfId="34226" xr:uid="{00000000-0005-0000-0000-0000EE910000}"/>
    <cellStyle name="Wrap 2 8 3 3 2" xfId="34227" xr:uid="{00000000-0005-0000-0000-0000EF910000}"/>
    <cellStyle name="Wrap 2 8 3 4" xfId="34228" xr:uid="{00000000-0005-0000-0000-0000F0910000}"/>
    <cellStyle name="Wrap 2 8 3 4 2" xfId="34229" xr:uid="{00000000-0005-0000-0000-0000F1910000}"/>
    <cellStyle name="Wrap 2 8 3 5" xfId="34230" xr:uid="{00000000-0005-0000-0000-0000F2910000}"/>
    <cellStyle name="Wrap 2 8 3 5 2" xfId="34231" xr:uid="{00000000-0005-0000-0000-0000F3910000}"/>
    <cellStyle name="Wrap 2 8 3 6" xfId="34232" xr:uid="{00000000-0005-0000-0000-0000F4910000}"/>
    <cellStyle name="Wrap 2 8 3 6 2" xfId="34233" xr:uid="{00000000-0005-0000-0000-0000F5910000}"/>
    <cellStyle name="Wrap 2 8 3 7" xfId="34234" xr:uid="{00000000-0005-0000-0000-0000F6910000}"/>
    <cellStyle name="Wrap 2 8 3 7 2" xfId="34235" xr:uid="{00000000-0005-0000-0000-0000F7910000}"/>
    <cellStyle name="Wrap 2 8 3 8" xfId="34236" xr:uid="{00000000-0005-0000-0000-0000F8910000}"/>
    <cellStyle name="Wrap 2 8 3 8 2" xfId="34237" xr:uid="{00000000-0005-0000-0000-0000F9910000}"/>
    <cellStyle name="Wrap 2 8 3 9" xfId="34238" xr:uid="{00000000-0005-0000-0000-0000FA910000}"/>
    <cellStyle name="Wrap 2 8 3 9 2" xfId="34239" xr:uid="{00000000-0005-0000-0000-0000FB910000}"/>
    <cellStyle name="Wrap 2 8 4" xfId="34240" xr:uid="{00000000-0005-0000-0000-0000FC910000}"/>
    <cellStyle name="Wrap 2 8 4 10" xfId="34241" xr:uid="{00000000-0005-0000-0000-0000FD910000}"/>
    <cellStyle name="Wrap 2 8 4 2" xfId="34242" xr:uid="{00000000-0005-0000-0000-0000FE910000}"/>
    <cellStyle name="Wrap 2 8 4 2 2" xfId="34243" xr:uid="{00000000-0005-0000-0000-0000FF910000}"/>
    <cellStyle name="Wrap 2 8 4 3" xfId="34244" xr:uid="{00000000-0005-0000-0000-000000920000}"/>
    <cellStyle name="Wrap 2 8 4 3 2" xfId="34245" xr:uid="{00000000-0005-0000-0000-000001920000}"/>
    <cellStyle name="Wrap 2 8 4 4" xfId="34246" xr:uid="{00000000-0005-0000-0000-000002920000}"/>
    <cellStyle name="Wrap 2 8 4 4 2" xfId="34247" xr:uid="{00000000-0005-0000-0000-000003920000}"/>
    <cellStyle name="Wrap 2 8 4 5" xfId="34248" xr:uid="{00000000-0005-0000-0000-000004920000}"/>
    <cellStyle name="Wrap 2 8 4 5 2" xfId="34249" xr:uid="{00000000-0005-0000-0000-000005920000}"/>
    <cellStyle name="Wrap 2 8 4 6" xfId="34250" xr:uid="{00000000-0005-0000-0000-000006920000}"/>
    <cellStyle name="Wrap 2 8 4 6 2" xfId="34251" xr:uid="{00000000-0005-0000-0000-000007920000}"/>
    <cellStyle name="Wrap 2 8 4 7" xfId="34252" xr:uid="{00000000-0005-0000-0000-000008920000}"/>
    <cellStyle name="Wrap 2 8 4 7 2" xfId="34253" xr:uid="{00000000-0005-0000-0000-000009920000}"/>
    <cellStyle name="Wrap 2 8 4 8" xfId="34254" xr:uid="{00000000-0005-0000-0000-00000A920000}"/>
    <cellStyle name="Wrap 2 8 4 8 2" xfId="34255" xr:uid="{00000000-0005-0000-0000-00000B920000}"/>
    <cellStyle name="Wrap 2 8 4 9" xfId="34256" xr:uid="{00000000-0005-0000-0000-00000C920000}"/>
    <cellStyle name="Wrap 2 8 4 9 2" xfId="34257" xr:uid="{00000000-0005-0000-0000-00000D920000}"/>
    <cellStyle name="Wrap 2 8 5" xfId="34258" xr:uid="{00000000-0005-0000-0000-00000E920000}"/>
    <cellStyle name="Wrap 2 8 5 10" xfId="34259" xr:uid="{00000000-0005-0000-0000-00000F920000}"/>
    <cellStyle name="Wrap 2 8 5 2" xfId="34260" xr:uid="{00000000-0005-0000-0000-000010920000}"/>
    <cellStyle name="Wrap 2 8 5 2 2" xfId="34261" xr:uid="{00000000-0005-0000-0000-000011920000}"/>
    <cellStyle name="Wrap 2 8 5 3" xfId="34262" xr:uid="{00000000-0005-0000-0000-000012920000}"/>
    <cellStyle name="Wrap 2 8 5 3 2" xfId="34263" xr:uid="{00000000-0005-0000-0000-000013920000}"/>
    <cellStyle name="Wrap 2 8 5 4" xfId="34264" xr:uid="{00000000-0005-0000-0000-000014920000}"/>
    <cellStyle name="Wrap 2 8 5 4 2" xfId="34265" xr:uid="{00000000-0005-0000-0000-000015920000}"/>
    <cellStyle name="Wrap 2 8 5 5" xfId="34266" xr:uid="{00000000-0005-0000-0000-000016920000}"/>
    <cellStyle name="Wrap 2 8 5 5 2" xfId="34267" xr:uid="{00000000-0005-0000-0000-000017920000}"/>
    <cellStyle name="Wrap 2 8 5 6" xfId="34268" xr:uid="{00000000-0005-0000-0000-000018920000}"/>
    <cellStyle name="Wrap 2 8 5 6 2" xfId="34269" xr:uid="{00000000-0005-0000-0000-000019920000}"/>
    <cellStyle name="Wrap 2 8 5 7" xfId="34270" xr:uid="{00000000-0005-0000-0000-00001A920000}"/>
    <cellStyle name="Wrap 2 8 5 7 2" xfId="34271" xr:uid="{00000000-0005-0000-0000-00001B920000}"/>
    <cellStyle name="Wrap 2 8 5 8" xfId="34272" xr:uid="{00000000-0005-0000-0000-00001C920000}"/>
    <cellStyle name="Wrap 2 8 5 8 2" xfId="34273" xr:uid="{00000000-0005-0000-0000-00001D920000}"/>
    <cellStyle name="Wrap 2 8 5 9" xfId="34274" xr:uid="{00000000-0005-0000-0000-00001E920000}"/>
    <cellStyle name="Wrap 2 8 5 9 2" xfId="34275" xr:uid="{00000000-0005-0000-0000-00001F920000}"/>
    <cellStyle name="Wrap 2 8 6" xfId="34276" xr:uid="{00000000-0005-0000-0000-000020920000}"/>
    <cellStyle name="Wrap 2 8 6 10" xfId="34277" xr:uid="{00000000-0005-0000-0000-000021920000}"/>
    <cellStyle name="Wrap 2 8 6 2" xfId="34278" xr:uid="{00000000-0005-0000-0000-000022920000}"/>
    <cellStyle name="Wrap 2 8 6 2 2" xfId="34279" xr:uid="{00000000-0005-0000-0000-000023920000}"/>
    <cellStyle name="Wrap 2 8 6 3" xfId="34280" xr:uid="{00000000-0005-0000-0000-000024920000}"/>
    <cellStyle name="Wrap 2 8 6 3 2" xfId="34281" xr:uid="{00000000-0005-0000-0000-000025920000}"/>
    <cellStyle name="Wrap 2 8 6 4" xfId="34282" xr:uid="{00000000-0005-0000-0000-000026920000}"/>
    <cellStyle name="Wrap 2 8 6 4 2" xfId="34283" xr:uid="{00000000-0005-0000-0000-000027920000}"/>
    <cellStyle name="Wrap 2 8 6 5" xfId="34284" xr:uid="{00000000-0005-0000-0000-000028920000}"/>
    <cellStyle name="Wrap 2 8 6 5 2" xfId="34285" xr:uid="{00000000-0005-0000-0000-000029920000}"/>
    <cellStyle name="Wrap 2 8 6 6" xfId="34286" xr:uid="{00000000-0005-0000-0000-00002A920000}"/>
    <cellStyle name="Wrap 2 8 6 6 2" xfId="34287" xr:uid="{00000000-0005-0000-0000-00002B920000}"/>
    <cellStyle name="Wrap 2 8 6 7" xfId="34288" xr:uid="{00000000-0005-0000-0000-00002C920000}"/>
    <cellStyle name="Wrap 2 8 6 7 2" xfId="34289" xr:uid="{00000000-0005-0000-0000-00002D920000}"/>
    <cellStyle name="Wrap 2 8 6 8" xfId="34290" xr:uid="{00000000-0005-0000-0000-00002E920000}"/>
    <cellStyle name="Wrap 2 8 6 8 2" xfId="34291" xr:uid="{00000000-0005-0000-0000-00002F920000}"/>
    <cellStyle name="Wrap 2 8 6 9" xfId="34292" xr:uid="{00000000-0005-0000-0000-000030920000}"/>
    <cellStyle name="Wrap 2 8 6 9 2" xfId="34293" xr:uid="{00000000-0005-0000-0000-000031920000}"/>
    <cellStyle name="Wrap 2 8 7" xfId="34294" xr:uid="{00000000-0005-0000-0000-000032920000}"/>
    <cellStyle name="Wrap 2 8 7 10" xfId="34295" xr:uid="{00000000-0005-0000-0000-000033920000}"/>
    <cellStyle name="Wrap 2 8 7 2" xfId="34296" xr:uid="{00000000-0005-0000-0000-000034920000}"/>
    <cellStyle name="Wrap 2 8 7 2 2" xfId="34297" xr:uid="{00000000-0005-0000-0000-000035920000}"/>
    <cellStyle name="Wrap 2 8 7 3" xfId="34298" xr:uid="{00000000-0005-0000-0000-000036920000}"/>
    <cellStyle name="Wrap 2 8 7 3 2" xfId="34299" xr:uid="{00000000-0005-0000-0000-000037920000}"/>
    <cellStyle name="Wrap 2 8 7 4" xfId="34300" xr:uid="{00000000-0005-0000-0000-000038920000}"/>
    <cellStyle name="Wrap 2 8 7 4 2" xfId="34301" xr:uid="{00000000-0005-0000-0000-000039920000}"/>
    <cellStyle name="Wrap 2 8 7 5" xfId="34302" xr:uid="{00000000-0005-0000-0000-00003A920000}"/>
    <cellStyle name="Wrap 2 8 7 5 2" xfId="34303" xr:uid="{00000000-0005-0000-0000-00003B920000}"/>
    <cellStyle name="Wrap 2 8 7 6" xfId="34304" xr:uid="{00000000-0005-0000-0000-00003C920000}"/>
    <cellStyle name="Wrap 2 8 7 6 2" xfId="34305" xr:uid="{00000000-0005-0000-0000-00003D920000}"/>
    <cellStyle name="Wrap 2 8 7 7" xfId="34306" xr:uid="{00000000-0005-0000-0000-00003E920000}"/>
    <cellStyle name="Wrap 2 8 7 7 2" xfId="34307" xr:uid="{00000000-0005-0000-0000-00003F920000}"/>
    <cellStyle name="Wrap 2 8 7 8" xfId="34308" xr:uid="{00000000-0005-0000-0000-000040920000}"/>
    <cellStyle name="Wrap 2 8 7 8 2" xfId="34309" xr:uid="{00000000-0005-0000-0000-000041920000}"/>
    <cellStyle name="Wrap 2 8 7 9" xfId="34310" xr:uid="{00000000-0005-0000-0000-000042920000}"/>
    <cellStyle name="Wrap 2 8 7 9 2" xfId="34311" xr:uid="{00000000-0005-0000-0000-000043920000}"/>
    <cellStyle name="Wrap 2 8 8" xfId="34312" xr:uid="{00000000-0005-0000-0000-000044920000}"/>
    <cellStyle name="Wrap 2 8 8 10" xfId="34313" xr:uid="{00000000-0005-0000-0000-000045920000}"/>
    <cellStyle name="Wrap 2 8 8 2" xfId="34314" xr:uid="{00000000-0005-0000-0000-000046920000}"/>
    <cellStyle name="Wrap 2 8 8 2 2" xfId="34315" xr:uid="{00000000-0005-0000-0000-000047920000}"/>
    <cellStyle name="Wrap 2 8 8 3" xfId="34316" xr:uid="{00000000-0005-0000-0000-000048920000}"/>
    <cellStyle name="Wrap 2 8 8 3 2" xfId="34317" xr:uid="{00000000-0005-0000-0000-000049920000}"/>
    <cellStyle name="Wrap 2 8 8 4" xfId="34318" xr:uid="{00000000-0005-0000-0000-00004A920000}"/>
    <cellStyle name="Wrap 2 8 8 4 2" xfId="34319" xr:uid="{00000000-0005-0000-0000-00004B920000}"/>
    <cellStyle name="Wrap 2 8 8 5" xfId="34320" xr:uid="{00000000-0005-0000-0000-00004C920000}"/>
    <cellStyle name="Wrap 2 8 8 5 2" xfId="34321" xr:uid="{00000000-0005-0000-0000-00004D920000}"/>
    <cellStyle name="Wrap 2 8 8 6" xfId="34322" xr:uid="{00000000-0005-0000-0000-00004E920000}"/>
    <cellStyle name="Wrap 2 8 8 6 2" xfId="34323" xr:uid="{00000000-0005-0000-0000-00004F920000}"/>
    <cellStyle name="Wrap 2 8 8 7" xfId="34324" xr:uid="{00000000-0005-0000-0000-000050920000}"/>
    <cellStyle name="Wrap 2 8 8 7 2" xfId="34325" xr:uid="{00000000-0005-0000-0000-000051920000}"/>
    <cellStyle name="Wrap 2 8 8 8" xfId="34326" xr:uid="{00000000-0005-0000-0000-000052920000}"/>
    <cellStyle name="Wrap 2 8 8 8 2" xfId="34327" xr:uid="{00000000-0005-0000-0000-000053920000}"/>
    <cellStyle name="Wrap 2 8 8 9" xfId="34328" xr:uid="{00000000-0005-0000-0000-000054920000}"/>
    <cellStyle name="Wrap 2 8 8 9 2" xfId="34329" xr:uid="{00000000-0005-0000-0000-000055920000}"/>
    <cellStyle name="Wrap 2 8 9" xfId="34330" xr:uid="{00000000-0005-0000-0000-000056920000}"/>
    <cellStyle name="Wrap 2 8 9 10" xfId="34331" xr:uid="{00000000-0005-0000-0000-000057920000}"/>
    <cellStyle name="Wrap 2 8 9 2" xfId="34332" xr:uid="{00000000-0005-0000-0000-000058920000}"/>
    <cellStyle name="Wrap 2 8 9 2 2" xfId="34333" xr:uid="{00000000-0005-0000-0000-000059920000}"/>
    <cellStyle name="Wrap 2 8 9 3" xfId="34334" xr:uid="{00000000-0005-0000-0000-00005A920000}"/>
    <cellStyle name="Wrap 2 8 9 3 2" xfId="34335" xr:uid="{00000000-0005-0000-0000-00005B920000}"/>
    <cellStyle name="Wrap 2 8 9 4" xfId="34336" xr:uid="{00000000-0005-0000-0000-00005C920000}"/>
    <cellStyle name="Wrap 2 8 9 4 2" xfId="34337" xr:uid="{00000000-0005-0000-0000-00005D920000}"/>
    <cellStyle name="Wrap 2 8 9 5" xfId="34338" xr:uid="{00000000-0005-0000-0000-00005E920000}"/>
    <cellStyle name="Wrap 2 8 9 5 2" xfId="34339" xr:uid="{00000000-0005-0000-0000-00005F920000}"/>
    <cellStyle name="Wrap 2 8 9 6" xfId="34340" xr:uid="{00000000-0005-0000-0000-000060920000}"/>
    <cellStyle name="Wrap 2 8 9 6 2" xfId="34341" xr:uid="{00000000-0005-0000-0000-000061920000}"/>
    <cellStyle name="Wrap 2 8 9 7" xfId="34342" xr:uid="{00000000-0005-0000-0000-000062920000}"/>
    <cellStyle name="Wrap 2 8 9 7 2" xfId="34343" xr:uid="{00000000-0005-0000-0000-000063920000}"/>
    <cellStyle name="Wrap 2 8 9 8" xfId="34344" xr:uid="{00000000-0005-0000-0000-000064920000}"/>
    <cellStyle name="Wrap 2 8 9 8 2" xfId="34345" xr:uid="{00000000-0005-0000-0000-000065920000}"/>
    <cellStyle name="Wrap 2 8 9 9" xfId="34346" xr:uid="{00000000-0005-0000-0000-000066920000}"/>
    <cellStyle name="Wrap 2 8 9 9 2" xfId="34347" xr:uid="{00000000-0005-0000-0000-000067920000}"/>
    <cellStyle name="Wrap 2 9" xfId="34348" xr:uid="{00000000-0005-0000-0000-000068920000}"/>
    <cellStyle name="Wrap 2 9 10" xfId="34349" xr:uid="{00000000-0005-0000-0000-000069920000}"/>
    <cellStyle name="Wrap 2 9 10 2" xfId="34350" xr:uid="{00000000-0005-0000-0000-00006A920000}"/>
    <cellStyle name="Wrap 2 9 10 2 2" xfId="34351" xr:uid="{00000000-0005-0000-0000-00006B920000}"/>
    <cellStyle name="Wrap 2 9 10 3" xfId="34352" xr:uid="{00000000-0005-0000-0000-00006C920000}"/>
    <cellStyle name="Wrap 2 9 10 3 2" xfId="34353" xr:uid="{00000000-0005-0000-0000-00006D920000}"/>
    <cellStyle name="Wrap 2 9 10 4" xfId="34354" xr:uid="{00000000-0005-0000-0000-00006E920000}"/>
    <cellStyle name="Wrap 2 9 10 4 2" xfId="34355" xr:uid="{00000000-0005-0000-0000-00006F920000}"/>
    <cellStyle name="Wrap 2 9 10 5" xfId="34356" xr:uid="{00000000-0005-0000-0000-000070920000}"/>
    <cellStyle name="Wrap 2 9 10 5 2" xfId="34357" xr:uid="{00000000-0005-0000-0000-000071920000}"/>
    <cellStyle name="Wrap 2 9 10 6" xfId="34358" xr:uid="{00000000-0005-0000-0000-000072920000}"/>
    <cellStyle name="Wrap 2 9 10 6 2" xfId="34359" xr:uid="{00000000-0005-0000-0000-000073920000}"/>
    <cellStyle name="Wrap 2 9 10 7" xfId="34360" xr:uid="{00000000-0005-0000-0000-000074920000}"/>
    <cellStyle name="Wrap 2 9 10 7 2" xfId="34361" xr:uid="{00000000-0005-0000-0000-000075920000}"/>
    <cellStyle name="Wrap 2 9 10 8" xfId="34362" xr:uid="{00000000-0005-0000-0000-000076920000}"/>
    <cellStyle name="Wrap 2 9 10 8 2" xfId="34363" xr:uid="{00000000-0005-0000-0000-000077920000}"/>
    <cellStyle name="Wrap 2 9 10 9" xfId="34364" xr:uid="{00000000-0005-0000-0000-000078920000}"/>
    <cellStyle name="Wrap 2 9 11" xfId="34365" xr:uid="{00000000-0005-0000-0000-000079920000}"/>
    <cellStyle name="Wrap 2 9 11 2" xfId="34366" xr:uid="{00000000-0005-0000-0000-00007A920000}"/>
    <cellStyle name="Wrap 2 9 12" xfId="34367" xr:uid="{00000000-0005-0000-0000-00007B920000}"/>
    <cellStyle name="Wrap 2 9 12 2" xfId="34368" xr:uid="{00000000-0005-0000-0000-00007C920000}"/>
    <cellStyle name="Wrap 2 9 13" xfId="34369" xr:uid="{00000000-0005-0000-0000-00007D920000}"/>
    <cellStyle name="Wrap 2 9 13 2" xfId="34370" xr:uid="{00000000-0005-0000-0000-00007E920000}"/>
    <cellStyle name="Wrap 2 9 14" xfId="34371" xr:uid="{00000000-0005-0000-0000-00007F920000}"/>
    <cellStyle name="Wrap 2 9 14 2" xfId="34372" xr:uid="{00000000-0005-0000-0000-000080920000}"/>
    <cellStyle name="Wrap 2 9 15" xfId="34373" xr:uid="{00000000-0005-0000-0000-000081920000}"/>
    <cellStyle name="Wrap 2 9 15 2" xfId="34374" xr:uid="{00000000-0005-0000-0000-000082920000}"/>
    <cellStyle name="Wrap 2 9 16" xfId="34375" xr:uid="{00000000-0005-0000-0000-000083920000}"/>
    <cellStyle name="Wrap 2 9 16 2" xfId="34376" xr:uid="{00000000-0005-0000-0000-000084920000}"/>
    <cellStyle name="Wrap 2 9 17" xfId="34377" xr:uid="{00000000-0005-0000-0000-000085920000}"/>
    <cellStyle name="Wrap 2 9 17 2" xfId="34378" xr:uid="{00000000-0005-0000-0000-000086920000}"/>
    <cellStyle name="Wrap 2 9 18" xfId="34379" xr:uid="{00000000-0005-0000-0000-000087920000}"/>
    <cellStyle name="Wrap 2 9 2" xfId="34380" xr:uid="{00000000-0005-0000-0000-000088920000}"/>
    <cellStyle name="Wrap 2 9 2 10" xfId="34381" xr:uid="{00000000-0005-0000-0000-000089920000}"/>
    <cellStyle name="Wrap 2 9 2 2" xfId="34382" xr:uid="{00000000-0005-0000-0000-00008A920000}"/>
    <cellStyle name="Wrap 2 9 2 2 2" xfId="34383" xr:uid="{00000000-0005-0000-0000-00008B920000}"/>
    <cellStyle name="Wrap 2 9 2 3" xfId="34384" xr:uid="{00000000-0005-0000-0000-00008C920000}"/>
    <cellStyle name="Wrap 2 9 2 3 2" xfId="34385" xr:uid="{00000000-0005-0000-0000-00008D920000}"/>
    <cellStyle name="Wrap 2 9 2 4" xfId="34386" xr:uid="{00000000-0005-0000-0000-00008E920000}"/>
    <cellStyle name="Wrap 2 9 2 4 2" xfId="34387" xr:uid="{00000000-0005-0000-0000-00008F920000}"/>
    <cellStyle name="Wrap 2 9 2 5" xfId="34388" xr:uid="{00000000-0005-0000-0000-000090920000}"/>
    <cellStyle name="Wrap 2 9 2 5 2" xfId="34389" xr:uid="{00000000-0005-0000-0000-000091920000}"/>
    <cellStyle name="Wrap 2 9 2 6" xfId="34390" xr:uid="{00000000-0005-0000-0000-000092920000}"/>
    <cellStyle name="Wrap 2 9 2 6 2" xfId="34391" xr:uid="{00000000-0005-0000-0000-000093920000}"/>
    <cellStyle name="Wrap 2 9 2 7" xfId="34392" xr:uid="{00000000-0005-0000-0000-000094920000}"/>
    <cellStyle name="Wrap 2 9 2 7 2" xfId="34393" xr:uid="{00000000-0005-0000-0000-000095920000}"/>
    <cellStyle name="Wrap 2 9 2 8" xfId="34394" xr:uid="{00000000-0005-0000-0000-000096920000}"/>
    <cellStyle name="Wrap 2 9 2 8 2" xfId="34395" xr:uid="{00000000-0005-0000-0000-000097920000}"/>
    <cellStyle name="Wrap 2 9 2 9" xfId="34396" xr:uid="{00000000-0005-0000-0000-000098920000}"/>
    <cellStyle name="Wrap 2 9 2 9 2" xfId="34397" xr:uid="{00000000-0005-0000-0000-000099920000}"/>
    <cellStyle name="Wrap 2 9 3" xfId="34398" xr:uid="{00000000-0005-0000-0000-00009A920000}"/>
    <cellStyle name="Wrap 2 9 3 10" xfId="34399" xr:uid="{00000000-0005-0000-0000-00009B920000}"/>
    <cellStyle name="Wrap 2 9 3 2" xfId="34400" xr:uid="{00000000-0005-0000-0000-00009C920000}"/>
    <cellStyle name="Wrap 2 9 3 2 2" xfId="34401" xr:uid="{00000000-0005-0000-0000-00009D920000}"/>
    <cellStyle name="Wrap 2 9 3 3" xfId="34402" xr:uid="{00000000-0005-0000-0000-00009E920000}"/>
    <cellStyle name="Wrap 2 9 3 3 2" xfId="34403" xr:uid="{00000000-0005-0000-0000-00009F920000}"/>
    <cellStyle name="Wrap 2 9 3 4" xfId="34404" xr:uid="{00000000-0005-0000-0000-0000A0920000}"/>
    <cellStyle name="Wrap 2 9 3 4 2" xfId="34405" xr:uid="{00000000-0005-0000-0000-0000A1920000}"/>
    <cellStyle name="Wrap 2 9 3 5" xfId="34406" xr:uid="{00000000-0005-0000-0000-0000A2920000}"/>
    <cellStyle name="Wrap 2 9 3 5 2" xfId="34407" xr:uid="{00000000-0005-0000-0000-0000A3920000}"/>
    <cellStyle name="Wrap 2 9 3 6" xfId="34408" xr:uid="{00000000-0005-0000-0000-0000A4920000}"/>
    <cellStyle name="Wrap 2 9 3 6 2" xfId="34409" xr:uid="{00000000-0005-0000-0000-0000A5920000}"/>
    <cellStyle name="Wrap 2 9 3 7" xfId="34410" xr:uid="{00000000-0005-0000-0000-0000A6920000}"/>
    <cellStyle name="Wrap 2 9 3 7 2" xfId="34411" xr:uid="{00000000-0005-0000-0000-0000A7920000}"/>
    <cellStyle name="Wrap 2 9 3 8" xfId="34412" xr:uid="{00000000-0005-0000-0000-0000A8920000}"/>
    <cellStyle name="Wrap 2 9 3 8 2" xfId="34413" xr:uid="{00000000-0005-0000-0000-0000A9920000}"/>
    <cellStyle name="Wrap 2 9 3 9" xfId="34414" xr:uid="{00000000-0005-0000-0000-0000AA920000}"/>
    <cellStyle name="Wrap 2 9 3 9 2" xfId="34415" xr:uid="{00000000-0005-0000-0000-0000AB920000}"/>
    <cellStyle name="Wrap 2 9 4" xfId="34416" xr:uid="{00000000-0005-0000-0000-0000AC920000}"/>
    <cellStyle name="Wrap 2 9 4 10" xfId="34417" xr:uid="{00000000-0005-0000-0000-0000AD920000}"/>
    <cellStyle name="Wrap 2 9 4 2" xfId="34418" xr:uid="{00000000-0005-0000-0000-0000AE920000}"/>
    <cellStyle name="Wrap 2 9 4 2 2" xfId="34419" xr:uid="{00000000-0005-0000-0000-0000AF920000}"/>
    <cellStyle name="Wrap 2 9 4 3" xfId="34420" xr:uid="{00000000-0005-0000-0000-0000B0920000}"/>
    <cellStyle name="Wrap 2 9 4 3 2" xfId="34421" xr:uid="{00000000-0005-0000-0000-0000B1920000}"/>
    <cellStyle name="Wrap 2 9 4 4" xfId="34422" xr:uid="{00000000-0005-0000-0000-0000B2920000}"/>
    <cellStyle name="Wrap 2 9 4 4 2" xfId="34423" xr:uid="{00000000-0005-0000-0000-0000B3920000}"/>
    <cellStyle name="Wrap 2 9 4 5" xfId="34424" xr:uid="{00000000-0005-0000-0000-0000B4920000}"/>
    <cellStyle name="Wrap 2 9 4 5 2" xfId="34425" xr:uid="{00000000-0005-0000-0000-0000B5920000}"/>
    <cellStyle name="Wrap 2 9 4 6" xfId="34426" xr:uid="{00000000-0005-0000-0000-0000B6920000}"/>
    <cellStyle name="Wrap 2 9 4 6 2" xfId="34427" xr:uid="{00000000-0005-0000-0000-0000B7920000}"/>
    <cellStyle name="Wrap 2 9 4 7" xfId="34428" xr:uid="{00000000-0005-0000-0000-0000B8920000}"/>
    <cellStyle name="Wrap 2 9 4 7 2" xfId="34429" xr:uid="{00000000-0005-0000-0000-0000B9920000}"/>
    <cellStyle name="Wrap 2 9 4 8" xfId="34430" xr:uid="{00000000-0005-0000-0000-0000BA920000}"/>
    <cellStyle name="Wrap 2 9 4 8 2" xfId="34431" xr:uid="{00000000-0005-0000-0000-0000BB920000}"/>
    <cellStyle name="Wrap 2 9 4 9" xfId="34432" xr:uid="{00000000-0005-0000-0000-0000BC920000}"/>
    <cellStyle name="Wrap 2 9 4 9 2" xfId="34433" xr:uid="{00000000-0005-0000-0000-0000BD920000}"/>
    <cellStyle name="Wrap 2 9 5" xfId="34434" xr:uid="{00000000-0005-0000-0000-0000BE920000}"/>
    <cellStyle name="Wrap 2 9 5 10" xfId="34435" xr:uid="{00000000-0005-0000-0000-0000BF920000}"/>
    <cellStyle name="Wrap 2 9 5 2" xfId="34436" xr:uid="{00000000-0005-0000-0000-0000C0920000}"/>
    <cellStyle name="Wrap 2 9 5 2 2" xfId="34437" xr:uid="{00000000-0005-0000-0000-0000C1920000}"/>
    <cellStyle name="Wrap 2 9 5 3" xfId="34438" xr:uid="{00000000-0005-0000-0000-0000C2920000}"/>
    <cellStyle name="Wrap 2 9 5 3 2" xfId="34439" xr:uid="{00000000-0005-0000-0000-0000C3920000}"/>
    <cellStyle name="Wrap 2 9 5 4" xfId="34440" xr:uid="{00000000-0005-0000-0000-0000C4920000}"/>
    <cellStyle name="Wrap 2 9 5 4 2" xfId="34441" xr:uid="{00000000-0005-0000-0000-0000C5920000}"/>
    <cellStyle name="Wrap 2 9 5 5" xfId="34442" xr:uid="{00000000-0005-0000-0000-0000C6920000}"/>
    <cellStyle name="Wrap 2 9 5 5 2" xfId="34443" xr:uid="{00000000-0005-0000-0000-0000C7920000}"/>
    <cellStyle name="Wrap 2 9 5 6" xfId="34444" xr:uid="{00000000-0005-0000-0000-0000C8920000}"/>
    <cellStyle name="Wrap 2 9 5 6 2" xfId="34445" xr:uid="{00000000-0005-0000-0000-0000C9920000}"/>
    <cellStyle name="Wrap 2 9 5 7" xfId="34446" xr:uid="{00000000-0005-0000-0000-0000CA920000}"/>
    <cellStyle name="Wrap 2 9 5 7 2" xfId="34447" xr:uid="{00000000-0005-0000-0000-0000CB920000}"/>
    <cellStyle name="Wrap 2 9 5 8" xfId="34448" xr:uid="{00000000-0005-0000-0000-0000CC920000}"/>
    <cellStyle name="Wrap 2 9 5 8 2" xfId="34449" xr:uid="{00000000-0005-0000-0000-0000CD920000}"/>
    <cellStyle name="Wrap 2 9 5 9" xfId="34450" xr:uid="{00000000-0005-0000-0000-0000CE920000}"/>
    <cellStyle name="Wrap 2 9 5 9 2" xfId="34451" xr:uid="{00000000-0005-0000-0000-0000CF920000}"/>
    <cellStyle name="Wrap 2 9 6" xfId="34452" xr:uid="{00000000-0005-0000-0000-0000D0920000}"/>
    <cellStyle name="Wrap 2 9 6 10" xfId="34453" xr:uid="{00000000-0005-0000-0000-0000D1920000}"/>
    <cellStyle name="Wrap 2 9 6 2" xfId="34454" xr:uid="{00000000-0005-0000-0000-0000D2920000}"/>
    <cellStyle name="Wrap 2 9 6 2 2" xfId="34455" xr:uid="{00000000-0005-0000-0000-0000D3920000}"/>
    <cellStyle name="Wrap 2 9 6 3" xfId="34456" xr:uid="{00000000-0005-0000-0000-0000D4920000}"/>
    <cellStyle name="Wrap 2 9 6 3 2" xfId="34457" xr:uid="{00000000-0005-0000-0000-0000D5920000}"/>
    <cellStyle name="Wrap 2 9 6 4" xfId="34458" xr:uid="{00000000-0005-0000-0000-0000D6920000}"/>
    <cellStyle name="Wrap 2 9 6 4 2" xfId="34459" xr:uid="{00000000-0005-0000-0000-0000D7920000}"/>
    <cellStyle name="Wrap 2 9 6 5" xfId="34460" xr:uid="{00000000-0005-0000-0000-0000D8920000}"/>
    <cellStyle name="Wrap 2 9 6 5 2" xfId="34461" xr:uid="{00000000-0005-0000-0000-0000D9920000}"/>
    <cellStyle name="Wrap 2 9 6 6" xfId="34462" xr:uid="{00000000-0005-0000-0000-0000DA920000}"/>
    <cellStyle name="Wrap 2 9 6 6 2" xfId="34463" xr:uid="{00000000-0005-0000-0000-0000DB920000}"/>
    <cellStyle name="Wrap 2 9 6 7" xfId="34464" xr:uid="{00000000-0005-0000-0000-0000DC920000}"/>
    <cellStyle name="Wrap 2 9 6 7 2" xfId="34465" xr:uid="{00000000-0005-0000-0000-0000DD920000}"/>
    <cellStyle name="Wrap 2 9 6 8" xfId="34466" xr:uid="{00000000-0005-0000-0000-0000DE920000}"/>
    <cellStyle name="Wrap 2 9 6 8 2" xfId="34467" xr:uid="{00000000-0005-0000-0000-0000DF920000}"/>
    <cellStyle name="Wrap 2 9 6 9" xfId="34468" xr:uid="{00000000-0005-0000-0000-0000E0920000}"/>
    <cellStyle name="Wrap 2 9 6 9 2" xfId="34469" xr:uid="{00000000-0005-0000-0000-0000E1920000}"/>
    <cellStyle name="Wrap 2 9 7" xfId="34470" xr:uid="{00000000-0005-0000-0000-0000E2920000}"/>
    <cellStyle name="Wrap 2 9 7 10" xfId="34471" xr:uid="{00000000-0005-0000-0000-0000E3920000}"/>
    <cellStyle name="Wrap 2 9 7 2" xfId="34472" xr:uid="{00000000-0005-0000-0000-0000E4920000}"/>
    <cellStyle name="Wrap 2 9 7 2 2" xfId="34473" xr:uid="{00000000-0005-0000-0000-0000E5920000}"/>
    <cellStyle name="Wrap 2 9 7 3" xfId="34474" xr:uid="{00000000-0005-0000-0000-0000E6920000}"/>
    <cellStyle name="Wrap 2 9 7 3 2" xfId="34475" xr:uid="{00000000-0005-0000-0000-0000E7920000}"/>
    <cellStyle name="Wrap 2 9 7 4" xfId="34476" xr:uid="{00000000-0005-0000-0000-0000E8920000}"/>
    <cellStyle name="Wrap 2 9 7 4 2" xfId="34477" xr:uid="{00000000-0005-0000-0000-0000E9920000}"/>
    <cellStyle name="Wrap 2 9 7 5" xfId="34478" xr:uid="{00000000-0005-0000-0000-0000EA920000}"/>
    <cellStyle name="Wrap 2 9 7 5 2" xfId="34479" xr:uid="{00000000-0005-0000-0000-0000EB920000}"/>
    <cellStyle name="Wrap 2 9 7 6" xfId="34480" xr:uid="{00000000-0005-0000-0000-0000EC920000}"/>
    <cellStyle name="Wrap 2 9 7 6 2" xfId="34481" xr:uid="{00000000-0005-0000-0000-0000ED920000}"/>
    <cellStyle name="Wrap 2 9 7 7" xfId="34482" xr:uid="{00000000-0005-0000-0000-0000EE920000}"/>
    <cellStyle name="Wrap 2 9 7 7 2" xfId="34483" xr:uid="{00000000-0005-0000-0000-0000EF920000}"/>
    <cellStyle name="Wrap 2 9 7 8" xfId="34484" xr:uid="{00000000-0005-0000-0000-0000F0920000}"/>
    <cellStyle name="Wrap 2 9 7 8 2" xfId="34485" xr:uid="{00000000-0005-0000-0000-0000F1920000}"/>
    <cellStyle name="Wrap 2 9 7 9" xfId="34486" xr:uid="{00000000-0005-0000-0000-0000F2920000}"/>
    <cellStyle name="Wrap 2 9 7 9 2" xfId="34487" xr:uid="{00000000-0005-0000-0000-0000F3920000}"/>
    <cellStyle name="Wrap 2 9 8" xfId="34488" xr:uid="{00000000-0005-0000-0000-0000F4920000}"/>
    <cellStyle name="Wrap 2 9 8 10" xfId="34489" xr:uid="{00000000-0005-0000-0000-0000F5920000}"/>
    <cellStyle name="Wrap 2 9 8 2" xfId="34490" xr:uid="{00000000-0005-0000-0000-0000F6920000}"/>
    <cellStyle name="Wrap 2 9 8 2 2" xfId="34491" xr:uid="{00000000-0005-0000-0000-0000F7920000}"/>
    <cellStyle name="Wrap 2 9 8 3" xfId="34492" xr:uid="{00000000-0005-0000-0000-0000F8920000}"/>
    <cellStyle name="Wrap 2 9 8 3 2" xfId="34493" xr:uid="{00000000-0005-0000-0000-0000F9920000}"/>
    <cellStyle name="Wrap 2 9 8 4" xfId="34494" xr:uid="{00000000-0005-0000-0000-0000FA920000}"/>
    <cellStyle name="Wrap 2 9 8 4 2" xfId="34495" xr:uid="{00000000-0005-0000-0000-0000FB920000}"/>
    <cellStyle name="Wrap 2 9 8 5" xfId="34496" xr:uid="{00000000-0005-0000-0000-0000FC920000}"/>
    <cellStyle name="Wrap 2 9 8 5 2" xfId="34497" xr:uid="{00000000-0005-0000-0000-0000FD920000}"/>
    <cellStyle name="Wrap 2 9 8 6" xfId="34498" xr:uid="{00000000-0005-0000-0000-0000FE920000}"/>
    <cellStyle name="Wrap 2 9 8 6 2" xfId="34499" xr:uid="{00000000-0005-0000-0000-0000FF920000}"/>
    <cellStyle name="Wrap 2 9 8 7" xfId="34500" xr:uid="{00000000-0005-0000-0000-000000930000}"/>
    <cellStyle name="Wrap 2 9 8 7 2" xfId="34501" xr:uid="{00000000-0005-0000-0000-000001930000}"/>
    <cellStyle name="Wrap 2 9 8 8" xfId="34502" xr:uid="{00000000-0005-0000-0000-000002930000}"/>
    <cellStyle name="Wrap 2 9 8 8 2" xfId="34503" xr:uid="{00000000-0005-0000-0000-000003930000}"/>
    <cellStyle name="Wrap 2 9 8 9" xfId="34504" xr:uid="{00000000-0005-0000-0000-000004930000}"/>
    <cellStyle name="Wrap 2 9 8 9 2" xfId="34505" xr:uid="{00000000-0005-0000-0000-000005930000}"/>
    <cellStyle name="Wrap 2 9 9" xfId="34506" xr:uid="{00000000-0005-0000-0000-000006930000}"/>
    <cellStyle name="Wrap 2 9 9 10" xfId="34507" xr:uid="{00000000-0005-0000-0000-000007930000}"/>
    <cellStyle name="Wrap 2 9 9 2" xfId="34508" xr:uid="{00000000-0005-0000-0000-000008930000}"/>
    <cellStyle name="Wrap 2 9 9 2 2" xfId="34509" xr:uid="{00000000-0005-0000-0000-000009930000}"/>
    <cellStyle name="Wrap 2 9 9 3" xfId="34510" xr:uid="{00000000-0005-0000-0000-00000A930000}"/>
    <cellStyle name="Wrap 2 9 9 3 2" xfId="34511" xr:uid="{00000000-0005-0000-0000-00000B930000}"/>
    <cellStyle name="Wrap 2 9 9 4" xfId="34512" xr:uid="{00000000-0005-0000-0000-00000C930000}"/>
    <cellStyle name="Wrap 2 9 9 4 2" xfId="34513" xr:uid="{00000000-0005-0000-0000-00000D930000}"/>
    <cellStyle name="Wrap 2 9 9 5" xfId="34514" xr:uid="{00000000-0005-0000-0000-00000E930000}"/>
    <cellStyle name="Wrap 2 9 9 5 2" xfId="34515" xr:uid="{00000000-0005-0000-0000-00000F930000}"/>
    <cellStyle name="Wrap 2 9 9 6" xfId="34516" xr:uid="{00000000-0005-0000-0000-000010930000}"/>
    <cellStyle name="Wrap 2 9 9 6 2" xfId="34517" xr:uid="{00000000-0005-0000-0000-000011930000}"/>
    <cellStyle name="Wrap 2 9 9 7" xfId="34518" xr:uid="{00000000-0005-0000-0000-000012930000}"/>
    <cellStyle name="Wrap 2 9 9 7 2" xfId="34519" xr:uid="{00000000-0005-0000-0000-000013930000}"/>
    <cellStyle name="Wrap 2 9 9 8" xfId="34520" xr:uid="{00000000-0005-0000-0000-000014930000}"/>
    <cellStyle name="Wrap 2 9 9 8 2" xfId="34521" xr:uid="{00000000-0005-0000-0000-000015930000}"/>
    <cellStyle name="Wrap 2 9 9 9" xfId="34522" xr:uid="{00000000-0005-0000-0000-000016930000}"/>
    <cellStyle name="Wrap 2 9 9 9 2" xfId="34523" xr:uid="{00000000-0005-0000-0000-000017930000}"/>
    <cellStyle name="Wrap 3" xfId="208" xr:uid="{00000000-0005-0000-0000-000018930000}"/>
    <cellStyle name="Wrap 3 2" xfId="34524" xr:uid="{00000000-0005-0000-0000-000019930000}"/>
    <cellStyle name="Wrap 3 2 10" xfId="34525" xr:uid="{00000000-0005-0000-0000-00001A930000}"/>
    <cellStyle name="Wrap 3 2 10 10" xfId="34526" xr:uid="{00000000-0005-0000-0000-00001B930000}"/>
    <cellStyle name="Wrap 3 2 10 2" xfId="34527" xr:uid="{00000000-0005-0000-0000-00001C930000}"/>
    <cellStyle name="Wrap 3 2 10 2 2" xfId="34528" xr:uid="{00000000-0005-0000-0000-00001D930000}"/>
    <cellStyle name="Wrap 3 2 10 3" xfId="34529" xr:uid="{00000000-0005-0000-0000-00001E930000}"/>
    <cellStyle name="Wrap 3 2 10 3 2" xfId="34530" xr:uid="{00000000-0005-0000-0000-00001F930000}"/>
    <cellStyle name="Wrap 3 2 10 4" xfId="34531" xr:uid="{00000000-0005-0000-0000-000020930000}"/>
    <cellStyle name="Wrap 3 2 10 4 2" xfId="34532" xr:uid="{00000000-0005-0000-0000-000021930000}"/>
    <cellStyle name="Wrap 3 2 10 5" xfId="34533" xr:uid="{00000000-0005-0000-0000-000022930000}"/>
    <cellStyle name="Wrap 3 2 10 5 2" xfId="34534" xr:uid="{00000000-0005-0000-0000-000023930000}"/>
    <cellStyle name="Wrap 3 2 10 6" xfId="34535" xr:uid="{00000000-0005-0000-0000-000024930000}"/>
    <cellStyle name="Wrap 3 2 10 6 2" xfId="34536" xr:uid="{00000000-0005-0000-0000-000025930000}"/>
    <cellStyle name="Wrap 3 2 10 7" xfId="34537" xr:uid="{00000000-0005-0000-0000-000026930000}"/>
    <cellStyle name="Wrap 3 2 10 7 2" xfId="34538" xr:uid="{00000000-0005-0000-0000-000027930000}"/>
    <cellStyle name="Wrap 3 2 10 8" xfId="34539" xr:uid="{00000000-0005-0000-0000-000028930000}"/>
    <cellStyle name="Wrap 3 2 10 8 2" xfId="34540" xr:uid="{00000000-0005-0000-0000-000029930000}"/>
    <cellStyle name="Wrap 3 2 10 9" xfId="34541" xr:uid="{00000000-0005-0000-0000-00002A930000}"/>
    <cellStyle name="Wrap 3 2 10 9 2" xfId="34542" xr:uid="{00000000-0005-0000-0000-00002B930000}"/>
    <cellStyle name="Wrap 3 2 11" xfId="34543" xr:uid="{00000000-0005-0000-0000-00002C930000}"/>
    <cellStyle name="Wrap 3 2 11 2" xfId="34544" xr:uid="{00000000-0005-0000-0000-00002D930000}"/>
    <cellStyle name="Wrap 3 2 11 2 2" xfId="34545" xr:uid="{00000000-0005-0000-0000-00002E930000}"/>
    <cellStyle name="Wrap 3 2 11 3" xfId="34546" xr:uid="{00000000-0005-0000-0000-00002F930000}"/>
    <cellStyle name="Wrap 3 2 11 3 2" xfId="34547" xr:uid="{00000000-0005-0000-0000-000030930000}"/>
    <cellStyle name="Wrap 3 2 11 4" xfId="34548" xr:uid="{00000000-0005-0000-0000-000031930000}"/>
    <cellStyle name="Wrap 3 2 11 4 2" xfId="34549" xr:uid="{00000000-0005-0000-0000-000032930000}"/>
    <cellStyle name="Wrap 3 2 11 5" xfId="34550" xr:uid="{00000000-0005-0000-0000-000033930000}"/>
    <cellStyle name="Wrap 3 2 11 5 2" xfId="34551" xr:uid="{00000000-0005-0000-0000-000034930000}"/>
    <cellStyle name="Wrap 3 2 11 6" xfId="34552" xr:uid="{00000000-0005-0000-0000-000035930000}"/>
    <cellStyle name="Wrap 3 2 11 6 2" xfId="34553" xr:uid="{00000000-0005-0000-0000-000036930000}"/>
    <cellStyle name="Wrap 3 2 11 7" xfId="34554" xr:uid="{00000000-0005-0000-0000-000037930000}"/>
    <cellStyle name="Wrap 3 2 11 7 2" xfId="34555" xr:uid="{00000000-0005-0000-0000-000038930000}"/>
    <cellStyle name="Wrap 3 2 11 8" xfId="34556" xr:uid="{00000000-0005-0000-0000-000039930000}"/>
    <cellStyle name="Wrap 3 2 11 8 2" xfId="34557" xr:uid="{00000000-0005-0000-0000-00003A930000}"/>
    <cellStyle name="Wrap 3 2 11 9" xfId="34558" xr:uid="{00000000-0005-0000-0000-00003B930000}"/>
    <cellStyle name="Wrap 3 2 2" xfId="34559" xr:uid="{00000000-0005-0000-0000-00003C930000}"/>
    <cellStyle name="Wrap 3 2 2 10" xfId="34560" xr:uid="{00000000-0005-0000-0000-00003D930000}"/>
    <cellStyle name="Wrap 3 2 2 2" xfId="34561" xr:uid="{00000000-0005-0000-0000-00003E930000}"/>
    <cellStyle name="Wrap 3 2 2 2 2" xfId="34562" xr:uid="{00000000-0005-0000-0000-00003F930000}"/>
    <cellStyle name="Wrap 3 2 2 3" xfId="34563" xr:uid="{00000000-0005-0000-0000-000040930000}"/>
    <cellStyle name="Wrap 3 2 2 3 2" xfId="34564" xr:uid="{00000000-0005-0000-0000-000041930000}"/>
    <cellStyle name="Wrap 3 2 2 4" xfId="34565" xr:uid="{00000000-0005-0000-0000-000042930000}"/>
    <cellStyle name="Wrap 3 2 2 4 2" xfId="34566" xr:uid="{00000000-0005-0000-0000-000043930000}"/>
    <cellStyle name="Wrap 3 2 2 5" xfId="34567" xr:uid="{00000000-0005-0000-0000-000044930000}"/>
    <cellStyle name="Wrap 3 2 2 5 2" xfId="34568" xr:uid="{00000000-0005-0000-0000-000045930000}"/>
    <cellStyle name="Wrap 3 2 2 6" xfId="34569" xr:uid="{00000000-0005-0000-0000-000046930000}"/>
    <cellStyle name="Wrap 3 2 2 6 2" xfId="34570" xr:uid="{00000000-0005-0000-0000-000047930000}"/>
    <cellStyle name="Wrap 3 2 2 7" xfId="34571" xr:uid="{00000000-0005-0000-0000-000048930000}"/>
    <cellStyle name="Wrap 3 2 2 7 2" xfId="34572" xr:uid="{00000000-0005-0000-0000-000049930000}"/>
    <cellStyle name="Wrap 3 2 2 8" xfId="34573" xr:uid="{00000000-0005-0000-0000-00004A930000}"/>
    <cellStyle name="Wrap 3 2 2 8 2" xfId="34574" xr:uid="{00000000-0005-0000-0000-00004B930000}"/>
    <cellStyle name="Wrap 3 2 2 9" xfId="34575" xr:uid="{00000000-0005-0000-0000-00004C930000}"/>
    <cellStyle name="Wrap 3 2 2 9 2" xfId="34576" xr:uid="{00000000-0005-0000-0000-00004D930000}"/>
    <cellStyle name="Wrap 3 2 3" xfId="34577" xr:uid="{00000000-0005-0000-0000-00004E930000}"/>
    <cellStyle name="Wrap 3 2 3 10" xfId="34578" xr:uid="{00000000-0005-0000-0000-00004F930000}"/>
    <cellStyle name="Wrap 3 2 3 2" xfId="34579" xr:uid="{00000000-0005-0000-0000-000050930000}"/>
    <cellStyle name="Wrap 3 2 3 2 2" xfId="34580" xr:uid="{00000000-0005-0000-0000-000051930000}"/>
    <cellStyle name="Wrap 3 2 3 3" xfId="34581" xr:uid="{00000000-0005-0000-0000-000052930000}"/>
    <cellStyle name="Wrap 3 2 3 3 2" xfId="34582" xr:uid="{00000000-0005-0000-0000-000053930000}"/>
    <cellStyle name="Wrap 3 2 3 4" xfId="34583" xr:uid="{00000000-0005-0000-0000-000054930000}"/>
    <cellStyle name="Wrap 3 2 3 4 2" xfId="34584" xr:uid="{00000000-0005-0000-0000-000055930000}"/>
    <cellStyle name="Wrap 3 2 3 5" xfId="34585" xr:uid="{00000000-0005-0000-0000-000056930000}"/>
    <cellStyle name="Wrap 3 2 3 5 2" xfId="34586" xr:uid="{00000000-0005-0000-0000-000057930000}"/>
    <cellStyle name="Wrap 3 2 3 6" xfId="34587" xr:uid="{00000000-0005-0000-0000-000058930000}"/>
    <cellStyle name="Wrap 3 2 3 6 2" xfId="34588" xr:uid="{00000000-0005-0000-0000-000059930000}"/>
    <cellStyle name="Wrap 3 2 3 7" xfId="34589" xr:uid="{00000000-0005-0000-0000-00005A930000}"/>
    <cellStyle name="Wrap 3 2 3 7 2" xfId="34590" xr:uid="{00000000-0005-0000-0000-00005B930000}"/>
    <cellStyle name="Wrap 3 2 3 8" xfId="34591" xr:uid="{00000000-0005-0000-0000-00005C930000}"/>
    <cellStyle name="Wrap 3 2 3 8 2" xfId="34592" xr:uid="{00000000-0005-0000-0000-00005D930000}"/>
    <cellStyle name="Wrap 3 2 3 9" xfId="34593" xr:uid="{00000000-0005-0000-0000-00005E930000}"/>
    <cellStyle name="Wrap 3 2 3 9 2" xfId="34594" xr:uid="{00000000-0005-0000-0000-00005F930000}"/>
    <cellStyle name="Wrap 3 2 4" xfId="34595" xr:uid="{00000000-0005-0000-0000-000060930000}"/>
    <cellStyle name="Wrap 3 2 4 10" xfId="34596" xr:uid="{00000000-0005-0000-0000-000061930000}"/>
    <cellStyle name="Wrap 3 2 4 2" xfId="34597" xr:uid="{00000000-0005-0000-0000-000062930000}"/>
    <cellStyle name="Wrap 3 2 4 2 2" xfId="34598" xr:uid="{00000000-0005-0000-0000-000063930000}"/>
    <cellStyle name="Wrap 3 2 4 3" xfId="34599" xr:uid="{00000000-0005-0000-0000-000064930000}"/>
    <cellStyle name="Wrap 3 2 4 3 2" xfId="34600" xr:uid="{00000000-0005-0000-0000-000065930000}"/>
    <cellStyle name="Wrap 3 2 4 4" xfId="34601" xr:uid="{00000000-0005-0000-0000-000066930000}"/>
    <cellStyle name="Wrap 3 2 4 4 2" xfId="34602" xr:uid="{00000000-0005-0000-0000-000067930000}"/>
    <cellStyle name="Wrap 3 2 4 5" xfId="34603" xr:uid="{00000000-0005-0000-0000-000068930000}"/>
    <cellStyle name="Wrap 3 2 4 5 2" xfId="34604" xr:uid="{00000000-0005-0000-0000-000069930000}"/>
    <cellStyle name="Wrap 3 2 4 6" xfId="34605" xr:uid="{00000000-0005-0000-0000-00006A930000}"/>
    <cellStyle name="Wrap 3 2 4 6 2" xfId="34606" xr:uid="{00000000-0005-0000-0000-00006B930000}"/>
    <cellStyle name="Wrap 3 2 4 7" xfId="34607" xr:uid="{00000000-0005-0000-0000-00006C930000}"/>
    <cellStyle name="Wrap 3 2 4 7 2" xfId="34608" xr:uid="{00000000-0005-0000-0000-00006D930000}"/>
    <cellStyle name="Wrap 3 2 4 8" xfId="34609" xr:uid="{00000000-0005-0000-0000-00006E930000}"/>
    <cellStyle name="Wrap 3 2 4 8 2" xfId="34610" xr:uid="{00000000-0005-0000-0000-00006F930000}"/>
    <cellStyle name="Wrap 3 2 4 9" xfId="34611" xr:uid="{00000000-0005-0000-0000-000070930000}"/>
    <cellStyle name="Wrap 3 2 4 9 2" xfId="34612" xr:uid="{00000000-0005-0000-0000-000071930000}"/>
    <cellStyle name="Wrap 3 2 5" xfId="34613" xr:uid="{00000000-0005-0000-0000-000072930000}"/>
    <cellStyle name="Wrap 3 2 5 10" xfId="34614" xr:uid="{00000000-0005-0000-0000-000073930000}"/>
    <cellStyle name="Wrap 3 2 5 2" xfId="34615" xr:uid="{00000000-0005-0000-0000-000074930000}"/>
    <cellStyle name="Wrap 3 2 5 2 2" xfId="34616" xr:uid="{00000000-0005-0000-0000-000075930000}"/>
    <cellStyle name="Wrap 3 2 5 3" xfId="34617" xr:uid="{00000000-0005-0000-0000-000076930000}"/>
    <cellStyle name="Wrap 3 2 5 3 2" xfId="34618" xr:uid="{00000000-0005-0000-0000-000077930000}"/>
    <cellStyle name="Wrap 3 2 5 4" xfId="34619" xr:uid="{00000000-0005-0000-0000-000078930000}"/>
    <cellStyle name="Wrap 3 2 5 4 2" xfId="34620" xr:uid="{00000000-0005-0000-0000-000079930000}"/>
    <cellStyle name="Wrap 3 2 5 5" xfId="34621" xr:uid="{00000000-0005-0000-0000-00007A930000}"/>
    <cellStyle name="Wrap 3 2 5 5 2" xfId="34622" xr:uid="{00000000-0005-0000-0000-00007B930000}"/>
    <cellStyle name="Wrap 3 2 5 6" xfId="34623" xr:uid="{00000000-0005-0000-0000-00007C930000}"/>
    <cellStyle name="Wrap 3 2 5 6 2" xfId="34624" xr:uid="{00000000-0005-0000-0000-00007D930000}"/>
    <cellStyle name="Wrap 3 2 5 7" xfId="34625" xr:uid="{00000000-0005-0000-0000-00007E930000}"/>
    <cellStyle name="Wrap 3 2 5 7 2" xfId="34626" xr:uid="{00000000-0005-0000-0000-00007F930000}"/>
    <cellStyle name="Wrap 3 2 5 8" xfId="34627" xr:uid="{00000000-0005-0000-0000-000080930000}"/>
    <cellStyle name="Wrap 3 2 5 8 2" xfId="34628" xr:uid="{00000000-0005-0000-0000-000081930000}"/>
    <cellStyle name="Wrap 3 2 5 9" xfId="34629" xr:uid="{00000000-0005-0000-0000-000082930000}"/>
    <cellStyle name="Wrap 3 2 5 9 2" xfId="34630" xr:uid="{00000000-0005-0000-0000-000083930000}"/>
    <cellStyle name="Wrap 3 2 6" xfId="34631" xr:uid="{00000000-0005-0000-0000-000084930000}"/>
    <cellStyle name="Wrap 3 2 6 10" xfId="34632" xr:uid="{00000000-0005-0000-0000-000085930000}"/>
    <cellStyle name="Wrap 3 2 6 2" xfId="34633" xr:uid="{00000000-0005-0000-0000-000086930000}"/>
    <cellStyle name="Wrap 3 2 6 2 2" xfId="34634" xr:uid="{00000000-0005-0000-0000-000087930000}"/>
    <cellStyle name="Wrap 3 2 6 3" xfId="34635" xr:uid="{00000000-0005-0000-0000-000088930000}"/>
    <cellStyle name="Wrap 3 2 6 3 2" xfId="34636" xr:uid="{00000000-0005-0000-0000-000089930000}"/>
    <cellStyle name="Wrap 3 2 6 4" xfId="34637" xr:uid="{00000000-0005-0000-0000-00008A930000}"/>
    <cellStyle name="Wrap 3 2 6 4 2" xfId="34638" xr:uid="{00000000-0005-0000-0000-00008B930000}"/>
    <cellStyle name="Wrap 3 2 6 5" xfId="34639" xr:uid="{00000000-0005-0000-0000-00008C930000}"/>
    <cellStyle name="Wrap 3 2 6 5 2" xfId="34640" xr:uid="{00000000-0005-0000-0000-00008D930000}"/>
    <cellStyle name="Wrap 3 2 6 6" xfId="34641" xr:uid="{00000000-0005-0000-0000-00008E930000}"/>
    <cellStyle name="Wrap 3 2 6 6 2" xfId="34642" xr:uid="{00000000-0005-0000-0000-00008F930000}"/>
    <cellStyle name="Wrap 3 2 6 7" xfId="34643" xr:uid="{00000000-0005-0000-0000-000090930000}"/>
    <cellStyle name="Wrap 3 2 6 7 2" xfId="34644" xr:uid="{00000000-0005-0000-0000-000091930000}"/>
    <cellStyle name="Wrap 3 2 6 8" xfId="34645" xr:uid="{00000000-0005-0000-0000-000092930000}"/>
    <cellStyle name="Wrap 3 2 6 8 2" xfId="34646" xr:uid="{00000000-0005-0000-0000-000093930000}"/>
    <cellStyle name="Wrap 3 2 6 9" xfId="34647" xr:uid="{00000000-0005-0000-0000-000094930000}"/>
    <cellStyle name="Wrap 3 2 6 9 2" xfId="34648" xr:uid="{00000000-0005-0000-0000-000095930000}"/>
    <cellStyle name="Wrap 3 2 7" xfId="34649" xr:uid="{00000000-0005-0000-0000-000096930000}"/>
    <cellStyle name="Wrap 3 2 7 10" xfId="34650" xr:uid="{00000000-0005-0000-0000-000097930000}"/>
    <cellStyle name="Wrap 3 2 7 2" xfId="34651" xr:uid="{00000000-0005-0000-0000-000098930000}"/>
    <cellStyle name="Wrap 3 2 7 2 2" xfId="34652" xr:uid="{00000000-0005-0000-0000-000099930000}"/>
    <cellStyle name="Wrap 3 2 7 3" xfId="34653" xr:uid="{00000000-0005-0000-0000-00009A930000}"/>
    <cellStyle name="Wrap 3 2 7 3 2" xfId="34654" xr:uid="{00000000-0005-0000-0000-00009B930000}"/>
    <cellStyle name="Wrap 3 2 7 4" xfId="34655" xr:uid="{00000000-0005-0000-0000-00009C930000}"/>
    <cellStyle name="Wrap 3 2 7 4 2" xfId="34656" xr:uid="{00000000-0005-0000-0000-00009D930000}"/>
    <cellStyle name="Wrap 3 2 7 5" xfId="34657" xr:uid="{00000000-0005-0000-0000-00009E930000}"/>
    <cellStyle name="Wrap 3 2 7 5 2" xfId="34658" xr:uid="{00000000-0005-0000-0000-00009F930000}"/>
    <cellStyle name="Wrap 3 2 7 6" xfId="34659" xr:uid="{00000000-0005-0000-0000-0000A0930000}"/>
    <cellStyle name="Wrap 3 2 7 6 2" xfId="34660" xr:uid="{00000000-0005-0000-0000-0000A1930000}"/>
    <cellStyle name="Wrap 3 2 7 7" xfId="34661" xr:uid="{00000000-0005-0000-0000-0000A2930000}"/>
    <cellStyle name="Wrap 3 2 7 7 2" xfId="34662" xr:uid="{00000000-0005-0000-0000-0000A3930000}"/>
    <cellStyle name="Wrap 3 2 7 8" xfId="34663" xr:uid="{00000000-0005-0000-0000-0000A4930000}"/>
    <cellStyle name="Wrap 3 2 7 8 2" xfId="34664" xr:uid="{00000000-0005-0000-0000-0000A5930000}"/>
    <cellStyle name="Wrap 3 2 7 9" xfId="34665" xr:uid="{00000000-0005-0000-0000-0000A6930000}"/>
    <cellStyle name="Wrap 3 2 7 9 2" xfId="34666" xr:uid="{00000000-0005-0000-0000-0000A7930000}"/>
    <cellStyle name="Wrap 3 2 8" xfId="34667" xr:uid="{00000000-0005-0000-0000-0000A8930000}"/>
    <cellStyle name="Wrap 3 2 8 10" xfId="34668" xr:uid="{00000000-0005-0000-0000-0000A9930000}"/>
    <cellStyle name="Wrap 3 2 8 2" xfId="34669" xr:uid="{00000000-0005-0000-0000-0000AA930000}"/>
    <cellStyle name="Wrap 3 2 8 2 2" xfId="34670" xr:uid="{00000000-0005-0000-0000-0000AB930000}"/>
    <cellStyle name="Wrap 3 2 8 3" xfId="34671" xr:uid="{00000000-0005-0000-0000-0000AC930000}"/>
    <cellStyle name="Wrap 3 2 8 3 2" xfId="34672" xr:uid="{00000000-0005-0000-0000-0000AD930000}"/>
    <cellStyle name="Wrap 3 2 8 4" xfId="34673" xr:uid="{00000000-0005-0000-0000-0000AE930000}"/>
    <cellStyle name="Wrap 3 2 8 4 2" xfId="34674" xr:uid="{00000000-0005-0000-0000-0000AF930000}"/>
    <cellStyle name="Wrap 3 2 8 5" xfId="34675" xr:uid="{00000000-0005-0000-0000-0000B0930000}"/>
    <cellStyle name="Wrap 3 2 8 5 2" xfId="34676" xr:uid="{00000000-0005-0000-0000-0000B1930000}"/>
    <cellStyle name="Wrap 3 2 8 6" xfId="34677" xr:uid="{00000000-0005-0000-0000-0000B2930000}"/>
    <cellStyle name="Wrap 3 2 8 6 2" xfId="34678" xr:uid="{00000000-0005-0000-0000-0000B3930000}"/>
    <cellStyle name="Wrap 3 2 8 7" xfId="34679" xr:uid="{00000000-0005-0000-0000-0000B4930000}"/>
    <cellStyle name="Wrap 3 2 8 7 2" xfId="34680" xr:uid="{00000000-0005-0000-0000-0000B5930000}"/>
    <cellStyle name="Wrap 3 2 8 8" xfId="34681" xr:uid="{00000000-0005-0000-0000-0000B6930000}"/>
    <cellStyle name="Wrap 3 2 8 8 2" xfId="34682" xr:uid="{00000000-0005-0000-0000-0000B7930000}"/>
    <cellStyle name="Wrap 3 2 8 9" xfId="34683" xr:uid="{00000000-0005-0000-0000-0000B8930000}"/>
    <cellStyle name="Wrap 3 2 8 9 2" xfId="34684" xr:uid="{00000000-0005-0000-0000-0000B9930000}"/>
    <cellStyle name="Wrap 3 2 9" xfId="34685" xr:uid="{00000000-0005-0000-0000-0000BA930000}"/>
    <cellStyle name="Wrap 3 2 9 10" xfId="34686" xr:uid="{00000000-0005-0000-0000-0000BB930000}"/>
    <cellStyle name="Wrap 3 2 9 2" xfId="34687" xr:uid="{00000000-0005-0000-0000-0000BC930000}"/>
    <cellStyle name="Wrap 3 2 9 2 2" xfId="34688" xr:uid="{00000000-0005-0000-0000-0000BD930000}"/>
    <cellStyle name="Wrap 3 2 9 3" xfId="34689" xr:uid="{00000000-0005-0000-0000-0000BE930000}"/>
    <cellStyle name="Wrap 3 2 9 3 2" xfId="34690" xr:uid="{00000000-0005-0000-0000-0000BF930000}"/>
    <cellStyle name="Wrap 3 2 9 4" xfId="34691" xr:uid="{00000000-0005-0000-0000-0000C0930000}"/>
    <cellStyle name="Wrap 3 2 9 4 2" xfId="34692" xr:uid="{00000000-0005-0000-0000-0000C1930000}"/>
    <cellStyle name="Wrap 3 2 9 5" xfId="34693" xr:uid="{00000000-0005-0000-0000-0000C2930000}"/>
    <cellStyle name="Wrap 3 2 9 5 2" xfId="34694" xr:uid="{00000000-0005-0000-0000-0000C3930000}"/>
    <cellStyle name="Wrap 3 2 9 6" xfId="34695" xr:uid="{00000000-0005-0000-0000-0000C4930000}"/>
    <cellStyle name="Wrap 3 2 9 6 2" xfId="34696" xr:uid="{00000000-0005-0000-0000-0000C5930000}"/>
    <cellStyle name="Wrap 3 2 9 7" xfId="34697" xr:uid="{00000000-0005-0000-0000-0000C6930000}"/>
    <cellStyle name="Wrap 3 2 9 7 2" xfId="34698" xr:uid="{00000000-0005-0000-0000-0000C7930000}"/>
    <cellStyle name="Wrap 3 2 9 8" xfId="34699" xr:uid="{00000000-0005-0000-0000-0000C8930000}"/>
    <cellStyle name="Wrap 3 2 9 8 2" xfId="34700" xr:uid="{00000000-0005-0000-0000-0000C9930000}"/>
    <cellStyle name="Wrap 3 2 9 9" xfId="34701" xr:uid="{00000000-0005-0000-0000-0000CA930000}"/>
    <cellStyle name="Wrap 3 2 9 9 2" xfId="34702" xr:uid="{00000000-0005-0000-0000-0000CB930000}"/>
    <cellStyle name="Wrap 3 3" xfId="34703" xr:uid="{00000000-0005-0000-0000-0000CC930000}"/>
    <cellStyle name="Wrap 3 3 10" xfId="34704" xr:uid="{00000000-0005-0000-0000-0000CD930000}"/>
    <cellStyle name="Wrap 3 3 10 10" xfId="34705" xr:uid="{00000000-0005-0000-0000-0000CE930000}"/>
    <cellStyle name="Wrap 3 3 10 2" xfId="34706" xr:uid="{00000000-0005-0000-0000-0000CF930000}"/>
    <cellStyle name="Wrap 3 3 10 2 2" xfId="34707" xr:uid="{00000000-0005-0000-0000-0000D0930000}"/>
    <cellStyle name="Wrap 3 3 10 3" xfId="34708" xr:uid="{00000000-0005-0000-0000-0000D1930000}"/>
    <cellStyle name="Wrap 3 3 10 3 2" xfId="34709" xr:uid="{00000000-0005-0000-0000-0000D2930000}"/>
    <cellStyle name="Wrap 3 3 10 4" xfId="34710" xr:uid="{00000000-0005-0000-0000-0000D3930000}"/>
    <cellStyle name="Wrap 3 3 10 4 2" xfId="34711" xr:uid="{00000000-0005-0000-0000-0000D4930000}"/>
    <cellStyle name="Wrap 3 3 10 5" xfId="34712" xr:uid="{00000000-0005-0000-0000-0000D5930000}"/>
    <cellStyle name="Wrap 3 3 10 5 2" xfId="34713" xr:uid="{00000000-0005-0000-0000-0000D6930000}"/>
    <cellStyle name="Wrap 3 3 10 6" xfId="34714" xr:uid="{00000000-0005-0000-0000-0000D7930000}"/>
    <cellStyle name="Wrap 3 3 10 6 2" xfId="34715" xr:uid="{00000000-0005-0000-0000-0000D8930000}"/>
    <cellStyle name="Wrap 3 3 10 7" xfId="34716" xr:uid="{00000000-0005-0000-0000-0000D9930000}"/>
    <cellStyle name="Wrap 3 3 10 7 2" xfId="34717" xr:uid="{00000000-0005-0000-0000-0000DA930000}"/>
    <cellStyle name="Wrap 3 3 10 8" xfId="34718" xr:uid="{00000000-0005-0000-0000-0000DB930000}"/>
    <cellStyle name="Wrap 3 3 10 8 2" xfId="34719" xr:uid="{00000000-0005-0000-0000-0000DC930000}"/>
    <cellStyle name="Wrap 3 3 10 9" xfId="34720" xr:uid="{00000000-0005-0000-0000-0000DD930000}"/>
    <cellStyle name="Wrap 3 3 10 9 2" xfId="34721" xr:uid="{00000000-0005-0000-0000-0000DE930000}"/>
    <cellStyle name="Wrap 3 3 11" xfId="34722" xr:uid="{00000000-0005-0000-0000-0000DF930000}"/>
    <cellStyle name="Wrap 3 3 11 2" xfId="34723" xr:uid="{00000000-0005-0000-0000-0000E0930000}"/>
    <cellStyle name="Wrap 3 3 11 2 2" xfId="34724" xr:uid="{00000000-0005-0000-0000-0000E1930000}"/>
    <cellStyle name="Wrap 3 3 11 3" xfId="34725" xr:uid="{00000000-0005-0000-0000-0000E2930000}"/>
    <cellStyle name="Wrap 3 3 11 3 2" xfId="34726" xr:uid="{00000000-0005-0000-0000-0000E3930000}"/>
    <cellStyle name="Wrap 3 3 11 4" xfId="34727" xr:uid="{00000000-0005-0000-0000-0000E4930000}"/>
    <cellStyle name="Wrap 3 3 11 4 2" xfId="34728" xr:uid="{00000000-0005-0000-0000-0000E5930000}"/>
    <cellStyle name="Wrap 3 3 11 5" xfId="34729" xr:uid="{00000000-0005-0000-0000-0000E6930000}"/>
    <cellStyle name="Wrap 3 3 11 5 2" xfId="34730" xr:uid="{00000000-0005-0000-0000-0000E7930000}"/>
    <cellStyle name="Wrap 3 3 11 6" xfId="34731" xr:uid="{00000000-0005-0000-0000-0000E8930000}"/>
    <cellStyle name="Wrap 3 3 11 6 2" xfId="34732" xr:uid="{00000000-0005-0000-0000-0000E9930000}"/>
    <cellStyle name="Wrap 3 3 11 7" xfId="34733" xr:uid="{00000000-0005-0000-0000-0000EA930000}"/>
    <cellStyle name="Wrap 3 3 11 7 2" xfId="34734" xr:uid="{00000000-0005-0000-0000-0000EB930000}"/>
    <cellStyle name="Wrap 3 3 11 8" xfId="34735" xr:uid="{00000000-0005-0000-0000-0000EC930000}"/>
    <cellStyle name="Wrap 3 3 11 8 2" xfId="34736" xr:uid="{00000000-0005-0000-0000-0000ED930000}"/>
    <cellStyle name="Wrap 3 3 11 9" xfId="34737" xr:uid="{00000000-0005-0000-0000-0000EE930000}"/>
    <cellStyle name="Wrap 3 3 2" xfId="34738" xr:uid="{00000000-0005-0000-0000-0000EF930000}"/>
    <cellStyle name="Wrap 3 3 2 10" xfId="34739" xr:uid="{00000000-0005-0000-0000-0000F0930000}"/>
    <cellStyle name="Wrap 3 3 2 2" xfId="34740" xr:uid="{00000000-0005-0000-0000-0000F1930000}"/>
    <cellStyle name="Wrap 3 3 2 2 2" xfId="34741" xr:uid="{00000000-0005-0000-0000-0000F2930000}"/>
    <cellStyle name="Wrap 3 3 2 3" xfId="34742" xr:uid="{00000000-0005-0000-0000-0000F3930000}"/>
    <cellStyle name="Wrap 3 3 2 3 2" xfId="34743" xr:uid="{00000000-0005-0000-0000-0000F4930000}"/>
    <cellStyle name="Wrap 3 3 2 4" xfId="34744" xr:uid="{00000000-0005-0000-0000-0000F5930000}"/>
    <cellStyle name="Wrap 3 3 2 4 2" xfId="34745" xr:uid="{00000000-0005-0000-0000-0000F6930000}"/>
    <cellStyle name="Wrap 3 3 2 5" xfId="34746" xr:uid="{00000000-0005-0000-0000-0000F7930000}"/>
    <cellStyle name="Wrap 3 3 2 5 2" xfId="34747" xr:uid="{00000000-0005-0000-0000-0000F8930000}"/>
    <cellStyle name="Wrap 3 3 2 6" xfId="34748" xr:uid="{00000000-0005-0000-0000-0000F9930000}"/>
    <cellStyle name="Wrap 3 3 2 6 2" xfId="34749" xr:uid="{00000000-0005-0000-0000-0000FA930000}"/>
    <cellStyle name="Wrap 3 3 2 7" xfId="34750" xr:uid="{00000000-0005-0000-0000-0000FB930000}"/>
    <cellStyle name="Wrap 3 3 2 7 2" xfId="34751" xr:uid="{00000000-0005-0000-0000-0000FC930000}"/>
    <cellStyle name="Wrap 3 3 2 8" xfId="34752" xr:uid="{00000000-0005-0000-0000-0000FD930000}"/>
    <cellStyle name="Wrap 3 3 2 8 2" xfId="34753" xr:uid="{00000000-0005-0000-0000-0000FE930000}"/>
    <cellStyle name="Wrap 3 3 2 9" xfId="34754" xr:uid="{00000000-0005-0000-0000-0000FF930000}"/>
    <cellStyle name="Wrap 3 3 2 9 2" xfId="34755" xr:uid="{00000000-0005-0000-0000-000000940000}"/>
    <cellStyle name="Wrap 3 3 3" xfId="34756" xr:uid="{00000000-0005-0000-0000-000001940000}"/>
    <cellStyle name="Wrap 3 3 3 10" xfId="34757" xr:uid="{00000000-0005-0000-0000-000002940000}"/>
    <cellStyle name="Wrap 3 3 3 2" xfId="34758" xr:uid="{00000000-0005-0000-0000-000003940000}"/>
    <cellStyle name="Wrap 3 3 3 2 2" xfId="34759" xr:uid="{00000000-0005-0000-0000-000004940000}"/>
    <cellStyle name="Wrap 3 3 3 3" xfId="34760" xr:uid="{00000000-0005-0000-0000-000005940000}"/>
    <cellStyle name="Wrap 3 3 3 3 2" xfId="34761" xr:uid="{00000000-0005-0000-0000-000006940000}"/>
    <cellStyle name="Wrap 3 3 3 4" xfId="34762" xr:uid="{00000000-0005-0000-0000-000007940000}"/>
    <cellStyle name="Wrap 3 3 3 4 2" xfId="34763" xr:uid="{00000000-0005-0000-0000-000008940000}"/>
    <cellStyle name="Wrap 3 3 3 5" xfId="34764" xr:uid="{00000000-0005-0000-0000-000009940000}"/>
    <cellStyle name="Wrap 3 3 3 5 2" xfId="34765" xr:uid="{00000000-0005-0000-0000-00000A940000}"/>
    <cellStyle name="Wrap 3 3 3 6" xfId="34766" xr:uid="{00000000-0005-0000-0000-00000B940000}"/>
    <cellStyle name="Wrap 3 3 3 6 2" xfId="34767" xr:uid="{00000000-0005-0000-0000-00000C940000}"/>
    <cellStyle name="Wrap 3 3 3 7" xfId="34768" xr:uid="{00000000-0005-0000-0000-00000D940000}"/>
    <cellStyle name="Wrap 3 3 3 7 2" xfId="34769" xr:uid="{00000000-0005-0000-0000-00000E940000}"/>
    <cellStyle name="Wrap 3 3 3 8" xfId="34770" xr:uid="{00000000-0005-0000-0000-00000F940000}"/>
    <cellStyle name="Wrap 3 3 3 8 2" xfId="34771" xr:uid="{00000000-0005-0000-0000-000010940000}"/>
    <cellStyle name="Wrap 3 3 3 9" xfId="34772" xr:uid="{00000000-0005-0000-0000-000011940000}"/>
    <cellStyle name="Wrap 3 3 3 9 2" xfId="34773" xr:uid="{00000000-0005-0000-0000-000012940000}"/>
    <cellStyle name="Wrap 3 3 4" xfId="34774" xr:uid="{00000000-0005-0000-0000-000013940000}"/>
    <cellStyle name="Wrap 3 3 4 10" xfId="34775" xr:uid="{00000000-0005-0000-0000-000014940000}"/>
    <cellStyle name="Wrap 3 3 4 2" xfId="34776" xr:uid="{00000000-0005-0000-0000-000015940000}"/>
    <cellStyle name="Wrap 3 3 4 2 2" xfId="34777" xr:uid="{00000000-0005-0000-0000-000016940000}"/>
    <cellStyle name="Wrap 3 3 4 3" xfId="34778" xr:uid="{00000000-0005-0000-0000-000017940000}"/>
    <cellStyle name="Wrap 3 3 4 3 2" xfId="34779" xr:uid="{00000000-0005-0000-0000-000018940000}"/>
    <cellStyle name="Wrap 3 3 4 4" xfId="34780" xr:uid="{00000000-0005-0000-0000-000019940000}"/>
    <cellStyle name="Wrap 3 3 4 4 2" xfId="34781" xr:uid="{00000000-0005-0000-0000-00001A940000}"/>
    <cellStyle name="Wrap 3 3 4 5" xfId="34782" xr:uid="{00000000-0005-0000-0000-00001B940000}"/>
    <cellStyle name="Wrap 3 3 4 5 2" xfId="34783" xr:uid="{00000000-0005-0000-0000-00001C940000}"/>
    <cellStyle name="Wrap 3 3 4 6" xfId="34784" xr:uid="{00000000-0005-0000-0000-00001D940000}"/>
    <cellStyle name="Wrap 3 3 4 6 2" xfId="34785" xr:uid="{00000000-0005-0000-0000-00001E940000}"/>
    <cellStyle name="Wrap 3 3 4 7" xfId="34786" xr:uid="{00000000-0005-0000-0000-00001F940000}"/>
    <cellStyle name="Wrap 3 3 4 7 2" xfId="34787" xr:uid="{00000000-0005-0000-0000-000020940000}"/>
    <cellStyle name="Wrap 3 3 4 8" xfId="34788" xr:uid="{00000000-0005-0000-0000-000021940000}"/>
    <cellStyle name="Wrap 3 3 4 8 2" xfId="34789" xr:uid="{00000000-0005-0000-0000-000022940000}"/>
    <cellStyle name="Wrap 3 3 4 9" xfId="34790" xr:uid="{00000000-0005-0000-0000-000023940000}"/>
    <cellStyle name="Wrap 3 3 4 9 2" xfId="34791" xr:uid="{00000000-0005-0000-0000-000024940000}"/>
    <cellStyle name="Wrap 3 3 5" xfId="34792" xr:uid="{00000000-0005-0000-0000-000025940000}"/>
    <cellStyle name="Wrap 3 3 5 10" xfId="34793" xr:uid="{00000000-0005-0000-0000-000026940000}"/>
    <cellStyle name="Wrap 3 3 5 2" xfId="34794" xr:uid="{00000000-0005-0000-0000-000027940000}"/>
    <cellStyle name="Wrap 3 3 5 2 2" xfId="34795" xr:uid="{00000000-0005-0000-0000-000028940000}"/>
    <cellStyle name="Wrap 3 3 5 3" xfId="34796" xr:uid="{00000000-0005-0000-0000-000029940000}"/>
    <cellStyle name="Wrap 3 3 5 3 2" xfId="34797" xr:uid="{00000000-0005-0000-0000-00002A940000}"/>
    <cellStyle name="Wrap 3 3 5 4" xfId="34798" xr:uid="{00000000-0005-0000-0000-00002B940000}"/>
    <cellStyle name="Wrap 3 3 5 4 2" xfId="34799" xr:uid="{00000000-0005-0000-0000-00002C940000}"/>
    <cellStyle name="Wrap 3 3 5 5" xfId="34800" xr:uid="{00000000-0005-0000-0000-00002D940000}"/>
    <cellStyle name="Wrap 3 3 5 5 2" xfId="34801" xr:uid="{00000000-0005-0000-0000-00002E940000}"/>
    <cellStyle name="Wrap 3 3 5 6" xfId="34802" xr:uid="{00000000-0005-0000-0000-00002F940000}"/>
    <cellStyle name="Wrap 3 3 5 6 2" xfId="34803" xr:uid="{00000000-0005-0000-0000-000030940000}"/>
    <cellStyle name="Wrap 3 3 5 7" xfId="34804" xr:uid="{00000000-0005-0000-0000-000031940000}"/>
    <cellStyle name="Wrap 3 3 5 7 2" xfId="34805" xr:uid="{00000000-0005-0000-0000-000032940000}"/>
    <cellStyle name="Wrap 3 3 5 8" xfId="34806" xr:uid="{00000000-0005-0000-0000-000033940000}"/>
    <cellStyle name="Wrap 3 3 5 8 2" xfId="34807" xr:uid="{00000000-0005-0000-0000-000034940000}"/>
    <cellStyle name="Wrap 3 3 5 9" xfId="34808" xr:uid="{00000000-0005-0000-0000-000035940000}"/>
    <cellStyle name="Wrap 3 3 5 9 2" xfId="34809" xr:uid="{00000000-0005-0000-0000-000036940000}"/>
    <cellStyle name="Wrap 3 3 6" xfId="34810" xr:uid="{00000000-0005-0000-0000-000037940000}"/>
    <cellStyle name="Wrap 3 3 6 10" xfId="34811" xr:uid="{00000000-0005-0000-0000-000038940000}"/>
    <cellStyle name="Wrap 3 3 6 2" xfId="34812" xr:uid="{00000000-0005-0000-0000-000039940000}"/>
    <cellStyle name="Wrap 3 3 6 2 2" xfId="34813" xr:uid="{00000000-0005-0000-0000-00003A940000}"/>
    <cellStyle name="Wrap 3 3 6 3" xfId="34814" xr:uid="{00000000-0005-0000-0000-00003B940000}"/>
    <cellStyle name="Wrap 3 3 6 3 2" xfId="34815" xr:uid="{00000000-0005-0000-0000-00003C940000}"/>
    <cellStyle name="Wrap 3 3 6 4" xfId="34816" xr:uid="{00000000-0005-0000-0000-00003D940000}"/>
    <cellStyle name="Wrap 3 3 6 4 2" xfId="34817" xr:uid="{00000000-0005-0000-0000-00003E940000}"/>
    <cellStyle name="Wrap 3 3 6 5" xfId="34818" xr:uid="{00000000-0005-0000-0000-00003F940000}"/>
    <cellStyle name="Wrap 3 3 6 5 2" xfId="34819" xr:uid="{00000000-0005-0000-0000-000040940000}"/>
    <cellStyle name="Wrap 3 3 6 6" xfId="34820" xr:uid="{00000000-0005-0000-0000-000041940000}"/>
    <cellStyle name="Wrap 3 3 6 6 2" xfId="34821" xr:uid="{00000000-0005-0000-0000-000042940000}"/>
    <cellStyle name="Wrap 3 3 6 7" xfId="34822" xr:uid="{00000000-0005-0000-0000-000043940000}"/>
    <cellStyle name="Wrap 3 3 6 7 2" xfId="34823" xr:uid="{00000000-0005-0000-0000-000044940000}"/>
    <cellStyle name="Wrap 3 3 6 8" xfId="34824" xr:uid="{00000000-0005-0000-0000-000045940000}"/>
    <cellStyle name="Wrap 3 3 6 8 2" xfId="34825" xr:uid="{00000000-0005-0000-0000-000046940000}"/>
    <cellStyle name="Wrap 3 3 6 9" xfId="34826" xr:uid="{00000000-0005-0000-0000-000047940000}"/>
    <cellStyle name="Wrap 3 3 6 9 2" xfId="34827" xr:uid="{00000000-0005-0000-0000-000048940000}"/>
    <cellStyle name="Wrap 3 3 7" xfId="34828" xr:uid="{00000000-0005-0000-0000-000049940000}"/>
    <cellStyle name="Wrap 3 3 7 10" xfId="34829" xr:uid="{00000000-0005-0000-0000-00004A940000}"/>
    <cellStyle name="Wrap 3 3 7 2" xfId="34830" xr:uid="{00000000-0005-0000-0000-00004B940000}"/>
    <cellStyle name="Wrap 3 3 7 2 2" xfId="34831" xr:uid="{00000000-0005-0000-0000-00004C940000}"/>
    <cellStyle name="Wrap 3 3 7 3" xfId="34832" xr:uid="{00000000-0005-0000-0000-00004D940000}"/>
    <cellStyle name="Wrap 3 3 7 3 2" xfId="34833" xr:uid="{00000000-0005-0000-0000-00004E940000}"/>
    <cellStyle name="Wrap 3 3 7 4" xfId="34834" xr:uid="{00000000-0005-0000-0000-00004F940000}"/>
    <cellStyle name="Wrap 3 3 7 4 2" xfId="34835" xr:uid="{00000000-0005-0000-0000-000050940000}"/>
    <cellStyle name="Wrap 3 3 7 5" xfId="34836" xr:uid="{00000000-0005-0000-0000-000051940000}"/>
    <cellStyle name="Wrap 3 3 7 5 2" xfId="34837" xr:uid="{00000000-0005-0000-0000-000052940000}"/>
    <cellStyle name="Wrap 3 3 7 6" xfId="34838" xr:uid="{00000000-0005-0000-0000-000053940000}"/>
    <cellStyle name="Wrap 3 3 7 6 2" xfId="34839" xr:uid="{00000000-0005-0000-0000-000054940000}"/>
    <cellStyle name="Wrap 3 3 7 7" xfId="34840" xr:uid="{00000000-0005-0000-0000-000055940000}"/>
    <cellStyle name="Wrap 3 3 7 7 2" xfId="34841" xr:uid="{00000000-0005-0000-0000-000056940000}"/>
    <cellStyle name="Wrap 3 3 7 8" xfId="34842" xr:uid="{00000000-0005-0000-0000-000057940000}"/>
    <cellStyle name="Wrap 3 3 7 8 2" xfId="34843" xr:uid="{00000000-0005-0000-0000-000058940000}"/>
    <cellStyle name="Wrap 3 3 7 9" xfId="34844" xr:uid="{00000000-0005-0000-0000-000059940000}"/>
    <cellStyle name="Wrap 3 3 7 9 2" xfId="34845" xr:uid="{00000000-0005-0000-0000-00005A940000}"/>
    <cellStyle name="Wrap 3 3 8" xfId="34846" xr:uid="{00000000-0005-0000-0000-00005B940000}"/>
    <cellStyle name="Wrap 3 3 8 10" xfId="34847" xr:uid="{00000000-0005-0000-0000-00005C940000}"/>
    <cellStyle name="Wrap 3 3 8 2" xfId="34848" xr:uid="{00000000-0005-0000-0000-00005D940000}"/>
    <cellStyle name="Wrap 3 3 8 2 2" xfId="34849" xr:uid="{00000000-0005-0000-0000-00005E940000}"/>
    <cellStyle name="Wrap 3 3 8 3" xfId="34850" xr:uid="{00000000-0005-0000-0000-00005F940000}"/>
    <cellStyle name="Wrap 3 3 8 3 2" xfId="34851" xr:uid="{00000000-0005-0000-0000-000060940000}"/>
    <cellStyle name="Wrap 3 3 8 4" xfId="34852" xr:uid="{00000000-0005-0000-0000-000061940000}"/>
    <cellStyle name="Wrap 3 3 8 4 2" xfId="34853" xr:uid="{00000000-0005-0000-0000-000062940000}"/>
    <cellStyle name="Wrap 3 3 8 5" xfId="34854" xr:uid="{00000000-0005-0000-0000-000063940000}"/>
    <cellStyle name="Wrap 3 3 8 5 2" xfId="34855" xr:uid="{00000000-0005-0000-0000-000064940000}"/>
    <cellStyle name="Wrap 3 3 8 6" xfId="34856" xr:uid="{00000000-0005-0000-0000-000065940000}"/>
    <cellStyle name="Wrap 3 3 8 6 2" xfId="34857" xr:uid="{00000000-0005-0000-0000-000066940000}"/>
    <cellStyle name="Wrap 3 3 8 7" xfId="34858" xr:uid="{00000000-0005-0000-0000-000067940000}"/>
    <cellStyle name="Wrap 3 3 8 7 2" xfId="34859" xr:uid="{00000000-0005-0000-0000-000068940000}"/>
    <cellStyle name="Wrap 3 3 8 8" xfId="34860" xr:uid="{00000000-0005-0000-0000-000069940000}"/>
    <cellStyle name="Wrap 3 3 8 8 2" xfId="34861" xr:uid="{00000000-0005-0000-0000-00006A940000}"/>
    <cellStyle name="Wrap 3 3 8 9" xfId="34862" xr:uid="{00000000-0005-0000-0000-00006B940000}"/>
    <cellStyle name="Wrap 3 3 8 9 2" xfId="34863" xr:uid="{00000000-0005-0000-0000-00006C940000}"/>
    <cellStyle name="Wrap 3 3 9" xfId="34864" xr:uid="{00000000-0005-0000-0000-00006D940000}"/>
    <cellStyle name="Wrap 3 3 9 10" xfId="34865" xr:uid="{00000000-0005-0000-0000-00006E940000}"/>
    <cellStyle name="Wrap 3 3 9 2" xfId="34866" xr:uid="{00000000-0005-0000-0000-00006F940000}"/>
    <cellStyle name="Wrap 3 3 9 2 2" xfId="34867" xr:uid="{00000000-0005-0000-0000-000070940000}"/>
    <cellStyle name="Wrap 3 3 9 3" xfId="34868" xr:uid="{00000000-0005-0000-0000-000071940000}"/>
    <cellStyle name="Wrap 3 3 9 3 2" xfId="34869" xr:uid="{00000000-0005-0000-0000-000072940000}"/>
    <cellStyle name="Wrap 3 3 9 4" xfId="34870" xr:uid="{00000000-0005-0000-0000-000073940000}"/>
    <cellStyle name="Wrap 3 3 9 4 2" xfId="34871" xr:uid="{00000000-0005-0000-0000-000074940000}"/>
    <cellStyle name="Wrap 3 3 9 5" xfId="34872" xr:uid="{00000000-0005-0000-0000-000075940000}"/>
    <cellStyle name="Wrap 3 3 9 5 2" xfId="34873" xr:uid="{00000000-0005-0000-0000-000076940000}"/>
    <cellStyle name="Wrap 3 3 9 6" xfId="34874" xr:uid="{00000000-0005-0000-0000-000077940000}"/>
    <cellStyle name="Wrap 3 3 9 6 2" xfId="34875" xr:uid="{00000000-0005-0000-0000-000078940000}"/>
    <cellStyle name="Wrap 3 3 9 7" xfId="34876" xr:uid="{00000000-0005-0000-0000-000079940000}"/>
    <cellStyle name="Wrap 3 3 9 7 2" xfId="34877" xr:uid="{00000000-0005-0000-0000-00007A940000}"/>
    <cellStyle name="Wrap 3 3 9 8" xfId="34878" xr:uid="{00000000-0005-0000-0000-00007B940000}"/>
    <cellStyle name="Wrap 3 3 9 8 2" xfId="34879" xr:uid="{00000000-0005-0000-0000-00007C940000}"/>
    <cellStyle name="Wrap 3 3 9 9" xfId="34880" xr:uid="{00000000-0005-0000-0000-00007D940000}"/>
    <cellStyle name="Wrap 3 3 9 9 2" xfId="34881" xr:uid="{00000000-0005-0000-0000-00007E940000}"/>
    <cellStyle name="Wrap 3 4" xfId="34882" xr:uid="{00000000-0005-0000-0000-00007F940000}"/>
    <cellStyle name="Wrap 3 4 10" xfId="34883" xr:uid="{00000000-0005-0000-0000-000080940000}"/>
    <cellStyle name="Wrap 3 4 10 2" xfId="34884" xr:uid="{00000000-0005-0000-0000-000081940000}"/>
    <cellStyle name="Wrap 3 4 10 2 2" xfId="34885" xr:uid="{00000000-0005-0000-0000-000082940000}"/>
    <cellStyle name="Wrap 3 4 10 3" xfId="34886" xr:uid="{00000000-0005-0000-0000-000083940000}"/>
    <cellStyle name="Wrap 3 4 10 3 2" xfId="34887" xr:uid="{00000000-0005-0000-0000-000084940000}"/>
    <cellStyle name="Wrap 3 4 10 4" xfId="34888" xr:uid="{00000000-0005-0000-0000-000085940000}"/>
    <cellStyle name="Wrap 3 4 10 4 2" xfId="34889" xr:uid="{00000000-0005-0000-0000-000086940000}"/>
    <cellStyle name="Wrap 3 4 10 5" xfId="34890" xr:uid="{00000000-0005-0000-0000-000087940000}"/>
    <cellStyle name="Wrap 3 4 10 5 2" xfId="34891" xr:uid="{00000000-0005-0000-0000-000088940000}"/>
    <cellStyle name="Wrap 3 4 10 6" xfId="34892" xr:uid="{00000000-0005-0000-0000-000089940000}"/>
    <cellStyle name="Wrap 3 4 10 6 2" xfId="34893" xr:uid="{00000000-0005-0000-0000-00008A940000}"/>
    <cellStyle name="Wrap 3 4 10 7" xfId="34894" xr:uid="{00000000-0005-0000-0000-00008B940000}"/>
    <cellStyle name="Wrap 3 4 10 7 2" xfId="34895" xr:uid="{00000000-0005-0000-0000-00008C940000}"/>
    <cellStyle name="Wrap 3 4 10 8" xfId="34896" xr:uid="{00000000-0005-0000-0000-00008D940000}"/>
    <cellStyle name="Wrap 3 4 10 8 2" xfId="34897" xr:uid="{00000000-0005-0000-0000-00008E940000}"/>
    <cellStyle name="Wrap 3 4 10 9" xfId="34898" xr:uid="{00000000-0005-0000-0000-00008F940000}"/>
    <cellStyle name="Wrap 3 4 11" xfId="34899" xr:uid="{00000000-0005-0000-0000-000090940000}"/>
    <cellStyle name="Wrap 3 4 11 2" xfId="34900" xr:uid="{00000000-0005-0000-0000-000091940000}"/>
    <cellStyle name="Wrap 3 4 12" xfId="34901" xr:uid="{00000000-0005-0000-0000-000092940000}"/>
    <cellStyle name="Wrap 3 4 12 2" xfId="34902" xr:uid="{00000000-0005-0000-0000-000093940000}"/>
    <cellStyle name="Wrap 3 4 13" xfId="34903" xr:uid="{00000000-0005-0000-0000-000094940000}"/>
    <cellStyle name="Wrap 3 4 13 2" xfId="34904" xr:uid="{00000000-0005-0000-0000-000095940000}"/>
    <cellStyle name="Wrap 3 4 14" xfId="34905" xr:uid="{00000000-0005-0000-0000-000096940000}"/>
    <cellStyle name="Wrap 3 4 14 2" xfId="34906" xr:uid="{00000000-0005-0000-0000-000097940000}"/>
    <cellStyle name="Wrap 3 4 15" xfId="34907" xr:uid="{00000000-0005-0000-0000-000098940000}"/>
    <cellStyle name="Wrap 3 4 15 2" xfId="34908" xr:uid="{00000000-0005-0000-0000-000099940000}"/>
    <cellStyle name="Wrap 3 4 16" xfId="34909" xr:uid="{00000000-0005-0000-0000-00009A940000}"/>
    <cellStyle name="Wrap 3 4 16 2" xfId="34910" xr:uid="{00000000-0005-0000-0000-00009B940000}"/>
    <cellStyle name="Wrap 3 4 17" xfId="34911" xr:uid="{00000000-0005-0000-0000-00009C940000}"/>
    <cellStyle name="Wrap 3 4 17 2" xfId="34912" xr:uid="{00000000-0005-0000-0000-00009D940000}"/>
    <cellStyle name="Wrap 3 4 18" xfId="34913" xr:uid="{00000000-0005-0000-0000-00009E940000}"/>
    <cellStyle name="Wrap 3 4 2" xfId="34914" xr:uid="{00000000-0005-0000-0000-00009F940000}"/>
    <cellStyle name="Wrap 3 4 2 10" xfId="34915" xr:uid="{00000000-0005-0000-0000-0000A0940000}"/>
    <cellStyle name="Wrap 3 4 2 2" xfId="34916" xr:uid="{00000000-0005-0000-0000-0000A1940000}"/>
    <cellStyle name="Wrap 3 4 2 2 2" xfId="34917" xr:uid="{00000000-0005-0000-0000-0000A2940000}"/>
    <cellStyle name="Wrap 3 4 2 3" xfId="34918" xr:uid="{00000000-0005-0000-0000-0000A3940000}"/>
    <cellStyle name="Wrap 3 4 2 3 2" xfId="34919" xr:uid="{00000000-0005-0000-0000-0000A4940000}"/>
    <cellStyle name="Wrap 3 4 2 4" xfId="34920" xr:uid="{00000000-0005-0000-0000-0000A5940000}"/>
    <cellStyle name="Wrap 3 4 2 4 2" xfId="34921" xr:uid="{00000000-0005-0000-0000-0000A6940000}"/>
    <cellStyle name="Wrap 3 4 2 5" xfId="34922" xr:uid="{00000000-0005-0000-0000-0000A7940000}"/>
    <cellStyle name="Wrap 3 4 2 5 2" xfId="34923" xr:uid="{00000000-0005-0000-0000-0000A8940000}"/>
    <cellStyle name="Wrap 3 4 2 6" xfId="34924" xr:uid="{00000000-0005-0000-0000-0000A9940000}"/>
    <cellStyle name="Wrap 3 4 2 6 2" xfId="34925" xr:uid="{00000000-0005-0000-0000-0000AA940000}"/>
    <cellStyle name="Wrap 3 4 2 7" xfId="34926" xr:uid="{00000000-0005-0000-0000-0000AB940000}"/>
    <cellStyle name="Wrap 3 4 2 7 2" xfId="34927" xr:uid="{00000000-0005-0000-0000-0000AC940000}"/>
    <cellStyle name="Wrap 3 4 2 8" xfId="34928" xr:uid="{00000000-0005-0000-0000-0000AD940000}"/>
    <cellStyle name="Wrap 3 4 2 8 2" xfId="34929" xr:uid="{00000000-0005-0000-0000-0000AE940000}"/>
    <cellStyle name="Wrap 3 4 2 9" xfId="34930" xr:uid="{00000000-0005-0000-0000-0000AF940000}"/>
    <cellStyle name="Wrap 3 4 2 9 2" xfId="34931" xr:uid="{00000000-0005-0000-0000-0000B0940000}"/>
    <cellStyle name="Wrap 3 4 3" xfId="34932" xr:uid="{00000000-0005-0000-0000-0000B1940000}"/>
    <cellStyle name="Wrap 3 4 3 10" xfId="34933" xr:uid="{00000000-0005-0000-0000-0000B2940000}"/>
    <cellStyle name="Wrap 3 4 3 2" xfId="34934" xr:uid="{00000000-0005-0000-0000-0000B3940000}"/>
    <cellStyle name="Wrap 3 4 3 2 2" xfId="34935" xr:uid="{00000000-0005-0000-0000-0000B4940000}"/>
    <cellStyle name="Wrap 3 4 3 3" xfId="34936" xr:uid="{00000000-0005-0000-0000-0000B5940000}"/>
    <cellStyle name="Wrap 3 4 3 3 2" xfId="34937" xr:uid="{00000000-0005-0000-0000-0000B6940000}"/>
    <cellStyle name="Wrap 3 4 3 4" xfId="34938" xr:uid="{00000000-0005-0000-0000-0000B7940000}"/>
    <cellStyle name="Wrap 3 4 3 4 2" xfId="34939" xr:uid="{00000000-0005-0000-0000-0000B8940000}"/>
    <cellStyle name="Wrap 3 4 3 5" xfId="34940" xr:uid="{00000000-0005-0000-0000-0000B9940000}"/>
    <cellStyle name="Wrap 3 4 3 5 2" xfId="34941" xr:uid="{00000000-0005-0000-0000-0000BA940000}"/>
    <cellStyle name="Wrap 3 4 3 6" xfId="34942" xr:uid="{00000000-0005-0000-0000-0000BB940000}"/>
    <cellStyle name="Wrap 3 4 3 6 2" xfId="34943" xr:uid="{00000000-0005-0000-0000-0000BC940000}"/>
    <cellStyle name="Wrap 3 4 3 7" xfId="34944" xr:uid="{00000000-0005-0000-0000-0000BD940000}"/>
    <cellStyle name="Wrap 3 4 3 7 2" xfId="34945" xr:uid="{00000000-0005-0000-0000-0000BE940000}"/>
    <cellStyle name="Wrap 3 4 3 8" xfId="34946" xr:uid="{00000000-0005-0000-0000-0000BF940000}"/>
    <cellStyle name="Wrap 3 4 3 8 2" xfId="34947" xr:uid="{00000000-0005-0000-0000-0000C0940000}"/>
    <cellStyle name="Wrap 3 4 3 9" xfId="34948" xr:uid="{00000000-0005-0000-0000-0000C1940000}"/>
    <cellStyle name="Wrap 3 4 3 9 2" xfId="34949" xr:uid="{00000000-0005-0000-0000-0000C2940000}"/>
    <cellStyle name="Wrap 3 4 4" xfId="34950" xr:uid="{00000000-0005-0000-0000-0000C3940000}"/>
    <cellStyle name="Wrap 3 4 4 10" xfId="34951" xr:uid="{00000000-0005-0000-0000-0000C4940000}"/>
    <cellStyle name="Wrap 3 4 4 2" xfId="34952" xr:uid="{00000000-0005-0000-0000-0000C5940000}"/>
    <cellStyle name="Wrap 3 4 4 2 2" xfId="34953" xr:uid="{00000000-0005-0000-0000-0000C6940000}"/>
    <cellStyle name="Wrap 3 4 4 3" xfId="34954" xr:uid="{00000000-0005-0000-0000-0000C7940000}"/>
    <cellStyle name="Wrap 3 4 4 3 2" xfId="34955" xr:uid="{00000000-0005-0000-0000-0000C8940000}"/>
    <cellStyle name="Wrap 3 4 4 4" xfId="34956" xr:uid="{00000000-0005-0000-0000-0000C9940000}"/>
    <cellStyle name="Wrap 3 4 4 4 2" xfId="34957" xr:uid="{00000000-0005-0000-0000-0000CA940000}"/>
    <cellStyle name="Wrap 3 4 4 5" xfId="34958" xr:uid="{00000000-0005-0000-0000-0000CB940000}"/>
    <cellStyle name="Wrap 3 4 4 5 2" xfId="34959" xr:uid="{00000000-0005-0000-0000-0000CC940000}"/>
    <cellStyle name="Wrap 3 4 4 6" xfId="34960" xr:uid="{00000000-0005-0000-0000-0000CD940000}"/>
    <cellStyle name="Wrap 3 4 4 6 2" xfId="34961" xr:uid="{00000000-0005-0000-0000-0000CE940000}"/>
    <cellStyle name="Wrap 3 4 4 7" xfId="34962" xr:uid="{00000000-0005-0000-0000-0000CF940000}"/>
    <cellStyle name="Wrap 3 4 4 7 2" xfId="34963" xr:uid="{00000000-0005-0000-0000-0000D0940000}"/>
    <cellStyle name="Wrap 3 4 4 8" xfId="34964" xr:uid="{00000000-0005-0000-0000-0000D1940000}"/>
    <cellStyle name="Wrap 3 4 4 8 2" xfId="34965" xr:uid="{00000000-0005-0000-0000-0000D2940000}"/>
    <cellStyle name="Wrap 3 4 4 9" xfId="34966" xr:uid="{00000000-0005-0000-0000-0000D3940000}"/>
    <cellStyle name="Wrap 3 4 4 9 2" xfId="34967" xr:uid="{00000000-0005-0000-0000-0000D4940000}"/>
    <cellStyle name="Wrap 3 4 5" xfId="34968" xr:uid="{00000000-0005-0000-0000-0000D5940000}"/>
    <cellStyle name="Wrap 3 4 5 10" xfId="34969" xr:uid="{00000000-0005-0000-0000-0000D6940000}"/>
    <cellStyle name="Wrap 3 4 5 2" xfId="34970" xr:uid="{00000000-0005-0000-0000-0000D7940000}"/>
    <cellStyle name="Wrap 3 4 5 2 2" xfId="34971" xr:uid="{00000000-0005-0000-0000-0000D8940000}"/>
    <cellStyle name="Wrap 3 4 5 3" xfId="34972" xr:uid="{00000000-0005-0000-0000-0000D9940000}"/>
    <cellStyle name="Wrap 3 4 5 3 2" xfId="34973" xr:uid="{00000000-0005-0000-0000-0000DA940000}"/>
    <cellStyle name="Wrap 3 4 5 4" xfId="34974" xr:uid="{00000000-0005-0000-0000-0000DB940000}"/>
    <cellStyle name="Wrap 3 4 5 4 2" xfId="34975" xr:uid="{00000000-0005-0000-0000-0000DC940000}"/>
    <cellStyle name="Wrap 3 4 5 5" xfId="34976" xr:uid="{00000000-0005-0000-0000-0000DD940000}"/>
    <cellStyle name="Wrap 3 4 5 5 2" xfId="34977" xr:uid="{00000000-0005-0000-0000-0000DE940000}"/>
    <cellStyle name="Wrap 3 4 5 6" xfId="34978" xr:uid="{00000000-0005-0000-0000-0000DF940000}"/>
    <cellStyle name="Wrap 3 4 5 6 2" xfId="34979" xr:uid="{00000000-0005-0000-0000-0000E0940000}"/>
    <cellStyle name="Wrap 3 4 5 7" xfId="34980" xr:uid="{00000000-0005-0000-0000-0000E1940000}"/>
    <cellStyle name="Wrap 3 4 5 7 2" xfId="34981" xr:uid="{00000000-0005-0000-0000-0000E2940000}"/>
    <cellStyle name="Wrap 3 4 5 8" xfId="34982" xr:uid="{00000000-0005-0000-0000-0000E3940000}"/>
    <cellStyle name="Wrap 3 4 5 8 2" xfId="34983" xr:uid="{00000000-0005-0000-0000-0000E4940000}"/>
    <cellStyle name="Wrap 3 4 5 9" xfId="34984" xr:uid="{00000000-0005-0000-0000-0000E5940000}"/>
    <cellStyle name="Wrap 3 4 5 9 2" xfId="34985" xr:uid="{00000000-0005-0000-0000-0000E6940000}"/>
    <cellStyle name="Wrap 3 4 6" xfId="34986" xr:uid="{00000000-0005-0000-0000-0000E7940000}"/>
    <cellStyle name="Wrap 3 4 6 10" xfId="34987" xr:uid="{00000000-0005-0000-0000-0000E8940000}"/>
    <cellStyle name="Wrap 3 4 6 2" xfId="34988" xr:uid="{00000000-0005-0000-0000-0000E9940000}"/>
    <cellStyle name="Wrap 3 4 6 2 2" xfId="34989" xr:uid="{00000000-0005-0000-0000-0000EA940000}"/>
    <cellStyle name="Wrap 3 4 6 3" xfId="34990" xr:uid="{00000000-0005-0000-0000-0000EB940000}"/>
    <cellStyle name="Wrap 3 4 6 3 2" xfId="34991" xr:uid="{00000000-0005-0000-0000-0000EC940000}"/>
    <cellStyle name="Wrap 3 4 6 4" xfId="34992" xr:uid="{00000000-0005-0000-0000-0000ED940000}"/>
    <cellStyle name="Wrap 3 4 6 4 2" xfId="34993" xr:uid="{00000000-0005-0000-0000-0000EE940000}"/>
    <cellStyle name="Wrap 3 4 6 5" xfId="34994" xr:uid="{00000000-0005-0000-0000-0000EF940000}"/>
    <cellStyle name="Wrap 3 4 6 5 2" xfId="34995" xr:uid="{00000000-0005-0000-0000-0000F0940000}"/>
    <cellStyle name="Wrap 3 4 6 6" xfId="34996" xr:uid="{00000000-0005-0000-0000-0000F1940000}"/>
    <cellStyle name="Wrap 3 4 6 6 2" xfId="34997" xr:uid="{00000000-0005-0000-0000-0000F2940000}"/>
    <cellStyle name="Wrap 3 4 6 7" xfId="34998" xr:uid="{00000000-0005-0000-0000-0000F3940000}"/>
    <cellStyle name="Wrap 3 4 6 7 2" xfId="34999" xr:uid="{00000000-0005-0000-0000-0000F4940000}"/>
    <cellStyle name="Wrap 3 4 6 8" xfId="35000" xr:uid="{00000000-0005-0000-0000-0000F5940000}"/>
    <cellStyle name="Wrap 3 4 6 8 2" xfId="35001" xr:uid="{00000000-0005-0000-0000-0000F6940000}"/>
    <cellStyle name="Wrap 3 4 6 9" xfId="35002" xr:uid="{00000000-0005-0000-0000-0000F7940000}"/>
    <cellStyle name="Wrap 3 4 6 9 2" xfId="35003" xr:uid="{00000000-0005-0000-0000-0000F8940000}"/>
    <cellStyle name="Wrap 3 4 7" xfId="35004" xr:uid="{00000000-0005-0000-0000-0000F9940000}"/>
    <cellStyle name="Wrap 3 4 7 10" xfId="35005" xr:uid="{00000000-0005-0000-0000-0000FA940000}"/>
    <cellStyle name="Wrap 3 4 7 2" xfId="35006" xr:uid="{00000000-0005-0000-0000-0000FB940000}"/>
    <cellStyle name="Wrap 3 4 7 2 2" xfId="35007" xr:uid="{00000000-0005-0000-0000-0000FC940000}"/>
    <cellStyle name="Wrap 3 4 7 3" xfId="35008" xr:uid="{00000000-0005-0000-0000-0000FD940000}"/>
    <cellStyle name="Wrap 3 4 7 3 2" xfId="35009" xr:uid="{00000000-0005-0000-0000-0000FE940000}"/>
    <cellStyle name="Wrap 3 4 7 4" xfId="35010" xr:uid="{00000000-0005-0000-0000-0000FF940000}"/>
    <cellStyle name="Wrap 3 4 7 4 2" xfId="35011" xr:uid="{00000000-0005-0000-0000-000000950000}"/>
    <cellStyle name="Wrap 3 4 7 5" xfId="35012" xr:uid="{00000000-0005-0000-0000-000001950000}"/>
    <cellStyle name="Wrap 3 4 7 5 2" xfId="35013" xr:uid="{00000000-0005-0000-0000-000002950000}"/>
    <cellStyle name="Wrap 3 4 7 6" xfId="35014" xr:uid="{00000000-0005-0000-0000-000003950000}"/>
    <cellStyle name="Wrap 3 4 7 6 2" xfId="35015" xr:uid="{00000000-0005-0000-0000-000004950000}"/>
    <cellStyle name="Wrap 3 4 7 7" xfId="35016" xr:uid="{00000000-0005-0000-0000-000005950000}"/>
    <cellStyle name="Wrap 3 4 7 7 2" xfId="35017" xr:uid="{00000000-0005-0000-0000-000006950000}"/>
    <cellStyle name="Wrap 3 4 7 8" xfId="35018" xr:uid="{00000000-0005-0000-0000-000007950000}"/>
    <cellStyle name="Wrap 3 4 7 8 2" xfId="35019" xr:uid="{00000000-0005-0000-0000-000008950000}"/>
    <cellStyle name="Wrap 3 4 7 9" xfId="35020" xr:uid="{00000000-0005-0000-0000-000009950000}"/>
    <cellStyle name="Wrap 3 4 7 9 2" xfId="35021" xr:uid="{00000000-0005-0000-0000-00000A950000}"/>
    <cellStyle name="Wrap 3 4 8" xfId="35022" xr:uid="{00000000-0005-0000-0000-00000B950000}"/>
    <cellStyle name="Wrap 3 4 8 10" xfId="35023" xr:uid="{00000000-0005-0000-0000-00000C950000}"/>
    <cellStyle name="Wrap 3 4 8 2" xfId="35024" xr:uid="{00000000-0005-0000-0000-00000D950000}"/>
    <cellStyle name="Wrap 3 4 8 2 2" xfId="35025" xr:uid="{00000000-0005-0000-0000-00000E950000}"/>
    <cellStyle name="Wrap 3 4 8 3" xfId="35026" xr:uid="{00000000-0005-0000-0000-00000F950000}"/>
    <cellStyle name="Wrap 3 4 8 3 2" xfId="35027" xr:uid="{00000000-0005-0000-0000-000010950000}"/>
    <cellStyle name="Wrap 3 4 8 4" xfId="35028" xr:uid="{00000000-0005-0000-0000-000011950000}"/>
    <cellStyle name="Wrap 3 4 8 4 2" xfId="35029" xr:uid="{00000000-0005-0000-0000-000012950000}"/>
    <cellStyle name="Wrap 3 4 8 5" xfId="35030" xr:uid="{00000000-0005-0000-0000-000013950000}"/>
    <cellStyle name="Wrap 3 4 8 5 2" xfId="35031" xr:uid="{00000000-0005-0000-0000-000014950000}"/>
    <cellStyle name="Wrap 3 4 8 6" xfId="35032" xr:uid="{00000000-0005-0000-0000-000015950000}"/>
    <cellStyle name="Wrap 3 4 8 6 2" xfId="35033" xr:uid="{00000000-0005-0000-0000-000016950000}"/>
    <cellStyle name="Wrap 3 4 8 7" xfId="35034" xr:uid="{00000000-0005-0000-0000-000017950000}"/>
    <cellStyle name="Wrap 3 4 8 7 2" xfId="35035" xr:uid="{00000000-0005-0000-0000-000018950000}"/>
    <cellStyle name="Wrap 3 4 8 8" xfId="35036" xr:uid="{00000000-0005-0000-0000-000019950000}"/>
    <cellStyle name="Wrap 3 4 8 8 2" xfId="35037" xr:uid="{00000000-0005-0000-0000-00001A950000}"/>
    <cellStyle name="Wrap 3 4 8 9" xfId="35038" xr:uid="{00000000-0005-0000-0000-00001B950000}"/>
    <cellStyle name="Wrap 3 4 8 9 2" xfId="35039" xr:uid="{00000000-0005-0000-0000-00001C950000}"/>
    <cellStyle name="Wrap 3 4 9" xfId="35040" xr:uid="{00000000-0005-0000-0000-00001D950000}"/>
    <cellStyle name="Wrap 3 4 9 10" xfId="35041" xr:uid="{00000000-0005-0000-0000-00001E950000}"/>
    <cellStyle name="Wrap 3 4 9 2" xfId="35042" xr:uid="{00000000-0005-0000-0000-00001F950000}"/>
    <cellStyle name="Wrap 3 4 9 2 2" xfId="35043" xr:uid="{00000000-0005-0000-0000-000020950000}"/>
    <cellStyle name="Wrap 3 4 9 3" xfId="35044" xr:uid="{00000000-0005-0000-0000-000021950000}"/>
    <cellStyle name="Wrap 3 4 9 3 2" xfId="35045" xr:uid="{00000000-0005-0000-0000-000022950000}"/>
    <cellStyle name="Wrap 3 4 9 4" xfId="35046" xr:uid="{00000000-0005-0000-0000-000023950000}"/>
    <cellStyle name="Wrap 3 4 9 4 2" xfId="35047" xr:uid="{00000000-0005-0000-0000-000024950000}"/>
    <cellStyle name="Wrap 3 4 9 5" xfId="35048" xr:uid="{00000000-0005-0000-0000-000025950000}"/>
    <cellStyle name="Wrap 3 4 9 5 2" xfId="35049" xr:uid="{00000000-0005-0000-0000-000026950000}"/>
    <cellStyle name="Wrap 3 4 9 6" xfId="35050" xr:uid="{00000000-0005-0000-0000-000027950000}"/>
    <cellStyle name="Wrap 3 4 9 6 2" xfId="35051" xr:uid="{00000000-0005-0000-0000-000028950000}"/>
    <cellStyle name="Wrap 3 4 9 7" xfId="35052" xr:uid="{00000000-0005-0000-0000-000029950000}"/>
    <cellStyle name="Wrap 3 4 9 7 2" xfId="35053" xr:uid="{00000000-0005-0000-0000-00002A950000}"/>
    <cellStyle name="Wrap 3 4 9 8" xfId="35054" xr:uid="{00000000-0005-0000-0000-00002B950000}"/>
    <cellStyle name="Wrap 3 4 9 8 2" xfId="35055" xr:uid="{00000000-0005-0000-0000-00002C950000}"/>
    <cellStyle name="Wrap 3 4 9 9" xfId="35056" xr:uid="{00000000-0005-0000-0000-00002D950000}"/>
    <cellStyle name="Wrap 3 4 9 9 2" xfId="35057" xr:uid="{00000000-0005-0000-0000-00002E950000}"/>
    <cellStyle name="Wrap 3 5" xfId="35058" xr:uid="{00000000-0005-0000-0000-00002F950000}"/>
    <cellStyle name="Wrap 3 5 10" xfId="35059" xr:uid="{00000000-0005-0000-0000-000030950000}"/>
    <cellStyle name="Wrap 3 5 10 2" xfId="35060" xr:uid="{00000000-0005-0000-0000-000031950000}"/>
    <cellStyle name="Wrap 3 5 10 2 2" xfId="35061" xr:uid="{00000000-0005-0000-0000-000032950000}"/>
    <cellStyle name="Wrap 3 5 10 3" xfId="35062" xr:uid="{00000000-0005-0000-0000-000033950000}"/>
    <cellStyle name="Wrap 3 5 10 3 2" xfId="35063" xr:uid="{00000000-0005-0000-0000-000034950000}"/>
    <cellStyle name="Wrap 3 5 10 4" xfId="35064" xr:uid="{00000000-0005-0000-0000-000035950000}"/>
    <cellStyle name="Wrap 3 5 10 4 2" xfId="35065" xr:uid="{00000000-0005-0000-0000-000036950000}"/>
    <cellStyle name="Wrap 3 5 10 5" xfId="35066" xr:uid="{00000000-0005-0000-0000-000037950000}"/>
    <cellStyle name="Wrap 3 5 10 5 2" xfId="35067" xr:uid="{00000000-0005-0000-0000-000038950000}"/>
    <cellStyle name="Wrap 3 5 10 6" xfId="35068" xr:uid="{00000000-0005-0000-0000-000039950000}"/>
    <cellStyle name="Wrap 3 5 10 6 2" xfId="35069" xr:uid="{00000000-0005-0000-0000-00003A950000}"/>
    <cellStyle name="Wrap 3 5 10 7" xfId="35070" xr:uid="{00000000-0005-0000-0000-00003B950000}"/>
    <cellStyle name="Wrap 3 5 10 7 2" xfId="35071" xr:uid="{00000000-0005-0000-0000-00003C950000}"/>
    <cellStyle name="Wrap 3 5 10 8" xfId="35072" xr:uid="{00000000-0005-0000-0000-00003D950000}"/>
    <cellStyle name="Wrap 3 5 10 8 2" xfId="35073" xr:uid="{00000000-0005-0000-0000-00003E950000}"/>
    <cellStyle name="Wrap 3 5 10 9" xfId="35074" xr:uid="{00000000-0005-0000-0000-00003F950000}"/>
    <cellStyle name="Wrap 3 5 11" xfId="35075" xr:uid="{00000000-0005-0000-0000-000040950000}"/>
    <cellStyle name="Wrap 3 5 11 2" xfId="35076" xr:uid="{00000000-0005-0000-0000-000041950000}"/>
    <cellStyle name="Wrap 3 5 12" xfId="35077" xr:uid="{00000000-0005-0000-0000-000042950000}"/>
    <cellStyle name="Wrap 3 5 12 2" xfId="35078" xr:uid="{00000000-0005-0000-0000-000043950000}"/>
    <cellStyle name="Wrap 3 5 13" xfId="35079" xr:uid="{00000000-0005-0000-0000-000044950000}"/>
    <cellStyle name="Wrap 3 5 13 2" xfId="35080" xr:uid="{00000000-0005-0000-0000-000045950000}"/>
    <cellStyle name="Wrap 3 5 14" xfId="35081" xr:uid="{00000000-0005-0000-0000-000046950000}"/>
    <cellStyle name="Wrap 3 5 14 2" xfId="35082" xr:uid="{00000000-0005-0000-0000-000047950000}"/>
    <cellStyle name="Wrap 3 5 15" xfId="35083" xr:uid="{00000000-0005-0000-0000-000048950000}"/>
    <cellStyle name="Wrap 3 5 15 2" xfId="35084" xr:uid="{00000000-0005-0000-0000-000049950000}"/>
    <cellStyle name="Wrap 3 5 16" xfId="35085" xr:uid="{00000000-0005-0000-0000-00004A950000}"/>
    <cellStyle name="Wrap 3 5 16 2" xfId="35086" xr:uid="{00000000-0005-0000-0000-00004B950000}"/>
    <cellStyle name="Wrap 3 5 17" xfId="35087" xr:uid="{00000000-0005-0000-0000-00004C950000}"/>
    <cellStyle name="Wrap 3 5 17 2" xfId="35088" xr:uid="{00000000-0005-0000-0000-00004D950000}"/>
    <cellStyle name="Wrap 3 5 18" xfId="35089" xr:uid="{00000000-0005-0000-0000-00004E950000}"/>
    <cellStyle name="Wrap 3 5 2" xfId="35090" xr:uid="{00000000-0005-0000-0000-00004F950000}"/>
    <cellStyle name="Wrap 3 5 2 10" xfId="35091" xr:uid="{00000000-0005-0000-0000-000050950000}"/>
    <cellStyle name="Wrap 3 5 2 2" xfId="35092" xr:uid="{00000000-0005-0000-0000-000051950000}"/>
    <cellStyle name="Wrap 3 5 2 2 2" xfId="35093" xr:uid="{00000000-0005-0000-0000-000052950000}"/>
    <cellStyle name="Wrap 3 5 2 3" xfId="35094" xr:uid="{00000000-0005-0000-0000-000053950000}"/>
    <cellStyle name="Wrap 3 5 2 3 2" xfId="35095" xr:uid="{00000000-0005-0000-0000-000054950000}"/>
    <cellStyle name="Wrap 3 5 2 4" xfId="35096" xr:uid="{00000000-0005-0000-0000-000055950000}"/>
    <cellStyle name="Wrap 3 5 2 4 2" xfId="35097" xr:uid="{00000000-0005-0000-0000-000056950000}"/>
    <cellStyle name="Wrap 3 5 2 5" xfId="35098" xr:uid="{00000000-0005-0000-0000-000057950000}"/>
    <cellStyle name="Wrap 3 5 2 5 2" xfId="35099" xr:uid="{00000000-0005-0000-0000-000058950000}"/>
    <cellStyle name="Wrap 3 5 2 6" xfId="35100" xr:uid="{00000000-0005-0000-0000-000059950000}"/>
    <cellStyle name="Wrap 3 5 2 6 2" xfId="35101" xr:uid="{00000000-0005-0000-0000-00005A950000}"/>
    <cellStyle name="Wrap 3 5 2 7" xfId="35102" xr:uid="{00000000-0005-0000-0000-00005B950000}"/>
    <cellStyle name="Wrap 3 5 2 7 2" xfId="35103" xr:uid="{00000000-0005-0000-0000-00005C950000}"/>
    <cellStyle name="Wrap 3 5 2 8" xfId="35104" xr:uid="{00000000-0005-0000-0000-00005D950000}"/>
    <cellStyle name="Wrap 3 5 2 8 2" xfId="35105" xr:uid="{00000000-0005-0000-0000-00005E950000}"/>
    <cellStyle name="Wrap 3 5 2 9" xfId="35106" xr:uid="{00000000-0005-0000-0000-00005F950000}"/>
    <cellStyle name="Wrap 3 5 2 9 2" xfId="35107" xr:uid="{00000000-0005-0000-0000-000060950000}"/>
    <cellStyle name="Wrap 3 5 3" xfId="35108" xr:uid="{00000000-0005-0000-0000-000061950000}"/>
    <cellStyle name="Wrap 3 5 3 10" xfId="35109" xr:uid="{00000000-0005-0000-0000-000062950000}"/>
    <cellStyle name="Wrap 3 5 3 2" xfId="35110" xr:uid="{00000000-0005-0000-0000-000063950000}"/>
    <cellStyle name="Wrap 3 5 3 2 2" xfId="35111" xr:uid="{00000000-0005-0000-0000-000064950000}"/>
    <cellStyle name="Wrap 3 5 3 3" xfId="35112" xr:uid="{00000000-0005-0000-0000-000065950000}"/>
    <cellStyle name="Wrap 3 5 3 3 2" xfId="35113" xr:uid="{00000000-0005-0000-0000-000066950000}"/>
    <cellStyle name="Wrap 3 5 3 4" xfId="35114" xr:uid="{00000000-0005-0000-0000-000067950000}"/>
    <cellStyle name="Wrap 3 5 3 4 2" xfId="35115" xr:uid="{00000000-0005-0000-0000-000068950000}"/>
    <cellStyle name="Wrap 3 5 3 5" xfId="35116" xr:uid="{00000000-0005-0000-0000-000069950000}"/>
    <cellStyle name="Wrap 3 5 3 5 2" xfId="35117" xr:uid="{00000000-0005-0000-0000-00006A950000}"/>
    <cellStyle name="Wrap 3 5 3 6" xfId="35118" xr:uid="{00000000-0005-0000-0000-00006B950000}"/>
    <cellStyle name="Wrap 3 5 3 6 2" xfId="35119" xr:uid="{00000000-0005-0000-0000-00006C950000}"/>
    <cellStyle name="Wrap 3 5 3 7" xfId="35120" xr:uid="{00000000-0005-0000-0000-00006D950000}"/>
    <cellStyle name="Wrap 3 5 3 7 2" xfId="35121" xr:uid="{00000000-0005-0000-0000-00006E950000}"/>
    <cellStyle name="Wrap 3 5 3 8" xfId="35122" xr:uid="{00000000-0005-0000-0000-00006F950000}"/>
    <cellStyle name="Wrap 3 5 3 8 2" xfId="35123" xr:uid="{00000000-0005-0000-0000-000070950000}"/>
    <cellStyle name="Wrap 3 5 3 9" xfId="35124" xr:uid="{00000000-0005-0000-0000-000071950000}"/>
    <cellStyle name="Wrap 3 5 3 9 2" xfId="35125" xr:uid="{00000000-0005-0000-0000-000072950000}"/>
    <cellStyle name="Wrap 3 5 4" xfId="35126" xr:uid="{00000000-0005-0000-0000-000073950000}"/>
    <cellStyle name="Wrap 3 5 4 10" xfId="35127" xr:uid="{00000000-0005-0000-0000-000074950000}"/>
    <cellStyle name="Wrap 3 5 4 2" xfId="35128" xr:uid="{00000000-0005-0000-0000-000075950000}"/>
    <cellStyle name="Wrap 3 5 4 2 2" xfId="35129" xr:uid="{00000000-0005-0000-0000-000076950000}"/>
    <cellStyle name="Wrap 3 5 4 3" xfId="35130" xr:uid="{00000000-0005-0000-0000-000077950000}"/>
    <cellStyle name="Wrap 3 5 4 3 2" xfId="35131" xr:uid="{00000000-0005-0000-0000-000078950000}"/>
    <cellStyle name="Wrap 3 5 4 4" xfId="35132" xr:uid="{00000000-0005-0000-0000-000079950000}"/>
    <cellStyle name="Wrap 3 5 4 4 2" xfId="35133" xr:uid="{00000000-0005-0000-0000-00007A950000}"/>
    <cellStyle name="Wrap 3 5 4 5" xfId="35134" xr:uid="{00000000-0005-0000-0000-00007B950000}"/>
    <cellStyle name="Wrap 3 5 4 5 2" xfId="35135" xr:uid="{00000000-0005-0000-0000-00007C950000}"/>
    <cellStyle name="Wrap 3 5 4 6" xfId="35136" xr:uid="{00000000-0005-0000-0000-00007D950000}"/>
    <cellStyle name="Wrap 3 5 4 6 2" xfId="35137" xr:uid="{00000000-0005-0000-0000-00007E950000}"/>
    <cellStyle name="Wrap 3 5 4 7" xfId="35138" xr:uid="{00000000-0005-0000-0000-00007F950000}"/>
    <cellStyle name="Wrap 3 5 4 7 2" xfId="35139" xr:uid="{00000000-0005-0000-0000-000080950000}"/>
    <cellStyle name="Wrap 3 5 4 8" xfId="35140" xr:uid="{00000000-0005-0000-0000-000081950000}"/>
    <cellStyle name="Wrap 3 5 4 8 2" xfId="35141" xr:uid="{00000000-0005-0000-0000-000082950000}"/>
    <cellStyle name="Wrap 3 5 4 9" xfId="35142" xr:uid="{00000000-0005-0000-0000-000083950000}"/>
    <cellStyle name="Wrap 3 5 4 9 2" xfId="35143" xr:uid="{00000000-0005-0000-0000-000084950000}"/>
    <cellStyle name="Wrap 3 5 5" xfId="35144" xr:uid="{00000000-0005-0000-0000-000085950000}"/>
    <cellStyle name="Wrap 3 5 5 10" xfId="35145" xr:uid="{00000000-0005-0000-0000-000086950000}"/>
    <cellStyle name="Wrap 3 5 5 2" xfId="35146" xr:uid="{00000000-0005-0000-0000-000087950000}"/>
    <cellStyle name="Wrap 3 5 5 2 2" xfId="35147" xr:uid="{00000000-0005-0000-0000-000088950000}"/>
    <cellStyle name="Wrap 3 5 5 3" xfId="35148" xr:uid="{00000000-0005-0000-0000-000089950000}"/>
    <cellStyle name="Wrap 3 5 5 3 2" xfId="35149" xr:uid="{00000000-0005-0000-0000-00008A950000}"/>
    <cellStyle name="Wrap 3 5 5 4" xfId="35150" xr:uid="{00000000-0005-0000-0000-00008B950000}"/>
    <cellStyle name="Wrap 3 5 5 4 2" xfId="35151" xr:uid="{00000000-0005-0000-0000-00008C950000}"/>
    <cellStyle name="Wrap 3 5 5 5" xfId="35152" xr:uid="{00000000-0005-0000-0000-00008D950000}"/>
    <cellStyle name="Wrap 3 5 5 5 2" xfId="35153" xr:uid="{00000000-0005-0000-0000-00008E950000}"/>
    <cellStyle name="Wrap 3 5 5 6" xfId="35154" xr:uid="{00000000-0005-0000-0000-00008F950000}"/>
    <cellStyle name="Wrap 3 5 5 6 2" xfId="35155" xr:uid="{00000000-0005-0000-0000-000090950000}"/>
    <cellStyle name="Wrap 3 5 5 7" xfId="35156" xr:uid="{00000000-0005-0000-0000-000091950000}"/>
    <cellStyle name="Wrap 3 5 5 7 2" xfId="35157" xr:uid="{00000000-0005-0000-0000-000092950000}"/>
    <cellStyle name="Wrap 3 5 5 8" xfId="35158" xr:uid="{00000000-0005-0000-0000-000093950000}"/>
    <cellStyle name="Wrap 3 5 5 8 2" xfId="35159" xr:uid="{00000000-0005-0000-0000-000094950000}"/>
    <cellStyle name="Wrap 3 5 5 9" xfId="35160" xr:uid="{00000000-0005-0000-0000-000095950000}"/>
    <cellStyle name="Wrap 3 5 5 9 2" xfId="35161" xr:uid="{00000000-0005-0000-0000-000096950000}"/>
    <cellStyle name="Wrap 3 5 6" xfId="35162" xr:uid="{00000000-0005-0000-0000-000097950000}"/>
    <cellStyle name="Wrap 3 5 6 10" xfId="35163" xr:uid="{00000000-0005-0000-0000-000098950000}"/>
    <cellStyle name="Wrap 3 5 6 2" xfId="35164" xr:uid="{00000000-0005-0000-0000-000099950000}"/>
    <cellStyle name="Wrap 3 5 6 2 2" xfId="35165" xr:uid="{00000000-0005-0000-0000-00009A950000}"/>
    <cellStyle name="Wrap 3 5 6 3" xfId="35166" xr:uid="{00000000-0005-0000-0000-00009B950000}"/>
    <cellStyle name="Wrap 3 5 6 3 2" xfId="35167" xr:uid="{00000000-0005-0000-0000-00009C950000}"/>
    <cellStyle name="Wrap 3 5 6 4" xfId="35168" xr:uid="{00000000-0005-0000-0000-00009D950000}"/>
    <cellStyle name="Wrap 3 5 6 4 2" xfId="35169" xr:uid="{00000000-0005-0000-0000-00009E950000}"/>
    <cellStyle name="Wrap 3 5 6 5" xfId="35170" xr:uid="{00000000-0005-0000-0000-00009F950000}"/>
    <cellStyle name="Wrap 3 5 6 5 2" xfId="35171" xr:uid="{00000000-0005-0000-0000-0000A0950000}"/>
    <cellStyle name="Wrap 3 5 6 6" xfId="35172" xr:uid="{00000000-0005-0000-0000-0000A1950000}"/>
    <cellStyle name="Wrap 3 5 6 6 2" xfId="35173" xr:uid="{00000000-0005-0000-0000-0000A2950000}"/>
    <cellStyle name="Wrap 3 5 6 7" xfId="35174" xr:uid="{00000000-0005-0000-0000-0000A3950000}"/>
    <cellStyle name="Wrap 3 5 6 7 2" xfId="35175" xr:uid="{00000000-0005-0000-0000-0000A4950000}"/>
    <cellStyle name="Wrap 3 5 6 8" xfId="35176" xr:uid="{00000000-0005-0000-0000-0000A5950000}"/>
    <cellStyle name="Wrap 3 5 6 8 2" xfId="35177" xr:uid="{00000000-0005-0000-0000-0000A6950000}"/>
    <cellStyle name="Wrap 3 5 6 9" xfId="35178" xr:uid="{00000000-0005-0000-0000-0000A7950000}"/>
    <cellStyle name="Wrap 3 5 6 9 2" xfId="35179" xr:uid="{00000000-0005-0000-0000-0000A8950000}"/>
    <cellStyle name="Wrap 3 5 7" xfId="35180" xr:uid="{00000000-0005-0000-0000-0000A9950000}"/>
    <cellStyle name="Wrap 3 5 7 10" xfId="35181" xr:uid="{00000000-0005-0000-0000-0000AA950000}"/>
    <cellStyle name="Wrap 3 5 7 2" xfId="35182" xr:uid="{00000000-0005-0000-0000-0000AB950000}"/>
    <cellStyle name="Wrap 3 5 7 2 2" xfId="35183" xr:uid="{00000000-0005-0000-0000-0000AC950000}"/>
    <cellStyle name="Wrap 3 5 7 3" xfId="35184" xr:uid="{00000000-0005-0000-0000-0000AD950000}"/>
    <cellStyle name="Wrap 3 5 7 3 2" xfId="35185" xr:uid="{00000000-0005-0000-0000-0000AE950000}"/>
    <cellStyle name="Wrap 3 5 7 4" xfId="35186" xr:uid="{00000000-0005-0000-0000-0000AF950000}"/>
    <cellStyle name="Wrap 3 5 7 4 2" xfId="35187" xr:uid="{00000000-0005-0000-0000-0000B0950000}"/>
    <cellStyle name="Wrap 3 5 7 5" xfId="35188" xr:uid="{00000000-0005-0000-0000-0000B1950000}"/>
    <cellStyle name="Wrap 3 5 7 5 2" xfId="35189" xr:uid="{00000000-0005-0000-0000-0000B2950000}"/>
    <cellStyle name="Wrap 3 5 7 6" xfId="35190" xr:uid="{00000000-0005-0000-0000-0000B3950000}"/>
    <cellStyle name="Wrap 3 5 7 6 2" xfId="35191" xr:uid="{00000000-0005-0000-0000-0000B4950000}"/>
    <cellStyle name="Wrap 3 5 7 7" xfId="35192" xr:uid="{00000000-0005-0000-0000-0000B5950000}"/>
    <cellStyle name="Wrap 3 5 7 7 2" xfId="35193" xr:uid="{00000000-0005-0000-0000-0000B6950000}"/>
    <cellStyle name="Wrap 3 5 7 8" xfId="35194" xr:uid="{00000000-0005-0000-0000-0000B7950000}"/>
    <cellStyle name="Wrap 3 5 7 8 2" xfId="35195" xr:uid="{00000000-0005-0000-0000-0000B8950000}"/>
    <cellStyle name="Wrap 3 5 7 9" xfId="35196" xr:uid="{00000000-0005-0000-0000-0000B9950000}"/>
    <cellStyle name="Wrap 3 5 7 9 2" xfId="35197" xr:uid="{00000000-0005-0000-0000-0000BA950000}"/>
    <cellStyle name="Wrap 3 5 8" xfId="35198" xr:uid="{00000000-0005-0000-0000-0000BB950000}"/>
    <cellStyle name="Wrap 3 5 8 10" xfId="35199" xr:uid="{00000000-0005-0000-0000-0000BC950000}"/>
    <cellStyle name="Wrap 3 5 8 2" xfId="35200" xr:uid="{00000000-0005-0000-0000-0000BD950000}"/>
    <cellStyle name="Wrap 3 5 8 2 2" xfId="35201" xr:uid="{00000000-0005-0000-0000-0000BE950000}"/>
    <cellStyle name="Wrap 3 5 8 3" xfId="35202" xr:uid="{00000000-0005-0000-0000-0000BF950000}"/>
    <cellStyle name="Wrap 3 5 8 3 2" xfId="35203" xr:uid="{00000000-0005-0000-0000-0000C0950000}"/>
    <cellStyle name="Wrap 3 5 8 4" xfId="35204" xr:uid="{00000000-0005-0000-0000-0000C1950000}"/>
    <cellStyle name="Wrap 3 5 8 4 2" xfId="35205" xr:uid="{00000000-0005-0000-0000-0000C2950000}"/>
    <cellStyle name="Wrap 3 5 8 5" xfId="35206" xr:uid="{00000000-0005-0000-0000-0000C3950000}"/>
    <cellStyle name="Wrap 3 5 8 5 2" xfId="35207" xr:uid="{00000000-0005-0000-0000-0000C4950000}"/>
    <cellStyle name="Wrap 3 5 8 6" xfId="35208" xr:uid="{00000000-0005-0000-0000-0000C5950000}"/>
    <cellStyle name="Wrap 3 5 8 6 2" xfId="35209" xr:uid="{00000000-0005-0000-0000-0000C6950000}"/>
    <cellStyle name="Wrap 3 5 8 7" xfId="35210" xr:uid="{00000000-0005-0000-0000-0000C7950000}"/>
    <cellStyle name="Wrap 3 5 8 7 2" xfId="35211" xr:uid="{00000000-0005-0000-0000-0000C8950000}"/>
    <cellStyle name="Wrap 3 5 8 8" xfId="35212" xr:uid="{00000000-0005-0000-0000-0000C9950000}"/>
    <cellStyle name="Wrap 3 5 8 8 2" xfId="35213" xr:uid="{00000000-0005-0000-0000-0000CA950000}"/>
    <cellStyle name="Wrap 3 5 8 9" xfId="35214" xr:uid="{00000000-0005-0000-0000-0000CB950000}"/>
    <cellStyle name="Wrap 3 5 8 9 2" xfId="35215" xr:uid="{00000000-0005-0000-0000-0000CC950000}"/>
    <cellStyle name="Wrap 3 5 9" xfId="35216" xr:uid="{00000000-0005-0000-0000-0000CD950000}"/>
    <cellStyle name="Wrap 3 5 9 10" xfId="35217" xr:uid="{00000000-0005-0000-0000-0000CE950000}"/>
    <cellStyle name="Wrap 3 5 9 2" xfId="35218" xr:uid="{00000000-0005-0000-0000-0000CF950000}"/>
    <cellStyle name="Wrap 3 5 9 2 2" xfId="35219" xr:uid="{00000000-0005-0000-0000-0000D0950000}"/>
    <cellStyle name="Wrap 3 5 9 3" xfId="35220" xr:uid="{00000000-0005-0000-0000-0000D1950000}"/>
    <cellStyle name="Wrap 3 5 9 3 2" xfId="35221" xr:uid="{00000000-0005-0000-0000-0000D2950000}"/>
    <cellStyle name="Wrap 3 5 9 4" xfId="35222" xr:uid="{00000000-0005-0000-0000-0000D3950000}"/>
    <cellStyle name="Wrap 3 5 9 4 2" xfId="35223" xr:uid="{00000000-0005-0000-0000-0000D4950000}"/>
    <cellStyle name="Wrap 3 5 9 5" xfId="35224" xr:uid="{00000000-0005-0000-0000-0000D5950000}"/>
    <cellStyle name="Wrap 3 5 9 5 2" xfId="35225" xr:uid="{00000000-0005-0000-0000-0000D6950000}"/>
    <cellStyle name="Wrap 3 5 9 6" xfId="35226" xr:uid="{00000000-0005-0000-0000-0000D7950000}"/>
    <cellStyle name="Wrap 3 5 9 6 2" xfId="35227" xr:uid="{00000000-0005-0000-0000-0000D8950000}"/>
    <cellStyle name="Wrap 3 5 9 7" xfId="35228" xr:uid="{00000000-0005-0000-0000-0000D9950000}"/>
    <cellStyle name="Wrap 3 5 9 7 2" xfId="35229" xr:uid="{00000000-0005-0000-0000-0000DA950000}"/>
    <cellStyle name="Wrap 3 5 9 8" xfId="35230" xr:uid="{00000000-0005-0000-0000-0000DB950000}"/>
    <cellStyle name="Wrap 3 5 9 8 2" xfId="35231" xr:uid="{00000000-0005-0000-0000-0000DC950000}"/>
    <cellStyle name="Wrap 3 5 9 9" xfId="35232" xr:uid="{00000000-0005-0000-0000-0000DD950000}"/>
    <cellStyle name="Wrap 3 5 9 9 2" xfId="35233" xr:uid="{00000000-0005-0000-0000-0000DE950000}"/>
    <cellStyle name="Wrap 3 6" xfId="35234" xr:uid="{00000000-0005-0000-0000-0000DF950000}"/>
    <cellStyle name="Wrap 3 6 10" xfId="35235" xr:uid="{00000000-0005-0000-0000-0000E0950000}"/>
    <cellStyle name="Wrap 3 6 10 2" xfId="35236" xr:uid="{00000000-0005-0000-0000-0000E1950000}"/>
    <cellStyle name="Wrap 3 6 10 2 2" xfId="35237" xr:uid="{00000000-0005-0000-0000-0000E2950000}"/>
    <cellStyle name="Wrap 3 6 10 3" xfId="35238" xr:uid="{00000000-0005-0000-0000-0000E3950000}"/>
    <cellStyle name="Wrap 3 6 10 3 2" xfId="35239" xr:uid="{00000000-0005-0000-0000-0000E4950000}"/>
    <cellStyle name="Wrap 3 6 10 4" xfId="35240" xr:uid="{00000000-0005-0000-0000-0000E5950000}"/>
    <cellStyle name="Wrap 3 6 10 4 2" xfId="35241" xr:uid="{00000000-0005-0000-0000-0000E6950000}"/>
    <cellStyle name="Wrap 3 6 10 5" xfId="35242" xr:uid="{00000000-0005-0000-0000-0000E7950000}"/>
    <cellStyle name="Wrap 3 6 10 5 2" xfId="35243" xr:uid="{00000000-0005-0000-0000-0000E8950000}"/>
    <cellStyle name="Wrap 3 6 10 6" xfId="35244" xr:uid="{00000000-0005-0000-0000-0000E9950000}"/>
    <cellStyle name="Wrap 3 6 10 6 2" xfId="35245" xr:uid="{00000000-0005-0000-0000-0000EA950000}"/>
    <cellStyle name="Wrap 3 6 10 7" xfId="35246" xr:uid="{00000000-0005-0000-0000-0000EB950000}"/>
    <cellStyle name="Wrap 3 6 10 7 2" xfId="35247" xr:uid="{00000000-0005-0000-0000-0000EC950000}"/>
    <cellStyle name="Wrap 3 6 10 8" xfId="35248" xr:uid="{00000000-0005-0000-0000-0000ED950000}"/>
    <cellStyle name="Wrap 3 6 10 8 2" xfId="35249" xr:uid="{00000000-0005-0000-0000-0000EE950000}"/>
    <cellStyle name="Wrap 3 6 10 9" xfId="35250" xr:uid="{00000000-0005-0000-0000-0000EF950000}"/>
    <cellStyle name="Wrap 3 6 11" xfId="35251" xr:uid="{00000000-0005-0000-0000-0000F0950000}"/>
    <cellStyle name="Wrap 3 6 11 2" xfId="35252" xr:uid="{00000000-0005-0000-0000-0000F1950000}"/>
    <cellStyle name="Wrap 3 6 12" xfId="35253" xr:uid="{00000000-0005-0000-0000-0000F2950000}"/>
    <cellStyle name="Wrap 3 6 12 2" xfId="35254" xr:uid="{00000000-0005-0000-0000-0000F3950000}"/>
    <cellStyle name="Wrap 3 6 13" xfId="35255" xr:uid="{00000000-0005-0000-0000-0000F4950000}"/>
    <cellStyle name="Wrap 3 6 13 2" xfId="35256" xr:uid="{00000000-0005-0000-0000-0000F5950000}"/>
    <cellStyle name="Wrap 3 6 14" xfId="35257" xr:uid="{00000000-0005-0000-0000-0000F6950000}"/>
    <cellStyle name="Wrap 3 6 14 2" xfId="35258" xr:uid="{00000000-0005-0000-0000-0000F7950000}"/>
    <cellStyle name="Wrap 3 6 15" xfId="35259" xr:uid="{00000000-0005-0000-0000-0000F8950000}"/>
    <cellStyle name="Wrap 3 6 15 2" xfId="35260" xr:uid="{00000000-0005-0000-0000-0000F9950000}"/>
    <cellStyle name="Wrap 3 6 16" xfId="35261" xr:uid="{00000000-0005-0000-0000-0000FA950000}"/>
    <cellStyle name="Wrap 3 6 16 2" xfId="35262" xr:uid="{00000000-0005-0000-0000-0000FB950000}"/>
    <cellStyle name="Wrap 3 6 17" xfId="35263" xr:uid="{00000000-0005-0000-0000-0000FC950000}"/>
    <cellStyle name="Wrap 3 6 17 2" xfId="35264" xr:uid="{00000000-0005-0000-0000-0000FD950000}"/>
    <cellStyle name="Wrap 3 6 18" xfId="35265" xr:uid="{00000000-0005-0000-0000-0000FE950000}"/>
    <cellStyle name="Wrap 3 6 2" xfId="35266" xr:uid="{00000000-0005-0000-0000-0000FF950000}"/>
    <cellStyle name="Wrap 3 6 2 10" xfId="35267" xr:uid="{00000000-0005-0000-0000-000000960000}"/>
    <cellStyle name="Wrap 3 6 2 2" xfId="35268" xr:uid="{00000000-0005-0000-0000-000001960000}"/>
    <cellStyle name="Wrap 3 6 2 2 2" xfId="35269" xr:uid="{00000000-0005-0000-0000-000002960000}"/>
    <cellStyle name="Wrap 3 6 2 3" xfId="35270" xr:uid="{00000000-0005-0000-0000-000003960000}"/>
    <cellStyle name="Wrap 3 6 2 3 2" xfId="35271" xr:uid="{00000000-0005-0000-0000-000004960000}"/>
    <cellStyle name="Wrap 3 6 2 4" xfId="35272" xr:uid="{00000000-0005-0000-0000-000005960000}"/>
    <cellStyle name="Wrap 3 6 2 4 2" xfId="35273" xr:uid="{00000000-0005-0000-0000-000006960000}"/>
    <cellStyle name="Wrap 3 6 2 5" xfId="35274" xr:uid="{00000000-0005-0000-0000-000007960000}"/>
    <cellStyle name="Wrap 3 6 2 5 2" xfId="35275" xr:uid="{00000000-0005-0000-0000-000008960000}"/>
    <cellStyle name="Wrap 3 6 2 6" xfId="35276" xr:uid="{00000000-0005-0000-0000-000009960000}"/>
    <cellStyle name="Wrap 3 6 2 6 2" xfId="35277" xr:uid="{00000000-0005-0000-0000-00000A960000}"/>
    <cellStyle name="Wrap 3 6 2 7" xfId="35278" xr:uid="{00000000-0005-0000-0000-00000B960000}"/>
    <cellStyle name="Wrap 3 6 2 7 2" xfId="35279" xr:uid="{00000000-0005-0000-0000-00000C960000}"/>
    <cellStyle name="Wrap 3 6 2 8" xfId="35280" xr:uid="{00000000-0005-0000-0000-00000D960000}"/>
    <cellStyle name="Wrap 3 6 2 8 2" xfId="35281" xr:uid="{00000000-0005-0000-0000-00000E960000}"/>
    <cellStyle name="Wrap 3 6 2 9" xfId="35282" xr:uid="{00000000-0005-0000-0000-00000F960000}"/>
    <cellStyle name="Wrap 3 6 2 9 2" xfId="35283" xr:uid="{00000000-0005-0000-0000-000010960000}"/>
    <cellStyle name="Wrap 3 6 3" xfId="35284" xr:uid="{00000000-0005-0000-0000-000011960000}"/>
    <cellStyle name="Wrap 3 6 3 10" xfId="35285" xr:uid="{00000000-0005-0000-0000-000012960000}"/>
    <cellStyle name="Wrap 3 6 3 2" xfId="35286" xr:uid="{00000000-0005-0000-0000-000013960000}"/>
    <cellStyle name="Wrap 3 6 3 2 2" xfId="35287" xr:uid="{00000000-0005-0000-0000-000014960000}"/>
    <cellStyle name="Wrap 3 6 3 3" xfId="35288" xr:uid="{00000000-0005-0000-0000-000015960000}"/>
    <cellStyle name="Wrap 3 6 3 3 2" xfId="35289" xr:uid="{00000000-0005-0000-0000-000016960000}"/>
    <cellStyle name="Wrap 3 6 3 4" xfId="35290" xr:uid="{00000000-0005-0000-0000-000017960000}"/>
    <cellStyle name="Wrap 3 6 3 4 2" xfId="35291" xr:uid="{00000000-0005-0000-0000-000018960000}"/>
    <cellStyle name="Wrap 3 6 3 5" xfId="35292" xr:uid="{00000000-0005-0000-0000-000019960000}"/>
    <cellStyle name="Wrap 3 6 3 5 2" xfId="35293" xr:uid="{00000000-0005-0000-0000-00001A960000}"/>
    <cellStyle name="Wrap 3 6 3 6" xfId="35294" xr:uid="{00000000-0005-0000-0000-00001B960000}"/>
    <cellStyle name="Wrap 3 6 3 6 2" xfId="35295" xr:uid="{00000000-0005-0000-0000-00001C960000}"/>
    <cellStyle name="Wrap 3 6 3 7" xfId="35296" xr:uid="{00000000-0005-0000-0000-00001D960000}"/>
    <cellStyle name="Wrap 3 6 3 7 2" xfId="35297" xr:uid="{00000000-0005-0000-0000-00001E960000}"/>
    <cellStyle name="Wrap 3 6 3 8" xfId="35298" xr:uid="{00000000-0005-0000-0000-00001F960000}"/>
    <cellStyle name="Wrap 3 6 3 8 2" xfId="35299" xr:uid="{00000000-0005-0000-0000-000020960000}"/>
    <cellStyle name="Wrap 3 6 3 9" xfId="35300" xr:uid="{00000000-0005-0000-0000-000021960000}"/>
    <cellStyle name="Wrap 3 6 3 9 2" xfId="35301" xr:uid="{00000000-0005-0000-0000-000022960000}"/>
    <cellStyle name="Wrap 3 6 4" xfId="35302" xr:uid="{00000000-0005-0000-0000-000023960000}"/>
    <cellStyle name="Wrap 3 6 4 10" xfId="35303" xr:uid="{00000000-0005-0000-0000-000024960000}"/>
    <cellStyle name="Wrap 3 6 4 2" xfId="35304" xr:uid="{00000000-0005-0000-0000-000025960000}"/>
    <cellStyle name="Wrap 3 6 4 2 2" xfId="35305" xr:uid="{00000000-0005-0000-0000-000026960000}"/>
    <cellStyle name="Wrap 3 6 4 3" xfId="35306" xr:uid="{00000000-0005-0000-0000-000027960000}"/>
    <cellStyle name="Wrap 3 6 4 3 2" xfId="35307" xr:uid="{00000000-0005-0000-0000-000028960000}"/>
    <cellStyle name="Wrap 3 6 4 4" xfId="35308" xr:uid="{00000000-0005-0000-0000-000029960000}"/>
    <cellStyle name="Wrap 3 6 4 4 2" xfId="35309" xr:uid="{00000000-0005-0000-0000-00002A960000}"/>
    <cellStyle name="Wrap 3 6 4 5" xfId="35310" xr:uid="{00000000-0005-0000-0000-00002B960000}"/>
    <cellStyle name="Wrap 3 6 4 5 2" xfId="35311" xr:uid="{00000000-0005-0000-0000-00002C960000}"/>
    <cellStyle name="Wrap 3 6 4 6" xfId="35312" xr:uid="{00000000-0005-0000-0000-00002D960000}"/>
    <cellStyle name="Wrap 3 6 4 6 2" xfId="35313" xr:uid="{00000000-0005-0000-0000-00002E960000}"/>
    <cellStyle name="Wrap 3 6 4 7" xfId="35314" xr:uid="{00000000-0005-0000-0000-00002F960000}"/>
    <cellStyle name="Wrap 3 6 4 7 2" xfId="35315" xr:uid="{00000000-0005-0000-0000-000030960000}"/>
    <cellStyle name="Wrap 3 6 4 8" xfId="35316" xr:uid="{00000000-0005-0000-0000-000031960000}"/>
    <cellStyle name="Wrap 3 6 4 8 2" xfId="35317" xr:uid="{00000000-0005-0000-0000-000032960000}"/>
    <cellStyle name="Wrap 3 6 4 9" xfId="35318" xr:uid="{00000000-0005-0000-0000-000033960000}"/>
    <cellStyle name="Wrap 3 6 4 9 2" xfId="35319" xr:uid="{00000000-0005-0000-0000-000034960000}"/>
    <cellStyle name="Wrap 3 6 5" xfId="35320" xr:uid="{00000000-0005-0000-0000-000035960000}"/>
    <cellStyle name="Wrap 3 6 5 10" xfId="35321" xr:uid="{00000000-0005-0000-0000-000036960000}"/>
    <cellStyle name="Wrap 3 6 5 2" xfId="35322" xr:uid="{00000000-0005-0000-0000-000037960000}"/>
    <cellStyle name="Wrap 3 6 5 2 2" xfId="35323" xr:uid="{00000000-0005-0000-0000-000038960000}"/>
    <cellStyle name="Wrap 3 6 5 3" xfId="35324" xr:uid="{00000000-0005-0000-0000-000039960000}"/>
    <cellStyle name="Wrap 3 6 5 3 2" xfId="35325" xr:uid="{00000000-0005-0000-0000-00003A960000}"/>
    <cellStyle name="Wrap 3 6 5 4" xfId="35326" xr:uid="{00000000-0005-0000-0000-00003B960000}"/>
    <cellStyle name="Wrap 3 6 5 4 2" xfId="35327" xr:uid="{00000000-0005-0000-0000-00003C960000}"/>
    <cellStyle name="Wrap 3 6 5 5" xfId="35328" xr:uid="{00000000-0005-0000-0000-00003D960000}"/>
    <cellStyle name="Wrap 3 6 5 5 2" xfId="35329" xr:uid="{00000000-0005-0000-0000-00003E960000}"/>
    <cellStyle name="Wrap 3 6 5 6" xfId="35330" xr:uid="{00000000-0005-0000-0000-00003F960000}"/>
    <cellStyle name="Wrap 3 6 5 6 2" xfId="35331" xr:uid="{00000000-0005-0000-0000-000040960000}"/>
    <cellStyle name="Wrap 3 6 5 7" xfId="35332" xr:uid="{00000000-0005-0000-0000-000041960000}"/>
    <cellStyle name="Wrap 3 6 5 7 2" xfId="35333" xr:uid="{00000000-0005-0000-0000-000042960000}"/>
    <cellStyle name="Wrap 3 6 5 8" xfId="35334" xr:uid="{00000000-0005-0000-0000-000043960000}"/>
    <cellStyle name="Wrap 3 6 5 8 2" xfId="35335" xr:uid="{00000000-0005-0000-0000-000044960000}"/>
    <cellStyle name="Wrap 3 6 5 9" xfId="35336" xr:uid="{00000000-0005-0000-0000-000045960000}"/>
    <cellStyle name="Wrap 3 6 5 9 2" xfId="35337" xr:uid="{00000000-0005-0000-0000-000046960000}"/>
    <cellStyle name="Wrap 3 6 6" xfId="35338" xr:uid="{00000000-0005-0000-0000-000047960000}"/>
    <cellStyle name="Wrap 3 6 6 10" xfId="35339" xr:uid="{00000000-0005-0000-0000-000048960000}"/>
    <cellStyle name="Wrap 3 6 6 2" xfId="35340" xr:uid="{00000000-0005-0000-0000-000049960000}"/>
    <cellStyle name="Wrap 3 6 6 2 2" xfId="35341" xr:uid="{00000000-0005-0000-0000-00004A960000}"/>
    <cellStyle name="Wrap 3 6 6 3" xfId="35342" xr:uid="{00000000-0005-0000-0000-00004B960000}"/>
    <cellStyle name="Wrap 3 6 6 3 2" xfId="35343" xr:uid="{00000000-0005-0000-0000-00004C960000}"/>
    <cellStyle name="Wrap 3 6 6 4" xfId="35344" xr:uid="{00000000-0005-0000-0000-00004D960000}"/>
    <cellStyle name="Wrap 3 6 6 4 2" xfId="35345" xr:uid="{00000000-0005-0000-0000-00004E960000}"/>
    <cellStyle name="Wrap 3 6 6 5" xfId="35346" xr:uid="{00000000-0005-0000-0000-00004F960000}"/>
    <cellStyle name="Wrap 3 6 6 5 2" xfId="35347" xr:uid="{00000000-0005-0000-0000-000050960000}"/>
    <cellStyle name="Wrap 3 6 6 6" xfId="35348" xr:uid="{00000000-0005-0000-0000-000051960000}"/>
    <cellStyle name="Wrap 3 6 6 6 2" xfId="35349" xr:uid="{00000000-0005-0000-0000-000052960000}"/>
    <cellStyle name="Wrap 3 6 6 7" xfId="35350" xr:uid="{00000000-0005-0000-0000-000053960000}"/>
    <cellStyle name="Wrap 3 6 6 7 2" xfId="35351" xr:uid="{00000000-0005-0000-0000-000054960000}"/>
    <cellStyle name="Wrap 3 6 6 8" xfId="35352" xr:uid="{00000000-0005-0000-0000-000055960000}"/>
    <cellStyle name="Wrap 3 6 6 8 2" xfId="35353" xr:uid="{00000000-0005-0000-0000-000056960000}"/>
    <cellStyle name="Wrap 3 6 6 9" xfId="35354" xr:uid="{00000000-0005-0000-0000-000057960000}"/>
    <cellStyle name="Wrap 3 6 6 9 2" xfId="35355" xr:uid="{00000000-0005-0000-0000-000058960000}"/>
    <cellStyle name="Wrap 3 6 7" xfId="35356" xr:uid="{00000000-0005-0000-0000-000059960000}"/>
    <cellStyle name="Wrap 3 6 7 10" xfId="35357" xr:uid="{00000000-0005-0000-0000-00005A960000}"/>
    <cellStyle name="Wrap 3 6 7 2" xfId="35358" xr:uid="{00000000-0005-0000-0000-00005B960000}"/>
    <cellStyle name="Wrap 3 6 7 2 2" xfId="35359" xr:uid="{00000000-0005-0000-0000-00005C960000}"/>
    <cellStyle name="Wrap 3 6 7 3" xfId="35360" xr:uid="{00000000-0005-0000-0000-00005D960000}"/>
    <cellStyle name="Wrap 3 6 7 3 2" xfId="35361" xr:uid="{00000000-0005-0000-0000-00005E960000}"/>
    <cellStyle name="Wrap 3 6 7 4" xfId="35362" xr:uid="{00000000-0005-0000-0000-00005F960000}"/>
    <cellStyle name="Wrap 3 6 7 4 2" xfId="35363" xr:uid="{00000000-0005-0000-0000-000060960000}"/>
    <cellStyle name="Wrap 3 6 7 5" xfId="35364" xr:uid="{00000000-0005-0000-0000-000061960000}"/>
    <cellStyle name="Wrap 3 6 7 5 2" xfId="35365" xr:uid="{00000000-0005-0000-0000-000062960000}"/>
    <cellStyle name="Wrap 3 6 7 6" xfId="35366" xr:uid="{00000000-0005-0000-0000-000063960000}"/>
    <cellStyle name="Wrap 3 6 7 6 2" xfId="35367" xr:uid="{00000000-0005-0000-0000-000064960000}"/>
    <cellStyle name="Wrap 3 6 7 7" xfId="35368" xr:uid="{00000000-0005-0000-0000-000065960000}"/>
    <cellStyle name="Wrap 3 6 7 7 2" xfId="35369" xr:uid="{00000000-0005-0000-0000-000066960000}"/>
    <cellStyle name="Wrap 3 6 7 8" xfId="35370" xr:uid="{00000000-0005-0000-0000-000067960000}"/>
    <cellStyle name="Wrap 3 6 7 8 2" xfId="35371" xr:uid="{00000000-0005-0000-0000-000068960000}"/>
    <cellStyle name="Wrap 3 6 7 9" xfId="35372" xr:uid="{00000000-0005-0000-0000-000069960000}"/>
    <cellStyle name="Wrap 3 6 7 9 2" xfId="35373" xr:uid="{00000000-0005-0000-0000-00006A960000}"/>
    <cellStyle name="Wrap 3 6 8" xfId="35374" xr:uid="{00000000-0005-0000-0000-00006B960000}"/>
    <cellStyle name="Wrap 3 6 8 10" xfId="35375" xr:uid="{00000000-0005-0000-0000-00006C960000}"/>
    <cellStyle name="Wrap 3 6 8 2" xfId="35376" xr:uid="{00000000-0005-0000-0000-00006D960000}"/>
    <cellStyle name="Wrap 3 6 8 2 2" xfId="35377" xr:uid="{00000000-0005-0000-0000-00006E960000}"/>
    <cellStyle name="Wrap 3 6 8 3" xfId="35378" xr:uid="{00000000-0005-0000-0000-00006F960000}"/>
    <cellStyle name="Wrap 3 6 8 3 2" xfId="35379" xr:uid="{00000000-0005-0000-0000-000070960000}"/>
    <cellStyle name="Wrap 3 6 8 4" xfId="35380" xr:uid="{00000000-0005-0000-0000-000071960000}"/>
    <cellStyle name="Wrap 3 6 8 4 2" xfId="35381" xr:uid="{00000000-0005-0000-0000-000072960000}"/>
    <cellStyle name="Wrap 3 6 8 5" xfId="35382" xr:uid="{00000000-0005-0000-0000-000073960000}"/>
    <cellStyle name="Wrap 3 6 8 5 2" xfId="35383" xr:uid="{00000000-0005-0000-0000-000074960000}"/>
    <cellStyle name="Wrap 3 6 8 6" xfId="35384" xr:uid="{00000000-0005-0000-0000-000075960000}"/>
    <cellStyle name="Wrap 3 6 8 6 2" xfId="35385" xr:uid="{00000000-0005-0000-0000-000076960000}"/>
    <cellStyle name="Wrap 3 6 8 7" xfId="35386" xr:uid="{00000000-0005-0000-0000-000077960000}"/>
    <cellStyle name="Wrap 3 6 8 7 2" xfId="35387" xr:uid="{00000000-0005-0000-0000-000078960000}"/>
    <cellStyle name="Wrap 3 6 8 8" xfId="35388" xr:uid="{00000000-0005-0000-0000-000079960000}"/>
    <cellStyle name="Wrap 3 6 8 8 2" xfId="35389" xr:uid="{00000000-0005-0000-0000-00007A960000}"/>
    <cellStyle name="Wrap 3 6 8 9" xfId="35390" xr:uid="{00000000-0005-0000-0000-00007B960000}"/>
    <cellStyle name="Wrap 3 6 8 9 2" xfId="35391" xr:uid="{00000000-0005-0000-0000-00007C960000}"/>
    <cellStyle name="Wrap 3 6 9" xfId="35392" xr:uid="{00000000-0005-0000-0000-00007D960000}"/>
    <cellStyle name="Wrap 3 6 9 10" xfId="35393" xr:uid="{00000000-0005-0000-0000-00007E960000}"/>
    <cellStyle name="Wrap 3 6 9 2" xfId="35394" xr:uid="{00000000-0005-0000-0000-00007F960000}"/>
    <cellStyle name="Wrap 3 6 9 2 2" xfId="35395" xr:uid="{00000000-0005-0000-0000-000080960000}"/>
    <cellStyle name="Wrap 3 6 9 3" xfId="35396" xr:uid="{00000000-0005-0000-0000-000081960000}"/>
    <cellStyle name="Wrap 3 6 9 3 2" xfId="35397" xr:uid="{00000000-0005-0000-0000-000082960000}"/>
    <cellStyle name="Wrap 3 6 9 4" xfId="35398" xr:uid="{00000000-0005-0000-0000-000083960000}"/>
    <cellStyle name="Wrap 3 6 9 4 2" xfId="35399" xr:uid="{00000000-0005-0000-0000-000084960000}"/>
    <cellStyle name="Wrap 3 6 9 5" xfId="35400" xr:uid="{00000000-0005-0000-0000-000085960000}"/>
    <cellStyle name="Wrap 3 6 9 5 2" xfId="35401" xr:uid="{00000000-0005-0000-0000-000086960000}"/>
    <cellStyle name="Wrap 3 6 9 6" xfId="35402" xr:uid="{00000000-0005-0000-0000-000087960000}"/>
    <cellStyle name="Wrap 3 6 9 6 2" xfId="35403" xr:uid="{00000000-0005-0000-0000-000088960000}"/>
    <cellStyle name="Wrap 3 6 9 7" xfId="35404" xr:uid="{00000000-0005-0000-0000-000089960000}"/>
    <cellStyle name="Wrap 3 6 9 7 2" xfId="35405" xr:uid="{00000000-0005-0000-0000-00008A960000}"/>
    <cellStyle name="Wrap 3 6 9 8" xfId="35406" xr:uid="{00000000-0005-0000-0000-00008B960000}"/>
    <cellStyle name="Wrap 3 6 9 8 2" xfId="35407" xr:uid="{00000000-0005-0000-0000-00008C960000}"/>
    <cellStyle name="Wrap 3 6 9 9" xfId="35408" xr:uid="{00000000-0005-0000-0000-00008D960000}"/>
    <cellStyle name="Wrap 3 6 9 9 2" xfId="35409" xr:uid="{00000000-0005-0000-0000-00008E960000}"/>
    <cellStyle name="Wrap 3 7" xfId="35410" xr:uid="{00000000-0005-0000-0000-00008F960000}"/>
    <cellStyle name="Wrap 3 7 10" xfId="35411" xr:uid="{00000000-0005-0000-0000-000090960000}"/>
    <cellStyle name="Wrap 3 7 10 2" xfId="35412" xr:uid="{00000000-0005-0000-0000-000091960000}"/>
    <cellStyle name="Wrap 3 7 10 2 2" xfId="35413" xr:uid="{00000000-0005-0000-0000-000092960000}"/>
    <cellStyle name="Wrap 3 7 10 3" xfId="35414" xr:uid="{00000000-0005-0000-0000-000093960000}"/>
    <cellStyle name="Wrap 3 7 10 3 2" xfId="35415" xr:uid="{00000000-0005-0000-0000-000094960000}"/>
    <cellStyle name="Wrap 3 7 10 4" xfId="35416" xr:uid="{00000000-0005-0000-0000-000095960000}"/>
    <cellStyle name="Wrap 3 7 10 4 2" xfId="35417" xr:uid="{00000000-0005-0000-0000-000096960000}"/>
    <cellStyle name="Wrap 3 7 10 5" xfId="35418" xr:uid="{00000000-0005-0000-0000-000097960000}"/>
    <cellStyle name="Wrap 3 7 10 5 2" xfId="35419" xr:uid="{00000000-0005-0000-0000-000098960000}"/>
    <cellStyle name="Wrap 3 7 10 6" xfId="35420" xr:uid="{00000000-0005-0000-0000-000099960000}"/>
    <cellStyle name="Wrap 3 7 10 6 2" xfId="35421" xr:uid="{00000000-0005-0000-0000-00009A960000}"/>
    <cellStyle name="Wrap 3 7 10 7" xfId="35422" xr:uid="{00000000-0005-0000-0000-00009B960000}"/>
    <cellStyle name="Wrap 3 7 10 7 2" xfId="35423" xr:uid="{00000000-0005-0000-0000-00009C960000}"/>
    <cellStyle name="Wrap 3 7 10 8" xfId="35424" xr:uid="{00000000-0005-0000-0000-00009D960000}"/>
    <cellStyle name="Wrap 3 7 10 8 2" xfId="35425" xr:uid="{00000000-0005-0000-0000-00009E960000}"/>
    <cellStyle name="Wrap 3 7 10 9" xfId="35426" xr:uid="{00000000-0005-0000-0000-00009F960000}"/>
    <cellStyle name="Wrap 3 7 11" xfId="35427" xr:uid="{00000000-0005-0000-0000-0000A0960000}"/>
    <cellStyle name="Wrap 3 7 11 2" xfId="35428" xr:uid="{00000000-0005-0000-0000-0000A1960000}"/>
    <cellStyle name="Wrap 3 7 12" xfId="35429" xr:uid="{00000000-0005-0000-0000-0000A2960000}"/>
    <cellStyle name="Wrap 3 7 12 2" xfId="35430" xr:uid="{00000000-0005-0000-0000-0000A3960000}"/>
    <cellStyle name="Wrap 3 7 13" xfId="35431" xr:uid="{00000000-0005-0000-0000-0000A4960000}"/>
    <cellStyle name="Wrap 3 7 13 2" xfId="35432" xr:uid="{00000000-0005-0000-0000-0000A5960000}"/>
    <cellStyle name="Wrap 3 7 14" xfId="35433" xr:uid="{00000000-0005-0000-0000-0000A6960000}"/>
    <cellStyle name="Wrap 3 7 14 2" xfId="35434" xr:uid="{00000000-0005-0000-0000-0000A7960000}"/>
    <cellStyle name="Wrap 3 7 15" xfId="35435" xr:uid="{00000000-0005-0000-0000-0000A8960000}"/>
    <cellStyle name="Wrap 3 7 15 2" xfId="35436" xr:uid="{00000000-0005-0000-0000-0000A9960000}"/>
    <cellStyle name="Wrap 3 7 16" xfId="35437" xr:uid="{00000000-0005-0000-0000-0000AA960000}"/>
    <cellStyle name="Wrap 3 7 16 2" xfId="35438" xr:uid="{00000000-0005-0000-0000-0000AB960000}"/>
    <cellStyle name="Wrap 3 7 17" xfId="35439" xr:uid="{00000000-0005-0000-0000-0000AC960000}"/>
    <cellStyle name="Wrap 3 7 17 2" xfId="35440" xr:uid="{00000000-0005-0000-0000-0000AD960000}"/>
    <cellStyle name="Wrap 3 7 18" xfId="35441" xr:uid="{00000000-0005-0000-0000-0000AE960000}"/>
    <cellStyle name="Wrap 3 7 2" xfId="35442" xr:uid="{00000000-0005-0000-0000-0000AF960000}"/>
    <cellStyle name="Wrap 3 7 2 10" xfId="35443" xr:uid="{00000000-0005-0000-0000-0000B0960000}"/>
    <cellStyle name="Wrap 3 7 2 2" xfId="35444" xr:uid="{00000000-0005-0000-0000-0000B1960000}"/>
    <cellStyle name="Wrap 3 7 2 2 2" xfId="35445" xr:uid="{00000000-0005-0000-0000-0000B2960000}"/>
    <cellStyle name="Wrap 3 7 2 3" xfId="35446" xr:uid="{00000000-0005-0000-0000-0000B3960000}"/>
    <cellStyle name="Wrap 3 7 2 3 2" xfId="35447" xr:uid="{00000000-0005-0000-0000-0000B4960000}"/>
    <cellStyle name="Wrap 3 7 2 4" xfId="35448" xr:uid="{00000000-0005-0000-0000-0000B5960000}"/>
    <cellStyle name="Wrap 3 7 2 4 2" xfId="35449" xr:uid="{00000000-0005-0000-0000-0000B6960000}"/>
    <cellStyle name="Wrap 3 7 2 5" xfId="35450" xr:uid="{00000000-0005-0000-0000-0000B7960000}"/>
    <cellStyle name="Wrap 3 7 2 5 2" xfId="35451" xr:uid="{00000000-0005-0000-0000-0000B8960000}"/>
    <cellStyle name="Wrap 3 7 2 6" xfId="35452" xr:uid="{00000000-0005-0000-0000-0000B9960000}"/>
    <cellStyle name="Wrap 3 7 2 6 2" xfId="35453" xr:uid="{00000000-0005-0000-0000-0000BA960000}"/>
    <cellStyle name="Wrap 3 7 2 7" xfId="35454" xr:uid="{00000000-0005-0000-0000-0000BB960000}"/>
    <cellStyle name="Wrap 3 7 2 7 2" xfId="35455" xr:uid="{00000000-0005-0000-0000-0000BC960000}"/>
    <cellStyle name="Wrap 3 7 2 8" xfId="35456" xr:uid="{00000000-0005-0000-0000-0000BD960000}"/>
    <cellStyle name="Wrap 3 7 2 8 2" xfId="35457" xr:uid="{00000000-0005-0000-0000-0000BE960000}"/>
    <cellStyle name="Wrap 3 7 2 9" xfId="35458" xr:uid="{00000000-0005-0000-0000-0000BF960000}"/>
    <cellStyle name="Wrap 3 7 2 9 2" xfId="35459" xr:uid="{00000000-0005-0000-0000-0000C0960000}"/>
    <cellStyle name="Wrap 3 7 3" xfId="35460" xr:uid="{00000000-0005-0000-0000-0000C1960000}"/>
    <cellStyle name="Wrap 3 7 3 10" xfId="35461" xr:uid="{00000000-0005-0000-0000-0000C2960000}"/>
    <cellStyle name="Wrap 3 7 3 2" xfId="35462" xr:uid="{00000000-0005-0000-0000-0000C3960000}"/>
    <cellStyle name="Wrap 3 7 3 2 2" xfId="35463" xr:uid="{00000000-0005-0000-0000-0000C4960000}"/>
    <cellStyle name="Wrap 3 7 3 3" xfId="35464" xr:uid="{00000000-0005-0000-0000-0000C5960000}"/>
    <cellStyle name="Wrap 3 7 3 3 2" xfId="35465" xr:uid="{00000000-0005-0000-0000-0000C6960000}"/>
    <cellStyle name="Wrap 3 7 3 4" xfId="35466" xr:uid="{00000000-0005-0000-0000-0000C7960000}"/>
    <cellStyle name="Wrap 3 7 3 4 2" xfId="35467" xr:uid="{00000000-0005-0000-0000-0000C8960000}"/>
    <cellStyle name="Wrap 3 7 3 5" xfId="35468" xr:uid="{00000000-0005-0000-0000-0000C9960000}"/>
    <cellStyle name="Wrap 3 7 3 5 2" xfId="35469" xr:uid="{00000000-0005-0000-0000-0000CA960000}"/>
    <cellStyle name="Wrap 3 7 3 6" xfId="35470" xr:uid="{00000000-0005-0000-0000-0000CB960000}"/>
    <cellStyle name="Wrap 3 7 3 6 2" xfId="35471" xr:uid="{00000000-0005-0000-0000-0000CC960000}"/>
    <cellStyle name="Wrap 3 7 3 7" xfId="35472" xr:uid="{00000000-0005-0000-0000-0000CD960000}"/>
    <cellStyle name="Wrap 3 7 3 7 2" xfId="35473" xr:uid="{00000000-0005-0000-0000-0000CE960000}"/>
    <cellStyle name="Wrap 3 7 3 8" xfId="35474" xr:uid="{00000000-0005-0000-0000-0000CF960000}"/>
    <cellStyle name="Wrap 3 7 3 8 2" xfId="35475" xr:uid="{00000000-0005-0000-0000-0000D0960000}"/>
    <cellStyle name="Wrap 3 7 3 9" xfId="35476" xr:uid="{00000000-0005-0000-0000-0000D1960000}"/>
    <cellStyle name="Wrap 3 7 3 9 2" xfId="35477" xr:uid="{00000000-0005-0000-0000-0000D2960000}"/>
    <cellStyle name="Wrap 3 7 4" xfId="35478" xr:uid="{00000000-0005-0000-0000-0000D3960000}"/>
    <cellStyle name="Wrap 3 7 4 10" xfId="35479" xr:uid="{00000000-0005-0000-0000-0000D4960000}"/>
    <cellStyle name="Wrap 3 7 4 2" xfId="35480" xr:uid="{00000000-0005-0000-0000-0000D5960000}"/>
    <cellStyle name="Wrap 3 7 4 2 2" xfId="35481" xr:uid="{00000000-0005-0000-0000-0000D6960000}"/>
    <cellStyle name="Wrap 3 7 4 3" xfId="35482" xr:uid="{00000000-0005-0000-0000-0000D7960000}"/>
    <cellStyle name="Wrap 3 7 4 3 2" xfId="35483" xr:uid="{00000000-0005-0000-0000-0000D8960000}"/>
    <cellStyle name="Wrap 3 7 4 4" xfId="35484" xr:uid="{00000000-0005-0000-0000-0000D9960000}"/>
    <cellStyle name="Wrap 3 7 4 4 2" xfId="35485" xr:uid="{00000000-0005-0000-0000-0000DA960000}"/>
    <cellStyle name="Wrap 3 7 4 5" xfId="35486" xr:uid="{00000000-0005-0000-0000-0000DB960000}"/>
    <cellStyle name="Wrap 3 7 4 5 2" xfId="35487" xr:uid="{00000000-0005-0000-0000-0000DC960000}"/>
    <cellStyle name="Wrap 3 7 4 6" xfId="35488" xr:uid="{00000000-0005-0000-0000-0000DD960000}"/>
    <cellStyle name="Wrap 3 7 4 6 2" xfId="35489" xr:uid="{00000000-0005-0000-0000-0000DE960000}"/>
    <cellStyle name="Wrap 3 7 4 7" xfId="35490" xr:uid="{00000000-0005-0000-0000-0000DF960000}"/>
    <cellStyle name="Wrap 3 7 4 7 2" xfId="35491" xr:uid="{00000000-0005-0000-0000-0000E0960000}"/>
    <cellStyle name="Wrap 3 7 4 8" xfId="35492" xr:uid="{00000000-0005-0000-0000-0000E1960000}"/>
    <cellStyle name="Wrap 3 7 4 8 2" xfId="35493" xr:uid="{00000000-0005-0000-0000-0000E2960000}"/>
    <cellStyle name="Wrap 3 7 4 9" xfId="35494" xr:uid="{00000000-0005-0000-0000-0000E3960000}"/>
    <cellStyle name="Wrap 3 7 4 9 2" xfId="35495" xr:uid="{00000000-0005-0000-0000-0000E4960000}"/>
    <cellStyle name="Wrap 3 7 5" xfId="35496" xr:uid="{00000000-0005-0000-0000-0000E5960000}"/>
    <cellStyle name="Wrap 3 7 5 10" xfId="35497" xr:uid="{00000000-0005-0000-0000-0000E6960000}"/>
    <cellStyle name="Wrap 3 7 5 2" xfId="35498" xr:uid="{00000000-0005-0000-0000-0000E7960000}"/>
    <cellStyle name="Wrap 3 7 5 2 2" xfId="35499" xr:uid="{00000000-0005-0000-0000-0000E8960000}"/>
    <cellStyle name="Wrap 3 7 5 3" xfId="35500" xr:uid="{00000000-0005-0000-0000-0000E9960000}"/>
    <cellStyle name="Wrap 3 7 5 3 2" xfId="35501" xr:uid="{00000000-0005-0000-0000-0000EA960000}"/>
    <cellStyle name="Wrap 3 7 5 4" xfId="35502" xr:uid="{00000000-0005-0000-0000-0000EB960000}"/>
    <cellStyle name="Wrap 3 7 5 4 2" xfId="35503" xr:uid="{00000000-0005-0000-0000-0000EC960000}"/>
    <cellStyle name="Wrap 3 7 5 5" xfId="35504" xr:uid="{00000000-0005-0000-0000-0000ED960000}"/>
    <cellStyle name="Wrap 3 7 5 5 2" xfId="35505" xr:uid="{00000000-0005-0000-0000-0000EE960000}"/>
    <cellStyle name="Wrap 3 7 5 6" xfId="35506" xr:uid="{00000000-0005-0000-0000-0000EF960000}"/>
    <cellStyle name="Wrap 3 7 5 6 2" xfId="35507" xr:uid="{00000000-0005-0000-0000-0000F0960000}"/>
    <cellStyle name="Wrap 3 7 5 7" xfId="35508" xr:uid="{00000000-0005-0000-0000-0000F1960000}"/>
    <cellStyle name="Wrap 3 7 5 7 2" xfId="35509" xr:uid="{00000000-0005-0000-0000-0000F2960000}"/>
    <cellStyle name="Wrap 3 7 5 8" xfId="35510" xr:uid="{00000000-0005-0000-0000-0000F3960000}"/>
    <cellStyle name="Wrap 3 7 5 8 2" xfId="35511" xr:uid="{00000000-0005-0000-0000-0000F4960000}"/>
    <cellStyle name="Wrap 3 7 5 9" xfId="35512" xr:uid="{00000000-0005-0000-0000-0000F5960000}"/>
    <cellStyle name="Wrap 3 7 5 9 2" xfId="35513" xr:uid="{00000000-0005-0000-0000-0000F6960000}"/>
    <cellStyle name="Wrap 3 7 6" xfId="35514" xr:uid="{00000000-0005-0000-0000-0000F7960000}"/>
    <cellStyle name="Wrap 3 7 6 10" xfId="35515" xr:uid="{00000000-0005-0000-0000-0000F8960000}"/>
    <cellStyle name="Wrap 3 7 6 2" xfId="35516" xr:uid="{00000000-0005-0000-0000-0000F9960000}"/>
    <cellStyle name="Wrap 3 7 6 2 2" xfId="35517" xr:uid="{00000000-0005-0000-0000-0000FA960000}"/>
    <cellStyle name="Wrap 3 7 6 3" xfId="35518" xr:uid="{00000000-0005-0000-0000-0000FB960000}"/>
    <cellStyle name="Wrap 3 7 6 3 2" xfId="35519" xr:uid="{00000000-0005-0000-0000-0000FC960000}"/>
    <cellStyle name="Wrap 3 7 6 4" xfId="35520" xr:uid="{00000000-0005-0000-0000-0000FD960000}"/>
    <cellStyle name="Wrap 3 7 6 4 2" xfId="35521" xr:uid="{00000000-0005-0000-0000-0000FE960000}"/>
    <cellStyle name="Wrap 3 7 6 5" xfId="35522" xr:uid="{00000000-0005-0000-0000-0000FF960000}"/>
    <cellStyle name="Wrap 3 7 6 5 2" xfId="35523" xr:uid="{00000000-0005-0000-0000-000000970000}"/>
    <cellStyle name="Wrap 3 7 6 6" xfId="35524" xr:uid="{00000000-0005-0000-0000-000001970000}"/>
    <cellStyle name="Wrap 3 7 6 6 2" xfId="35525" xr:uid="{00000000-0005-0000-0000-000002970000}"/>
    <cellStyle name="Wrap 3 7 6 7" xfId="35526" xr:uid="{00000000-0005-0000-0000-000003970000}"/>
    <cellStyle name="Wrap 3 7 6 7 2" xfId="35527" xr:uid="{00000000-0005-0000-0000-000004970000}"/>
    <cellStyle name="Wrap 3 7 6 8" xfId="35528" xr:uid="{00000000-0005-0000-0000-000005970000}"/>
    <cellStyle name="Wrap 3 7 6 8 2" xfId="35529" xr:uid="{00000000-0005-0000-0000-000006970000}"/>
    <cellStyle name="Wrap 3 7 6 9" xfId="35530" xr:uid="{00000000-0005-0000-0000-000007970000}"/>
    <cellStyle name="Wrap 3 7 6 9 2" xfId="35531" xr:uid="{00000000-0005-0000-0000-000008970000}"/>
    <cellStyle name="Wrap 3 7 7" xfId="35532" xr:uid="{00000000-0005-0000-0000-000009970000}"/>
    <cellStyle name="Wrap 3 7 7 10" xfId="35533" xr:uid="{00000000-0005-0000-0000-00000A970000}"/>
    <cellStyle name="Wrap 3 7 7 2" xfId="35534" xr:uid="{00000000-0005-0000-0000-00000B970000}"/>
    <cellStyle name="Wrap 3 7 7 2 2" xfId="35535" xr:uid="{00000000-0005-0000-0000-00000C970000}"/>
    <cellStyle name="Wrap 3 7 7 3" xfId="35536" xr:uid="{00000000-0005-0000-0000-00000D970000}"/>
    <cellStyle name="Wrap 3 7 7 3 2" xfId="35537" xr:uid="{00000000-0005-0000-0000-00000E970000}"/>
    <cellStyle name="Wrap 3 7 7 4" xfId="35538" xr:uid="{00000000-0005-0000-0000-00000F970000}"/>
    <cellStyle name="Wrap 3 7 7 4 2" xfId="35539" xr:uid="{00000000-0005-0000-0000-000010970000}"/>
    <cellStyle name="Wrap 3 7 7 5" xfId="35540" xr:uid="{00000000-0005-0000-0000-000011970000}"/>
    <cellStyle name="Wrap 3 7 7 5 2" xfId="35541" xr:uid="{00000000-0005-0000-0000-000012970000}"/>
    <cellStyle name="Wrap 3 7 7 6" xfId="35542" xr:uid="{00000000-0005-0000-0000-000013970000}"/>
    <cellStyle name="Wrap 3 7 7 6 2" xfId="35543" xr:uid="{00000000-0005-0000-0000-000014970000}"/>
    <cellStyle name="Wrap 3 7 7 7" xfId="35544" xr:uid="{00000000-0005-0000-0000-000015970000}"/>
    <cellStyle name="Wrap 3 7 7 7 2" xfId="35545" xr:uid="{00000000-0005-0000-0000-000016970000}"/>
    <cellStyle name="Wrap 3 7 7 8" xfId="35546" xr:uid="{00000000-0005-0000-0000-000017970000}"/>
    <cellStyle name="Wrap 3 7 7 8 2" xfId="35547" xr:uid="{00000000-0005-0000-0000-000018970000}"/>
    <cellStyle name="Wrap 3 7 7 9" xfId="35548" xr:uid="{00000000-0005-0000-0000-000019970000}"/>
    <cellStyle name="Wrap 3 7 7 9 2" xfId="35549" xr:uid="{00000000-0005-0000-0000-00001A970000}"/>
    <cellStyle name="Wrap 3 7 8" xfId="35550" xr:uid="{00000000-0005-0000-0000-00001B970000}"/>
    <cellStyle name="Wrap 3 7 8 10" xfId="35551" xr:uid="{00000000-0005-0000-0000-00001C970000}"/>
    <cellStyle name="Wrap 3 7 8 2" xfId="35552" xr:uid="{00000000-0005-0000-0000-00001D970000}"/>
    <cellStyle name="Wrap 3 7 8 2 2" xfId="35553" xr:uid="{00000000-0005-0000-0000-00001E970000}"/>
    <cellStyle name="Wrap 3 7 8 3" xfId="35554" xr:uid="{00000000-0005-0000-0000-00001F970000}"/>
    <cellStyle name="Wrap 3 7 8 3 2" xfId="35555" xr:uid="{00000000-0005-0000-0000-000020970000}"/>
    <cellStyle name="Wrap 3 7 8 4" xfId="35556" xr:uid="{00000000-0005-0000-0000-000021970000}"/>
    <cellStyle name="Wrap 3 7 8 4 2" xfId="35557" xr:uid="{00000000-0005-0000-0000-000022970000}"/>
    <cellStyle name="Wrap 3 7 8 5" xfId="35558" xr:uid="{00000000-0005-0000-0000-000023970000}"/>
    <cellStyle name="Wrap 3 7 8 5 2" xfId="35559" xr:uid="{00000000-0005-0000-0000-000024970000}"/>
    <cellStyle name="Wrap 3 7 8 6" xfId="35560" xr:uid="{00000000-0005-0000-0000-000025970000}"/>
    <cellStyle name="Wrap 3 7 8 6 2" xfId="35561" xr:uid="{00000000-0005-0000-0000-000026970000}"/>
    <cellStyle name="Wrap 3 7 8 7" xfId="35562" xr:uid="{00000000-0005-0000-0000-000027970000}"/>
    <cellStyle name="Wrap 3 7 8 7 2" xfId="35563" xr:uid="{00000000-0005-0000-0000-000028970000}"/>
    <cellStyle name="Wrap 3 7 8 8" xfId="35564" xr:uid="{00000000-0005-0000-0000-000029970000}"/>
    <cellStyle name="Wrap 3 7 8 8 2" xfId="35565" xr:uid="{00000000-0005-0000-0000-00002A970000}"/>
    <cellStyle name="Wrap 3 7 8 9" xfId="35566" xr:uid="{00000000-0005-0000-0000-00002B970000}"/>
    <cellStyle name="Wrap 3 7 8 9 2" xfId="35567" xr:uid="{00000000-0005-0000-0000-00002C970000}"/>
    <cellStyle name="Wrap 3 7 9" xfId="35568" xr:uid="{00000000-0005-0000-0000-00002D970000}"/>
    <cellStyle name="Wrap 3 7 9 10" xfId="35569" xr:uid="{00000000-0005-0000-0000-00002E970000}"/>
    <cellStyle name="Wrap 3 7 9 2" xfId="35570" xr:uid="{00000000-0005-0000-0000-00002F970000}"/>
    <cellStyle name="Wrap 3 7 9 2 2" xfId="35571" xr:uid="{00000000-0005-0000-0000-000030970000}"/>
    <cellStyle name="Wrap 3 7 9 3" xfId="35572" xr:uid="{00000000-0005-0000-0000-000031970000}"/>
    <cellStyle name="Wrap 3 7 9 3 2" xfId="35573" xr:uid="{00000000-0005-0000-0000-000032970000}"/>
    <cellStyle name="Wrap 3 7 9 4" xfId="35574" xr:uid="{00000000-0005-0000-0000-000033970000}"/>
    <cellStyle name="Wrap 3 7 9 4 2" xfId="35575" xr:uid="{00000000-0005-0000-0000-000034970000}"/>
    <cellStyle name="Wrap 3 7 9 5" xfId="35576" xr:uid="{00000000-0005-0000-0000-000035970000}"/>
    <cellStyle name="Wrap 3 7 9 5 2" xfId="35577" xr:uid="{00000000-0005-0000-0000-000036970000}"/>
    <cellStyle name="Wrap 3 7 9 6" xfId="35578" xr:uid="{00000000-0005-0000-0000-000037970000}"/>
    <cellStyle name="Wrap 3 7 9 6 2" xfId="35579" xr:uid="{00000000-0005-0000-0000-000038970000}"/>
    <cellStyle name="Wrap 3 7 9 7" xfId="35580" xr:uid="{00000000-0005-0000-0000-000039970000}"/>
    <cellStyle name="Wrap 3 7 9 7 2" xfId="35581" xr:uid="{00000000-0005-0000-0000-00003A970000}"/>
    <cellStyle name="Wrap 3 7 9 8" xfId="35582" xr:uid="{00000000-0005-0000-0000-00003B970000}"/>
    <cellStyle name="Wrap 3 7 9 8 2" xfId="35583" xr:uid="{00000000-0005-0000-0000-00003C970000}"/>
    <cellStyle name="Wrap 3 7 9 9" xfId="35584" xr:uid="{00000000-0005-0000-0000-00003D970000}"/>
    <cellStyle name="Wrap 3 7 9 9 2" xfId="35585" xr:uid="{00000000-0005-0000-0000-00003E970000}"/>
    <cellStyle name="Wrap 3 8" xfId="35586" xr:uid="{00000000-0005-0000-0000-00003F970000}"/>
    <cellStyle name="Wrap 3 8 10" xfId="35587" xr:uid="{00000000-0005-0000-0000-000040970000}"/>
    <cellStyle name="Wrap 3 8 10 2" xfId="35588" xr:uid="{00000000-0005-0000-0000-000041970000}"/>
    <cellStyle name="Wrap 3 8 10 2 2" xfId="35589" xr:uid="{00000000-0005-0000-0000-000042970000}"/>
    <cellStyle name="Wrap 3 8 10 3" xfId="35590" xr:uid="{00000000-0005-0000-0000-000043970000}"/>
    <cellStyle name="Wrap 3 8 10 3 2" xfId="35591" xr:uid="{00000000-0005-0000-0000-000044970000}"/>
    <cellStyle name="Wrap 3 8 10 4" xfId="35592" xr:uid="{00000000-0005-0000-0000-000045970000}"/>
    <cellStyle name="Wrap 3 8 10 4 2" xfId="35593" xr:uid="{00000000-0005-0000-0000-000046970000}"/>
    <cellStyle name="Wrap 3 8 10 5" xfId="35594" xr:uid="{00000000-0005-0000-0000-000047970000}"/>
    <cellStyle name="Wrap 3 8 10 5 2" xfId="35595" xr:uid="{00000000-0005-0000-0000-000048970000}"/>
    <cellStyle name="Wrap 3 8 10 6" xfId="35596" xr:uid="{00000000-0005-0000-0000-000049970000}"/>
    <cellStyle name="Wrap 3 8 10 6 2" xfId="35597" xr:uid="{00000000-0005-0000-0000-00004A970000}"/>
    <cellStyle name="Wrap 3 8 10 7" xfId="35598" xr:uid="{00000000-0005-0000-0000-00004B970000}"/>
    <cellStyle name="Wrap 3 8 10 7 2" xfId="35599" xr:uid="{00000000-0005-0000-0000-00004C970000}"/>
    <cellStyle name="Wrap 3 8 10 8" xfId="35600" xr:uid="{00000000-0005-0000-0000-00004D970000}"/>
    <cellStyle name="Wrap 3 8 10 8 2" xfId="35601" xr:uid="{00000000-0005-0000-0000-00004E970000}"/>
    <cellStyle name="Wrap 3 8 10 9" xfId="35602" xr:uid="{00000000-0005-0000-0000-00004F970000}"/>
    <cellStyle name="Wrap 3 8 11" xfId="35603" xr:uid="{00000000-0005-0000-0000-000050970000}"/>
    <cellStyle name="Wrap 3 8 11 2" xfId="35604" xr:uid="{00000000-0005-0000-0000-000051970000}"/>
    <cellStyle name="Wrap 3 8 12" xfId="35605" xr:uid="{00000000-0005-0000-0000-000052970000}"/>
    <cellStyle name="Wrap 3 8 12 2" xfId="35606" xr:uid="{00000000-0005-0000-0000-000053970000}"/>
    <cellStyle name="Wrap 3 8 13" xfId="35607" xr:uid="{00000000-0005-0000-0000-000054970000}"/>
    <cellStyle name="Wrap 3 8 13 2" xfId="35608" xr:uid="{00000000-0005-0000-0000-000055970000}"/>
    <cellStyle name="Wrap 3 8 14" xfId="35609" xr:uid="{00000000-0005-0000-0000-000056970000}"/>
    <cellStyle name="Wrap 3 8 14 2" xfId="35610" xr:uid="{00000000-0005-0000-0000-000057970000}"/>
    <cellStyle name="Wrap 3 8 15" xfId="35611" xr:uid="{00000000-0005-0000-0000-000058970000}"/>
    <cellStyle name="Wrap 3 8 15 2" xfId="35612" xr:uid="{00000000-0005-0000-0000-000059970000}"/>
    <cellStyle name="Wrap 3 8 16" xfId="35613" xr:uid="{00000000-0005-0000-0000-00005A970000}"/>
    <cellStyle name="Wrap 3 8 16 2" xfId="35614" xr:uid="{00000000-0005-0000-0000-00005B970000}"/>
    <cellStyle name="Wrap 3 8 17" xfId="35615" xr:uid="{00000000-0005-0000-0000-00005C970000}"/>
    <cellStyle name="Wrap 3 8 17 2" xfId="35616" xr:uid="{00000000-0005-0000-0000-00005D970000}"/>
    <cellStyle name="Wrap 3 8 18" xfId="35617" xr:uid="{00000000-0005-0000-0000-00005E970000}"/>
    <cellStyle name="Wrap 3 8 2" xfId="35618" xr:uid="{00000000-0005-0000-0000-00005F970000}"/>
    <cellStyle name="Wrap 3 8 2 10" xfId="35619" xr:uid="{00000000-0005-0000-0000-000060970000}"/>
    <cellStyle name="Wrap 3 8 2 2" xfId="35620" xr:uid="{00000000-0005-0000-0000-000061970000}"/>
    <cellStyle name="Wrap 3 8 2 2 2" xfId="35621" xr:uid="{00000000-0005-0000-0000-000062970000}"/>
    <cellStyle name="Wrap 3 8 2 3" xfId="35622" xr:uid="{00000000-0005-0000-0000-000063970000}"/>
    <cellStyle name="Wrap 3 8 2 3 2" xfId="35623" xr:uid="{00000000-0005-0000-0000-000064970000}"/>
    <cellStyle name="Wrap 3 8 2 4" xfId="35624" xr:uid="{00000000-0005-0000-0000-000065970000}"/>
    <cellStyle name="Wrap 3 8 2 4 2" xfId="35625" xr:uid="{00000000-0005-0000-0000-000066970000}"/>
    <cellStyle name="Wrap 3 8 2 5" xfId="35626" xr:uid="{00000000-0005-0000-0000-000067970000}"/>
    <cellStyle name="Wrap 3 8 2 5 2" xfId="35627" xr:uid="{00000000-0005-0000-0000-000068970000}"/>
    <cellStyle name="Wrap 3 8 2 6" xfId="35628" xr:uid="{00000000-0005-0000-0000-000069970000}"/>
    <cellStyle name="Wrap 3 8 2 6 2" xfId="35629" xr:uid="{00000000-0005-0000-0000-00006A970000}"/>
    <cellStyle name="Wrap 3 8 2 7" xfId="35630" xr:uid="{00000000-0005-0000-0000-00006B970000}"/>
    <cellStyle name="Wrap 3 8 2 7 2" xfId="35631" xr:uid="{00000000-0005-0000-0000-00006C970000}"/>
    <cellStyle name="Wrap 3 8 2 8" xfId="35632" xr:uid="{00000000-0005-0000-0000-00006D970000}"/>
    <cellStyle name="Wrap 3 8 2 8 2" xfId="35633" xr:uid="{00000000-0005-0000-0000-00006E970000}"/>
    <cellStyle name="Wrap 3 8 2 9" xfId="35634" xr:uid="{00000000-0005-0000-0000-00006F970000}"/>
    <cellStyle name="Wrap 3 8 2 9 2" xfId="35635" xr:uid="{00000000-0005-0000-0000-000070970000}"/>
    <cellStyle name="Wrap 3 8 3" xfId="35636" xr:uid="{00000000-0005-0000-0000-000071970000}"/>
    <cellStyle name="Wrap 3 8 3 10" xfId="35637" xr:uid="{00000000-0005-0000-0000-000072970000}"/>
    <cellStyle name="Wrap 3 8 3 2" xfId="35638" xr:uid="{00000000-0005-0000-0000-000073970000}"/>
    <cellStyle name="Wrap 3 8 3 2 2" xfId="35639" xr:uid="{00000000-0005-0000-0000-000074970000}"/>
    <cellStyle name="Wrap 3 8 3 3" xfId="35640" xr:uid="{00000000-0005-0000-0000-000075970000}"/>
    <cellStyle name="Wrap 3 8 3 3 2" xfId="35641" xr:uid="{00000000-0005-0000-0000-000076970000}"/>
    <cellStyle name="Wrap 3 8 3 4" xfId="35642" xr:uid="{00000000-0005-0000-0000-000077970000}"/>
    <cellStyle name="Wrap 3 8 3 4 2" xfId="35643" xr:uid="{00000000-0005-0000-0000-000078970000}"/>
    <cellStyle name="Wrap 3 8 3 5" xfId="35644" xr:uid="{00000000-0005-0000-0000-000079970000}"/>
    <cellStyle name="Wrap 3 8 3 5 2" xfId="35645" xr:uid="{00000000-0005-0000-0000-00007A970000}"/>
    <cellStyle name="Wrap 3 8 3 6" xfId="35646" xr:uid="{00000000-0005-0000-0000-00007B970000}"/>
    <cellStyle name="Wrap 3 8 3 6 2" xfId="35647" xr:uid="{00000000-0005-0000-0000-00007C970000}"/>
    <cellStyle name="Wrap 3 8 3 7" xfId="35648" xr:uid="{00000000-0005-0000-0000-00007D970000}"/>
    <cellStyle name="Wrap 3 8 3 7 2" xfId="35649" xr:uid="{00000000-0005-0000-0000-00007E970000}"/>
    <cellStyle name="Wrap 3 8 3 8" xfId="35650" xr:uid="{00000000-0005-0000-0000-00007F970000}"/>
    <cellStyle name="Wrap 3 8 3 8 2" xfId="35651" xr:uid="{00000000-0005-0000-0000-000080970000}"/>
    <cellStyle name="Wrap 3 8 3 9" xfId="35652" xr:uid="{00000000-0005-0000-0000-000081970000}"/>
    <cellStyle name="Wrap 3 8 3 9 2" xfId="35653" xr:uid="{00000000-0005-0000-0000-000082970000}"/>
    <cellStyle name="Wrap 3 8 4" xfId="35654" xr:uid="{00000000-0005-0000-0000-000083970000}"/>
    <cellStyle name="Wrap 3 8 4 10" xfId="35655" xr:uid="{00000000-0005-0000-0000-000084970000}"/>
    <cellStyle name="Wrap 3 8 4 2" xfId="35656" xr:uid="{00000000-0005-0000-0000-000085970000}"/>
    <cellStyle name="Wrap 3 8 4 2 2" xfId="35657" xr:uid="{00000000-0005-0000-0000-000086970000}"/>
    <cellStyle name="Wrap 3 8 4 3" xfId="35658" xr:uid="{00000000-0005-0000-0000-000087970000}"/>
    <cellStyle name="Wrap 3 8 4 3 2" xfId="35659" xr:uid="{00000000-0005-0000-0000-000088970000}"/>
    <cellStyle name="Wrap 3 8 4 4" xfId="35660" xr:uid="{00000000-0005-0000-0000-000089970000}"/>
    <cellStyle name="Wrap 3 8 4 4 2" xfId="35661" xr:uid="{00000000-0005-0000-0000-00008A970000}"/>
    <cellStyle name="Wrap 3 8 4 5" xfId="35662" xr:uid="{00000000-0005-0000-0000-00008B970000}"/>
    <cellStyle name="Wrap 3 8 4 5 2" xfId="35663" xr:uid="{00000000-0005-0000-0000-00008C970000}"/>
    <cellStyle name="Wrap 3 8 4 6" xfId="35664" xr:uid="{00000000-0005-0000-0000-00008D970000}"/>
    <cellStyle name="Wrap 3 8 4 6 2" xfId="35665" xr:uid="{00000000-0005-0000-0000-00008E970000}"/>
    <cellStyle name="Wrap 3 8 4 7" xfId="35666" xr:uid="{00000000-0005-0000-0000-00008F970000}"/>
    <cellStyle name="Wrap 3 8 4 7 2" xfId="35667" xr:uid="{00000000-0005-0000-0000-000090970000}"/>
    <cellStyle name="Wrap 3 8 4 8" xfId="35668" xr:uid="{00000000-0005-0000-0000-000091970000}"/>
    <cellStyle name="Wrap 3 8 4 8 2" xfId="35669" xr:uid="{00000000-0005-0000-0000-000092970000}"/>
    <cellStyle name="Wrap 3 8 4 9" xfId="35670" xr:uid="{00000000-0005-0000-0000-000093970000}"/>
    <cellStyle name="Wrap 3 8 4 9 2" xfId="35671" xr:uid="{00000000-0005-0000-0000-000094970000}"/>
    <cellStyle name="Wrap 3 8 5" xfId="35672" xr:uid="{00000000-0005-0000-0000-000095970000}"/>
    <cellStyle name="Wrap 3 8 5 10" xfId="35673" xr:uid="{00000000-0005-0000-0000-000096970000}"/>
    <cellStyle name="Wrap 3 8 5 2" xfId="35674" xr:uid="{00000000-0005-0000-0000-000097970000}"/>
    <cellStyle name="Wrap 3 8 5 2 2" xfId="35675" xr:uid="{00000000-0005-0000-0000-000098970000}"/>
    <cellStyle name="Wrap 3 8 5 3" xfId="35676" xr:uid="{00000000-0005-0000-0000-000099970000}"/>
    <cellStyle name="Wrap 3 8 5 3 2" xfId="35677" xr:uid="{00000000-0005-0000-0000-00009A970000}"/>
    <cellStyle name="Wrap 3 8 5 4" xfId="35678" xr:uid="{00000000-0005-0000-0000-00009B970000}"/>
    <cellStyle name="Wrap 3 8 5 4 2" xfId="35679" xr:uid="{00000000-0005-0000-0000-00009C970000}"/>
    <cellStyle name="Wrap 3 8 5 5" xfId="35680" xr:uid="{00000000-0005-0000-0000-00009D970000}"/>
    <cellStyle name="Wrap 3 8 5 5 2" xfId="35681" xr:uid="{00000000-0005-0000-0000-00009E970000}"/>
    <cellStyle name="Wrap 3 8 5 6" xfId="35682" xr:uid="{00000000-0005-0000-0000-00009F970000}"/>
    <cellStyle name="Wrap 3 8 5 6 2" xfId="35683" xr:uid="{00000000-0005-0000-0000-0000A0970000}"/>
    <cellStyle name="Wrap 3 8 5 7" xfId="35684" xr:uid="{00000000-0005-0000-0000-0000A1970000}"/>
    <cellStyle name="Wrap 3 8 5 7 2" xfId="35685" xr:uid="{00000000-0005-0000-0000-0000A2970000}"/>
    <cellStyle name="Wrap 3 8 5 8" xfId="35686" xr:uid="{00000000-0005-0000-0000-0000A3970000}"/>
    <cellStyle name="Wrap 3 8 5 8 2" xfId="35687" xr:uid="{00000000-0005-0000-0000-0000A4970000}"/>
    <cellStyle name="Wrap 3 8 5 9" xfId="35688" xr:uid="{00000000-0005-0000-0000-0000A5970000}"/>
    <cellStyle name="Wrap 3 8 5 9 2" xfId="35689" xr:uid="{00000000-0005-0000-0000-0000A6970000}"/>
    <cellStyle name="Wrap 3 8 6" xfId="35690" xr:uid="{00000000-0005-0000-0000-0000A7970000}"/>
    <cellStyle name="Wrap 3 8 6 10" xfId="35691" xr:uid="{00000000-0005-0000-0000-0000A8970000}"/>
    <cellStyle name="Wrap 3 8 6 2" xfId="35692" xr:uid="{00000000-0005-0000-0000-0000A9970000}"/>
    <cellStyle name="Wrap 3 8 6 2 2" xfId="35693" xr:uid="{00000000-0005-0000-0000-0000AA970000}"/>
    <cellStyle name="Wrap 3 8 6 3" xfId="35694" xr:uid="{00000000-0005-0000-0000-0000AB970000}"/>
    <cellStyle name="Wrap 3 8 6 3 2" xfId="35695" xr:uid="{00000000-0005-0000-0000-0000AC970000}"/>
    <cellStyle name="Wrap 3 8 6 4" xfId="35696" xr:uid="{00000000-0005-0000-0000-0000AD970000}"/>
    <cellStyle name="Wrap 3 8 6 4 2" xfId="35697" xr:uid="{00000000-0005-0000-0000-0000AE970000}"/>
    <cellStyle name="Wrap 3 8 6 5" xfId="35698" xr:uid="{00000000-0005-0000-0000-0000AF970000}"/>
    <cellStyle name="Wrap 3 8 6 5 2" xfId="35699" xr:uid="{00000000-0005-0000-0000-0000B0970000}"/>
    <cellStyle name="Wrap 3 8 6 6" xfId="35700" xr:uid="{00000000-0005-0000-0000-0000B1970000}"/>
    <cellStyle name="Wrap 3 8 6 6 2" xfId="35701" xr:uid="{00000000-0005-0000-0000-0000B2970000}"/>
    <cellStyle name="Wrap 3 8 6 7" xfId="35702" xr:uid="{00000000-0005-0000-0000-0000B3970000}"/>
    <cellStyle name="Wrap 3 8 6 7 2" xfId="35703" xr:uid="{00000000-0005-0000-0000-0000B4970000}"/>
    <cellStyle name="Wrap 3 8 6 8" xfId="35704" xr:uid="{00000000-0005-0000-0000-0000B5970000}"/>
    <cellStyle name="Wrap 3 8 6 8 2" xfId="35705" xr:uid="{00000000-0005-0000-0000-0000B6970000}"/>
    <cellStyle name="Wrap 3 8 6 9" xfId="35706" xr:uid="{00000000-0005-0000-0000-0000B7970000}"/>
    <cellStyle name="Wrap 3 8 6 9 2" xfId="35707" xr:uid="{00000000-0005-0000-0000-0000B8970000}"/>
    <cellStyle name="Wrap 3 8 7" xfId="35708" xr:uid="{00000000-0005-0000-0000-0000B9970000}"/>
    <cellStyle name="Wrap 3 8 7 10" xfId="35709" xr:uid="{00000000-0005-0000-0000-0000BA970000}"/>
    <cellStyle name="Wrap 3 8 7 2" xfId="35710" xr:uid="{00000000-0005-0000-0000-0000BB970000}"/>
    <cellStyle name="Wrap 3 8 7 2 2" xfId="35711" xr:uid="{00000000-0005-0000-0000-0000BC970000}"/>
    <cellStyle name="Wrap 3 8 7 3" xfId="35712" xr:uid="{00000000-0005-0000-0000-0000BD970000}"/>
    <cellStyle name="Wrap 3 8 7 3 2" xfId="35713" xr:uid="{00000000-0005-0000-0000-0000BE970000}"/>
    <cellStyle name="Wrap 3 8 7 4" xfId="35714" xr:uid="{00000000-0005-0000-0000-0000BF970000}"/>
    <cellStyle name="Wrap 3 8 7 4 2" xfId="35715" xr:uid="{00000000-0005-0000-0000-0000C0970000}"/>
    <cellStyle name="Wrap 3 8 7 5" xfId="35716" xr:uid="{00000000-0005-0000-0000-0000C1970000}"/>
    <cellStyle name="Wrap 3 8 7 5 2" xfId="35717" xr:uid="{00000000-0005-0000-0000-0000C2970000}"/>
    <cellStyle name="Wrap 3 8 7 6" xfId="35718" xr:uid="{00000000-0005-0000-0000-0000C3970000}"/>
    <cellStyle name="Wrap 3 8 7 6 2" xfId="35719" xr:uid="{00000000-0005-0000-0000-0000C4970000}"/>
    <cellStyle name="Wrap 3 8 7 7" xfId="35720" xr:uid="{00000000-0005-0000-0000-0000C5970000}"/>
    <cellStyle name="Wrap 3 8 7 7 2" xfId="35721" xr:uid="{00000000-0005-0000-0000-0000C6970000}"/>
    <cellStyle name="Wrap 3 8 7 8" xfId="35722" xr:uid="{00000000-0005-0000-0000-0000C7970000}"/>
    <cellStyle name="Wrap 3 8 7 8 2" xfId="35723" xr:uid="{00000000-0005-0000-0000-0000C8970000}"/>
    <cellStyle name="Wrap 3 8 7 9" xfId="35724" xr:uid="{00000000-0005-0000-0000-0000C9970000}"/>
    <cellStyle name="Wrap 3 8 7 9 2" xfId="35725" xr:uid="{00000000-0005-0000-0000-0000CA970000}"/>
    <cellStyle name="Wrap 3 8 8" xfId="35726" xr:uid="{00000000-0005-0000-0000-0000CB970000}"/>
    <cellStyle name="Wrap 3 8 8 10" xfId="35727" xr:uid="{00000000-0005-0000-0000-0000CC970000}"/>
    <cellStyle name="Wrap 3 8 8 2" xfId="35728" xr:uid="{00000000-0005-0000-0000-0000CD970000}"/>
    <cellStyle name="Wrap 3 8 8 2 2" xfId="35729" xr:uid="{00000000-0005-0000-0000-0000CE970000}"/>
    <cellStyle name="Wrap 3 8 8 3" xfId="35730" xr:uid="{00000000-0005-0000-0000-0000CF970000}"/>
    <cellStyle name="Wrap 3 8 8 3 2" xfId="35731" xr:uid="{00000000-0005-0000-0000-0000D0970000}"/>
    <cellStyle name="Wrap 3 8 8 4" xfId="35732" xr:uid="{00000000-0005-0000-0000-0000D1970000}"/>
    <cellStyle name="Wrap 3 8 8 4 2" xfId="35733" xr:uid="{00000000-0005-0000-0000-0000D2970000}"/>
    <cellStyle name="Wrap 3 8 8 5" xfId="35734" xr:uid="{00000000-0005-0000-0000-0000D3970000}"/>
    <cellStyle name="Wrap 3 8 8 5 2" xfId="35735" xr:uid="{00000000-0005-0000-0000-0000D4970000}"/>
    <cellStyle name="Wrap 3 8 8 6" xfId="35736" xr:uid="{00000000-0005-0000-0000-0000D5970000}"/>
    <cellStyle name="Wrap 3 8 8 6 2" xfId="35737" xr:uid="{00000000-0005-0000-0000-0000D6970000}"/>
    <cellStyle name="Wrap 3 8 8 7" xfId="35738" xr:uid="{00000000-0005-0000-0000-0000D7970000}"/>
    <cellStyle name="Wrap 3 8 8 7 2" xfId="35739" xr:uid="{00000000-0005-0000-0000-0000D8970000}"/>
    <cellStyle name="Wrap 3 8 8 8" xfId="35740" xr:uid="{00000000-0005-0000-0000-0000D9970000}"/>
    <cellStyle name="Wrap 3 8 8 8 2" xfId="35741" xr:uid="{00000000-0005-0000-0000-0000DA970000}"/>
    <cellStyle name="Wrap 3 8 8 9" xfId="35742" xr:uid="{00000000-0005-0000-0000-0000DB970000}"/>
    <cellStyle name="Wrap 3 8 8 9 2" xfId="35743" xr:uid="{00000000-0005-0000-0000-0000DC970000}"/>
    <cellStyle name="Wrap 3 8 9" xfId="35744" xr:uid="{00000000-0005-0000-0000-0000DD970000}"/>
    <cellStyle name="Wrap 3 8 9 10" xfId="35745" xr:uid="{00000000-0005-0000-0000-0000DE970000}"/>
    <cellStyle name="Wrap 3 8 9 2" xfId="35746" xr:uid="{00000000-0005-0000-0000-0000DF970000}"/>
    <cellStyle name="Wrap 3 8 9 2 2" xfId="35747" xr:uid="{00000000-0005-0000-0000-0000E0970000}"/>
    <cellStyle name="Wrap 3 8 9 3" xfId="35748" xr:uid="{00000000-0005-0000-0000-0000E1970000}"/>
    <cellStyle name="Wrap 3 8 9 3 2" xfId="35749" xr:uid="{00000000-0005-0000-0000-0000E2970000}"/>
    <cellStyle name="Wrap 3 8 9 4" xfId="35750" xr:uid="{00000000-0005-0000-0000-0000E3970000}"/>
    <cellStyle name="Wrap 3 8 9 4 2" xfId="35751" xr:uid="{00000000-0005-0000-0000-0000E4970000}"/>
    <cellStyle name="Wrap 3 8 9 5" xfId="35752" xr:uid="{00000000-0005-0000-0000-0000E5970000}"/>
    <cellStyle name="Wrap 3 8 9 5 2" xfId="35753" xr:uid="{00000000-0005-0000-0000-0000E6970000}"/>
    <cellStyle name="Wrap 3 8 9 6" xfId="35754" xr:uid="{00000000-0005-0000-0000-0000E7970000}"/>
    <cellStyle name="Wrap 3 8 9 6 2" xfId="35755" xr:uid="{00000000-0005-0000-0000-0000E8970000}"/>
    <cellStyle name="Wrap 3 8 9 7" xfId="35756" xr:uid="{00000000-0005-0000-0000-0000E9970000}"/>
    <cellStyle name="Wrap 3 8 9 7 2" xfId="35757" xr:uid="{00000000-0005-0000-0000-0000EA970000}"/>
    <cellStyle name="Wrap 3 8 9 8" xfId="35758" xr:uid="{00000000-0005-0000-0000-0000EB970000}"/>
    <cellStyle name="Wrap 3 8 9 8 2" xfId="35759" xr:uid="{00000000-0005-0000-0000-0000EC970000}"/>
    <cellStyle name="Wrap 3 8 9 9" xfId="35760" xr:uid="{00000000-0005-0000-0000-0000ED970000}"/>
    <cellStyle name="Wrap 3 8 9 9 2" xfId="35761" xr:uid="{00000000-0005-0000-0000-0000EE970000}"/>
    <cellStyle name="Wrap 4" xfId="209" xr:uid="{00000000-0005-0000-0000-0000EF970000}"/>
    <cellStyle name="Wrap 4 2" xfId="35762" xr:uid="{00000000-0005-0000-0000-0000F0970000}"/>
    <cellStyle name="Wrap 4 2 10" xfId="35763" xr:uid="{00000000-0005-0000-0000-0000F1970000}"/>
    <cellStyle name="Wrap 4 2 10 10" xfId="35764" xr:uid="{00000000-0005-0000-0000-0000F2970000}"/>
    <cellStyle name="Wrap 4 2 10 2" xfId="35765" xr:uid="{00000000-0005-0000-0000-0000F3970000}"/>
    <cellStyle name="Wrap 4 2 10 2 2" xfId="35766" xr:uid="{00000000-0005-0000-0000-0000F4970000}"/>
    <cellStyle name="Wrap 4 2 10 3" xfId="35767" xr:uid="{00000000-0005-0000-0000-0000F5970000}"/>
    <cellStyle name="Wrap 4 2 10 3 2" xfId="35768" xr:uid="{00000000-0005-0000-0000-0000F6970000}"/>
    <cellStyle name="Wrap 4 2 10 4" xfId="35769" xr:uid="{00000000-0005-0000-0000-0000F7970000}"/>
    <cellStyle name="Wrap 4 2 10 4 2" xfId="35770" xr:uid="{00000000-0005-0000-0000-0000F8970000}"/>
    <cellStyle name="Wrap 4 2 10 5" xfId="35771" xr:uid="{00000000-0005-0000-0000-0000F9970000}"/>
    <cellStyle name="Wrap 4 2 10 5 2" xfId="35772" xr:uid="{00000000-0005-0000-0000-0000FA970000}"/>
    <cellStyle name="Wrap 4 2 10 6" xfId="35773" xr:uid="{00000000-0005-0000-0000-0000FB970000}"/>
    <cellStyle name="Wrap 4 2 10 6 2" xfId="35774" xr:uid="{00000000-0005-0000-0000-0000FC970000}"/>
    <cellStyle name="Wrap 4 2 10 7" xfId="35775" xr:uid="{00000000-0005-0000-0000-0000FD970000}"/>
    <cellStyle name="Wrap 4 2 10 7 2" xfId="35776" xr:uid="{00000000-0005-0000-0000-0000FE970000}"/>
    <cellStyle name="Wrap 4 2 10 8" xfId="35777" xr:uid="{00000000-0005-0000-0000-0000FF970000}"/>
    <cellStyle name="Wrap 4 2 10 8 2" xfId="35778" xr:uid="{00000000-0005-0000-0000-000000980000}"/>
    <cellStyle name="Wrap 4 2 10 9" xfId="35779" xr:uid="{00000000-0005-0000-0000-000001980000}"/>
    <cellStyle name="Wrap 4 2 10 9 2" xfId="35780" xr:uid="{00000000-0005-0000-0000-000002980000}"/>
    <cellStyle name="Wrap 4 2 11" xfId="35781" xr:uid="{00000000-0005-0000-0000-000003980000}"/>
    <cellStyle name="Wrap 4 2 11 2" xfId="35782" xr:uid="{00000000-0005-0000-0000-000004980000}"/>
    <cellStyle name="Wrap 4 2 11 2 2" xfId="35783" xr:uid="{00000000-0005-0000-0000-000005980000}"/>
    <cellStyle name="Wrap 4 2 11 3" xfId="35784" xr:uid="{00000000-0005-0000-0000-000006980000}"/>
    <cellStyle name="Wrap 4 2 11 3 2" xfId="35785" xr:uid="{00000000-0005-0000-0000-000007980000}"/>
    <cellStyle name="Wrap 4 2 11 4" xfId="35786" xr:uid="{00000000-0005-0000-0000-000008980000}"/>
    <cellStyle name="Wrap 4 2 11 4 2" xfId="35787" xr:uid="{00000000-0005-0000-0000-000009980000}"/>
    <cellStyle name="Wrap 4 2 11 5" xfId="35788" xr:uid="{00000000-0005-0000-0000-00000A980000}"/>
    <cellStyle name="Wrap 4 2 11 5 2" xfId="35789" xr:uid="{00000000-0005-0000-0000-00000B980000}"/>
    <cellStyle name="Wrap 4 2 11 6" xfId="35790" xr:uid="{00000000-0005-0000-0000-00000C980000}"/>
    <cellStyle name="Wrap 4 2 11 6 2" xfId="35791" xr:uid="{00000000-0005-0000-0000-00000D980000}"/>
    <cellStyle name="Wrap 4 2 11 7" xfId="35792" xr:uid="{00000000-0005-0000-0000-00000E980000}"/>
    <cellStyle name="Wrap 4 2 11 7 2" xfId="35793" xr:uid="{00000000-0005-0000-0000-00000F980000}"/>
    <cellStyle name="Wrap 4 2 11 8" xfId="35794" xr:uid="{00000000-0005-0000-0000-000010980000}"/>
    <cellStyle name="Wrap 4 2 11 8 2" xfId="35795" xr:uid="{00000000-0005-0000-0000-000011980000}"/>
    <cellStyle name="Wrap 4 2 11 9" xfId="35796" xr:uid="{00000000-0005-0000-0000-000012980000}"/>
    <cellStyle name="Wrap 4 2 2" xfId="35797" xr:uid="{00000000-0005-0000-0000-000013980000}"/>
    <cellStyle name="Wrap 4 2 2 10" xfId="35798" xr:uid="{00000000-0005-0000-0000-000014980000}"/>
    <cellStyle name="Wrap 4 2 2 2" xfId="35799" xr:uid="{00000000-0005-0000-0000-000015980000}"/>
    <cellStyle name="Wrap 4 2 2 2 2" xfId="35800" xr:uid="{00000000-0005-0000-0000-000016980000}"/>
    <cellStyle name="Wrap 4 2 2 3" xfId="35801" xr:uid="{00000000-0005-0000-0000-000017980000}"/>
    <cellStyle name="Wrap 4 2 2 3 2" xfId="35802" xr:uid="{00000000-0005-0000-0000-000018980000}"/>
    <cellStyle name="Wrap 4 2 2 4" xfId="35803" xr:uid="{00000000-0005-0000-0000-000019980000}"/>
    <cellStyle name="Wrap 4 2 2 4 2" xfId="35804" xr:uid="{00000000-0005-0000-0000-00001A980000}"/>
    <cellStyle name="Wrap 4 2 2 5" xfId="35805" xr:uid="{00000000-0005-0000-0000-00001B980000}"/>
    <cellStyle name="Wrap 4 2 2 5 2" xfId="35806" xr:uid="{00000000-0005-0000-0000-00001C980000}"/>
    <cellStyle name="Wrap 4 2 2 6" xfId="35807" xr:uid="{00000000-0005-0000-0000-00001D980000}"/>
    <cellStyle name="Wrap 4 2 2 6 2" xfId="35808" xr:uid="{00000000-0005-0000-0000-00001E980000}"/>
    <cellStyle name="Wrap 4 2 2 7" xfId="35809" xr:uid="{00000000-0005-0000-0000-00001F980000}"/>
    <cellStyle name="Wrap 4 2 2 7 2" xfId="35810" xr:uid="{00000000-0005-0000-0000-000020980000}"/>
    <cellStyle name="Wrap 4 2 2 8" xfId="35811" xr:uid="{00000000-0005-0000-0000-000021980000}"/>
    <cellStyle name="Wrap 4 2 2 8 2" xfId="35812" xr:uid="{00000000-0005-0000-0000-000022980000}"/>
    <cellStyle name="Wrap 4 2 2 9" xfId="35813" xr:uid="{00000000-0005-0000-0000-000023980000}"/>
    <cellStyle name="Wrap 4 2 2 9 2" xfId="35814" xr:uid="{00000000-0005-0000-0000-000024980000}"/>
    <cellStyle name="Wrap 4 2 3" xfId="35815" xr:uid="{00000000-0005-0000-0000-000025980000}"/>
    <cellStyle name="Wrap 4 2 3 10" xfId="35816" xr:uid="{00000000-0005-0000-0000-000026980000}"/>
    <cellStyle name="Wrap 4 2 3 2" xfId="35817" xr:uid="{00000000-0005-0000-0000-000027980000}"/>
    <cellStyle name="Wrap 4 2 3 2 2" xfId="35818" xr:uid="{00000000-0005-0000-0000-000028980000}"/>
    <cellStyle name="Wrap 4 2 3 3" xfId="35819" xr:uid="{00000000-0005-0000-0000-000029980000}"/>
    <cellStyle name="Wrap 4 2 3 3 2" xfId="35820" xr:uid="{00000000-0005-0000-0000-00002A980000}"/>
    <cellStyle name="Wrap 4 2 3 4" xfId="35821" xr:uid="{00000000-0005-0000-0000-00002B980000}"/>
    <cellStyle name="Wrap 4 2 3 4 2" xfId="35822" xr:uid="{00000000-0005-0000-0000-00002C980000}"/>
    <cellStyle name="Wrap 4 2 3 5" xfId="35823" xr:uid="{00000000-0005-0000-0000-00002D980000}"/>
    <cellStyle name="Wrap 4 2 3 5 2" xfId="35824" xr:uid="{00000000-0005-0000-0000-00002E980000}"/>
    <cellStyle name="Wrap 4 2 3 6" xfId="35825" xr:uid="{00000000-0005-0000-0000-00002F980000}"/>
    <cellStyle name="Wrap 4 2 3 6 2" xfId="35826" xr:uid="{00000000-0005-0000-0000-000030980000}"/>
    <cellStyle name="Wrap 4 2 3 7" xfId="35827" xr:uid="{00000000-0005-0000-0000-000031980000}"/>
    <cellStyle name="Wrap 4 2 3 7 2" xfId="35828" xr:uid="{00000000-0005-0000-0000-000032980000}"/>
    <cellStyle name="Wrap 4 2 3 8" xfId="35829" xr:uid="{00000000-0005-0000-0000-000033980000}"/>
    <cellStyle name="Wrap 4 2 3 8 2" xfId="35830" xr:uid="{00000000-0005-0000-0000-000034980000}"/>
    <cellStyle name="Wrap 4 2 3 9" xfId="35831" xr:uid="{00000000-0005-0000-0000-000035980000}"/>
    <cellStyle name="Wrap 4 2 3 9 2" xfId="35832" xr:uid="{00000000-0005-0000-0000-000036980000}"/>
    <cellStyle name="Wrap 4 2 4" xfId="35833" xr:uid="{00000000-0005-0000-0000-000037980000}"/>
    <cellStyle name="Wrap 4 2 4 10" xfId="35834" xr:uid="{00000000-0005-0000-0000-000038980000}"/>
    <cellStyle name="Wrap 4 2 4 2" xfId="35835" xr:uid="{00000000-0005-0000-0000-000039980000}"/>
    <cellStyle name="Wrap 4 2 4 2 2" xfId="35836" xr:uid="{00000000-0005-0000-0000-00003A980000}"/>
    <cellStyle name="Wrap 4 2 4 3" xfId="35837" xr:uid="{00000000-0005-0000-0000-00003B980000}"/>
    <cellStyle name="Wrap 4 2 4 3 2" xfId="35838" xr:uid="{00000000-0005-0000-0000-00003C980000}"/>
    <cellStyle name="Wrap 4 2 4 4" xfId="35839" xr:uid="{00000000-0005-0000-0000-00003D980000}"/>
    <cellStyle name="Wrap 4 2 4 4 2" xfId="35840" xr:uid="{00000000-0005-0000-0000-00003E980000}"/>
    <cellStyle name="Wrap 4 2 4 5" xfId="35841" xr:uid="{00000000-0005-0000-0000-00003F980000}"/>
    <cellStyle name="Wrap 4 2 4 5 2" xfId="35842" xr:uid="{00000000-0005-0000-0000-000040980000}"/>
    <cellStyle name="Wrap 4 2 4 6" xfId="35843" xr:uid="{00000000-0005-0000-0000-000041980000}"/>
    <cellStyle name="Wrap 4 2 4 6 2" xfId="35844" xr:uid="{00000000-0005-0000-0000-000042980000}"/>
    <cellStyle name="Wrap 4 2 4 7" xfId="35845" xr:uid="{00000000-0005-0000-0000-000043980000}"/>
    <cellStyle name="Wrap 4 2 4 7 2" xfId="35846" xr:uid="{00000000-0005-0000-0000-000044980000}"/>
    <cellStyle name="Wrap 4 2 4 8" xfId="35847" xr:uid="{00000000-0005-0000-0000-000045980000}"/>
    <cellStyle name="Wrap 4 2 4 8 2" xfId="35848" xr:uid="{00000000-0005-0000-0000-000046980000}"/>
    <cellStyle name="Wrap 4 2 4 9" xfId="35849" xr:uid="{00000000-0005-0000-0000-000047980000}"/>
    <cellStyle name="Wrap 4 2 4 9 2" xfId="35850" xr:uid="{00000000-0005-0000-0000-000048980000}"/>
    <cellStyle name="Wrap 4 2 5" xfId="35851" xr:uid="{00000000-0005-0000-0000-000049980000}"/>
    <cellStyle name="Wrap 4 2 5 10" xfId="35852" xr:uid="{00000000-0005-0000-0000-00004A980000}"/>
    <cellStyle name="Wrap 4 2 5 2" xfId="35853" xr:uid="{00000000-0005-0000-0000-00004B980000}"/>
    <cellStyle name="Wrap 4 2 5 2 2" xfId="35854" xr:uid="{00000000-0005-0000-0000-00004C980000}"/>
    <cellStyle name="Wrap 4 2 5 3" xfId="35855" xr:uid="{00000000-0005-0000-0000-00004D980000}"/>
    <cellStyle name="Wrap 4 2 5 3 2" xfId="35856" xr:uid="{00000000-0005-0000-0000-00004E980000}"/>
    <cellStyle name="Wrap 4 2 5 4" xfId="35857" xr:uid="{00000000-0005-0000-0000-00004F980000}"/>
    <cellStyle name="Wrap 4 2 5 4 2" xfId="35858" xr:uid="{00000000-0005-0000-0000-000050980000}"/>
    <cellStyle name="Wrap 4 2 5 5" xfId="35859" xr:uid="{00000000-0005-0000-0000-000051980000}"/>
    <cellStyle name="Wrap 4 2 5 5 2" xfId="35860" xr:uid="{00000000-0005-0000-0000-000052980000}"/>
    <cellStyle name="Wrap 4 2 5 6" xfId="35861" xr:uid="{00000000-0005-0000-0000-000053980000}"/>
    <cellStyle name="Wrap 4 2 5 6 2" xfId="35862" xr:uid="{00000000-0005-0000-0000-000054980000}"/>
    <cellStyle name="Wrap 4 2 5 7" xfId="35863" xr:uid="{00000000-0005-0000-0000-000055980000}"/>
    <cellStyle name="Wrap 4 2 5 7 2" xfId="35864" xr:uid="{00000000-0005-0000-0000-000056980000}"/>
    <cellStyle name="Wrap 4 2 5 8" xfId="35865" xr:uid="{00000000-0005-0000-0000-000057980000}"/>
    <cellStyle name="Wrap 4 2 5 8 2" xfId="35866" xr:uid="{00000000-0005-0000-0000-000058980000}"/>
    <cellStyle name="Wrap 4 2 5 9" xfId="35867" xr:uid="{00000000-0005-0000-0000-000059980000}"/>
    <cellStyle name="Wrap 4 2 5 9 2" xfId="35868" xr:uid="{00000000-0005-0000-0000-00005A980000}"/>
    <cellStyle name="Wrap 4 2 6" xfId="35869" xr:uid="{00000000-0005-0000-0000-00005B980000}"/>
    <cellStyle name="Wrap 4 2 6 10" xfId="35870" xr:uid="{00000000-0005-0000-0000-00005C980000}"/>
    <cellStyle name="Wrap 4 2 6 2" xfId="35871" xr:uid="{00000000-0005-0000-0000-00005D980000}"/>
    <cellStyle name="Wrap 4 2 6 2 2" xfId="35872" xr:uid="{00000000-0005-0000-0000-00005E980000}"/>
    <cellStyle name="Wrap 4 2 6 3" xfId="35873" xr:uid="{00000000-0005-0000-0000-00005F980000}"/>
    <cellStyle name="Wrap 4 2 6 3 2" xfId="35874" xr:uid="{00000000-0005-0000-0000-000060980000}"/>
    <cellStyle name="Wrap 4 2 6 4" xfId="35875" xr:uid="{00000000-0005-0000-0000-000061980000}"/>
    <cellStyle name="Wrap 4 2 6 4 2" xfId="35876" xr:uid="{00000000-0005-0000-0000-000062980000}"/>
    <cellStyle name="Wrap 4 2 6 5" xfId="35877" xr:uid="{00000000-0005-0000-0000-000063980000}"/>
    <cellStyle name="Wrap 4 2 6 5 2" xfId="35878" xr:uid="{00000000-0005-0000-0000-000064980000}"/>
    <cellStyle name="Wrap 4 2 6 6" xfId="35879" xr:uid="{00000000-0005-0000-0000-000065980000}"/>
    <cellStyle name="Wrap 4 2 6 6 2" xfId="35880" xr:uid="{00000000-0005-0000-0000-000066980000}"/>
    <cellStyle name="Wrap 4 2 6 7" xfId="35881" xr:uid="{00000000-0005-0000-0000-000067980000}"/>
    <cellStyle name="Wrap 4 2 6 7 2" xfId="35882" xr:uid="{00000000-0005-0000-0000-000068980000}"/>
    <cellStyle name="Wrap 4 2 6 8" xfId="35883" xr:uid="{00000000-0005-0000-0000-000069980000}"/>
    <cellStyle name="Wrap 4 2 6 8 2" xfId="35884" xr:uid="{00000000-0005-0000-0000-00006A980000}"/>
    <cellStyle name="Wrap 4 2 6 9" xfId="35885" xr:uid="{00000000-0005-0000-0000-00006B980000}"/>
    <cellStyle name="Wrap 4 2 6 9 2" xfId="35886" xr:uid="{00000000-0005-0000-0000-00006C980000}"/>
    <cellStyle name="Wrap 4 2 7" xfId="35887" xr:uid="{00000000-0005-0000-0000-00006D980000}"/>
    <cellStyle name="Wrap 4 2 7 10" xfId="35888" xr:uid="{00000000-0005-0000-0000-00006E980000}"/>
    <cellStyle name="Wrap 4 2 7 2" xfId="35889" xr:uid="{00000000-0005-0000-0000-00006F980000}"/>
    <cellStyle name="Wrap 4 2 7 2 2" xfId="35890" xr:uid="{00000000-0005-0000-0000-000070980000}"/>
    <cellStyle name="Wrap 4 2 7 3" xfId="35891" xr:uid="{00000000-0005-0000-0000-000071980000}"/>
    <cellStyle name="Wrap 4 2 7 3 2" xfId="35892" xr:uid="{00000000-0005-0000-0000-000072980000}"/>
    <cellStyle name="Wrap 4 2 7 4" xfId="35893" xr:uid="{00000000-0005-0000-0000-000073980000}"/>
    <cellStyle name="Wrap 4 2 7 4 2" xfId="35894" xr:uid="{00000000-0005-0000-0000-000074980000}"/>
    <cellStyle name="Wrap 4 2 7 5" xfId="35895" xr:uid="{00000000-0005-0000-0000-000075980000}"/>
    <cellStyle name="Wrap 4 2 7 5 2" xfId="35896" xr:uid="{00000000-0005-0000-0000-000076980000}"/>
    <cellStyle name="Wrap 4 2 7 6" xfId="35897" xr:uid="{00000000-0005-0000-0000-000077980000}"/>
    <cellStyle name="Wrap 4 2 7 6 2" xfId="35898" xr:uid="{00000000-0005-0000-0000-000078980000}"/>
    <cellStyle name="Wrap 4 2 7 7" xfId="35899" xr:uid="{00000000-0005-0000-0000-000079980000}"/>
    <cellStyle name="Wrap 4 2 7 7 2" xfId="35900" xr:uid="{00000000-0005-0000-0000-00007A980000}"/>
    <cellStyle name="Wrap 4 2 7 8" xfId="35901" xr:uid="{00000000-0005-0000-0000-00007B980000}"/>
    <cellStyle name="Wrap 4 2 7 8 2" xfId="35902" xr:uid="{00000000-0005-0000-0000-00007C980000}"/>
    <cellStyle name="Wrap 4 2 7 9" xfId="35903" xr:uid="{00000000-0005-0000-0000-00007D980000}"/>
    <cellStyle name="Wrap 4 2 7 9 2" xfId="35904" xr:uid="{00000000-0005-0000-0000-00007E980000}"/>
    <cellStyle name="Wrap 4 2 8" xfId="35905" xr:uid="{00000000-0005-0000-0000-00007F980000}"/>
    <cellStyle name="Wrap 4 2 8 10" xfId="35906" xr:uid="{00000000-0005-0000-0000-000080980000}"/>
    <cellStyle name="Wrap 4 2 8 2" xfId="35907" xr:uid="{00000000-0005-0000-0000-000081980000}"/>
    <cellStyle name="Wrap 4 2 8 2 2" xfId="35908" xr:uid="{00000000-0005-0000-0000-000082980000}"/>
    <cellStyle name="Wrap 4 2 8 3" xfId="35909" xr:uid="{00000000-0005-0000-0000-000083980000}"/>
    <cellStyle name="Wrap 4 2 8 3 2" xfId="35910" xr:uid="{00000000-0005-0000-0000-000084980000}"/>
    <cellStyle name="Wrap 4 2 8 4" xfId="35911" xr:uid="{00000000-0005-0000-0000-000085980000}"/>
    <cellStyle name="Wrap 4 2 8 4 2" xfId="35912" xr:uid="{00000000-0005-0000-0000-000086980000}"/>
    <cellStyle name="Wrap 4 2 8 5" xfId="35913" xr:uid="{00000000-0005-0000-0000-000087980000}"/>
    <cellStyle name="Wrap 4 2 8 5 2" xfId="35914" xr:uid="{00000000-0005-0000-0000-000088980000}"/>
    <cellStyle name="Wrap 4 2 8 6" xfId="35915" xr:uid="{00000000-0005-0000-0000-000089980000}"/>
    <cellStyle name="Wrap 4 2 8 6 2" xfId="35916" xr:uid="{00000000-0005-0000-0000-00008A980000}"/>
    <cellStyle name="Wrap 4 2 8 7" xfId="35917" xr:uid="{00000000-0005-0000-0000-00008B980000}"/>
    <cellStyle name="Wrap 4 2 8 7 2" xfId="35918" xr:uid="{00000000-0005-0000-0000-00008C980000}"/>
    <cellStyle name="Wrap 4 2 8 8" xfId="35919" xr:uid="{00000000-0005-0000-0000-00008D980000}"/>
    <cellStyle name="Wrap 4 2 8 8 2" xfId="35920" xr:uid="{00000000-0005-0000-0000-00008E980000}"/>
    <cellStyle name="Wrap 4 2 8 9" xfId="35921" xr:uid="{00000000-0005-0000-0000-00008F980000}"/>
    <cellStyle name="Wrap 4 2 8 9 2" xfId="35922" xr:uid="{00000000-0005-0000-0000-000090980000}"/>
    <cellStyle name="Wrap 4 2 9" xfId="35923" xr:uid="{00000000-0005-0000-0000-000091980000}"/>
    <cellStyle name="Wrap 4 2 9 10" xfId="35924" xr:uid="{00000000-0005-0000-0000-000092980000}"/>
    <cellStyle name="Wrap 4 2 9 2" xfId="35925" xr:uid="{00000000-0005-0000-0000-000093980000}"/>
    <cellStyle name="Wrap 4 2 9 2 2" xfId="35926" xr:uid="{00000000-0005-0000-0000-000094980000}"/>
    <cellStyle name="Wrap 4 2 9 3" xfId="35927" xr:uid="{00000000-0005-0000-0000-000095980000}"/>
    <cellStyle name="Wrap 4 2 9 3 2" xfId="35928" xr:uid="{00000000-0005-0000-0000-000096980000}"/>
    <cellStyle name="Wrap 4 2 9 4" xfId="35929" xr:uid="{00000000-0005-0000-0000-000097980000}"/>
    <cellStyle name="Wrap 4 2 9 4 2" xfId="35930" xr:uid="{00000000-0005-0000-0000-000098980000}"/>
    <cellStyle name="Wrap 4 2 9 5" xfId="35931" xr:uid="{00000000-0005-0000-0000-000099980000}"/>
    <cellStyle name="Wrap 4 2 9 5 2" xfId="35932" xr:uid="{00000000-0005-0000-0000-00009A980000}"/>
    <cellStyle name="Wrap 4 2 9 6" xfId="35933" xr:uid="{00000000-0005-0000-0000-00009B980000}"/>
    <cellStyle name="Wrap 4 2 9 6 2" xfId="35934" xr:uid="{00000000-0005-0000-0000-00009C980000}"/>
    <cellStyle name="Wrap 4 2 9 7" xfId="35935" xr:uid="{00000000-0005-0000-0000-00009D980000}"/>
    <cellStyle name="Wrap 4 2 9 7 2" xfId="35936" xr:uid="{00000000-0005-0000-0000-00009E980000}"/>
    <cellStyle name="Wrap 4 2 9 8" xfId="35937" xr:uid="{00000000-0005-0000-0000-00009F980000}"/>
    <cellStyle name="Wrap 4 2 9 8 2" xfId="35938" xr:uid="{00000000-0005-0000-0000-0000A0980000}"/>
    <cellStyle name="Wrap 4 2 9 9" xfId="35939" xr:uid="{00000000-0005-0000-0000-0000A1980000}"/>
    <cellStyle name="Wrap 4 2 9 9 2" xfId="35940" xr:uid="{00000000-0005-0000-0000-0000A2980000}"/>
    <cellStyle name="Wrap 4 3" xfId="35941" xr:uid="{00000000-0005-0000-0000-0000A3980000}"/>
    <cellStyle name="Wrap 4 3 10" xfId="35942" xr:uid="{00000000-0005-0000-0000-0000A4980000}"/>
    <cellStyle name="Wrap 4 3 10 10" xfId="35943" xr:uid="{00000000-0005-0000-0000-0000A5980000}"/>
    <cellStyle name="Wrap 4 3 10 2" xfId="35944" xr:uid="{00000000-0005-0000-0000-0000A6980000}"/>
    <cellStyle name="Wrap 4 3 10 2 2" xfId="35945" xr:uid="{00000000-0005-0000-0000-0000A7980000}"/>
    <cellStyle name="Wrap 4 3 10 3" xfId="35946" xr:uid="{00000000-0005-0000-0000-0000A8980000}"/>
    <cellStyle name="Wrap 4 3 10 3 2" xfId="35947" xr:uid="{00000000-0005-0000-0000-0000A9980000}"/>
    <cellStyle name="Wrap 4 3 10 4" xfId="35948" xr:uid="{00000000-0005-0000-0000-0000AA980000}"/>
    <cellStyle name="Wrap 4 3 10 4 2" xfId="35949" xr:uid="{00000000-0005-0000-0000-0000AB980000}"/>
    <cellStyle name="Wrap 4 3 10 5" xfId="35950" xr:uid="{00000000-0005-0000-0000-0000AC980000}"/>
    <cellStyle name="Wrap 4 3 10 5 2" xfId="35951" xr:uid="{00000000-0005-0000-0000-0000AD980000}"/>
    <cellStyle name="Wrap 4 3 10 6" xfId="35952" xr:uid="{00000000-0005-0000-0000-0000AE980000}"/>
    <cellStyle name="Wrap 4 3 10 6 2" xfId="35953" xr:uid="{00000000-0005-0000-0000-0000AF980000}"/>
    <cellStyle name="Wrap 4 3 10 7" xfId="35954" xr:uid="{00000000-0005-0000-0000-0000B0980000}"/>
    <cellStyle name="Wrap 4 3 10 7 2" xfId="35955" xr:uid="{00000000-0005-0000-0000-0000B1980000}"/>
    <cellStyle name="Wrap 4 3 10 8" xfId="35956" xr:uid="{00000000-0005-0000-0000-0000B2980000}"/>
    <cellStyle name="Wrap 4 3 10 8 2" xfId="35957" xr:uid="{00000000-0005-0000-0000-0000B3980000}"/>
    <cellStyle name="Wrap 4 3 10 9" xfId="35958" xr:uid="{00000000-0005-0000-0000-0000B4980000}"/>
    <cellStyle name="Wrap 4 3 10 9 2" xfId="35959" xr:uid="{00000000-0005-0000-0000-0000B5980000}"/>
    <cellStyle name="Wrap 4 3 11" xfId="35960" xr:uid="{00000000-0005-0000-0000-0000B6980000}"/>
    <cellStyle name="Wrap 4 3 11 2" xfId="35961" xr:uid="{00000000-0005-0000-0000-0000B7980000}"/>
    <cellStyle name="Wrap 4 3 11 2 2" xfId="35962" xr:uid="{00000000-0005-0000-0000-0000B8980000}"/>
    <cellStyle name="Wrap 4 3 11 3" xfId="35963" xr:uid="{00000000-0005-0000-0000-0000B9980000}"/>
    <cellStyle name="Wrap 4 3 11 3 2" xfId="35964" xr:uid="{00000000-0005-0000-0000-0000BA980000}"/>
    <cellStyle name="Wrap 4 3 11 4" xfId="35965" xr:uid="{00000000-0005-0000-0000-0000BB980000}"/>
    <cellStyle name="Wrap 4 3 11 4 2" xfId="35966" xr:uid="{00000000-0005-0000-0000-0000BC980000}"/>
    <cellStyle name="Wrap 4 3 11 5" xfId="35967" xr:uid="{00000000-0005-0000-0000-0000BD980000}"/>
    <cellStyle name="Wrap 4 3 11 5 2" xfId="35968" xr:uid="{00000000-0005-0000-0000-0000BE980000}"/>
    <cellStyle name="Wrap 4 3 11 6" xfId="35969" xr:uid="{00000000-0005-0000-0000-0000BF980000}"/>
    <cellStyle name="Wrap 4 3 11 6 2" xfId="35970" xr:uid="{00000000-0005-0000-0000-0000C0980000}"/>
    <cellStyle name="Wrap 4 3 11 7" xfId="35971" xr:uid="{00000000-0005-0000-0000-0000C1980000}"/>
    <cellStyle name="Wrap 4 3 11 7 2" xfId="35972" xr:uid="{00000000-0005-0000-0000-0000C2980000}"/>
    <cellStyle name="Wrap 4 3 11 8" xfId="35973" xr:uid="{00000000-0005-0000-0000-0000C3980000}"/>
    <cellStyle name="Wrap 4 3 11 8 2" xfId="35974" xr:uid="{00000000-0005-0000-0000-0000C4980000}"/>
    <cellStyle name="Wrap 4 3 11 9" xfId="35975" xr:uid="{00000000-0005-0000-0000-0000C5980000}"/>
    <cellStyle name="Wrap 4 3 2" xfId="35976" xr:uid="{00000000-0005-0000-0000-0000C6980000}"/>
    <cellStyle name="Wrap 4 3 2 10" xfId="35977" xr:uid="{00000000-0005-0000-0000-0000C7980000}"/>
    <cellStyle name="Wrap 4 3 2 2" xfId="35978" xr:uid="{00000000-0005-0000-0000-0000C8980000}"/>
    <cellStyle name="Wrap 4 3 2 2 2" xfId="35979" xr:uid="{00000000-0005-0000-0000-0000C9980000}"/>
    <cellStyle name="Wrap 4 3 2 3" xfId="35980" xr:uid="{00000000-0005-0000-0000-0000CA980000}"/>
    <cellStyle name="Wrap 4 3 2 3 2" xfId="35981" xr:uid="{00000000-0005-0000-0000-0000CB980000}"/>
    <cellStyle name="Wrap 4 3 2 4" xfId="35982" xr:uid="{00000000-0005-0000-0000-0000CC980000}"/>
    <cellStyle name="Wrap 4 3 2 4 2" xfId="35983" xr:uid="{00000000-0005-0000-0000-0000CD980000}"/>
    <cellStyle name="Wrap 4 3 2 5" xfId="35984" xr:uid="{00000000-0005-0000-0000-0000CE980000}"/>
    <cellStyle name="Wrap 4 3 2 5 2" xfId="35985" xr:uid="{00000000-0005-0000-0000-0000CF980000}"/>
    <cellStyle name="Wrap 4 3 2 6" xfId="35986" xr:uid="{00000000-0005-0000-0000-0000D0980000}"/>
    <cellStyle name="Wrap 4 3 2 6 2" xfId="35987" xr:uid="{00000000-0005-0000-0000-0000D1980000}"/>
    <cellStyle name="Wrap 4 3 2 7" xfId="35988" xr:uid="{00000000-0005-0000-0000-0000D2980000}"/>
    <cellStyle name="Wrap 4 3 2 7 2" xfId="35989" xr:uid="{00000000-0005-0000-0000-0000D3980000}"/>
    <cellStyle name="Wrap 4 3 2 8" xfId="35990" xr:uid="{00000000-0005-0000-0000-0000D4980000}"/>
    <cellStyle name="Wrap 4 3 2 8 2" xfId="35991" xr:uid="{00000000-0005-0000-0000-0000D5980000}"/>
    <cellStyle name="Wrap 4 3 2 9" xfId="35992" xr:uid="{00000000-0005-0000-0000-0000D6980000}"/>
    <cellStyle name="Wrap 4 3 2 9 2" xfId="35993" xr:uid="{00000000-0005-0000-0000-0000D7980000}"/>
    <cellStyle name="Wrap 4 3 3" xfId="35994" xr:uid="{00000000-0005-0000-0000-0000D8980000}"/>
    <cellStyle name="Wrap 4 3 3 10" xfId="35995" xr:uid="{00000000-0005-0000-0000-0000D9980000}"/>
    <cellStyle name="Wrap 4 3 3 2" xfId="35996" xr:uid="{00000000-0005-0000-0000-0000DA980000}"/>
    <cellStyle name="Wrap 4 3 3 2 2" xfId="35997" xr:uid="{00000000-0005-0000-0000-0000DB980000}"/>
    <cellStyle name="Wrap 4 3 3 3" xfId="35998" xr:uid="{00000000-0005-0000-0000-0000DC980000}"/>
    <cellStyle name="Wrap 4 3 3 3 2" xfId="35999" xr:uid="{00000000-0005-0000-0000-0000DD980000}"/>
    <cellStyle name="Wrap 4 3 3 4" xfId="36000" xr:uid="{00000000-0005-0000-0000-0000DE980000}"/>
    <cellStyle name="Wrap 4 3 3 4 2" xfId="36001" xr:uid="{00000000-0005-0000-0000-0000DF980000}"/>
    <cellStyle name="Wrap 4 3 3 5" xfId="36002" xr:uid="{00000000-0005-0000-0000-0000E0980000}"/>
    <cellStyle name="Wrap 4 3 3 5 2" xfId="36003" xr:uid="{00000000-0005-0000-0000-0000E1980000}"/>
    <cellStyle name="Wrap 4 3 3 6" xfId="36004" xr:uid="{00000000-0005-0000-0000-0000E2980000}"/>
    <cellStyle name="Wrap 4 3 3 6 2" xfId="36005" xr:uid="{00000000-0005-0000-0000-0000E3980000}"/>
    <cellStyle name="Wrap 4 3 3 7" xfId="36006" xr:uid="{00000000-0005-0000-0000-0000E4980000}"/>
    <cellStyle name="Wrap 4 3 3 7 2" xfId="36007" xr:uid="{00000000-0005-0000-0000-0000E5980000}"/>
    <cellStyle name="Wrap 4 3 3 8" xfId="36008" xr:uid="{00000000-0005-0000-0000-0000E6980000}"/>
    <cellStyle name="Wrap 4 3 3 8 2" xfId="36009" xr:uid="{00000000-0005-0000-0000-0000E7980000}"/>
    <cellStyle name="Wrap 4 3 3 9" xfId="36010" xr:uid="{00000000-0005-0000-0000-0000E8980000}"/>
    <cellStyle name="Wrap 4 3 3 9 2" xfId="36011" xr:uid="{00000000-0005-0000-0000-0000E9980000}"/>
    <cellStyle name="Wrap 4 3 4" xfId="36012" xr:uid="{00000000-0005-0000-0000-0000EA980000}"/>
    <cellStyle name="Wrap 4 3 4 10" xfId="36013" xr:uid="{00000000-0005-0000-0000-0000EB980000}"/>
    <cellStyle name="Wrap 4 3 4 2" xfId="36014" xr:uid="{00000000-0005-0000-0000-0000EC980000}"/>
    <cellStyle name="Wrap 4 3 4 2 2" xfId="36015" xr:uid="{00000000-0005-0000-0000-0000ED980000}"/>
    <cellStyle name="Wrap 4 3 4 3" xfId="36016" xr:uid="{00000000-0005-0000-0000-0000EE980000}"/>
    <cellStyle name="Wrap 4 3 4 3 2" xfId="36017" xr:uid="{00000000-0005-0000-0000-0000EF980000}"/>
    <cellStyle name="Wrap 4 3 4 4" xfId="36018" xr:uid="{00000000-0005-0000-0000-0000F0980000}"/>
    <cellStyle name="Wrap 4 3 4 4 2" xfId="36019" xr:uid="{00000000-0005-0000-0000-0000F1980000}"/>
    <cellStyle name="Wrap 4 3 4 5" xfId="36020" xr:uid="{00000000-0005-0000-0000-0000F2980000}"/>
    <cellStyle name="Wrap 4 3 4 5 2" xfId="36021" xr:uid="{00000000-0005-0000-0000-0000F3980000}"/>
    <cellStyle name="Wrap 4 3 4 6" xfId="36022" xr:uid="{00000000-0005-0000-0000-0000F4980000}"/>
    <cellStyle name="Wrap 4 3 4 6 2" xfId="36023" xr:uid="{00000000-0005-0000-0000-0000F5980000}"/>
    <cellStyle name="Wrap 4 3 4 7" xfId="36024" xr:uid="{00000000-0005-0000-0000-0000F6980000}"/>
    <cellStyle name="Wrap 4 3 4 7 2" xfId="36025" xr:uid="{00000000-0005-0000-0000-0000F7980000}"/>
    <cellStyle name="Wrap 4 3 4 8" xfId="36026" xr:uid="{00000000-0005-0000-0000-0000F8980000}"/>
    <cellStyle name="Wrap 4 3 4 8 2" xfId="36027" xr:uid="{00000000-0005-0000-0000-0000F9980000}"/>
    <cellStyle name="Wrap 4 3 4 9" xfId="36028" xr:uid="{00000000-0005-0000-0000-0000FA980000}"/>
    <cellStyle name="Wrap 4 3 4 9 2" xfId="36029" xr:uid="{00000000-0005-0000-0000-0000FB980000}"/>
    <cellStyle name="Wrap 4 3 5" xfId="36030" xr:uid="{00000000-0005-0000-0000-0000FC980000}"/>
    <cellStyle name="Wrap 4 3 5 10" xfId="36031" xr:uid="{00000000-0005-0000-0000-0000FD980000}"/>
    <cellStyle name="Wrap 4 3 5 2" xfId="36032" xr:uid="{00000000-0005-0000-0000-0000FE980000}"/>
    <cellStyle name="Wrap 4 3 5 2 2" xfId="36033" xr:uid="{00000000-0005-0000-0000-0000FF980000}"/>
    <cellStyle name="Wrap 4 3 5 3" xfId="36034" xr:uid="{00000000-0005-0000-0000-000000990000}"/>
    <cellStyle name="Wrap 4 3 5 3 2" xfId="36035" xr:uid="{00000000-0005-0000-0000-000001990000}"/>
    <cellStyle name="Wrap 4 3 5 4" xfId="36036" xr:uid="{00000000-0005-0000-0000-000002990000}"/>
    <cellStyle name="Wrap 4 3 5 4 2" xfId="36037" xr:uid="{00000000-0005-0000-0000-000003990000}"/>
    <cellStyle name="Wrap 4 3 5 5" xfId="36038" xr:uid="{00000000-0005-0000-0000-000004990000}"/>
    <cellStyle name="Wrap 4 3 5 5 2" xfId="36039" xr:uid="{00000000-0005-0000-0000-000005990000}"/>
    <cellStyle name="Wrap 4 3 5 6" xfId="36040" xr:uid="{00000000-0005-0000-0000-000006990000}"/>
    <cellStyle name="Wrap 4 3 5 6 2" xfId="36041" xr:uid="{00000000-0005-0000-0000-000007990000}"/>
    <cellStyle name="Wrap 4 3 5 7" xfId="36042" xr:uid="{00000000-0005-0000-0000-000008990000}"/>
    <cellStyle name="Wrap 4 3 5 7 2" xfId="36043" xr:uid="{00000000-0005-0000-0000-000009990000}"/>
    <cellStyle name="Wrap 4 3 5 8" xfId="36044" xr:uid="{00000000-0005-0000-0000-00000A990000}"/>
    <cellStyle name="Wrap 4 3 5 8 2" xfId="36045" xr:uid="{00000000-0005-0000-0000-00000B990000}"/>
    <cellStyle name="Wrap 4 3 5 9" xfId="36046" xr:uid="{00000000-0005-0000-0000-00000C990000}"/>
    <cellStyle name="Wrap 4 3 5 9 2" xfId="36047" xr:uid="{00000000-0005-0000-0000-00000D990000}"/>
    <cellStyle name="Wrap 4 3 6" xfId="36048" xr:uid="{00000000-0005-0000-0000-00000E990000}"/>
    <cellStyle name="Wrap 4 3 6 10" xfId="36049" xr:uid="{00000000-0005-0000-0000-00000F990000}"/>
    <cellStyle name="Wrap 4 3 6 2" xfId="36050" xr:uid="{00000000-0005-0000-0000-000010990000}"/>
    <cellStyle name="Wrap 4 3 6 2 2" xfId="36051" xr:uid="{00000000-0005-0000-0000-000011990000}"/>
    <cellStyle name="Wrap 4 3 6 3" xfId="36052" xr:uid="{00000000-0005-0000-0000-000012990000}"/>
    <cellStyle name="Wrap 4 3 6 3 2" xfId="36053" xr:uid="{00000000-0005-0000-0000-000013990000}"/>
    <cellStyle name="Wrap 4 3 6 4" xfId="36054" xr:uid="{00000000-0005-0000-0000-000014990000}"/>
    <cellStyle name="Wrap 4 3 6 4 2" xfId="36055" xr:uid="{00000000-0005-0000-0000-000015990000}"/>
    <cellStyle name="Wrap 4 3 6 5" xfId="36056" xr:uid="{00000000-0005-0000-0000-000016990000}"/>
    <cellStyle name="Wrap 4 3 6 5 2" xfId="36057" xr:uid="{00000000-0005-0000-0000-000017990000}"/>
    <cellStyle name="Wrap 4 3 6 6" xfId="36058" xr:uid="{00000000-0005-0000-0000-000018990000}"/>
    <cellStyle name="Wrap 4 3 6 6 2" xfId="36059" xr:uid="{00000000-0005-0000-0000-000019990000}"/>
    <cellStyle name="Wrap 4 3 6 7" xfId="36060" xr:uid="{00000000-0005-0000-0000-00001A990000}"/>
    <cellStyle name="Wrap 4 3 6 7 2" xfId="36061" xr:uid="{00000000-0005-0000-0000-00001B990000}"/>
    <cellStyle name="Wrap 4 3 6 8" xfId="36062" xr:uid="{00000000-0005-0000-0000-00001C990000}"/>
    <cellStyle name="Wrap 4 3 6 8 2" xfId="36063" xr:uid="{00000000-0005-0000-0000-00001D990000}"/>
    <cellStyle name="Wrap 4 3 6 9" xfId="36064" xr:uid="{00000000-0005-0000-0000-00001E990000}"/>
    <cellStyle name="Wrap 4 3 6 9 2" xfId="36065" xr:uid="{00000000-0005-0000-0000-00001F990000}"/>
    <cellStyle name="Wrap 4 3 7" xfId="36066" xr:uid="{00000000-0005-0000-0000-000020990000}"/>
    <cellStyle name="Wrap 4 3 7 10" xfId="36067" xr:uid="{00000000-0005-0000-0000-000021990000}"/>
    <cellStyle name="Wrap 4 3 7 2" xfId="36068" xr:uid="{00000000-0005-0000-0000-000022990000}"/>
    <cellStyle name="Wrap 4 3 7 2 2" xfId="36069" xr:uid="{00000000-0005-0000-0000-000023990000}"/>
    <cellStyle name="Wrap 4 3 7 3" xfId="36070" xr:uid="{00000000-0005-0000-0000-000024990000}"/>
    <cellStyle name="Wrap 4 3 7 3 2" xfId="36071" xr:uid="{00000000-0005-0000-0000-000025990000}"/>
    <cellStyle name="Wrap 4 3 7 4" xfId="36072" xr:uid="{00000000-0005-0000-0000-000026990000}"/>
    <cellStyle name="Wrap 4 3 7 4 2" xfId="36073" xr:uid="{00000000-0005-0000-0000-000027990000}"/>
    <cellStyle name="Wrap 4 3 7 5" xfId="36074" xr:uid="{00000000-0005-0000-0000-000028990000}"/>
    <cellStyle name="Wrap 4 3 7 5 2" xfId="36075" xr:uid="{00000000-0005-0000-0000-000029990000}"/>
    <cellStyle name="Wrap 4 3 7 6" xfId="36076" xr:uid="{00000000-0005-0000-0000-00002A990000}"/>
    <cellStyle name="Wrap 4 3 7 6 2" xfId="36077" xr:uid="{00000000-0005-0000-0000-00002B990000}"/>
    <cellStyle name="Wrap 4 3 7 7" xfId="36078" xr:uid="{00000000-0005-0000-0000-00002C990000}"/>
    <cellStyle name="Wrap 4 3 7 7 2" xfId="36079" xr:uid="{00000000-0005-0000-0000-00002D990000}"/>
    <cellStyle name="Wrap 4 3 7 8" xfId="36080" xr:uid="{00000000-0005-0000-0000-00002E990000}"/>
    <cellStyle name="Wrap 4 3 7 8 2" xfId="36081" xr:uid="{00000000-0005-0000-0000-00002F990000}"/>
    <cellStyle name="Wrap 4 3 7 9" xfId="36082" xr:uid="{00000000-0005-0000-0000-000030990000}"/>
    <cellStyle name="Wrap 4 3 7 9 2" xfId="36083" xr:uid="{00000000-0005-0000-0000-000031990000}"/>
    <cellStyle name="Wrap 4 3 8" xfId="36084" xr:uid="{00000000-0005-0000-0000-000032990000}"/>
    <cellStyle name="Wrap 4 3 8 10" xfId="36085" xr:uid="{00000000-0005-0000-0000-000033990000}"/>
    <cellStyle name="Wrap 4 3 8 2" xfId="36086" xr:uid="{00000000-0005-0000-0000-000034990000}"/>
    <cellStyle name="Wrap 4 3 8 2 2" xfId="36087" xr:uid="{00000000-0005-0000-0000-000035990000}"/>
    <cellStyle name="Wrap 4 3 8 3" xfId="36088" xr:uid="{00000000-0005-0000-0000-000036990000}"/>
    <cellStyle name="Wrap 4 3 8 3 2" xfId="36089" xr:uid="{00000000-0005-0000-0000-000037990000}"/>
    <cellStyle name="Wrap 4 3 8 4" xfId="36090" xr:uid="{00000000-0005-0000-0000-000038990000}"/>
    <cellStyle name="Wrap 4 3 8 4 2" xfId="36091" xr:uid="{00000000-0005-0000-0000-000039990000}"/>
    <cellStyle name="Wrap 4 3 8 5" xfId="36092" xr:uid="{00000000-0005-0000-0000-00003A990000}"/>
    <cellStyle name="Wrap 4 3 8 5 2" xfId="36093" xr:uid="{00000000-0005-0000-0000-00003B990000}"/>
    <cellStyle name="Wrap 4 3 8 6" xfId="36094" xr:uid="{00000000-0005-0000-0000-00003C990000}"/>
    <cellStyle name="Wrap 4 3 8 6 2" xfId="36095" xr:uid="{00000000-0005-0000-0000-00003D990000}"/>
    <cellStyle name="Wrap 4 3 8 7" xfId="36096" xr:uid="{00000000-0005-0000-0000-00003E990000}"/>
    <cellStyle name="Wrap 4 3 8 7 2" xfId="36097" xr:uid="{00000000-0005-0000-0000-00003F990000}"/>
    <cellStyle name="Wrap 4 3 8 8" xfId="36098" xr:uid="{00000000-0005-0000-0000-000040990000}"/>
    <cellStyle name="Wrap 4 3 8 8 2" xfId="36099" xr:uid="{00000000-0005-0000-0000-000041990000}"/>
    <cellStyle name="Wrap 4 3 8 9" xfId="36100" xr:uid="{00000000-0005-0000-0000-000042990000}"/>
    <cellStyle name="Wrap 4 3 8 9 2" xfId="36101" xr:uid="{00000000-0005-0000-0000-000043990000}"/>
    <cellStyle name="Wrap 4 3 9" xfId="36102" xr:uid="{00000000-0005-0000-0000-000044990000}"/>
    <cellStyle name="Wrap 4 3 9 10" xfId="36103" xr:uid="{00000000-0005-0000-0000-000045990000}"/>
    <cellStyle name="Wrap 4 3 9 2" xfId="36104" xr:uid="{00000000-0005-0000-0000-000046990000}"/>
    <cellStyle name="Wrap 4 3 9 2 2" xfId="36105" xr:uid="{00000000-0005-0000-0000-000047990000}"/>
    <cellStyle name="Wrap 4 3 9 3" xfId="36106" xr:uid="{00000000-0005-0000-0000-000048990000}"/>
    <cellStyle name="Wrap 4 3 9 3 2" xfId="36107" xr:uid="{00000000-0005-0000-0000-000049990000}"/>
    <cellStyle name="Wrap 4 3 9 4" xfId="36108" xr:uid="{00000000-0005-0000-0000-00004A990000}"/>
    <cellStyle name="Wrap 4 3 9 4 2" xfId="36109" xr:uid="{00000000-0005-0000-0000-00004B990000}"/>
    <cellStyle name="Wrap 4 3 9 5" xfId="36110" xr:uid="{00000000-0005-0000-0000-00004C990000}"/>
    <cellStyle name="Wrap 4 3 9 5 2" xfId="36111" xr:uid="{00000000-0005-0000-0000-00004D990000}"/>
    <cellStyle name="Wrap 4 3 9 6" xfId="36112" xr:uid="{00000000-0005-0000-0000-00004E990000}"/>
    <cellStyle name="Wrap 4 3 9 6 2" xfId="36113" xr:uid="{00000000-0005-0000-0000-00004F990000}"/>
    <cellStyle name="Wrap 4 3 9 7" xfId="36114" xr:uid="{00000000-0005-0000-0000-000050990000}"/>
    <cellStyle name="Wrap 4 3 9 7 2" xfId="36115" xr:uid="{00000000-0005-0000-0000-000051990000}"/>
    <cellStyle name="Wrap 4 3 9 8" xfId="36116" xr:uid="{00000000-0005-0000-0000-000052990000}"/>
    <cellStyle name="Wrap 4 3 9 8 2" xfId="36117" xr:uid="{00000000-0005-0000-0000-000053990000}"/>
    <cellStyle name="Wrap 4 3 9 9" xfId="36118" xr:uid="{00000000-0005-0000-0000-000054990000}"/>
    <cellStyle name="Wrap 4 3 9 9 2" xfId="36119" xr:uid="{00000000-0005-0000-0000-000055990000}"/>
    <cellStyle name="Wrap 4 4" xfId="36120" xr:uid="{00000000-0005-0000-0000-000056990000}"/>
    <cellStyle name="Wrap 4 4 10" xfId="36121" xr:uid="{00000000-0005-0000-0000-000057990000}"/>
    <cellStyle name="Wrap 4 4 10 2" xfId="36122" xr:uid="{00000000-0005-0000-0000-000058990000}"/>
    <cellStyle name="Wrap 4 4 10 2 2" xfId="36123" xr:uid="{00000000-0005-0000-0000-000059990000}"/>
    <cellStyle name="Wrap 4 4 10 3" xfId="36124" xr:uid="{00000000-0005-0000-0000-00005A990000}"/>
    <cellStyle name="Wrap 4 4 10 3 2" xfId="36125" xr:uid="{00000000-0005-0000-0000-00005B990000}"/>
    <cellStyle name="Wrap 4 4 10 4" xfId="36126" xr:uid="{00000000-0005-0000-0000-00005C990000}"/>
    <cellStyle name="Wrap 4 4 10 4 2" xfId="36127" xr:uid="{00000000-0005-0000-0000-00005D990000}"/>
    <cellStyle name="Wrap 4 4 10 5" xfId="36128" xr:uid="{00000000-0005-0000-0000-00005E990000}"/>
    <cellStyle name="Wrap 4 4 10 5 2" xfId="36129" xr:uid="{00000000-0005-0000-0000-00005F990000}"/>
    <cellStyle name="Wrap 4 4 10 6" xfId="36130" xr:uid="{00000000-0005-0000-0000-000060990000}"/>
    <cellStyle name="Wrap 4 4 10 6 2" xfId="36131" xr:uid="{00000000-0005-0000-0000-000061990000}"/>
    <cellStyle name="Wrap 4 4 10 7" xfId="36132" xr:uid="{00000000-0005-0000-0000-000062990000}"/>
    <cellStyle name="Wrap 4 4 10 7 2" xfId="36133" xr:uid="{00000000-0005-0000-0000-000063990000}"/>
    <cellStyle name="Wrap 4 4 10 8" xfId="36134" xr:uid="{00000000-0005-0000-0000-000064990000}"/>
    <cellStyle name="Wrap 4 4 10 8 2" xfId="36135" xr:uid="{00000000-0005-0000-0000-000065990000}"/>
    <cellStyle name="Wrap 4 4 10 9" xfId="36136" xr:uid="{00000000-0005-0000-0000-000066990000}"/>
    <cellStyle name="Wrap 4 4 11" xfId="36137" xr:uid="{00000000-0005-0000-0000-000067990000}"/>
    <cellStyle name="Wrap 4 4 11 2" xfId="36138" xr:uid="{00000000-0005-0000-0000-000068990000}"/>
    <cellStyle name="Wrap 4 4 12" xfId="36139" xr:uid="{00000000-0005-0000-0000-000069990000}"/>
    <cellStyle name="Wrap 4 4 12 2" xfId="36140" xr:uid="{00000000-0005-0000-0000-00006A990000}"/>
    <cellStyle name="Wrap 4 4 13" xfId="36141" xr:uid="{00000000-0005-0000-0000-00006B990000}"/>
    <cellStyle name="Wrap 4 4 13 2" xfId="36142" xr:uid="{00000000-0005-0000-0000-00006C990000}"/>
    <cellStyle name="Wrap 4 4 14" xfId="36143" xr:uid="{00000000-0005-0000-0000-00006D990000}"/>
    <cellStyle name="Wrap 4 4 14 2" xfId="36144" xr:uid="{00000000-0005-0000-0000-00006E990000}"/>
    <cellStyle name="Wrap 4 4 15" xfId="36145" xr:uid="{00000000-0005-0000-0000-00006F990000}"/>
    <cellStyle name="Wrap 4 4 15 2" xfId="36146" xr:uid="{00000000-0005-0000-0000-000070990000}"/>
    <cellStyle name="Wrap 4 4 16" xfId="36147" xr:uid="{00000000-0005-0000-0000-000071990000}"/>
    <cellStyle name="Wrap 4 4 16 2" xfId="36148" xr:uid="{00000000-0005-0000-0000-000072990000}"/>
    <cellStyle name="Wrap 4 4 17" xfId="36149" xr:uid="{00000000-0005-0000-0000-000073990000}"/>
    <cellStyle name="Wrap 4 4 17 2" xfId="36150" xr:uid="{00000000-0005-0000-0000-000074990000}"/>
    <cellStyle name="Wrap 4 4 18" xfId="36151" xr:uid="{00000000-0005-0000-0000-000075990000}"/>
    <cellStyle name="Wrap 4 4 2" xfId="36152" xr:uid="{00000000-0005-0000-0000-000076990000}"/>
    <cellStyle name="Wrap 4 4 2 10" xfId="36153" xr:uid="{00000000-0005-0000-0000-000077990000}"/>
    <cellStyle name="Wrap 4 4 2 2" xfId="36154" xr:uid="{00000000-0005-0000-0000-000078990000}"/>
    <cellStyle name="Wrap 4 4 2 2 2" xfId="36155" xr:uid="{00000000-0005-0000-0000-000079990000}"/>
    <cellStyle name="Wrap 4 4 2 3" xfId="36156" xr:uid="{00000000-0005-0000-0000-00007A990000}"/>
    <cellStyle name="Wrap 4 4 2 3 2" xfId="36157" xr:uid="{00000000-0005-0000-0000-00007B990000}"/>
    <cellStyle name="Wrap 4 4 2 4" xfId="36158" xr:uid="{00000000-0005-0000-0000-00007C990000}"/>
    <cellStyle name="Wrap 4 4 2 4 2" xfId="36159" xr:uid="{00000000-0005-0000-0000-00007D990000}"/>
    <cellStyle name="Wrap 4 4 2 5" xfId="36160" xr:uid="{00000000-0005-0000-0000-00007E990000}"/>
    <cellStyle name="Wrap 4 4 2 5 2" xfId="36161" xr:uid="{00000000-0005-0000-0000-00007F990000}"/>
    <cellStyle name="Wrap 4 4 2 6" xfId="36162" xr:uid="{00000000-0005-0000-0000-000080990000}"/>
    <cellStyle name="Wrap 4 4 2 6 2" xfId="36163" xr:uid="{00000000-0005-0000-0000-000081990000}"/>
    <cellStyle name="Wrap 4 4 2 7" xfId="36164" xr:uid="{00000000-0005-0000-0000-000082990000}"/>
    <cellStyle name="Wrap 4 4 2 7 2" xfId="36165" xr:uid="{00000000-0005-0000-0000-000083990000}"/>
    <cellStyle name="Wrap 4 4 2 8" xfId="36166" xr:uid="{00000000-0005-0000-0000-000084990000}"/>
    <cellStyle name="Wrap 4 4 2 8 2" xfId="36167" xr:uid="{00000000-0005-0000-0000-000085990000}"/>
    <cellStyle name="Wrap 4 4 2 9" xfId="36168" xr:uid="{00000000-0005-0000-0000-000086990000}"/>
    <cellStyle name="Wrap 4 4 2 9 2" xfId="36169" xr:uid="{00000000-0005-0000-0000-000087990000}"/>
    <cellStyle name="Wrap 4 4 3" xfId="36170" xr:uid="{00000000-0005-0000-0000-000088990000}"/>
    <cellStyle name="Wrap 4 4 3 10" xfId="36171" xr:uid="{00000000-0005-0000-0000-000089990000}"/>
    <cellStyle name="Wrap 4 4 3 2" xfId="36172" xr:uid="{00000000-0005-0000-0000-00008A990000}"/>
    <cellStyle name="Wrap 4 4 3 2 2" xfId="36173" xr:uid="{00000000-0005-0000-0000-00008B990000}"/>
    <cellStyle name="Wrap 4 4 3 3" xfId="36174" xr:uid="{00000000-0005-0000-0000-00008C990000}"/>
    <cellStyle name="Wrap 4 4 3 3 2" xfId="36175" xr:uid="{00000000-0005-0000-0000-00008D990000}"/>
    <cellStyle name="Wrap 4 4 3 4" xfId="36176" xr:uid="{00000000-0005-0000-0000-00008E990000}"/>
    <cellStyle name="Wrap 4 4 3 4 2" xfId="36177" xr:uid="{00000000-0005-0000-0000-00008F990000}"/>
    <cellStyle name="Wrap 4 4 3 5" xfId="36178" xr:uid="{00000000-0005-0000-0000-000090990000}"/>
    <cellStyle name="Wrap 4 4 3 5 2" xfId="36179" xr:uid="{00000000-0005-0000-0000-000091990000}"/>
    <cellStyle name="Wrap 4 4 3 6" xfId="36180" xr:uid="{00000000-0005-0000-0000-000092990000}"/>
    <cellStyle name="Wrap 4 4 3 6 2" xfId="36181" xr:uid="{00000000-0005-0000-0000-000093990000}"/>
    <cellStyle name="Wrap 4 4 3 7" xfId="36182" xr:uid="{00000000-0005-0000-0000-000094990000}"/>
    <cellStyle name="Wrap 4 4 3 7 2" xfId="36183" xr:uid="{00000000-0005-0000-0000-000095990000}"/>
    <cellStyle name="Wrap 4 4 3 8" xfId="36184" xr:uid="{00000000-0005-0000-0000-000096990000}"/>
    <cellStyle name="Wrap 4 4 3 8 2" xfId="36185" xr:uid="{00000000-0005-0000-0000-000097990000}"/>
    <cellStyle name="Wrap 4 4 3 9" xfId="36186" xr:uid="{00000000-0005-0000-0000-000098990000}"/>
    <cellStyle name="Wrap 4 4 3 9 2" xfId="36187" xr:uid="{00000000-0005-0000-0000-000099990000}"/>
    <cellStyle name="Wrap 4 4 4" xfId="36188" xr:uid="{00000000-0005-0000-0000-00009A990000}"/>
    <cellStyle name="Wrap 4 4 4 10" xfId="36189" xr:uid="{00000000-0005-0000-0000-00009B990000}"/>
    <cellStyle name="Wrap 4 4 4 2" xfId="36190" xr:uid="{00000000-0005-0000-0000-00009C990000}"/>
    <cellStyle name="Wrap 4 4 4 2 2" xfId="36191" xr:uid="{00000000-0005-0000-0000-00009D990000}"/>
    <cellStyle name="Wrap 4 4 4 3" xfId="36192" xr:uid="{00000000-0005-0000-0000-00009E990000}"/>
    <cellStyle name="Wrap 4 4 4 3 2" xfId="36193" xr:uid="{00000000-0005-0000-0000-00009F990000}"/>
    <cellStyle name="Wrap 4 4 4 4" xfId="36194" xr:uid="{00000000-0005-0000-0000-0000A0990000}"/>
    <cellStyle name="Wrap 4 4 4 4 2" xfId="36195" xr:uid="{00000000-0005-0000-0000-0000A1990000}"/>
    <cellStyle name="Wrap 4 4 4 5" xfId="36196" xr:uid="{00000000-0005-0000-0000-0000A2990000}"/>
    <cellStyle name="Wrap 4 4 4 5 2" xfId="36197" xr:uid="{00000000-0005-0000-0000-0000A3990000}"/>
    <cellStyle name="Wrap 4 4 4 6" xfId="36198" xr:uid="{00000000-0005-0000-0000-0000A4990000}"/>
    <cellStyle name="Wrap 4 4 4 6 2" xfId="36199" xr:uid="{00000000-0005-0000-0000-0000A5990000}"/>
    <cellStyle name="Wrap 4 4 4 7" xfId="36200" xr:uid="{00000000-0005-0000-0000-0000A6990000}"/>
    <cellStyle name="Wrap 4 4 4 7 2" xfId="36201" xr:uid="{00000000-0005-0000-0000-0000A7990000}"/>
    <cellStyle name="Wrap 4 4 4 8" xfId="36202" xr:uid="{00000000-0005-0000-0000-0000A8990000}"/>
    <cellStyle name="Wrap 4 4 4 8 2" xfId="36203" xr:uid="{00000000-0005-0000-0000-0000A9990000}"/>
    <cellStyle name="Wrap 4 4 4 9" xfId="36204" xr:uid="{00000000-0005-0000-0000-0000AA990000}"/>
    <cellStyle name="Wrap 4 4 4 9 2" xfId="36205" xr:uid="{00000000-0005-0000-0000-0000AB990000}"/>
    <cellStyle name="Wrap 4 4 5" xfId="36206" xr:uid="{00000000-0005-0000-0000-0000AC990000}"/>
    <cellStyle name="Wrap 4 4 5 10" xfId="36207" xr:uid="{00000000-0005-0000-0000-0000AD990000}"/>
    <cellStyle name="Wrap 4 4 5 2" xfId="36208" xr:uid="{00000000-0005-0000-0000-0000AE990000}"/>
    <cellStyle name="Wrap 4 4 5 2 2" xfId="36209" xr:uid="{00000000-0005-0000-0000-0000AF990000}"/>
    <cellStyle name="Wrap 4 4 5 3" xfId="36210" xr:uid="{00000000-0005-0000-0000-0000B0990000}"/>
    <cellStyle name="Wrap 4 4 5 3 2" xfId="36211" xr:uid="{00000000-0005-0000-0000-0000B1990000}"/>
    <cellStyle name="Wrap 4 4 5 4" xfId="36212" xr:uid="{00000000-0005-0000-0000-0000B2990000}"/>
    <cellStyle name="Wrap 4 4 5 4 2" xfId="36213" xr:uid="{00000000-0005-0000-0000-0000B3990000}"/>
    <cellStyle name="Wrap 4 4 5 5" xfId="36214" xr:uid="{00000000-0005-0000-0000-0000B4990000}"/>
    <cellStyle name="Wrap 4 4 5 5 2" xfId="36215" xr:uid="{00000000-0005-0000-0000-0000B5990000}"/>
    <cellStyle name="Wrap 4 4 5 6" xfId="36216" xr:uid="{00000000-0005-0000-0000-0000B6990000}"/>
    <cellStyle name="Wrap 4 4 5 6 2" xfId="36217" xr:uid="{00000000-0005-0000-0000-0000B7990000}"/>
    <cellStyle name="Wrap 4 4 5 7" xfId="36218" xr:uid="{00000000-0005-0000-0000-0000B8990000}"/>
    <cellStyle name="Wrap 4 4 5 7 2" xfId="36219" xr:uid="{00000000-0005-0000-0000-0000B9990000}"/>
    <cellStyle name="Wrap 4 4 5 8" xfId="36220" xr:uid="{00000000-0005-0000-0000-0000BA990000}"/>
    <cellStyle name="Wrap 4 4 5 8 2" xfId="36221" xr:uid="{00000000-0005-0000-0000-0000BB990000}"/>
    <cellStyle name="Wrap 4 4 5 9" xfId="36222" xr:uid="{00000000-0005-0000-0000-0000BC990000}"/>
    <cellStyle name="Wrap 4 4 5 9 2" xfId="36223" xr:uid="{00000000-0005-0000-0000-0000BD990000}"/>
    <cellStyle name="Wrap 4 4 6" xfId="36224" xr:uid="{00000000-0005-0000-0000-0000BE990000}"/>
    <cellStyle name="Wrap 4 4 6 10" xfId="36225" xr:uid="{00000000-0005-0000-0000-0000BF990000}"/>
    <cellStyle name="Wrap 4 4 6 2" xfId="36226" xr:uid="{00000000-0005-0000-0000-0000C0990000}"/>
    <cellStyle name="Wrap 4 4 6 2 2" xfId="36227" xr:uid="{00000000-0005-0000-0000-0000C1990000}"/>
    <cellStyle name="Wrap 4 4 6 3" xfId="36228" xr:uid="{00000000-0005-0000-0000-0000C2990000}"/>
    <cellStyle name="Wrap 4 4 6 3 2" xfId="36229" xr:uid="{00000000-0005-0000-0000-0000C3990000}"/>
    <cellStyle name="Wrap 4 4 6 4" xfId="36230" xr:uid="{00000000-0005-0000-0000-0000C4990000}"/>
    <cellStyle name="Wrap 4 4 6 4 2" xfId="36231" xr:uid="{00000000-0005-0000-0000-0000C5990000}"/>
    <cellStyle name="Wrap 4 4 6 5" xfId="36232" xr:uid="{00000000-0005-0000-0000-0000C6990000}"/>
    <cellStyle name="Wrap 4 4 6 5 2" xfId="36233" xr:uid="{00000000-0005-0000-0000-0000C7990000}"/>
    <cellStyle name="Wrap 4 4 6 6" xfId="36234" xr:uid="{00000000-0005-0000-0000-0000C8990000}"/>
    <cellStyle name="Wrap 4 4 6 6 2" xfId="36235" xr:uid="{00000000-0005-0000-0000-0000C9990000}"/>
    <cellStyle name="Wrap 4 4 6 7" xfId="36236" xr:uid="{00000000-0005-0000-0000-0000CA990000}"/>
    <cellStyle name="Wrap 4 4 6 7 2" xfId="36237" xr:uid="{00000000-0005-0000-0000-0000CB990000}"/>
    <cellStyle name="Wrap 4 4 6 8" xfId="36238" xr:uid="{00000000-0005-0000-0000-0000CC990000}"/>
    <cellStyle name="Wrap 4 4 6 8 2" xfId="36239" xr:uid="{00000000-0005-0000-0000-0000CD990000}"/>
    <cellStyle name="Wrap 4 4 6 9" xfId="36240" xr:uid="{00000000-0005-0000-0000-0000CE990000}"/>
    <cellStyle name="Wrap 4 4 6 9 2" xfId="36241" xr:uid="{00000000-0005-0000-0000-0000CF990000}"/>
    <cellStyle name="Wrap 4 4 7" xfId="36242" xr:uid="{00000000-0005-0000-0000-0000D0990000}"/>
    <cellStyle name="Wrap 4 4 7 10" xfId="36243" xr:uid="{00000000-0005-0000-0000-0000D1990000}"/>
    <cellStyle name="Wrap 4 4 7 2" xfId="36244" xr:uid="{00000000-0005-0000-0000-0000D2990000}"/>
    <cellStyle name="Wrap 4 4 7 2 2" xfId="36245" xr:uid="{00000000-0005-0000-0000-0000D3990000}"/>
    <cellStyle name="Wrap 4 4 7 3" xfId="36246" xr:uid="{00000000-0005-0000-0000-0000D4990000}"/>
    <cellStyle name="Wrap 4 4 7 3 2" xfId="36247" xr:uid="{00000000-0005-0000-0000-0000D5990000}"/>
    <cellStyle name="Wrap 4 4 7 4" xfId="36248" xr:uid="{00000000-0005-0000-0000-0000D6990000}"/>
    <cellStyle name="Wrap 4 4 7 4 2" xfId="36249" xr:uid="{00000000-0005-0000-0000-0000D7990000}"/>
    <cellStyle name="Wrap 4 4 7 5" xfId="36250" xr:uid="{00000000-0005-0000-0000-0000D8990000}"/>
    <cellStyle name="Wrap 4 4 7 5 2" xfId="36251" xr:uid="{00000000-0005-0000-0000-0000D9990000}"/>
    <cellStyle name="Wrap 4 4 7 6" xfId="36252" xr:uid="{00000000-0005-0000-0000-0000DA990000}"/>
    <cellStyle name="Wrap 4 4 7 6 2" xfId="36253" xr:uid="{00000000-0005-0000-0000-0000DB990000}"/>
    <cellStyle name="Wrap 4 4 7 7" xfId="36254" xr:uid="{00000000-0005-0000-0000-0000DC990000}"/>
    <cellStyle name="Wrap 4 4 7 7 2" xfId="36255" xr:uid="{00000000-0005-0000-0000-0000DD990000}"/>
    <cellStyle name="Wrap 4 4 7 8" xfId="36256" xr:uid="{00000000-0005-0000-0000-0000DE990000}"/>
    <cellStyle name="Wrap 4 4 7 8 2" xfId="36257" xr:uid="{00000000-0005-0000-0000-0000DF990000}"/>
    <cellStyle name="Wrap 4 4 7 9" xfId="36258" xr:uid="{00000000-0005-0000-0000-0000E0990000}"/>
    <cellStyle name="Wrap 4 4 7 9 2" xfId="36259" xr:uid="{00000000-0005-0000-0000-0000E1990000}"/>
    <cellStyle name="Wrap 4 4 8" xfId="36260" xr:uid="{00000000-0005-0000-0000-0000E2990000}"/>
    <cellStyle name="Wrap 4 4 8 10" xfId="36261" xr:uid="{00000000-0005-0000-0000-0000E3990000}"/>
    <cellStyle name="Wrap 4 4 8 2" xfId="36262" xr:uid="{00000000-0005-0000-0000-0000E4990000}"/>
    <cellStyle name="Wrap 4 4 8 2 2" xfId="36263" xr:uid="{00000000-0005-0000-0000-0000E5990000}"/>
    <cellStyle name="Wrap 4 4 8 3" xfId="36264" xr:uid="{00000000-0005-0000-0000-0000E6990000}"/>
    <cellStyle name="Wrap 4 4 8 3 2" xfId="36265" xr:uid="{00000000-0005-0000-0000-0000E7990000}"/>
    <cellStyle name="Wrap 4 4 8 4" xfId="36266" xr:uid="{00000000-0005-0000-0000-0000E8990000}"/>
    <cellStyle name="Wrap 4 4 8 4 2" xfId="36267" xr:uid="{00000000-0005-0000-0000-0000E9990000}"/>
    <cellStyle name="Wrap 4 4 8 5" xfId="36268" xr:uid="{00000000-0005-0000-0000-0000EA990000}"/>
    <cellStyle name="Wrap 4 4 8 5 2" xfId="36269" xr:uid="{00000000-0005-0000-0000-0000EB990000}"/>
    <cellStyle name="Wrap 4 4 8 6" xfId="36270" xr:uid="{00000000-0005-0000-0000-0000EC990000}"/>
    <cellStyle name="Wrap 4 4 8 6 2" xfId="36271" xr:uid="{00000000-0005-0000-0000-0000ED990000}"/>
    <cellStyle name="Wrap 4 4 8 7" xfId="36272" xr:uid="{00000000-0005-0000-0000-0000EE990000}"/>
    <cellStyle name="Wrap 4 4 8 7 2" xfId="36273" xr:uid="{00000000-0005-0000-0000-0000EF990000}"/>
    <cellStyle name="Wrap 4 4 8 8" xfId="36274" xr:uid="{00000000-0005-0000-0000-0000F0990000}"/>
    <cellStyle name="Wrap 4 4 8 8 2" xfId="36275" xr:uid="{00000000-0005-0000-0000-0000F1990000}"/>
    <cellStyle name="Wrap 4 4 8 9" xfId="36276" xr:uid="{00000000-0005-0000-0000-0000F2990000}"/>
    <cellStyle name="Wrap 4 4 8 9 2" xfId="36277" xr:uid="{00000000-0005-0000-0000-0000F3990000}"/>
    <cellStyle name="Wrap 4 4 9" xfId="36278" xr:uid="{00000000-0005-0000-0000-0000F4990000}"/>
    <cellStyle name="Wrap 4 4 9 10" xfId="36279" xr:uid="{00000000-0005-0000-0000-0000F5990000}"/>
    <cellStyle name="Wrap 4 4 9 2" xfId="36280" xr:uid="{00000000-0005-0000-0000-0000F6990000}"/>
    <cellStyle name="Wrap 4 4 9 2 2" xfId="36281" xr:uid="{00000000-0005-0000-0000-0000F7990000}"/>
    <cellStyle name="Wrap 4 4 9 3" xfId="36282" xr:uid="{00000000-0005-0000-0000-0000F8990000}"/>
    <cellStyle name="Wrap 4 4 9 3 2" xfId="36283" xr:uid="{00000000-0005-0000-0000-0000F9990000}"/>
    <cellStyle name="Wrap 4 4 9 4" xfId="36284" xr:uid="{00000000-0005-0000-0000-0000FA990000}"/>
    <cellStyle name="Wrap 4 4 9 4 2" xfId="36285" xr:uid="{00000000-0005-0000-0000-0000FB990000}"/>
    <cellStyle name="Wrap 4 4 9 5" xfId="36286" xr:uid="{00000000-0005-0000-0000-0000FC990000}"/>
    <cellStyle name="Wrap 4 4 9 5 2" xfId="36287" xr:uid="{00000000-0005-0000-0000-0000FD990000}"/>
    <cellStyle name="Wrap 4 4 9 6" xfId="36288" xr:uid="{00000000-0005-0000-0000-0000FE990000}"/>
    <cellStyle name="Wrap 4 4 9 6 2" xfId="36289" xr:uid="{00000000-0005-0000-0000-0000FF990000}"/>
    <cellStyle name="Wrap 4 4 9 7" xfId="36290" xr:uid="{00000000-0005-0000-0000-0000009A0000}"/>
    <cellStyle name="Wrap 4 4 9 7 2" xfId="36291" xr:uid="{00000000-0005-0000-0000-0000019A0000}"/>
    <cellStyle name="Wrap 4 4 9 8" xfId="36292" xr:uid="{00000000-0005-0000-0000-0000029A0000}"/>
    <cellStyle name="Wrap 4 4 9 8 2" xfId="36293" xr:uid="{00000000-0005-0000-0000-0000039A0000}"/>
    <cellStyle name="Wrap 4 4 9 9" xfId="36294" xr:uid="{00000000-0005-0000-0000-0000049A0000}"/>
    <cellStyle name="Wrap 4 4 9 9 2" xfId="36295" xr:uid="{00000000-0005-0000-0000-0000059A0000}"/>
    <cellStyle name="Wrap 4 5" xfId="36296" xr:uid="{00000000-0005-0000-0000-0000069A0000}"/>
    <cellStyle name="Wrap 4 5 10" xfId="36297" xr:uid="{00000000-0005-0000-0000-0000079A0000}"/>
    <cellStyle name="Wrap 4 5 10 2" xfId="36298" xr:uid="{00000000-0005-0000-0000-0000089A0000}"/>
    <cellStyle name="Wrap 4 5 10 2 2" xfId="36299" xr:uid="{00000000-0005-0000-0000-0000099A0000}"/>
    <cellStyle name="Wrap 4 5 10 3" xfId="36300" xr:uid="{00000000-0005-0000-0000-00000A9A0000}"/>
    <cellStyle name="Wrap 4 5 10 3 2" xfId="36301" xr:uid="{00000000-0005-0000-0000-00000B9A0000}"/>
    <cellStyle name="Wrap 4 5 10 4" xfId="36302" xr:uid="{00000000-0005-0000-0000-00000C9A0000}"/>
    <cellStyle name="Wrap 4 5 10 4 2" xfId="36303" xr:uid="{00000000-0005-0000-0000-00000D9A0000}"/>
    <cellStyle name="Wrap 4 5 10 5" xfId="36304" xr:uid="{00000000-0005-0000-0000-00000E9A0000}"/>
    <cellStyle name="Wrap 4 5 10 5 2" xfId="36305" xr:uid="{00000000-0005-0000-0000-00000F9A0000}"/>
    <cellStyle name="Wrap 4 5 10 6" xfId="36306" xr:uid="{00000000-0005-0000-0000-0000109A0000}"/>
    <cellStyle name="Wrap 4 5 10 6 2" xfId="36307" xr:uid="{00000000-0005-0000-0000-0000119A0000}"/>
    <cellStyle name="Wrap 4 5 10 7" xfId="36308" xr:uid="{00000000-0005-0000-0000-0000129A0000}"/>
    <cellStyle name="Wrap 4 5 10 7 2" xfId="36309" xr:uid="{00000000-0005-0000-0000-0000139A0000}"/>
    <cellStyle name="Wrap 4 5 10 8" xfId="36310" xr:uid="{00000000-0005-0000-0000-0000149A0000}"/>
    <cellStyle name="Wrap 4 5 10 8 2" xfId="36311" xr:uid="{00000000-0005-0000-0000-0000159A0000}"/>
    <cellStyle name="Wrap 4 5 10 9" xfId="36312" xr:uid="{00000000-0005-0000-0000-0000169A0000}"/>
    <cellStyle name="Wrap 4 5 11" xfId="36313" xr:uid="{00000000-0005-0000-0000-0000179A0000}"/>
    <cellStyle name="Wrap 4 5 11 2" xfId="36314" xr:uid="{00000000-0005-0000-0000-0000189A0000}"/>
    <cellStyle name="Wrap 4 5 12" xfId="36315" xr:uid="{00000000-0005-0000-0000-0000199A0000}"/>
    <cellStyle name="Wrap 4 5 12 2" xfId="36316" xr:uid="{00000000-0005-0000-0000-00001A9A0000}"/>
    <cellStyle name="Wrap 4 5 13" xfId="36317" xr:uid="{00000000-0005-0000-0000-00001B9A0000}"/>
    <cellStyle name="Wrap 4 5 13 2" xfId="36318" xr:uid="{00000000-0005-0000-0000-00001C9A0000}"/>
    <cellStyle name="Wrap 4 5 14" xfId="36319" xr:uid="{00000000-0005-0000-0000-00001D9A0000}"/>
    <cellStyle name="Wrap 4 5 14 2" xfId="36320" xr:uid="{00000000-0005-0000-0000-00001E9A0000}"/>
    <cellStyle name="Wrap 4 5 15" xfId="36321" xr:uid="{00000000-0005-0000-0000-00001F9A0000}"/>
    <cellStyle name="Wrap 4 5 15 2" xfId="36322" xr:uid="{00000000-0005-0000-0000-0000209A0000}"/>
    <cellStyle name="Wrap 4 5 16" xfId="36323" xr:uid="{00000000-0005-0000-0000-0000219A0000}"/>
    <cellStyle name="Wrap 4 5 16 2" xfId="36324" xr:uid="{00000000-0005-0000-0000-0000229A0000}"/>
    <cellStyle name="Wrap 4 5 17" xfId="36325" xr:uid="{00000000-0005-0000-0000-0000239A0000}"/>
    <cellStyle name="Wrap 4 5 17 2" xfId="36326" xr:uid="{00000000-0005-0000-0000-0000249A0000}"/>
    <cellStyle name="Wrap 4 5 18" xfId="36327" xr:uid="{00000000-0005-0000-0000-0000259A0000}"/>
    <cellStyle name="Wrap 4 5 2" xfId="36328" xr:uid="{00000000-0005-0000-0000-0000269A0000}"/>
    <cellStyle name="Wrap 4 5 2 10" xfId="36329" xr:uid="{00000000-0005-0000-0000-0000279A0000}"/>
    <cellStyle name="Wrap 4 5 2 2" xfId="36330" xr:uid="{00000000-0005-0000-0000-0000289A0000}"/>
    <cellStyle name="Wrap 4 5 2 2 2" xfId="36331" xr:uid="{00000000-0005-0000-0000-0000299A0000}"/>
    <cellStyle name="Wrap 4 5 2 3" xfId="36332" xr:uid="{00000000-0005-0000-0000-00002A9A0000}"/>
    <cellStyle name="Wrap 4 5 2 3 2" xfId="36333" xr:uid="{00000000-0005-0000-0000-00002B9A0000}"/>
    <cellStyle name="Wrap 4 5 2 4" xfId="36334" xr:uid="{00000000-0005-0000-0000-00002C9A0000}"/>
    <cellStyle name="Wrap 4 5 2 4 2" xfId="36335" xr:uid="{00000000-0005-0000-0000-00002D9A0000}"/>
    <cellStyle name="Wrap 4 5 2 5" xfId="36336" xr:uid="{00000000-0005-0000-0000-00002E9A0000}"/>
    <cellStyle name="Wrap 4 5 2 5 2" xfId="36337" xr:uid="{00000000-0005-0000-0000-00002F9A0000}"/>
    <cellStyle name="Wrap 4 5 2 6" xfId="36338" xr:uid="{00000000-0005-0000-0000-0000309A0000}"/>
    <cellStyle name="Wrap 4 5 2 6 2" xfId="36339" xr:uid="{00000000-0005-0000-0000-0000319A0000}"/>
    <cellStyle name="Wrap 4 5 2 7" xfId="36340" xr:uid="{00000000-0005-0000-0000-0000329A0000}"/>
    <cellStyle name="Wrap 4 5 2 7 2" xfId="36341" xr:uid="{00000000-0005-0000-0000-0000339A0000}"/>
    <cellStyle name="Wrap 4 5 2 8" xfId="36342" xr:uid="{00000000-0005-0000-0000-0000349A0000}"/>
    <cellStyle name="Wrap 4 5 2 8 2" xfId="36343" xr:uid="{00000000-0005-0000-0000-0000359A0000}"/>
    <cellStyle name="Wrap 4 5 2 9" xfId="36344" xr:uid="{00000000-0005-0000-0000-0000369A0000}"/>
    <cellStyle name="Wrap 4 5 2 9 2" xfId="36345" xr:uid="{00000000-0005-0000-0000-0000379A0000}"/>
    <cellStyle name="Wrap 4 5 3" xfId="36346" xr:uid="{00000000-0005-0000-0000-0000389A0000}"/>
    <cellStyle name="Wrap 4 5 3 10" xfId="36347" xr:uid="{00000000-0005-0000-0000-0000399A0000}"/>
    <cellStyle name="Wrap 4 5 3 2" xfId="36348" xr:uid="{00000000-0005-0000-0000-00003A9A0000}"/>
    <cellStyle name="Wrap 4 5 3 2 2" xfId="36349" xr:uid="{00000000-0005-0000-0000-00003B9A0000}"/>
    <cellStyle name="Wrap 4 5 3 3" xfId="36350" xr:uid="{00000000-0005-0000-0000-00003C9A0000}"/>
    <cellStyle name="Wrap 4 5 3 3 2" xfId="36351" xr:uid="{00000000-0005-0000-0000-00003D9A0000}"/>
    <cellStyle name="Wrap 4 5 3 4" xfId="36352" xr:uid="{00000000-0005-0000-0000-00003E9A0000}"/>
    <cellStyle name="Wrap 4 5 3 4 2" xfId="36353" xr:uid="{00000000-0005-0000-0000-00003F9A0000}"/>
    <cellStyle name="Wrap 4 5 3 5" xfId="36354" xr:uid="{00000000-0005-0000-0000-0000409A0000}"/>
    <cellStyle name="Wrap 4 5 3 5 2" xfId="36355" xr:uid="{00000000-0005-0000-0000-0000419A0000}"/>
    <cellStyle name="Wrap 4 5 3 6" xfId="36356" xr:uid="{00000000-0005-0000-0000-0000429A0000}"/>
    <cellStyle name="Wrap 4 5 3 6 2" xfId="36357" xr:uid="{00000000-0005-0000-0000-0000439A0000}"/>
    <cellStyle name="Wrap 4 5 3 7" xfId="36358" xr:uid="{00000000-0005-0000-0000-0000449A0000}"/>
    <cellStyle name="Wrap 4 5 3 7 2" xfId="36359" xr:uid="{00000000-0005-0000-0000-0000459A0000}"/>
    <cellStyle name="Wrap 4 5 3 8" xfId="36360" xr:uid="{00000000-0005-0000-0000-0000469A0000}"/>
    <cellStyle name="Wrap 4 5 3 8 2" xfId="36361" xr:uid="{00000000-0005-0000-0000-0000479A0000}"/>
    <cellStyle name="Wrap 4 5 3 9" xfId="36362" xr:uid="{00000000-0005-0000-0000-0000489A0000}"/>
    <cellStyle name="Wrap 4 5 3 9 2" xfId="36363" xr:uid="{00000000-0005-0000-0000-0000499A0000}"/>
    <cellStyle name="Wrap 4 5 4" xfId="36364" xr:uid="{00000000-0005-0000-0000-00004A9A0000}"/>
    <cellStyle name="Wrap 4 5 4 10" xfId="36365" xr:uid="{00000000-0005-0000-0000-00004B9A0000}"/>
    <cellStyle name="Wrap 4 5 4 2" xfId="36366" xr:uid="{00000000-0005-0000-0000-00004C9A0000}"/>
    <cellStyle name="Wrap 4 5 4 2 2" xfId="36367" xr:uid="{00000000-0005-0000-0000-00004D9A0000}"/>
    <cellStyle name="Wrap 4 5 4 3" xfId="36368" xr:uid="{00000000-0005-0000-0000-00004E9A0000}"/>
    <cellStyle name="Wrap 4 5 4 3 2" xfId="36369" xr:uid="{00000000-0005-0000-0000-00004F9A0000}"/>
    <cellStyle name="Wrap 4 5 4 4" xfId="36370" xr:uid="{00000000-0005-0000-0000-0000509A0000}"/>
    <cellStyle name="Wrap 4 5 4 4 2" xfId="36371" xr:uid="{00000000-0005-0000-0000-0000519A0000}"/>
    <cellStyle name="Wrap 4 5 4 5" xfId="36372" xr:uid="{00000000-0005-0000-0000-0000529A0000}"/>
    <cellStyle name="Wrap 4 5 4 5 2" xfId="36373" xr:uid="{00000000-0005-0000-0000-0000539A0000}"/>
    <cellStyle name="Wrap 4 5 4 6" xfId="36374" xr:uid="{00000000-0005-0000-0000-0000549A0000}"/>
    <cellStyle name="Wrap 4 5 4 6 2" xfId="36375" xr:uid="{00000000-0005-0000-0000-0000559A0000}"/>
    <cellStyle name="Wrap 4 5 4 7" xfId="36376" xr:uid="{00000000-0005-0000-0000-0000569A0000}"/>
    <cellStyle name="Wrap 4 5 4 7 2" xfId="36377" xr:uid="{00000000-0005-0000-0000-0000579A0000}"/>
    <cellStyle name="Wrap 4 5 4 8" xfId="36378" xr:uid="{00000000-0005-0000-0000-0000589A0000}"/>
    <cellStyle name="Wrap 4 5 4 8 2" xfId="36379" xr:uid="{00000000-0005-0000-0000-0000599A0000}"/>
    <cellStyle name="Wrap 4 5 4 9" xfId="36380" xr:uid="{00000000-0005-0000-0000-00005A9A0000}"/>
    <cellStyle name="Wrap 4 5 4 9 2" xfId="36381" xr:uid="{00000000-0005-0000-0000-00005B9A0000}"/>
    <cellStyle name="Wrap 4 5 5" xfId="36382" xr:uid="{00000000-0005-0000-0000-00005C9A0000}"/>
    <cellStyle name="Wrap 4 5 5 10" xfId="36383" xr:uid="{00000000-0005-0000-0000-00005D9A0000}"/>
    <cellStyle name="Wrap 4 5 5 2" xfId="36384" xr:uid="{00000000-0005-0000-0000-00005E9A0000}"/>
    <cellStyle name="Wrap 4 5 5 2 2" xfId="36385" xr:uid="{00000000-0005-0000-0000-00005F9A0000}"/>
    <cellStyle name="Wrap 4 5 5 3" xfId="36386" xr:uid="{00000000-0005-0000-0000-0000609A0000}"/>
    <cellStyle name="Wrap 4 5 5 3 2" xfId="36387" xr:uid="{00000000-0005-0000-0000-0000619A0000}"/>
    <cellStyle name="Wrap 4 5 5 4" xfId="36388" xr:uid="{00000000-0005-0000-0000-0000629A0000}"/>
    <cellStyle name="Wrap 4 5 5 4 2" xfId="36389" xr:uid="{00000000-0005-0000-0000-0000639A0000}"/>
    <cellStyle name="Wrap 4 5 5 5" xfId="36390" xr:uid="{00000000-0005-0000-0000-0000649A0000}"/>
    <cellStyle name="Wrap 4 5 5 5 2" xfId="36391" xr:uid="{00000000-0005-0000-0000-0000659A0000}"/>
    <cellStyle name="Wrap 4 5 5 6" xfId="36392" xr:uid="{00000000-0005-0000-0000-0000669A0000}"/>
    <cellStyle name="Wrap 4 5 5 6 2" xfId="36393" xr:uid="{00000000-0005-0000-0000-0000679A0000}"/>
    <cellStyle name="Wrap 4 5 5 7" xfId="36394" xr:uid="{00000000-0005-0000-0000-0000689A0000}"/>
    <cellStyle name="Wrap 4 5 5 7 2" xfId="36395" xr:uid="{00000000-0005-0000-0000-0000699A0000}"/>
    <cellStyle name="Wrap 4 5 5 8" xfId="36396" xr:uid="{00000000-0005-0000-0000-00006A9A0000}"/>
    <cellStyle name="Wrap 4 5 5 8 2" xfId="36397" xr:uid="{00000000-0005-0000-0000-00006B9A0000}"/>
    <cellStyle name="Wrap 4 5 5 9" xfId="36398" xr:uid="{00000000-0005-0000-0000-00006C9A0000}"/>
    <cellStyle name="Wrap 4 5 5 9 2" xfId="36399" xr:uid="{00000000-0005-0000-0000-00006D9A0000}"/>
    <cellStyle name="Wrap 4 5 6" xfId="36400" xr:uid="{00000000-0005-0000-0000-00006E9A0000}"/>
    <cellStyle name="Wrap 4 5 6 10" xfId="36401" xr:uid="{00000000-0005-0000-0000-00006F9A0000}"/>
    <cellStyle name="Wrap 4 5 6 2" xfId="36402" xr:uid="{00000000-0005-0000-0000-0000709A0000}"/>
    <cellStyle name="Wrap 4 5 6 2 2" xfId="36403" xr:uid="{00000000-0005-0000-0000-0000719A0000}"/>
    <cellStyle name="Wrap 4 5 6 3" xfId="36404" xr:uid="{00000000-0005-0000-0000-0000729A0000}"/>
    <cellStyle name="Wrap 4 5 6 3 2" xfId="36405" xr:uid="{00000000-0005-0000-0000-0000739A0000}"/>
    <cellStyle name="Wrap 4 5 6 4" xfId="36406" xr:uid="{00000000-0005-0000-0000-0000749A0000}"/>
    <cellStyle name="Wrap 4 5 6 4 2" xfId="36407" xr:uid="{00000000-0005-0000-0000-0000759A0000}"/>
    <cellStyle name="Wrap 4 5 6 5" xfId="36408" xr:uid="{00000000-0005-0000-0000-0000769A0000}"/>
    <cellStyle name="Wrap 4 5 6 5 2" xfId="36409" xr:uid="{00000000-0005-0000-0000-0000779A0000}"/>
    <cellStyle name="Wrap 4 5 6 6" xfId="36410" xr:uid="{00000000-0005-0000-0000-0000789A0000}"/>
    <cellStyle name="Wrap 4 5 6 6 2" xfId="36411" xr:uid="{00000000-0005-0000-0000-0000799A0000}"/>
    <cellStyle name="Wrap 4 5 6 7" xfId="36412" xr:uid="{00000000-0005-0000-0000-00007A9A0000}"/>
    <cellStyle name="Wrap 4 5 6 7 2" xfId="36413" xr:uid="{00000000-0005-0000-0000-00007B9A0000}"/>
    <cellStyle name="Wrap 4 5 6 8" xfId="36414" xr:uid="{00000000-0005-0000-0000-00007C9A0000}"/>
    <cellStyle name="Wrap 4 5 6 8 2" xfId="36415" xr:uid="{00000000-0005-0000-0000-00007D9A0000}"/>
    <cellStyle name="Wrap 4 5 6 9" xfId="36416" xr:uid="{00000000-0005-0000-0000-00007E9A0000}"/>
    <cellStyle name="Wrap 4 5 6 9 2" xfId="36417" xr:uid="{00000000-0005-0000-0000-00007F9A0000}"/>
    <cellStyle name="Wrap 4 5 7" xfId="36418" xr:uid="{00000000-0005-0000-0000-0000809A0000}"/>
    <cellStyle name="Wrap 4 5 7 10" xfId="36419" xr:uid="{00000000-0005-0000-0000-0000819A0000}"/>
    <cellStyle name="Wrap 4 5 7 2" xfId="36420" xr:uid="{00000000-0005-0000-0000-0000829A0000}"/>
    <cellStyle name="Wrap 4 5 7 2 2" xfId="36421" xr:uid="{00000000-0005-0000-0000-0000839A0000}"/>
    <cellStyle name="Wrap 4 5 7 3" xfId="36422" xr:uid="{00000000-0005-0000-0000-0000849A0000}"/>
    <cellStyle name="Wrap 4 5 7 3 2" xfId="36423" xr:uid="{00000000-0005-0000-0000-0000859A0000}"/>
    <cellStyle name="Wrap 4 5 7 4" xfId="36424" xr:uid="{00000000-0005-0000-0000-0000869A0000}"/>
    <cellStyle name="Wrap 4 5 7 4 2" xfId="36425" xr:uid="{00000000-0005-0000-0000-0000879A0000}"/>
    <cellStyle name="Wrap 4 5 7 5" xfId="36426" xr:uid="{00000000-0005-0000-0000-0000889A0000}"/>
    <cellStyle name="Wrap 4 5 7 5 2" xfId="36427" xr:uid="{00000000-0005-0000-0000-0000899A0000}"/>
    <cellStyle name="Wrap 4 5 7 6" xfId="36428" xr:uid="{00000000-0005-0000-0000-00008A9A0000}"/>
    <cellStyle name="Wrap 4 5 7 6 2" xfId="36429" xr:uid="{00000000-0005-0000-0000-00008B9A0000}"/>
    <cellStyle name="Wrap 4 5 7 7" xfId="36430" xr:uid="{00000000-0005-0000-0000-00008C9A0000}"/>
    <cellStyle name="Wrap 4 5 7 7 2" xfId="36431" xr:uid="{00000000-0005-0000-0000-00008D9A0000}"/>
    <cellStyle name="Wrap 4 5 7 8" xfId="36432" xr:uid="{00000000-0005-0000-0000-00008E9A0000}"/>
    <cellStyle name="Wrap 4 5 7 8 2" xfId="36433" xr:uid="{00000000-0005-0000-0000-00008F9A0000}"/>
    <cellStyle name="Wrap 4 5 7 9" xfId="36434" xr:uid="{00000000-0005-0000-0000-0000909A0000}"/>
    <cellStyle name="Wrap 4 5 7 9 2" xfId="36435" xr:uid="{00000000-0005-0000-0000-0000919A0000}"/>
    <cellStyle name="Wrap 4 5 8" xfId="36436" xr:uid="{00000000-0005-0000-0000-0000929A0000}"/>
    <cellStyle name="Wrap 4 5 8 10" xfId="36437" xr:uid="{00000000-0005-0000-0000-0000939A0000}"/>
    <cellStyle name="Wrap 4 5 8 2" xfId="36438" xr:uid="{00000000-0005-0000-0000-0000949A0000}"/>
    <cellStyle name="Wrap 4 5 8 2 2" xfId="36439" xr:uid="{00000000-0005-0000-0000-0000959A0000}"/>
    <cellStyle name="Wrap 4 5 8 3" xfId="36440" xr:uid="{00000000-0005-0000-0000-0000969A0000}"/>
    <cellStyle name="Wrap 4 5 8 3 2" xfId="36441" xr:uid="{00000000-0005-0000-0000-0000979A0000}"/>
    <cellStyle name="Wrap 4 5 8 4" xfId="36442" xr:uid="{00000000-0005-0000-0000-0000989A0000}"/>
    <cellStyle name="Wrap 4 5 8 4 2" xfId="36443" xr:uid="{00000000-0005-0000-0000-0000999A0000}"/>
    <cellStyle name="Wrap 4 5 8 5" xfId="36444" xr:uid="{00000000-0005-0000-0000-00009A9A0000}"/>
    <cellStyle name="Wrap 4 5 8 5 2" xfId="36445" xr:uid="{00000000-0005-0000-0000-00009B9A0000}"/>
    <cellStyle name="Wrap 4 5 8 6" xfId="36446" xr:uid="{00000000-0005-0000-0000-00009C9A0000}"/>
    <cellStyle name="Wrap 4 5 8 6 2" xfId="36447" xr:uid="{00000000-0005-0000-0000-00009D9A0000}"/>
    <cellStyle name="Wrap 4 5 8 7" xfId="36448" xr:uid="{00000000-0005-0000-0000-00009E9A0000}"/>
    <cellStyle name="Wrap 4 5 8 7 2" xfId="36449" xr:uid="{00000000-0005-0000-0000-00009F9A0000}"/>
    <cellStyle name="Wrap 4 5 8 8" xfId="36450" xr:uid="{00000000-0005-0000-0000-0000A09A0000}"/>
    <cellStyle name="Wrap 4 5 8 8 2" xfId="36451" xr:uid="{00000000-0005-0000-0000-0000A19A0000}"/>
    <cellStyle name="Wrap 4 5 8 9" xfId="36452" xr:uid="{00000000-0005-0000-0000-0000A29A0000}"/>
    <cellStyle name="Wrap 4 5 8 9 2" xfId="36453" xr:uid="{00000000-0005-0000-0000-0000A39A0000}"/>
    <cellStyle name="Wrap 4 5 9" xfId="36454" xr:uid="{00000000-0005-0000-0000-0000A49A0000}"/>
    <cellStyle name="Wrap 4 5 9 10" xfId="36455" xr:uid="{00000000-0005-0000-0000-0000A59A0000}"/>
    <cellStyle name="Wrap 4 5 9 2" xfId="36456" xr:uid="{00000000-0005-0000-0000-0000A69A0000}"/>
    <cellStyle name="Wrap 4 5 9 2 2" xfId="36457" xr:uid="{00000000-0005-0000-0000-0000A79A0000}"/>
    <cellStyle name="Wrap 4 5 9 3" xfId="36458" xr:uid="{00000000-0005-0000-0000-0000A89A0000}"/>
    <cellStyle name="Wrap 4 5 9 3 2" xfId="36459" xr:uid="{00000000-0005-0000-0000-0000A99A0000}"/>
    <cellStyle name="Wrap 4 5 9 4" xfId="36460" xr:uid="{00000000-0005-0000-0000-0000AA9A0000}"/>
    <cellStyle name="Wrap 4 5 9 4 2" xfId="36461" xr:uid="{00000000-0005-0000-0000-0000AB9A0000}"/>
    <cellStyle name="Wrap 4 5 9 5" xfId="36462" xr:uid="{00000000-0005-0000-0000-0000AC9A0000}"/>
    <cellStyle name="Wrap 4 5 9 5 2" xfId="36463" xr:uid="{00000000-0005-0000-0000-0000AD9A0000}"/>
    <cellStyle name="Wrap 4 5 9 6" xfId="36464" xr:uid="{00000000-0005-0000-0000-0000AE9A0000}"/>
    <cellStyle name="Wrap 4 5 9 6 2" xfId="36465" xr:uid="{00000000-0005-0000-0000-0000AF9A0000}"/>
    <cellStyle name="Wrap 4 5 9 7" xfId="36466" xr:uid="{00000000-0005-0000-0000-0000B09A0000}"/>
    <cellStyle name="Wrap 4 5 9 7 2" xfId="36467" xr:uid="{00000000-0005-0000-0000-0000B19A0000}"/>
    <cellStyle name="Wrap 4 5 9 8" xfId="36468" xr:uid="{00000000-0005-0000-0000-0000B29A0000}"/>
    <cellStyle name="Wrap 4 5 9 8 2" xfId="36469" xr:uid="{00000000-0005-0000-0000-0000B39A0000}"/>
    <cellStyle name="Wrap 4 5 9 9" xfId="36470" xr:uid="{00000000-0005-0000-0000-0000B49A0000}"/>
    <cellStyle name="Wrap 4 5 9 9 2" xfId="36471" xr:uid="{00000000-0005-0000-0000-0000B59A0000}"/>
    <cellStyle name="Wrap 4 6" xfId="36472" xr:uid="{00000000-0005-0000-0000-0000B69A0000}"/>
    <cellStyle name="Wrap 4 6 10" xfId="36473" xr:uid="{00000000-0005-0000-0000-0000B79A0000}"/>
    <cellStyle name="Wrap 4 6 10 2" xfId="36474" xr:uid="{00000000-0005-0000-0000-0000B89A0000}"/>
    <cellStyle name="Wrap 4 6 10 2 2" xfId="36475" xr:uid="{00000000-0005-0000-0000-0000B99A0000}"/>
    <cellStyle name="Wrap 4 6 10 3" xfId="36476" xr:uid="{00000000-0005-0000-0000-0000BA9A0000}"/>
    <cellStyle name="Wrap 4 6 10 3 2" xfId="36477" xr:uid="{00000000-0005-0000-0000-0000BB9A0000}"/>
    <cellStyle name="Wrap 4 6 10 4" xfId="36478" xr:uid="{00000000-0005-0000-0000-0000BC9A0000}"/>
    <cellStyle name="Wrap 4 6 10 4 2" xfId="36479" xr:uid="{00000000-0005-0000-0000-0000BD9A0000}"/>
    <cellStyle name="Wrap 4 6 10 5" xfId="36480" xr:uid="{00000000-0005-0000-0000-0000BE9A0000}"/>
    <cellStyle name="Wrap 4 6 10 5 2" xfId="36481" xr:uid="{00000000-0005-0000-0000-0000BF9A0000}"/>
    <cellStyle name="Wrap 4 6 10 6" xfId="36482" xr:uid="{00000000-0005-0000-0000-0000C09A0000}"/>
    <cellStyle name="Wrap 4 6 10 6 2" xfId="36483" xr:uid="{00000000-0005-0000-0000-0000C19A0000}"/>
    <cellStyle name="Wrap 4 6 10 7" xfId="36484" xr:uid="{00000000-0005-0000-0000-0000C29A0000}"/>
    <cellStyle name="Wrap 4 6 10 7 2" xfId="36485" xr:uid="{00000000-0005-0000-0000-0000C39A0000}"/>
    <cellStyle name="Wrap 4 6 10 8" xfId="36486" xr:uid="{00000000-0005-0000-0000-0000C49A0000}"/>
    <cellStyle name="Wrap 4 6 10 8 2" xfId="36487" xr:uid="{00000000-0005-0000-0000-0000C59A0000}"/>
    <cellStyle name="Wrap 4 6 10 9" xfId="36488" xr:uid="{00000000-0005-0000-0000-0000C69A0000}"/>
    <cellStyle name="Wrap 4 6 11" xfId="36489" xr:uid="{00000000-0005-0000-0000-0000C79A0000}"/>
    <cellStyle name="Wrap 4 6 11 2" xfId="36490" xr:uid="{00000000-0005-0000-0000-0000C89A0000}"/>
    <cellStyle name="Wrap 4 6 12" xfId="36491" xr:uid="{00000000-0005-0000-0000-0000C99A0000}"/>
    <cellStyle name="Wrap 4 6 12 2" xfId="36492" xr:uid="{00000000-0005-0000-0000-0000CA9A0000}"/>
    <cellStyle name="Wrap 4 6 13" xfId="36493" xr:uid="{00000000-0005-0000-0000-0000CB9A0000}"/>
    <cellStyle name="Wrap 4 6 13 2" xfId="36494" xr:uid="{00000000-0005-0000-0000-0000CC9A0000}"/>
    <cellStyle name="Wrap 4 6 14" xfId="36495" xr:uid="{00000000-0005-0000-0000-0000CD9A0000}"/>
    <cellStyle name="Wrap 4 6 14 2" xfId="36496" xr:uid="{00000000-0005-0000-0000-0000CE9A0000}"/>
    <cellStyle name="Wrap 4 6 15" xfId="36497" xr:uid="{00000000-0005-0000-0000-0000CF9A0000}"/>
    <cellStyle name="Wrap 4 6 15 2" xfId="36498" xr:uid="{00000000-0005-0000-0000-0000D09A0000}"/>
    <cellStyle name="Wrap 4 6 16" xfId="36499" xr:uid="{00000000-0005-0000-0000-0000D19A0000}"/>
    <cellStyle name="Wrap 4 6 16 2" xfId="36500" xr:uid="{00000000-0005-0000-0000-0000D29A0000}"/>
    <cellStyle name="Wrap 4 6 17" xfId="36501" xr:uid="{00000000-0005-0000-0000-0000D39A0000}"/>
    <cellStyle name="Wrap 4 6 17 2" xfId="36502" xr:uid="{00000000-0005-0000-0000-0000D49A0000}"/>
    <cellStyle name="Wrap 4 6 18" xfId="36503" xr:uid="{00000000-0005-0000-0000-0000D59A0000}"/>
    <cellStyle name="Wrap 4 6 2" xfId="36504" xr:uid="{00000000-0005-0000-0000-0000D69A0000}"/>
    <cellStyle name="Wrap 4 6 2 10" xfId="36505" xr:uid="{00000000-0005-0000-0000-0000D79A0000}"/>
    <cellStyle name="Wrap 4 6 2 2" xfId="36506" xr:uid="{00000000-0005-0000-0000-0000D89A0000}"/>
    <cellStyle name="Wrap 4 6 2 2 2" xfId="36507" xr:uid="{00000000-0005-0000-0000-0000D99A0000}"/>
    <cellStyle name="Wrap 4 6 2 3" xfId="36508" xr:uid="{00000000-0005-0000-0000-0000DA9A0000}"/>
    <cellStyle name="Wrap 4 6 2 3 2" xfId="36509" xr:uid="{00000000-0005-0000-0000-0000DB9A0000}"/>
    <cellStyle name="Wrap 4 6 2 4" xfId="36510" xr:uid="{00000000-0005-0000-0000-0000DC9A0000}"/>
    <cellStyle name="Wrap 4 6 2 4 2" xfId="36511" xr:uid="{00000000-0005-0000-0000-0000DD9A0000}"/>
    <cellStyle name="Wrap 4 6 2 5" xfId="36512" xr:uid="{00000000-0005-0000-0000-0000DE9A0000}"/>
    <cellStyle name="Wrap 4 6 2 5 2" xfId="36513" xr:uid="{00000000-0005-0000-0000-0000DF9A0000}"/>
    <cellStyle name="Wrap 4 6 2 6" xfId="36514" xr:uid="{00000000-0005-0000-0000-0000E09A0000}"/>
    <cellStyle name="Wrap 4 6 2 6 2" xfId="36515" xr:uid="{00000000-0005-0000-0000-0000E19A0000}"/>
    <cellStyle name="Wrap 4 6 2 7" xfId="36516" xr:uid="{00000000-0005-0000-0000-0000E29A0000}"/>
    <cellStyle name="Wrap 4 6 2 7 2" xfId="36517" xr:uid="{00000000-0005-0000-0000-0000E39A0000}"/>
    <cellStyle name="Wrap 4 6 2 8" xfId="36518" xr:uid="{00000000-0005-0000-0000-0000E49A0000}"/>
    <cellStyle name="Wrap 4 6 2 8 2" xfId="36519" xr:uid="{00000000-0005-0000-0000-0000E59A0000}"/>
    <cellStyle name="Wrap 4 6 2 9" xfId="36520" xr:uid="{00000000-0005-0000-0000-0000E69A0000}"/>
    <cellStyle name="Wrap 4 6 2 9 2" xfId="36521" xr:uid="{00000000-0005-0000-0000-0000E79A0000}"/>
    <cellStyle name="Wrap 4 6 3" xfId="36522" xr:uid="{00000000-0005-0000-0000-0000E89A0000}"/>
    <cellStyle name="Wrap 4 6 3 10" xfId="36523" xr:uid="{00000000-0005-0000-0000-0000E99A0000}"/>
    <cellStyle name="Wrap 4 6 3 2" xfId="36524" xr:uid="{00000000-0005-0000-0000-0000EA9A0000}"/>
    <cellStyle name="Wrap 4 6 3 2 2" xfId="36525" xr:uid="{00000000-0005-0000-0000-0000EB9A0000}"/>
    <cellStyle name="Wrap 4 6 3 3" xfId="36526" xr:uid="{00000000-0005-0000-0000-0000EC9A0000}"/>
    <cellStyle name="Wrap 4 6 3 3 2" xfId="36527" xr:uid="{00000000-0005-0000-0000-0000ED9A0000}"/>
    <cellStyle name="Wrap 4 6 3 4" xfId="36528" xr:uid="{00000000-0005-0000-0000-0000EE9A0000}"/>
    <cellStyle name="Wrap 4 6 3 4 2" xfId="36529" xr:uid="{00000000-0005-0000-0000-0000EF9A0000}"/>
    <cellStyle name="Wrap 4 6 3 5" xfId="36530" xr:uid="{00000000-0005-0000-0000-0000F09A0000}"/>
    <cellStyle name="Wrap 4 6 3 5 2" xfId="36531" xr:uid="{00000000-0005-0000-0000-0000F19A0000}"/>
    <cellStyle name="Wrap 4 6 3 6" xfId="36532" xr:uid="{00000000-0005-0000-0000-0000F29A0000}"/>
    <cellStyle name="Wrap 4 6 3 6 2" xfId="36533" xr:uid="{00000000-0005-0000-0000-0000F39A0000}"/>
    <cellStyle name="Wrap 4 6 3 7" xfId="36534" xr:uid="{00000000-0005-0000-0000-0000F49A0000}"/>
    <cellStyle name="Wrap 4 6 3 7 2" xfId="36535" xr:uid="{00000000-0005-0000-0000-0000F59A0000}"/>
    <cellStyle name="Wrap 4 6 3 8" xfId="36536" xr:uid="{00000000-0005-0000-0000-0000F69A0000}"/>
    <cellStyle name="Wrap 4 6 3 8 2" xfId="36537" xr:uid="{00000000-0005-0000-0000-0000F79A0000}"/>
    <cellStyle name="Wrap 4 6 3 9" xfId="36538" xr:uid="{00000000-0005-0000-0000-0000F89A0000}"/>
    <cellStyle name="Wrap 4 6 3 9 2" xfId="36539" xr:uid="{00000000-0005-0000-0000-0000F99A0000}"/>
    <cellStyle name="Wrap 4 6 4" xfId="36540" xr:uid="{00000000-0005-0000-0000-0000FA9A0000}"/>
    <cellStyle name="Wrap 4 6 4 10" xfId="36541" xr:uid="{00000000-0005-0000-0000-0000FB9A0000}"/>
    <cellStyle name="Wrap 4 6 4 2" xfId="36542" xr:uid="{00000000-0005-0000-0000-0000FC9A0000}"/>
    <cellStyle name="Wrap 4 6 4 2 2" xfId="36543" xr:uid="{00000000-0005-0000-0000-0000FD9A0000}"/>
    <cellStyle name="Wrap 4 6 4 3" xfId="36544" xr:uid="{00000000-0005-0000-0000-0000FE9A0000}"/>
    <cellStyle name="Wrap 4 6 4 3 2" xfId="36545" xr:uid="{00000000-0005-0000-0000-0000FF9A0000}"/>
    <cellStyle name="Wrap 4 6 4 4" xfId="36546" xr:uid="{00000000-0005-0000-0000-0000009B0000}"/>
    <cellStyle name="Wrap 4 6 4 4 2" xfId="36547" xr:uid="{00000000-0005-0000-0000-0000019B0000}"/>
    <cellStyle name="Wrap 4 6 4 5" xfId="36548" xr:uid="{00000000-0005-0000-0000-0000029B0000}"/>
    <cellStyle name="Wrap 4 6 4 5 2" xfId="36549" xr:uid="{00000000-0005-0000-0000-0000039B0000}"/>
    <cellStyle name="Wrap 4 6 4 6" xfId="36550" xr:uid="{00000000-0005-0000-0000-0000049B0000}"/>
    <cellStyle name="Wrap 4 6 4 6 2" xfId="36551" xr:uid="{00000000-0005-0000-0000-0000059B0000}"/>
    <cellStyle name="Wrap 4 6 4 7" xfId="36552" xr:uid="{00000000-0005-0000-0000-0000069B0000}"/>
    <cellStyle name="Wrap 4 6 4 7 2" xfId="36553" xr:uid="{00000000-0005-0000-0000-0000079B0000}"/>
    <cellStyle name="Wrap 4 6 4 8" xfId="36554" xr:uid="{00000000-0005-0000-0000-0000089B0000}"/>
    <cellStyle name="Wrap 4 6 4 8 2" xfId="36555" xr:uid="{00000000-0005-0000-0000-0000099B0000}"/>
    <cellStyle name="Wrap 4 6 4 9" xfId="36556" xr:uid="{00000000-0005-0000-0000-00000A9B0000}"/>
    <cellStyle name="Wrap 4 6 4 9 2" xfId="36557" xr:uid="{00000000-0005-0000-0000-00000B9B0000}"/>
    <cellStyle name="Wrap 4 6 5" xfId="36558" xr:uid="{00000000-0005-0000-0000-00000C9B0000}"/>
    <cellStyle name="Wrap 4 6 5 10" xfId="36559" xr:uid="{00000000-0005-0000-0000-00000D9B0000}"/>
    <cellStyle name="Wrap 4 6 5 2" xfId="36560" xr:uid="{00000000-0005-0000-0000-00000E9B0000}"/>
    <cellStyle name="Wrap 4 6 5 2 2" xfId="36561" xr:uid="{00000000-0005-0000-0000-00000F9B0000}"/>
    <cellStyle name="Wrap 4 6 5 3" xfId="36562" xr:uid="{00000000-0005-0000-0000-0000109B0000}"/>
    <cellStyle name="Wrap 4 6 5 3 2" xfId="36563" xr:uid="{00000000-0005-0000-0000-0000119B0000}"/>
    <cellStyle name="Wrap 4 6 5 4" xfId="36564" xr:uid="{00000000-0005-0000-0000-0000129B0000}"/>
    <cellStyle name="Wrap 4 6 5 4 2" xfId="36565" xr:uid="{00000000-0005-0000-0000-0000139B0000}"/>
    <cellStyle name="Wrap 4 6 5 5" xfId="36566" xr:uid="{00000000-0005-0000-0000-0000149B0000}"/>
    <cellStyle name="Wrap 4 6 5 5 2" xfId="36567" xr:uid="{00000000-0005-0000-0000-0000159B0000}"/>
    <cellStyle name="Wrap 4 6 5 6" xfId="36568" xr:uid="{00000000-0005-0000-0000-0000169B0000}"/>
    <cellStyle name="Wrap 4 6 5 6 2" xfId="36569" xr:uid="{00000000-0005-0000-0000-0000179B0000}"/>
    <cellStyle name="Wrap 4 6 5 7" xfId="36570" xr:uid="{00000000-0005-0000-0000-0000189B0000}"/>
    <cellStyle name="Wrap 4 6 5 7 2" xfId="36571" xr:uid="{00000000-0005-0000-0000-0000199B0000}"/>
    <cellStyle name="Wrap 4 6 5 8" xfId="36572" xr:uid="{00000000-0005-0000-0000-00001A9B0000}"/>
    <cellStyle name="Wrap 4 6 5 8 2" xfId="36573" xr:uid="{00000000-0005-0000-0000-00001B9B0000}"/>
    <cellStyle name="Wrap 4 6 5 9" xfId="36574" xr:uid="{00000000-0005-0000-0000-00001C9B0000}"/>
    <cellStyle name="Wrap 4 6 5 9 2" xfId="36575" xr:uid="{00000000-0005-0000-0000-00001D9B0000}"/>
    <cellStyle name="Wrap 4 6 6" xfId="36576" xr:uid="{00000000-0005-0000-0000-00001E9B0000}"/>
    <cellStyle name="Wrap 4 6 6 10" xfId="36577" xr:uid="{00000000-0005-0000-0000-00001F9B0000}"/>
    <cellStyle name="Wrap 4 6 6 2" xfId="36578" xr:uid="{00000000-0005-0000-0000-0000209B0000}"/>
    <cellStyle name="Wrap 4 6 6 2 2" xfId="36579" xr:uid="{00000000-0005-0000-0000-0000219B0000}"/>
    <cellStyle name="Wrap 4 6 6 3" xfId="36580" xr:uid="{00000000-0005-0000-0000-0000229B0000}"/>
    <cellStyle name="Wrap 4 6 6 3 2" xfId="36581" xr:uid="{00000000-0005-0000-0000-0000239B0000}"/>
    <cellStyle name="Wrap 4 6 6 4" xfId="36582" xr:uid="{00000000-0005-0000-0000-0000249B0000}"/>
    <cellStyle name="Wrap 4 6 6 4 2" xfId="36583" xr:uid="{00000000-0005-0000-0000-0000259B0000}"/>
    <cellStyle name="Wrap 4 6 6 5" xfId="36584" xr:uid="{00000000-0005-0000-0000-0000269B0000}"/>
    <cellStyle name="Wrap 4 6 6 5 2" xfId="36585" xr:uid="{00000000-0005-0000-0000-0000279B0000}"/>
    <cellStyle name="Wrap 4 6 6 6" xfId="36586" xr:uid="{00000000-0005-0000-0000-0000289B0000}"/>
    <cellStyle name="Wrap 4 6 6 6 2" xfId="36587" xr:uid="{00000000-0005-0000-0000-0000299B0000}"/>
    <cellStyle name="Wrap 4 6 6 7" xfId="36588" xr:uid="{00000000-0005-0000-0000-00002A9B0000}"/>
    <cellStyle name="Wrap 4 6 6 7 2" xfId="36589" xr:uid="{00000000-0005-0000-0000-00002B9B0000}"/>
    <cellStyle name="Wrap 4 6 6 8" xfId="36590" xr:uid="{00000000-0005-0000-0000-00002C9B0000}"/>
    <cellStyle name="Wrap 4 6 6 8 2" xfId="36591" xr:uid="{00000000-0005-0000-0000-00002D9B0000}"/>
    <cellStyle name="Wrap 4 6 6 9" xfId="36592" xr:uid="{00000000-0005-0000-0000-00002E9B0000}"/>
    <cellStyle name="Wrap 4 6 6 9 2" xfId="36593" xr:uid="{00000000-0005-0000-0000-00002F9B0000}"/>
    <cellStyle name="Wrap 4 6 7" xfId="36594" xr:uid="{00000000-0005-0000-0000-0000309B0000}"/>
    <cellStyle name="Wrap 4 6 7 10" xfId="36595" xr:uid="{00000000-0005-0000-0000-0000319B0000}"/>
    <cellStyle name="Wrap 4 6 7 2" xfId="36596" xr:uid="{00000000-0005-0000-0000-0000329B0000}"/>
    <cellStyle name="Wrap 4 6 7 2 2" xfId="36597" xr:uid="{00000000-0005-0000-0000-0000339B0000}"/>
    <cellStyle name="Wrap 4 6 7 3" xfId="36598" xr:uid="{00000000-0005-0000-0000-0000349B0000}"/>
    <cellStyle name="Wrap 4 6 7 3 2" xfId="36599" xr:uid="{00000000-0005-0000-0000-0000359B0000}"/>
    <cellStyle name="Wrap 4 6 7 4" xfId="36600" xr:uid="{00000000-0005-0000-0000-0000369B0000}"/>
    <cellStyle name="Wrap 4 6 7 4 2" xfId="36601" xr:uid="{00000000-0005-0000-0000-0000379B0000}"/>
    <cellStyle name="Wrap 4 6 7 5" xfId="36602" xr:uid="{00000000-0005-0000-0000-0000389B0000}"/>
    <cellStyle name="Wrap 4 6 7 5 2" xfId="36603" xr:uid="{00000000-0005-0000-0000-0000399B0000}"/>
    <cellStyle name="Wrap 4 6 7 6" xfId="36604" xr:uid="{00000000-0005-0000-0000-00003A9B0000}"/>
    <cellStyle name="Wrap 4 6 7 6 2" xfId="36605" xr:uid="{00000000-0005-0000-0000-00003B9B0000}"/>
    <cellStyle name="Wrap 4 6 7 7" xfId="36606" xr:uid="{00000000-0005-0000-0000-00003C9B0000}"/>
    <cellStyle name="Wrap 4 6 7 7 2" xfId="36607" xr:uid="{00000000-0005-0000-0000-00003D9B0000}"/>
    <cellStyle name="Wrap 4 6 7 8" xfId="36608" xr:uid="{00000000-0005-0000-0000-00003E9B0000}"/>
    <cellStyle name="Wrap 4 6 7 8 2" xfId="36609" xr:uid="{00000000-0005-0000-0000-00003F9B0000}"/>
    <cellStyle name="Wrap 4 6 7 9" xfId="36610" xr:uid="{00000000-0005-0000-0000-0000409B0000}"/>
    <cellStyle name="Wrap 4 6 7 9 2" xfId="36611" xr:uid="{00000000-0005-0000-0000-0000419B0000}"/>
    <cellStyle name="Wrap 4 6 8" xfId="36612" xr:uid="{00000000-0005-0000-0000-0000429B0000}"/>
    <cellStyle name="Wrap 4 6 8 10" xfId="36613" xr:uid="{00000000-0005-0000-0000-0000439B0000}"/>
    <cellStyle name="Wrap 4 6 8 2" xfId="36614" xr:uid="{00000000-0005-0000-0000-0000449B0000}"/>
    <cellStyle name="Wrap 4 6 8 2 2" xfId="36615" xr:uid="{00000000-0005-0000-0000-0000459B0000}"/>
    <cellStyle name="Wrap 4 6 8 3" xfId="36616" xr:uid="{00000000-0005-0000-0000-0000469B0000}"/>
    <cellStyle name="Wrap 4 6 8 3 2" xfId="36617" xr:uid="{00000000-0005-0000-0000-0000479B0000}"/>
    <cellStyle name="Wrap 4 6 8 4" xfId="36618" xr:uid="{00000000-0005-0000-0000-0000489B0000}"/>
    <cellStyle name="Wrap 4 6 8 4 2" xfId="36619" xr:uid="{00000000-0005-0000-0000-0000499B0000}"/>
    <cellStyle name="Wrap 4 6 8 5" xfId="36620" xr:uid="{00000000-0005-0000-0000-00004A9B0000}"/>
    <cellStyle name="Wrap 4 6 8 5 2" xfId="36621" xr:uid="{00000000-0005-0000-0000-00004B9B0000}"/>
    <cellStyle name="Wrap 4 6 8 6" xfId="36622" xr:uid="{00000000-0005-0000-0000-00004C9B0000}"/>
    <cellStyle name="Wrap 4 6 8 6 2" xfId="36623" xr:uid="{00000000-0005-0000-0000-00004D9B0000}"/>
    <cellStyle name="Wrap 4 6 8 7" xfId="36624" xr:uid="{00000000-0005-0000-0000-00004E9B0000}"/>
    <cellStyle name="Wrap 4 6 8 7 2" xfId="36625" xr:uid="{00000000-0005-0000-0000-00004F9B0000}"/>
    <cellStyle name="Wrap 4 6 8 8" xfId="36626" xr:uid="{00000000-0005-0000-0000-0000509B0000}"/>
    <cellStyle name="Wrap 4 6 8 8 2" xfId="36627" xr:uid="{00000000-0005-0000-0000-0000519B0000}"/>
    <cellStyle name="Wrap 4 6 8 9" xfId="36628" xr:uid="{00000000-0005-0000-0000-0000529B0000}"/>
    <cellStyle name="Wrap 4 6 8 9 2" xfId="36629" xr:uid="{00000000-0005-0000-0000-0000539B0000}"/>
    <cellStyle name="Wrap 4 6 9" xfId="36630" xr:uid="{00000000-0005-0000-0000-0000549B0000}"/>
    <cellStyle name="Wrap 4 6 9 10" xfId="36631" xr:uid="{00000000-0005-0000-0000-0000559B0000}"/>
    <cellStyle name="Wrap 4 6 9 2" xfId="36632" xr:uid="{00000000-0005-0000-0000-0000569B0000}"/>
    <cellStyle name="Wrap 4 6 9 2 2" xfId="36633" xr:uid="{00000000-0005-0000-0000-0000579B0000}"/>
    <cellStyle name="Wrap 4 6 9 3" xfId="36634" xr:uid="{00000000-0005-0000-0000-0000589B0000}"/>
    <cellStyle name="Wrap 4 6 9 3 2" xfId="36635" xr:uid="{00000000-0005-0000-0000-0000599B0000}"/>
    <cellStyle name="Wrap 4 6 9 4" xfId="36636" xr:uid="{00000000-0005-0000-0000-00005A9B0000}"/>
    <cellStyle name="Wrap 4 6 9 4 2" xfId="36637" xr:uid="{00000000-0005-0000-0000-00005B9B0000}"/>
    <cellStyle name="Wrap 4 6 9 5" xfId="36638" xr:uid="{00000000-0005-0000-0000-00005C9B0000}"/>
    <cellStyle name="Wrap 4 6 9 5 2" xfId="36639" xr:uid="{00000000-0005-0000-0000-00005D9B0000}"/>
    <cellStyle name="Wrap 4 6 9 6" xfId="36640" xr:uid="{00000000-0005-0000-0000-00005E9B0000}"/>
    <cellStyle name="Wrap 4 6 9 6 2" xfId="36641" xr:uid="{00000000-0005-0000-0000-00005F9B0000}"/>
    <cellStyle name="Wrap 4 6 9 7" xfId="36642" xr:uid="{00000000-0005-0000-0000-0000609B0000}"/>
    <cellStyle name="Wrap 4 6 9 7 2" xfId="36643" xr:uid="{00000000-0005-0000-0000-0000619B0000}"/>
    <cellStyle name="Wrap 4 6 9 8" xfId="36644" xr:uid="{00000000-0005-0000-0000-0000629B0000}"/>
    <cellStyle name="Wrap 4 6 9 8 2" xfId="36645" xr:uid="{00000000-0005-0000-0000-0000639B0000}"/>
    <cellStyle name="Wrap 4 6 9 9" xfId="36646" xr:uid="{00000000-0005-0000-0000-0000649B0000}"/>
    <cellStyle name="Wrap 4 6 9 9 2" xfId="36647" xr:uid="{00000000-0005-0000-0000-0000659B0000}"/>
    <cellStyle name="Wrap 4 7" xfId="36648" xr:uid="{00000000-0005-0000-0000-0000669B0000}"/>
    <cellStyle name="Wrap 4 7 10" xfId="36649" xr:uid="{00000000-0005-0000-0000-0000679B0000}"/>
    <cellStyle name="Wrap 4 7 10 2" xfId="36650" xr:uid="{00000000-0005-0000-0000-0000689B0000}"/>
    <cellStyle name="Wrap 4 7 10 2 2" xfId="36651" xr:uid="{00000000-0005-0000-0000-0000699B0000}"/>
    <cellStyle name="Wrap 4 7 10 3" xfId="36652" xr:uid="{00000000-0005-0000-0000-00006A9B0000}"/>
    <cellStyle name="Wrap 4 7 10 3 2" xfId="36653" xr:uid="{00000000-0005-0000-0000-00006B9B0000}"/>
    <cellStyle name="Wrap 4 7 10 4" xfId="36654" xr:uid="{00000000-0005-0000-0000-00006C9B0000}"/>
    <cellStyle name="Wrap 4 7 10 4 2" xfId="36655" xr:uid="{00000000-0005-0000-0000-00006D9B0000}"/>
    <cellStyle name="Wrap 4 7 10 5" xfId="36656" xr:uid="{00000000-0005-0000-0000-00006E9B0000}"/>
    <cellStyle name="Wrap 4 7 10 5 2" xfId="36657" xr:uid="{00000000-0005-0000-0000-00006F9B0000}"/>
    <cellStyle name="Wrap 4 7 10 6" xfId="36658" xr:uid="{00000000-0005-0000-0000-0000709B0000}"/>
    <cellStyle name="Wrap 4 7 10 6 2" xfId="36659" xr:uid="{00000000-0005-0000-0000-0000719B0000}"/>
    <cellStyle name="Wrap 4 7 10 7" xfId="36660" xr:uid="{00000000-0005-0000-0000-0000729B0000}"/>
    <cellStyle name="Wrap 4 7 10 7 2" xfId="36661" xr:uid="{00000000-0005-0000-0000-0000739B0000}"/>
    <cellStyle name="Wrap 4 7 10 8" xfId="36662" xr:uid="{00000000-0005-0000-0000-0000749B0000}"/>
    <cellStyle name="Wrap 4 7 10 8 2" xfId="36663" xr:uid="{00000000-0005-0000-0000-0000759B0000}"/>
    <cellStyle name="Wrap 4 7 10 9" xfId="36664" xr:uid="{00000000-0005-0000-0000-0000769B0000}"/>
    <cellStyle name="Wrap 4 7 11" xfId="36665" xr:uid="{00000000-0005-0000-0000-0000779B0000}"/>
    <cellStyle name="Wrap 4 7 11 2" xfId="36666" xr:uid="{00000000-0005-0000-0000-0000789B0000}"/>
    <cellStyle name="Wrap 4 7 12" xfId="36667" xr:uid="{00000000-0005-0000-0000-0000799B0000}"/>
    <cellStyle name="Wrap 4 7 12 2" xfId="36668" xr:uid="{00000000-0005-0000-0000-00007A9B0000}"/>
    <cellStyle name="Wrap 4 7 13" xfId="36669" xr:uid="{00000000-0005-0000-0000-00007B9B0000}"/>
    <cellStyle name="Wrap 4 7 13 2" xfId="36670" xr:uid="{00000000-0005-0000-0000-00007C9B0000}"/>
    <cellStyle name="Wrap 4 7 14" xfId="36671" xr:uid="{00000000-0005-0000-0000-00007D9B0000}"/>
    <cellStyle name="Wrap 4 7 14 2" xfId="36672" xr:uid="{00000000-0005-0000-0000-00007E9B0000}"/>
    <cellStyle name="Wrap 4 7 15" xfId="36673" xr:uid="{00000000-0005-0000-0000-00007F9B0000}"/>
    <cellStyle name="Wrap 4 7 15 2" xfId="36674" xr:uid="{00000000-0005-0000-0000-0000809B0000}"/>
    <cellStyle name="Wrap 4 7 16" xfId="36675" xr:uid="{00000000-0005-0000-0000-0000819B0000}"/>
    <cellStyle name="Wrap 4 7 16 2" xfId="36676" xr:uid="{00000000-0005-0000-0000-0000829B0000}"/>
    <cellStyle name="Wrap 4 7 17" xfId="36677" xr:uid="{00000000-0005-0000-0000-0000839B0000}"/>
    <cellStyle name="Wrap 4 7 17 2" xfId="36678" xr:uid="{00000000-0005-0000-0000-0000849B0000}"/>
    <cellStyle name="Wrap 4 7 18" xfId="36679" xr:uid="{00000000-0005-0000-0000-0000859B0000}"/>
    <cellStyle name="Wrap 4 7 2" xfId="36680" xr:uid="{00000000-0005-0000-0000-0000869B0000}"/>
    <cellStyle name="Wrap 4 7 2 10" xfId="36681" xr:uid="{00000000-0005-0000-0000-0000879B0000}"/>
    <cellStyle name="Wrap 4 7 2 2" xfId="36682" xr:uid="{00000000-0005-0000-0000-0000889B0000}"/>
    <cellStyle name="Wrap 4 7 2 2 2" xfId="36683" xr:uid="{00000000-0005-0000-0000-0000899B0000}"/>
    <cellStyle name="Wrap 4 7 2 3" xfId="36684" xr:uid="{00000000-0005-0000-0000-00008A9B0000}"/>
    <cellStyle name="Wrap 4 7 2 3 2" xfId="36685" xr:uid="{00000000-0005-0000-0000-00008B9B0000}"/>
    <cellStyle name="Wrap 4 7 2 4" xfId="36686" xr:uid="{00000000-0005-0000-0000-00008C9B0000}"/>
    <cellStyle name="Wrap 4 7 2 4 2" xfId="36687" xr:uid="{00000000-0005-0000-0000-00008D9B0000}"/>
    <cellStyle name="Wrap 4 7 2 5" xfId="36688" xr:uid="{00000000-0005-0000-0000-00008E9B0000}"/>
    <cellStyle name="Wrap 4 7 2 5 2" xfId="36689" xr:uid="{00000000-0005-0000-0000-00008F9B0000}"/>
    <cellStyle name="Wrap 4 7 2 6" xfId="36690" xr:uid="{00000000-0005-0000-0000-0000909B0000}"/>
    <cellStyle name="Wrap 4 7 2 6 2" xfId="36691" xr:uid="{00000000-0005-0000-0000-0000919B0000}"/>
    <cellStyle name="Wrap 4 7 2 7" xfId="36692" xr:uid="{00000000-0005-0000-0000-0000929B0000}"/>
    <cellStyle name="Wrap 4 7 2 7 2" xfId="36693" xr:uid="{00000000-0005-0000-0000-0000939B0000}"/>
    <cellStyle name="Wrap 4 7 2 8" xfId="36694" xr:uid="{00000000-0005-0000-0000-0000949B0000}"/>
    <cellStyle name="Wrap 4 7 2 8 2" xfId="36695" xr:uid="{00000000-0005-0000-0000-0000959B0000}"/>
    <cellStyle name="Wrap 4 7 2 9" xfId="36696" xr:uid="{00000000-0005-0000-0000-0000969B0000}"/>
    <cellStyle name="Wrap 4 7 2 9 2" xfId="36697" xr:uid="{00000000-0005-0000-0000-0000979B0000}"/>
    <cellStyle name="Wrap 4 7 3" xfId="36698" xr:uid="{00000000-0005-0000-0000-0000989B0000}"/>
    <cellStyle name="Wrap 4 7 3 10" xfId="36699" xr:uid="{00000000-0005-0000-0000-0000999B0000}"/>
    <cellStyle name="Wrap 4 7 3 2" xfId="36700" xr:uid="{00000000-0005-0000-0000-00009A9B0000}"/>
    <cellStyle name="Wrap 4 7 3 2 2" xfId="36701" xr:uid="{00000000-0005-0000-0000-00009B9B0000}"/>
    <cellStyle name="Wrap 4 7 3 3" xfId="36702" xr:uid="{00000000-0005-0000-0000-00009C9B0000}"/>
    <cellStyle name="Wrap 4 7 3 3 2" xfId="36703" xr:uid="{00000000-0005-0000-0000-00009D9B0000}"/>
    <cellStyle name="Wrap 4 7 3 4" xfId="36704" xr:uid="{00000000-0005-0000-0000-00009E9B0000}"/>
    <cellStyle name="Wrap 4 7 3 4 2" xfId="36705" xr:uid="{00000000-0005-0000-0000-00009F9B0000}"/>
    <cellStyle name="Wrap 4 7 3 5" xfId="36706" xr:uid="{00000000-0005-0000-0000-0000A09B0000}"/>
    <cellStyle name="Wrap 4 7 3 5 2" xfId="36707" xr:uid="{00000000-0005-0000-0000-0000A19B0000}"/>
    <cellStyle name="Wrap 4 7 3 6" xfId="36708" xr:uid="{00000000-0005-0000-0000-0000A29B0000}"/>
    <cellStyle name="Wrap 4 7 3 6 2" xfId="36709" xr:uid="{00000000-0005-0000-0000-0000A39B0000}"/>
    <cellStyle name="Wrap 4 7 3 7" xfId="36710" xr:uid="{00000000-0005-0000-0000-0000A49B0000}"/>
    <cellStyle name="Wrap 4 7 3 7 2" xfId="36711" xr:uid="{00000000-0005-0000-0000-0000A59B0000}"/>
    <cellStyle name="Wrap 4 7 3 8" xfId="36712" xr:uid="{00000000-0005-0000-0000-0000A69B0000}"/>
    <cellStyle name="Wrap 4 7 3 8 2" xfId="36713" xr:uid="{00000000-0005-0000-0000-0000A79B0000}"/>
    <cellStyle name="Wrap 4 7 3 9" xfId="36714" xr:uid="{00000000-0005-0000-0000-0000A89B0000}"/>
    <cellStyle name="Wrap 4 7 3 9 2" xfId="36715" xr:uid="{00000000-0005-0000-0000-0000A99B0000}"/>
    <cellStyle name="Wrap 4 7 4" xfId="36716" xr:uid="{00000000-0005-0000-0000-0000AA9B0000}"/>
    <cellStyle name="Wrap 4 7 4 10" xfId="36717" xr:uid="{00000000-0005-0000-0000-0000AB9B0000}"/>
    <cellStyle name="Wrap 4 7 4 2" xfId="36718" xr:uid="{00000000-0005-0000-0000-0000AC9B0000}"/>
    <cellStyle name="Wrap 4 7 4 2 2" xfId="36719" xr:uid="{00000000-0005-0000-0000-0000AD9B0000}"/>
    <cellStyle name="Wrap 4 7 4 3" xfId="36720" xr:uid="{00000000-0005-0000-0000-0000AE9B0000}"/>
    <cellStyle name="Wrap 4 7 4 3 2" xfId="36721" xr:uid="{00000000-0005-0000-0000-0000AF9B0000}"/>
    <cellStyle name="Wrap 4 7 4 4" xfId="36722" xr:uid="{00000000-0005-0000-0000-0000B09B0000}"/>
    <cellStyle name="Wrap 4 7 4 4 2" xfId="36723" xr:uid="{00000000-0005-0000-0000-0000B19B0000}"/>
    <cellStyle name="Wrap 4 7 4 5" xfId="36724" xr:uid="{00000000-0005-0000-0000-0000B29B0000}"/>
    <cellStyle name="Wrap 4 7 4 5 2" xfId="36725" xr:uid="{00000000-0005-0000-0000-0000B39B0000}"/>
    <cellStyle name="Wrap 4 7 4 6" xfId="36726" xr:uid="{00000000-0005-0000-0000-0000B49B0000}"/>
    <cellStyle name="Wrap 4 7 4 6 2" xfId="36727" xr:uid="{00000000-0005-0000-0000-0000B59B0000}"/>
    <cellStyle name="Wrap 4 7 4 7" xfId="36728" xr:uid="{00000000-0005-0000-0000-0000B69B0000}"/>
    <cellStyle name="Wrap 4 7 4 7 2" xfId="36729" xr:uid="{00000000-0005-0000-0000-0000B79B0000}"/>
    <cellStyle name="Wrap 4 7 4 8" xfId="36730" xr:uid="{00000000-0005-0000-0000-0000B89B0000}"/>
    <cellStyle name="Wrap 4 7 4 8 2" xfId="36731" xr:uid="{00000000-0005-0000-0000-0000B99B0000}"/>
    <cellStyle name="Wrap 4 7 4 9" xfId="36732" xr:uid="{00000000-0005-0000-0000-0000BA9B0000}"/>
    <cellStyle name="Wrap 4 7 4 9 2" xfId="36733" xr:uid="{00000000-0005-0000-0000-0000BB9B0000}"/>
    <cellStyle name="Wrap 4 7 5" xfId="36734" xr:uid="{00000000-0005-0000-0000-0000BC9B0000}"/>
    <cellStyle name="Wrap 4 7 5 10" xfId="36735" xr:uid="{00000000-0005-0000-0000-0000BD9B0000}"/>
    <cellStyle name="Wrap 4 7 5 2" xfId="36736" xr:uid="{00000000-0005-0000-0000-0000BE9B0000}"/>
    <cellStyle name="Wrap 4 7 5 2 2" xfId="36737" xr:uid="{00000000-0005-0000-0000-0000BF9B0000}"/>
    <cellStyle name="Wrap 4 7 5 3" xfId="36738" xr:uid="{00000000-0005-0000-0000-0000C09B0000}"/>
    <cellStyle name="Wrap 4 7 5 3 2" xfId="36739" xr:uid="{00000000-0005-0000-0000-0000C19B0000}"/>
    <cellStyle name="Wrap 4 7 5 4" xfId="36740" xr:uid="{00000000-0005-0000-0000-0000C29B0000}"/>
    <cellStyle name="Wrap 4 7 5 4 2" xfId="36741" xr:uid="{00000000-0005-0000-0000-0000C39B0000}"/>
    <cellStyle name="Wrap 4 7 5 5" xfId="36742" xr:uid="{00000000-0005-0000-0000-0000C49B0000}"/>
    <cellStyle name="Wrap 4 7 5 5 2" xfId="36743" xr:uid="{00000000-0005-0000-0000-0000C59B0000}"/>
    <cellStyle name="Wrap 4 7 5 6" xfId="36744" xr:uid="{00000000-0005-0000-0000-0000C69B0000}"/>
    <cellStyle name="Wrap 4 7 5 6 2" xfId="36745" xr:uid="{00000000-0005-0000-0000-0000C79B0000}"/>
    <cellStyle name="Wrap 4 7 5 7" xfId="36746" xr:uid="{00000000-0005-0000-0000-0000C89B0000}"/>
    <cellStyle name="Wrap 4 7 5 7 2" xfId="36747" xr:uid="{00000000-0005-0000-0000-0000C99B0000}"/>
    <cellStyle name="Wrap 4 7 5 8" xfId="36748" xr:uid="{00000000-0005-0000-0000-0000CA9B0000}"/>
    <cellStyle name="Wrap 4 7 5 8 2" xfId="36749" xr:uid="{00000000-0005-0000-0000-0000CB9B0000}"/>
    <cellStyle name="Wrap 4 7 5 9" xfId="36750" xr:uid="{00000000-0005-0000-0000-0000CC9B0000}"/>
    <cellStyle name="Wrap 4 7 5 9 2" xfId="36751" xr:uid="{00000000-0005-0000-0000-0000CD9B0000}"/>
    <cellStyle name="Wrap 4 7 6" xfId="36752" xr:uid="{00000000-0005-0000-0000-0000CE9B0000}"/>
    <cellStyle name="Wrap 4 7 6 10" xfId="36753" xr:uid="{00000000-0005-0000-0000-0000CF9B0000}"/>
    <cellStyle name="Wrap 4 7 6 2" xfId="36754" xr:uid="{00000000-0005-0000-0000-0000D09B0000}"/>
    <cellStyle name="Wrap 4 7 6 2 2" xfId="36755" xr:uid="{00000000-0005-0000-0000-0000D19B0000}"/>
    <cellStyle name="Wrap 4 7 6 3" xfId="36756" xr:uid="{00000000-0005-0000-0000-0000D29B0000}"/>
    <cellStyle name="Wrap 4 7 6 3 2" xfId="36757" xr:uid="{00000000-0005-0000-0000-0000D39B0000}"/>
    <cellStyle name="Wrap 4 7 6 4" xfId="36758" xr:uid="{00000000-0005-0000-0000-0000D49B0000}"/>
    <cellStyle name="Wrap 4 7 6 4 2" xfId="36759" xr:uid="{00000000-0005-0000-0000-0000D59B0000}"/>
    <cellStyle name="Wrap 4 7 6 5" xfId="36760" xr:uid="{00000000-0005-0000-0000-0000D69B0000}"/>
    <cellStyle name="Wrap 4 7 6 5 2" xfId="36761" xr:uid="{00000000-0005-0000-0000-0000D79B0000}"/>
    <cellStyle name="Wrap 4 7 6 6" xfId="36762" xr:uid="{00000000-0005-0000-0000-0000D89B0000}"/>
    <cellStyle name="Wrap 4 7 6 6 2" xfId="36763" xr:uid="{00000000-0005-0000-0000-0000D99B0000}"/>
    <cellStyle name="Wrap 4 7 6 7" xfId="36764" xr:uid="{00000000-0005-0000-0000-0000DA9B0000}"/>
    <cellStyle name="Wrap 4 7 6 7 2" xfId="36765" xr:uid="{00000000-0005-0000-0000-0000DB9B0000}"/>
    <cellStyle name="Wrap 4 7 6 8" xfId="36766" xr:uid="{00000000-0005-0000-0000-0000DC9B0000}"/>
    <cellStyle name="Wrap 4 7 6 8 2" xfId="36767" xr:uid="{00000000-0005-0000-0000-0000DD9B0000}"/>
    <cellStyle name="Wrap 4 7 6 9" xfId="36768" xr:uid="{00000000-0005-0000-0000-0000DE9B0000}"/>
    <cellStyle name="Wrap 4 7 6 9 2" xfId="36769" xr:uid="{00000000-0005-0000-0000-0000DF9B0000}"/>
    <cellStyle name="Wrap 4 7 7" xfId="36770" xr:uid="{00000000-0005-0000-0000-0000E09B0000}"/>
    <cellStyle name="Wrap 4 7 7 10" xfId="36771" xr:uid="{00000000-0005-0000-0000-0000E19B0000}"/>
    <cellStyle name="Wrap 4 7 7 2" xfId="36772" xr:uid="{00000000-0005-0000-0000-0000E29B0000}"/>
    <cellStyle name="Wrap 4 7 7 2 2" xfId="36773" xr:uid="{00000000-0005-0000-0000-0000E39B0000}"/>
    <cellStyle name="Wrap 4 7 7 3" xfId="36774" xr:uid="{00000000-0005-0000-0000-0000E49B0000}"/>
    <cellStyle name="Wrap 4 7 7 3 2" xfId="36775" xr:uid="{00000000-0005-0000-0000-0000E59B0000}"/>
    <cellStyle name="Wrap 4 7 7 4" xfId="36776" xr:uid="{00000000-0005-0000-0000-0000E69B0000}"/>
    <cellStyle name="Wrap 4 7 7 4 2" xfId="36777" xr:uid="{00000000-0005-0000-0000-0000E79B0000}"/>
    <cellStyle name="Wrap 4 7 7 5" xfId="36778" xr:uid="{00000000-0005-0000-0000-0000E89B0000}"/>
    <cellStyle name="Wrap 4 7 7 5 2" xfId="36779" xr:uid="{00000000-0005-0000-0000-0000E99B0000}"/>
    <cellStyle name="Wrap 4 7 7 6" xfId="36780" xr:uid="{00000000-0005-0000-0000-0000EA9B0000}"/>
    <cellStyle name="Wrap 4 7 7 6 2" xfId="36781" xr:uid="{00000000-0005-0000-0000-0000EB9B0000}"/>
    <cellStyle name="Wrap 4 7 7 7" xfId="36782" xr:uid="{00000000-0005-0000-0000-0000EC9B0000}"/>
    <cellStyle name="Wrap 4 7 7 7 2" xfId="36783" xr:uid="{00000000-0005-0000-0000-0000ED9B0000}"/>
    <cellStyle name="Wrap 4 7 7 8" xfId="36784" xr:uid="{00000000-0005-0000-0000-0000EE9B0000}"/>
    <cellStyle name="Wrap 4 7 7 8 2" xfId="36785" xr:uid="{00000000-0005-0000-0000-0000EF9B0000}"/>
    <cellStyle name="Wrap 4 7 7 9" xfId="36786" xr:uid="{00000000-0005-0000-0000-0000F09B0000}"/>
    <cellStyle name="Wrap 4 7 7 9 2" xfId="36787" xr:uid="{00000000-0005-0000-0000-0000F19B0000}"/>
    <cellStyle name="Wrap 4 7 8" xfId="36788" xr:uid="{00000000-0005-0000-0000-0000F29B0000}"/>
    <cellStyle name="Wrap 4 7 8 10" xfId="36789" xr:uid="{00000000-0005-0000-0000-0000F39B0000}"/>
    <cellStyle name="Wrap 4 7 8 2" xfId="36790" xr:uid="{00000000-0005-0000-0000-0000F49B0000}"/>
    <cellStyle name="Wrap 4 7 8 2 2" xfId="36791" xr:uid="{00000000-0005-0000-0000-0000F59B0000}"/>
    <cellStyle name="Wrap 4 7 8 3" xfId="36792" xr:uid="{00000000-0005-0000-0000-0000F69B0000}"/>
    <cellStyle name="Wrap 4 7 8 3 2" xfId="36793" xr:uid="{00000000-0005-0000-0000-0000F79B0000}"/>
    <cellStyle name="Wrap 4 7 8 4" xfId="36794" xr:uid="{00000000-0005-0000-0000-0000F89B0000}"/>
    <cellStyle name="Wrap 4 7 8 4 2" xfId="36795" xr:uid="{00000000-0005-0000-0000-0000F99B0000}"/>
    <cellStyle name="Wrap 4 7 8 5" xfId="36796" xr:uid="{00000000-0005-0000-0000-0000FA9B0000}"/>
    <cellStyle name="Wrap 4 7 8 5 2" xfId="36797" xr:uid="{00000000-0005-0000-0000-0000FB9B0000}"/>
    <cellStyle name="Wrap 4 7 8 6" xfId="36798" xr:uid="{00000000-0005-0000-0000-0000FC9B0000}"/>
    <cellStyle name="Wrap 4 7 8 6 2" xfId="36799" xr:uid="{00000000-0005-0000-0000-0000FD9B0000}"/>
    <cellStyle name="Wrap 4 7 8 7" xfId="36800" xr:uid="{00000000-0005-0000-0000-0000FE9B0000}"/>
    <cellStyle name="Wrap 4 7 8 7 2" xfId="36801" xr:uid="{00000000-0005-0000-0000-0000FF9B0000}"/>
    <cellStyle name="Wrap 4 7 8 8" xfId="36802" xr:uid="{00000000-0005-0000-0000-0000009C0000}"/>
    <cellStyle name="Wrap 4 7 8 8 2" xfId="36803" xr:uid="{00000000-0005-0000-0000-0000019C0000}"/>
    <cellStyle name="Wrap 4 7 8 9" xfId="36804" xr:uid="{00000000-0005-0000-0000-0000029C0000}"/>
    <cellStyle name="Wrap 4 7 8 9 2" xfId="36805" xr:uid="{00000000-0005-0000-0000-0000039C0000}"/>
    <cellStyle name="Wrap 4 7 9" xfId="36806" xr:uid="{00000000-0005-0000-0000-0000049C0000}"/>
    <cellStyle name="Wrap 4 7 9 10" xfId="36807" xr:uid="{00000000-0005-0000-0000-0000059C0000}"/>
    <cellStyle name="Wrap 4 7 9 2" xfId="36808" xr:uid="{00000000-0005-0000-0000-0000069C0000}"/>
    <cellStyle name="Wrap 4 7 9 2 2" xfId="36809" xr:uid="{00000000-0005-0000-0000-0000079C0000}"/>
    <cellStyle name="Wrap 4 7 9 3" xfId="36810" xr:uid="{00000000-0005-0000-0000-0000089C0000}"/>
    <cellStyle name="Wrap 4 7 9 3 2" xfId="36811" xr:uid="{00000000-0005-0000-0000-0000099C0000}"/>
    <cellStyle name="Wrap 4 7 9 4" xfId="36812" xr:uid="{00000000-0005-0000-0000-00000A9C0000}"/>
    <cellStyle name="Wrap 4 7 9 4 2" xfId="36813" xr:uid="{00000000-0005-0000-0000-00000B9C0000}"/>
    <cellStyle name="Wrap 4 7 9 5" xfId="36814" xr:uid="{00000000-0005-0000-0000-00000C9C0000}"/>
    <cellStyle name="Wrap 4 7 9 5 2" xfId="36815" xr:uid="{00000000-0005-0000-0000-00000D9C0000}"/>
    <cellStyle name="Wrap 4 7 9 6" xfId="36816" xr:uid="{00000000-0005-0000-0000-00000E9C0000}"/>
    <cellStyle name="Wrap 4 7 9 6 2" xfId="36817" xr:uid="{00000000-0005-0000-0000-00000F9C0000}"/>
    <cellStyle name="Wrap 4 7 9 7" xfId="36818" xr:uid="{00000000-0005-0000-0000-0000109C0000}"/>
    <cellStyle name="Wrap 4 7 9 7 2" xfId="36819" xr:uid="{00000000-0005-0000-0000-0000119C0000}"/>
    <cellStyle name="Wrap 4 7 9 8" xfId="36820" xr:uid="{00000000-0005-0000-0000-0000129C0000}"/>
    <cellStyle name="Wrap 4 7 9 8 2" xfId="36821" xr:uid="{00000000-0005-0000-0000-0000139C0000}"/>
    <cellStyle name="Wrap 4 7 9 9" xfId="36822" xr:uid="{00000000-0005-0000-0000-0000149C0000}"/>
    <cellStyle name="Wrap 4 7 9 9 2" xfId="36823" xr:uid="{00000000-0005-0000-0000-0000159C0000}"/>
    <cellStyle name="Wrap 4 8" xfId="36824" xr:uid="{00000000-0005-0000-0000-0000169C0000}"/>
    <cellStyle name="Wrap 4 8 10" xfId="36825" xr:uid="{00000000-0005-0000-0000-0000179C0000}"/>
    <cellStyle name="Wrap 4 8 10 2" xfId="36826" xr:uid="{00000000-0005-0000-0000-0000189C0000}"/>
    <cellStyle name="Wrap 4 8 10 2 2" xfId="36827" xr:uid="{00000000-0005-0000-0000-0000199C0000}"/>
    <cellStyle name="Wrap 4 8 10 3" xfId="36828" xr:uid="{00000000-0005-0000-0000-00001A9C0000}"/>
    <cellStyle name="Wrap 4 8 10 3 2" xfId="36829" xr:uid="{00000000-0005-0000-0000-00001B9C0000}"/>
    <cellStyle name="Wrap 4 8 10 4" xfId="36830" xr:uid="{00000000-0005-0000-0000-00001C9C0000}"/>
    <cellStyle name="Wrap 4 8 10 4 2" xfId="36831" xr:uid="{00000000-0005-0000-0000-00001D9C0000}"/>
    <cellStyle name="Wrap 4 8 10 5" xfId="36832" xr:uid="{00000000-0005-0000-0000-00001E9C0000}"/>
    <cellStyle name="Wrap 4 8 10 5 2" xfId="36833" xr:uid="{00000000-0005-0000-0000-00001F9C0000}"/>
    <cellStyle name="Wrap 4 8 10 6" xfId="36834" xr:uid="{00000000-0005-0000-0000-0000209C0000}"/>
    <cellStyle name="Wrap 4 8 10 6 2" xfId="36835" xr:uid="{00000000-0005-0000-0000-0000219C0000}"/>
    <cellStyle name="Wrap 4 8 10 7" xfId="36836" xr:uid="{00000000-0005-0000-0000-0000229C0000}"/>
    <cellStyle name="Wrap 4 8 10 7 2" xfId="36837" xr:uid="{00000000-0005-0000-0000-0000239C0000}"/>
    <cellStyle name="Wrap 4 8 10 8" xfId="36838" xr:uid="{00000000-0005-0000-0000-0000249C0000}"/>
    <cellStyle name="Wrap 4 8 10 8 2" xfId="36839" xr:uid="{00000000-0005-0000-0000-0000259C0000}"/>
    <cellStyle name="Wrap 4 8 10 9" xfId="36840" xr:uid="{00000000-0005-0000-0000-0000269C0000}"/>
    <cellStyle name="Wrap 4 8 11" xfId="36841" xr:uid="{00000000-0005-0000-0000-0000279C0000}"/>
    <cellStyle name="Wrap 4 8 11 2" xfId="36842" xr:uid="{00000000-0005-0000-0000-0000289C0000}"/>
    <cellStyle name="Wrap 4 8 12" xfId="36843" xr:uid="{00000000-0005-0000-0000-0000299C0000}"/>
    <cellStyle name="Wrap 4 8 12 2" xfId="36844" xr:uid="{00000000-0005-0000-0000-00002A9C0000}"/>
    <cellStyle name="Wrap 4 8 13" xfId="36845" xr:uid="{00000000-0005-0000-0000-00002B9C0000}"/>
    <cellStyle name="Wrap 4 8 13 2" xfId="36846" xr:uid="{00000000-0005-0000-0000-00002C9C0000}"/>
    <cellStyle name="Wrap 4 8 14" xfId="36847" xr:uid="{00000000-0005-0000-0000-00002D9C0000}"/>
    <cellStyle name="Wrap 4 8 14 2" xfId="36848" xr:uid="{00000000-0005-0000-0000-00002E9C0000}"/>
    <cellStyle name="Wrap 4 8 15" xfId="36849" xr:uid="{00000000-0005-0000-0000-00002F9C0000}"/>
    <cellStyle name="Wrap 4 8 15 2" xfId="36850" xr:uid="{00000000-0005-0000-0000-0000309C0000}"/>
    <cellStyle name="Wrap 4 8 16" xfId="36851" xr:uid="{00000000-0005-0000-0000-0000319C0000}"/>
    <cellStyle name="Wrap 4 8 16 2" xfId="36852" xr:uid="{00000000-0005-0000-0000-0000329C0000}"/>
    <cellStyle name="Wrap 4 8 17" xfId="36853" xr:uid="{00000000-0005-0000-0000-0000339C0000}"/>
    <cellStyle name="Wrap 4 8 17 2" xfId="36854" xr:uid="{00000000-0005-0000-0000-0000349C0000}"/>
    <cellStyle name="Wrap 4 8 18" xfId="36855" xr:uid="{00000000-0005-0000-0000-0000359C0000}"/>
    <cellStyle name="Wrap 4 8 2" xfId="36856" xr:uid="{00000000-0005-0000-0000-0000369C0000}"/>
    <cellStyle name="Wrap 4 8 2 10" xfId="36857" xr:uid="{00000000-0005-0000-0000-0000379C0000}"/>
    <cellStyle name="Wrap 4 8 2 2" xfId="36858" xr:uid="{00000000-0005-0000-0000-0000389C0000}"/>
    <cellStyle name="Wrap 4 8 2 2 2" xfId="36859" xr:uid="{00000000-0005-0000-0000-0000399C0000}"/>
    <cellStyle name="Wrap 4 8 2 3" xfId="36860" xr:uid="{00000000-0005-0000-0000-00003A9C0000}"/>
    <cellStyle name="Wrap 4 8 2 3 2" xfId="36861" xr:uid="{00000000-0005-0000-0000-00003B9C0000}"/>
    <cellStyle name="Wrap 4 8 2 4" xfId="36862" xr:uid="{00000000-0005-0000-0000-00003C9C0000}"/>
    <cellStyle name="Wrap 4 8 2 4 2" xfId="36863" xr:uid="{00000000-0005-0000-0000-00003D9C0000}"/>
    <cellStyle name="Wrap 4 8 2 5" xfId="36864" xr:uid="{00000000-0005-0000-0000-00003E9C0000}"/>
    <cellStyle name="Wrap 4 8 2 5 2" xfId="36865" xr:uid="{00000000-0005-0000-0000-00003F9C0000}"/>
    <cellStyle name="Wrap 4 8 2 6" xfId="36866" xr:uid="{00000000-0005-0000-0000-0000409C0000}"/>
    <cellStyle name="Wrap 4 8 2 6 2" xfId="36867" xr:uid="{00000000-0005-0000-0000-0000419C0000}"/>
    <cellStyle name="Wrap 4 8 2 7" xfId="36868" xr:uid="{00000000-0005-0000-0000-0000429C0000}"/>
    <cellStyle name="Wrap 4 8 2 7 2" xfId="36869" xr:uid="{00000000-0005-0000-0000-0000439C0000}"/>
    <cellStyle name="Wrap 4 8 2 8" xfId="36870" xr:uid="{00000000-0005-0000-0000-0000449C0000}"/>
    <cellStyle name="Wrap 4 8 2 8 2" xfId="36871" xr:uid="{00000000-0005-0000-0000-0000459C0000}"/>
    <cellStyle name="Wrap 4 8 2 9" xfId="36872" xr:uid="{00000000-0005-0000-0000-0000469C0000}"/>
    <cellStyle name="Wrap 4 8 2 9 2" xfId="36873" xr:uid="{00000000-0005-0000-0000-0000479C0000}"/>
    <cellStyle name="Wrap 4 8 3" xfId="36874" xr:uid="{00000000-0005-0000-0000-0000489C0000}"/>
    <cellStyle name="Wrap 4 8 3 10" xfId="36875" xr:uid="{00000000-0005-0000-0000-0000499C0000}"/>
    <cellStyle name="Wrap 4 8 3 2" xfId="36876" xr:uid="{00000000-0005-0000-0000-00004A9C0000}"/>
    <cellStyle name="Wrap 4 8 3 2 2" xfId="36877" xr:uid="{00000000-0005-0000-0000-00004B9C0000}"/>
    <cellStyle name="Wrap 4 8 3 3" xfId="36878" xr:uid="{00000000-0005-0000-0000-00004C9C0000}"/>
    <cellStyle name="Wrap 4 8 3 3 2" xfId="36879" xr:uid="{00000000-0005-0000-0000-00004D9C0000}"/>
    <cellStyle name="Wrap 4 8 3 4" xfId="36880" xr:uid="{00000000-0005-0000-0000-00004E9C0000}"/>
    <cellStyle name="Wrap 4 8 3 4 2" xfId="36881" xr:uid="{00000000-0005-0000-0000-00004F9C0000}"/>
    <cellStyle name="Wrap 4 8 3 5" xfId="36882" xr:uid="{00000000-0005-0000-0000-0000509C0000}"/>
    <cellStyle name="Wrap 4 8 3 5 2" xfId="36883" xr:uid="{00000000-0005-0000-0000-0000519C0000}"/>
    <cellStyle name="Wrap 4 8 3 6" xfId="36884" xr:uid="{00000000-0005-0000-0000-0000529C0000}"/>
    <cellStyle name="Wrap 4 8 3 6 2" xfId="36885" xr:uid="{00000000-0005-0000-0000-0000539C0000}"/>
    <cellStyle name="Wrap 4 8 3 7" xfId="36886" xr:uid="{00000000-0005-0000-0000-0000549C0000}"/>
    <cellStyle name="Wrap 4 8 3 7 2" xfId="36887" xr:uid="{00000000-0005-0000-0000-0000559C0000}"/>
    <cellStyle name="Wrap 4 8 3 8" xfId="36888" xr:uid="{00000000-0005-0000-0000-0000569C0000}"/>
    <cellStyle name="Wrap 4 8 3 8 2" xfId="36889" xr:uid="{00000000-0005-0000-0000-0000579C0000}"/>
    <cellStyle name="Wrap 4 8 3 9" xfId="36890" xr:uid="{00000000-0005-0000-0000-0000589C0000}"/>
    <cellStyle name="Wrap 4 8 3 9 2" xfId="36891" xr:uid="{00000000-0005-0000-0000-0000599C0000}"/>
    <cellStyle name="Wrap 4 8 4" xfId="36892" xr:uid="{00000000-0005-0000-0000-00005A9C0000}"/>
    <cellStyle name="Wrap 4 8 4 10" xfId="36893" xr:uid="{00000000-0005-0000-0000-00005B9C0000}"/>
    <cellStyle name="Wrap 4 8 4 2" xfId="36894" xr:uid="{00000000-0005-0000-0000-00005C9C0000}"/>
    <cellStyle name="Wrap 4 8 4 2 2" xfId="36895" xr:uid="{00000000-0005-0000-0000-00005D9C0000}"/>
    <cellStyle name="Wrap 4 8 4 3" xfId="36896" xr:uid="{00000000-0005-0000-0000-00005E9C0000}"/>
    <cellStyle name="Wrap 4 8 4 3 2" xfId="36897" xr:uid="{00000000-0005-0000-0000-00005F9C0000}"/>
    <cellStyle name="Wrap 4 8 4 4" xfId="36898" xr:uid="{00000000-0005-0000-0000-0000609C0000}"/>
    <cellStyle name="Wrap 4 8 4 4 2" xfId="36899" xr:uid="{00000000-0005-0000-0000-0000619C0000}"/>
    <cellStyle name="Wrap 4 8 4 5" xfId="36900" xr:uid="{00000000-0005-0000-0000-0000629C0000}"/>
    <cellStyle name="Wrap 4 8 4 5 2" xfId="36901" xr:uid="{00000000-0005-0000-0000-0000639C0000}"/>
    <cellStyle name="Wrap 4 8 4 6" xfId="36902" xr:uid="{00000000-0005-0000-0000-0000649C0000}"/>
    <cellStyle name="Wrap 4 8 4 6 2" xfId="36903" xr:uid="{00000000-0005-0000-0000-0000659C0000}"/>
    <cellStyle name="Wrap 4 8 4 7" xfId="36904" xr:uid="{00000000-0005-0000-0000-0000669C0000}"/>
    <cellStyle name="Wrap 4 8 4 7 2" xfId="36905" xr:uid="{00000000-0005-0000-0000-0000679C0000}"/>
    <cellStyle name="Wrap 4 8 4 8" xfId="36906" xr:uid="{00000000-0005-0000-0000-0000689C0000}"/>
    <cellStyle name="Wrap 4 8 4 8 2" xfId="36907" xr:uid="{00000000-0005-0000-0000-0000699C0000}"/>
    <cellStyle name="Wrap 4 8 4 9" xfId="36908" xr:uid="{00000000-0005-0000-0000-00006A9C0000}"/>
    <cellStyle name="Wrap 4 8 4 9 2" xfId="36909" xr:uid="{00000000-0005-0000-0000-00006B9C0000}"/>
    <cellStyle name="Wrap 4 8 5" xfId="36910" xr:uid="{00000000-0005-0000-0000-00006C9C0000}"/>
    <cellStyle name="Wrap 4 8 5 10" xfId="36911" xr:uid="{00000000-0005-0000-0000-00006D9C0000}"/>
    <cellStyle name="Wrap 4 8 5 2" xfId="36912" xr:uid="{00000000-0005-0000-0000-00006E9C0000}"/>
    <cellStyle name="Wrap 4 8 5 2 2" xfId="36913" xr:uid="{00000000-0005-0000-0000-00006F9C0000}"/>
    <cellStyle name="Wrap 4 8 5 3" xfId="36914" xr:uid="{00000000-0005-0000-0000-0000709C0000}"/>
    <cellStyle name="Wrap 4 8 5 3 2" xfId="36915" xr:uid="{00000000-0005-0000-0000-0000719C0000}"/>
    <cellStyle name="Wrap 4 8 5 4" xfId="36916" xr:uid="{00000000-0005-0000-0000-0000729C0000}"/>
    <cellStyle name="Wrap 4 8 5 4 2" xfId="36917" xr:uid="{00000000-0005-0000-0000-0000739C0000}"/>
    <cellStyle name="Wrap 4 8 5 5" xfId="36918" xr:uid="{00000000-0005-0000-0000-0000749C0000}"/>
    <cellStyle name="Wrap 4 8 5 5 2" xfId="36919" xr:uid="{00000000-0005-0000-0000-0000759C0000}"/>
    <cellStyle name="Wrap 4 8 5 6" xfId="36920" xr:uid="{00000000-0005-0000-0000-0000769C0000}"/>
    <cellStyle name="Wrap 4 8 5 6 2" xfId="36921" xr:uid="{00000000-0005-0000-0000-0000779C0000}"/>
    <cellStyle name="Wrap 4 8 5 7" xfId="36922" xr:uid="{00000000-0005-0000-0000-0000789C0000}"/>
    <cellStyle name="Wrap 4 8 5 7 2" xfId="36923" xr:uid="{00000000-0005-0000-0000-0000799C0000}"/>
    <cellStyle name="Wrap 4 8 5 8" xfId="36924" xr:uid="{00000000-0005-0000-0000-00007A9C0000}"/>
    <cellStyle name="Wrap 4 8 5 8 2" xfId="36925" xr:uid="{00000000-0005-0000-0000-00007B9C0000}"/>
    <cellStyle name="Wrap 4 8 5 9" xfId="36926" xr:uid="{00000000-0005-0000-0000-00007C9C0000}"/>
    <cellStyle name="Wrap 4 8 5 9 2" xfId="36927" xr:uid="{00000000-0005-0000-0000-00007D9C0000}"/>
    <cellStyle name="Wrap 4 8 6" xfId="36928" xr:uid="{00000000-0005-0000-0000-00007E9C0000}"/>
    <cellStyle name="Wrap 4 8 6 10" xfId="36929" xr:uid="{00000000-0005-0000-0000-00007F9C0000}"/>
    <cellStyle name="Wrap 4 8 6 2" xfId="36930" xr:uid="{00000000-0005-0000-0000-0000809C0000}"/>
    <cellStyle name="Wrap 4 8 6 2 2" xfId="36931" xr:uid="{00000000-0005-0000-0000-0000819C0000}"/>
    <cellStyle name="Wrap 4 8 6 3" xfId="36932" xr:uid="{00000000-0005-0000-0000-0000829C0000}"/>
    <cellStyle name="Wrap 4 8 6 3 2" xfId="36933" xr:uid="{00000000-0005-0000-0000-0000839C0000}"/>
    <cellStyle name="Wrap 4 8 6 4" xfId="36934" xr:uid="{00000000-0005-0000-0000-0000849C0000}"/>
    <cellStyle name="Wrap 4 8 6 4 2" xfId="36935" xr:uid="{00000000-0005-0000-0000-0000859C0000}"/>
    <cellStyle name="Wrap 4 8 6 5" xfId="36936" xr:uid="{00000000-0005-0000-0000-0000869C0000}"/>
    <cellStyle name="Wrap 4 8 6 5 2" xfId="36937" xr:uid="{00000000-0005-0000-0000-0000879C0000}"/>
    <cellStyle name="Wrap 4 8 6 6" xfId="36938" xr:uid="{00000000-0005-0000-0000-0000889C0000}"/>
    <cellStyle name="Wrap 4 8 6 6 2" xfId="36939" xr:uid="{00000000-0005-0000-0000-0000899C0000}"/>
    <cellStyle name="Wrap 4 8 6 7" xfId="36940" xr:uid="{00000000-0005-0000-0000-00008A9C0000}"/>
    <cellStyle name="Wrap 4 8 6 7 2" xfId="36941" xr:uid="{00000000-0005-0000-0000-00008B9C0000}"/>
    <cellStyle name="Wrap 4 8 6 8" xfId="36942" xr:uid="{00000000-0005-0000-0000-00008C9C0000}"/>
    <cellStyle name="Wrap 4 8 6 8 2" xfId="36943" xr:uid="{00000000-0005-0000-0000-00008D9C0000}"/>
    <cellStyle name="Wrap 4 8 6 9" xfId="36944" xr:uid="{00000000-0005-0000-0000-00008E9C0000}"/>
    <cellStyle name="Wrap 4 8 6 9 2" xfId="36945" xr:uid="{00000000-0005-0000-0000-00008F9C0000}"/>
    <cellStyle name="Wrap 4 8 7" xfId="36946" xr:uid="{00000000-0005-0000-0000-0000909C0000}"/>
    <cellStyle name="Wrap 4 8 7 10" xfId="36947" xr:uid="{00000000-0005-0000-0000-0000919C0000}"/>
    <cellStyle name="Wrap 4 8 7 2" xfId="36948" xr:uid="{00000000-0005-0000-0000-0000929C0000}"/>
    <cellStyle name="Wrap 4 8 7 2 2" xfId="36949" xr:uid="{00000000-0005-0000-0000-0000939C0000}"/>
    <cellStyle name="Wrap 4 8 7 3" xfId="36950" xr:uid="{00000000-0005-0000-0000-0000949C0000}"/>
    <cellStyle name="Wrap 4 8 7 3 2" xfId="36951" xr:uid="{00000000-0005-0000-0000-0000959C0000}"/>
    <cellStyle name="Wrap 4 8 7 4" xfId="36952" xr:uid="{00000000-0005-0000-0000-0000969C0000}"/>
    <cellStyle name="Wrap 4 8 7 4 2" xfId="36953" xr:uid="{00000000-0005-0000-0000-0000979C0000}"/>
    <cellStyle name="Wrap 4 8 7 5" xfId="36954" xr:uid="{00000000-0005-0000-0000-0000989C0000}"/>
    <cellStyle name="Wrap 4 8 7 5 2" xfId="36955" xr:uid="{00000000-0005-0000-0000-0000999C0000}"/>
    <cellStyle name="Wrap 4 8 7 6" xfId="36956" xr:uid="{00000000-0005-0000-0000-00009A9C0000}"/>
    <cellStyle name="Wrap 4 8 7 6 2" xfId="36957" xr:uid="{00000000-0005-0000-0000-00009B9C0000}"/>
    <cellStyle name="Wrap 4 8 7 7" xfId="36958" xr:uid="{00000000-0005-0000-0000-00009C9C0000}"/>
    <cellStyle name="Wrap 4 8 7 7 2" xfId="36959" xr:uid="{00000000-0005-0000-0000-00009D9C0000}"/>
    <cellStyle name="Wrap 4 8 7 8" xfId="36960" xr:uid="{00000000-0005-0000-0000-00009E9C0000}"/>
    <cellStyle name="Wrap 4 8 7 8 2" xfId="36961" xr:uid="{00000000-0005-0000-0000-00009F9C0000}"/>
    <cellStyle name="Wrap 4 8 7 9" xfId="36962" xr:uid="{00000000-0005-0000-0000-0000A09C0000}"/>
    <cellStyle name="Wrap 4 8 7 9 2" xfId="36963" xr:uid="{00000000-0005-0000-0000-0000A19C0000}"/>
    <cellStyle name="Wrap 4 8 8" xfId="36964" xr:uid="{00000000-0005-0000-0000-0000A29C0000}"/>
    <cellStyle name="Wrap 4 8 8 10" xfId="36965" xr:uid="{00000000-0005-0000-0000-0000A39C0000}"/>
    <cellStyle name="Wrap 4 8 8 2" xfId="36966" xr:uid="{00000000-0005-0000-0000-0000A49C0000}"/>
    <cellStyle name="Wrap 4 8 8 2 2" xfId="36967" xr:uid="{00000000-0005-0000-0000-0000A59C0000}"/>
    <cellStyle name="Wrap 4 8 8 3" xfId="36968" xr:uid="{00000000-0005-0000-0000-0000A69C0000}"/>
    <cellStyle name="Wrap 4 8 8 3 2" xfId="36969" xr:uid="{00000000-0005-0000-0000-0000A79C0000}"/>
    <cellStyle name="Wrap 4 8 8 4" xfId="36970" xr:uid="{00000000-0005-0000-0000-0000A89C0000}"/>
    <cellStyle name="Wrap 4 8 8 4 2" xfId="36971" xr:uid="{00000000-0005-0000-0000-0000A99C0000}"/>
    <cellStyle name="Wrap 4 8 8 5" xfId="36972" xr:uid="{00000000-0005-0000-0000-0000AA9C0000}"/>
    <cellStyle name="Wrap 4 8 8 5 2" xfId="36973" xr:uid="{00000000-0005-0000-0000-0000AB9C0000}"/>
    <cellStyle name="Wrap 4 8 8 6" xfId="36974" xr:uid="{00000000-0005-0000-0000-0000AC9C0000}"/>
    <cellStyle name="Wrap 4 8 8 6 2" xfId="36975" xr:uid="{00000000-0005-0000-0000-0000AD9C0000}"/>
    <cellStyle name="Wrap 4 8 8 7" xfId="36976" xr:uid="{00000000-0005-0000-0000-0000AE9C0000}"/>
    <cellStyle name="Wrap 4 8 8 7 2" xfId="36977" xr:uid="{00000000-0005-0000-0000-0000AF9C0000}"/>
    <cellStyle name="Wrap 4 8 8 8" xfId="36978" xr:uid="{00000000-0005-0000-0000-0000B09C0000}"/>
    <cellStyle name="Wrap 4 8 8 8 2" xfId="36979" xr:uid="{00000000-0005-0000-0000-0000B19C0000}"/>
    <cellStyle name="Wrap 4 8 8 9" xfId="36980" xr:uid="{00000000-0005-0000-0000-0000B29C0000}"/>
    <cellStyle name="Wrap 4 8 8 9 2" xfId="36981" xr:uid="{00000000-0005-0000-0000-0000B39C0000}"/>
    <cellStyle name="Wrap 4 8 9" xfId="36982" xr:uid="{00000000-0005-0000-0000-0000B49C0000}"/>
    <cellStyle name="Wrap 4 8 9 10" xfId="36983" xr:uid="{00000000-0005-0000-0000-0000B59C0000}"/>
    <cellStyle name="Wrap 4 8 9 2" xfId="36984" xr:uid="{00000000-0005-0000-0000-0000B69C0000}"/>
    <cellStyle name="Wrap 4 8 9 2 2" xfId="36985" xr:uid="{00000000-0005-0000-0000-0000B79C0000}"/>
    <cellStyle name="Wrap 4 8 9 3" xfId="36986" xr:uid="{00000000-0005-0000-0000-0000B89C0000}"/>
    <cellStyle name="Wrap 4 8 9 3 2" xfId="36987" xr:uid="{00000000-0005-0000-0000-0000B99C0000}"/>
    <cellStyle name="Wrap 4 8 9 4" xfId="36988" xr:uid="{00000000-0005-0000-0000-0000BA9C0000}"/>
    <cellStyle name="Wrap 4 8 9 4 2" xfId="36989" xr:uid="{00000000-0005-0000-0000-0000BB9C0000}"/>
    <cellStyle name="Wrap 4 8 9 5" xfId="36990" xr:uid="{00000000-0005-0000-0000-0000BC9C0000}"/>
    <cellStyle name="Wrap 4 8 9 5 2" xfId="36991" xr:uid="{00000000-0005-0000-0000-0000BD9C0000}"/>
    <cellStyle name="Wrap 4 8 9 6" xfId="36992" xr:uid="{00000000-0005-0000-0000-0000BE9C0000}"/>
    <cellStyle name="Wrap 4 8 9 6 2" xfId="36993" xr:uid="{00000000-0005-0000-0000-0000BF9C0000}"/>
    <cellStyle name="Wrap 4 8 9 7" xfId="36994" xr:uid="{00000000-0005-0000-0000-0000C09C0000}"/>
    <cellStyle name="Wrap 4 8 9 7 2" xfId="36995" xr:uid="{00000000-0005-0000-0000-0000C19C0000}"/>
    <cellStyle name="Wrap 4 8 9 8" xfId="36996" xr:uid="{00000000-0005-0000-0000-0000C29C0000}"/>
    <cellStyle name="Wrap 4 8 9 8 2" xfId="36997" xr:uid="{00000000-0005-0000-0000-0000C39C0000}"/>
    <cellStyle name="Wrap 4 8 9 9" xfId="36998" xr:uid="{00000000-0005-0000-0000-0000C49C0000}"/>
    <cellStyle name="Wrap 4 8 9 9 2" xfId="36999" xr:uid="{00000000-0005-0000-0000-0000C59C0000}"/>
    <cellStyle name="Wrap Bold" xfId="126" xr:uid="{00000000-0005-0000-0000-0000C69C0000}"/>
    <cellStyle name="Wrap Bold 2" xfId="210" xr:uid="{00000000-0005-0000-0000-0000C79C0000}"/>
    <cellStyle name="Wrap Bold 2 10" xfId="37000" xr:uid="{00000000-0005-0000-0000-0000C89C0000}"/>
    <cellStyle name="Wrap Bold 2 10 10" xfId="37001" xr:uid="{00000000-0005-0000-0000-0000C99C0000}"/>
    <cellStyle name="Wrap Bold 2 10 10 2" xfId="37002" xr:uid="{00000000-0005-0000-0000-0000CA9C0000}"/>
    <cellStyle name="Wrap Bold 2 10 10 2 2" xfId="37003" xr:uid="{00000000-0005-0000-0000-0000CB9C0000}"/>
    <cellStyle name="Wrap Bold 2 10 10 3" xfId="37004" xr:uid="{00000000-0005-0000-0000-0000CC9C0000}"/>
    <cellStyle name="Wrap Bold 2 10 10 3 2" xfId="37005" xr:uid="{00000000-0005-0000-0000-0000CD9C0000}"/>
    <cellStyle name="Wrap Bold 2 10 10 4" xfId="37006" xr:uid="{00000000-0005-0000-0000-0000CE9C0000}"/>
    <cellStyle name="Wrap Bold 2 10 10 4 2" xfId="37007" xr:uid="{00000000-0005-0000-0000-0000CF9C0000}"/>
    <cellStyle name="Wrap Bold 2 10 10 5" xfId="37008" xr:uid="{00000000-0005-0000-0000-0000D09C0000}"/>
    <cellStyle name="Wrap Bold 2 10 10 5 2" xfId="37009" xr:uid="{00000000-0005-0000-0000-0000D19C0000}"/>
    <cellStyle name="Wrap Bold 2 10 10 6" xfId="37010" xr:uid="{00000000-0005-0000-0000-0000D29C0000}"/>
    <cellStyle name="Wrap Bold 2 10 10 6 2" xfId="37011" xr:uid="{00000000-0005-0000-0000-0000D39C0000}"/>
    <cellStyle name="Wrap Bold 2 10 10 7" xfId="37012" xr:uid="{00000000-0005-0000-0000-0000D49C0000}"/>
    <cellStyle name="Wrap Bold 2 10 10 7 2" xfId="37013" xr:uid="{00000000-0005-0000-0000-0000D59C0000}"/>
    <cellStyle name="Wrap Bold 2 10 10 8" xfId="37014" xr:uid="{00000000-0005-0000-0000-0000D69C0000}"/>
    <cellStyle name="Wrap Bold 2 10 10 8 2" xfId="37015" xr:uid="{00000000-0005-0000-0000-0000D79C0000}"/>
    <cellStyle name="Wrap Bold 2 10 10 9" xfId="37016" xr:uid="{00000000-0005-0000-0000-0000D89C0000}"/>
    <cellStyle name="Wrap Bold 2 10 11" xfId="37017" xr:uid="{00000000-0005-0000-0000-0000D99C0000}"/>
    <cellStyle name="Wrap Bold 2 10 11 2" xfId="37018" xr:uid="{00000000-0005-0000-0000-0000DA9C0000}"/>
    <cellStyle name="Wrap Bold 2 10 12" xfId="37019" xr:uid="{00000000-0005-0000-0000-0000DB9C0000}"/>
    <cellStyle name="Wrap Bold 2 10 12 2" xfId="37020" xr:uid="{00000000-0005-0000-0000-0000DC9C0000}"/>
    <cellStyle name="Wrap Bold 2 10 13" xfId="37021" xr:uid="{00000000-0005-0000-0000-0000DD9C0000}"/>
    <cellStyle name="Wrap Bold 2 10 13 2" xfId="37022" xr:uid="{00000000-0005-0000-0000-0000DE9C0000}"/>
    <cellStyle name="Wrap Bold 2 10 14" xfId="37023" xr:uid="{00000000-0005-0000-0000-0000DF9C0000}"/>
    <cellStyle name="Wrap Bold 2 10 14 2" xfId="37024" xr:uid="{00000000-0005-0000-0000-0000E09C0000}"/>
    <cellStyle name="Wrap Bold 2 10 15" xfId="37025" xr:uid="{00000000-0005-0000-0000-0000E19C0000}"/>
    <cellStyle name="Wrap Bold 2 10 15 2" xfId="37026" xr:uid="{00000000-0005-0000-0000-0000E29C0000}"/>
    <cellStyle name="Wrap Bold 2 10 16" xfId="37027" xr:uid="{00000000-0005-0000-0000-0000E39C0000}"/>
    <cellStyle name="Wrap Bold 2 10 16 2" xfId="37028" xr:uid="{00000000-0005-0000-0000-0000E49C0000}"/>
    <cellStyle name="Wrap Bold 2 10 17" xfId="37029" xr:uid="{00000000-0005-0000-0000-0000E59C0000}"/>
    <cellStyle name="Wrap Bold 2 10 17 2" xfId="37030" xr:uid="{00000000-0005-0000-0000-0000E69C0000}"/>
    <cellStyle name="Wrap Bold 2 10 18" xfId="37031" xr:uid="{00000000-0005-0000-0000-0000E79C0000}"/>
    <cellStyle name="Wrap Bold 2 10 2" xfId="37032" xr:uid="{00000000-0005-0000-0000-0000E89C0000}"/>
    <cellStyle name="Wrap Bold 2 10 2 10" xfId="37033" xr:uid="{00000000-0005-0000-0000-0000E99C0000}"/>
    <cellStyle name="Wrap Bold 2 10 2 2" xfId="37034" xr:uid="{00000000-0005-0000-0000-0000EA9C0000}"/>
    <cellStyle name="Wrap Bold 2 10 2 2 2" xfId="37035" xr:uid="{00000000-0005-0000-0000-0000EB9C0000}"/>
    <cellStyle name="Wrap Bold 2 10 2 3" xfId="37036" xr:uid="{00000000-0005-0000-0000-0000EC9C0000}"/>
    <cellStyle name="Wrap Bold 2 10 2 3 2" xfId="37037" xr:uid="{00000000-0005-0000-0000-0000ED9C0000}"/>
    <cellStyle name="Wrap Bold 2 10 2 4" xfId="37038" xr:uid="{00000000-0005-0000-0000-0000EE9C0000}"/>
    <cellStyle name="Wrap Bold 2 10 2 4 2" xfId="37039" xr:uid="{00000000-0005-0000-0000-0000EF9C0000}"/>
    <cellStyle name="Wrap Bold 2 10 2 5" xfId="37040" xr:uid="{00000000-0005-0000-0000-0000F09C0000}"/>
    <cellStyle name="Wrap Bold 2 10 2 5 2" xfId="37041" xr:uid="{00000000-0005-0000-0000-0000F19C0000}"/>
    <cellStyle name="Wrap Bold 2 10 2 6" xfId="37042" xr:uid="{00000000-0005-0000-0000-0000F29C0000}"/>
    <cellStyle name="Wrap Bold 2 10 2 6 2" xfId="37043" xr:uid="{00000000-0005-0000-0000-0000F39C0000}"/>
    <cellStyle name="Wrap Bold 2 10 2 7" xfId="37044" xr:uid="{00000000-0005-0000-0000-0000F49C0000}"/>
    <cellStyle name="Wrap Bold 2 10 2 7 2" xfId="37045" xr:uid="{00000000-0005-0000-0000-0000F59C0000}"/>
    <cellStyle name="Wrap Bold 2 10 2 8" xfId="37046" xr:uid="{00000000-0005-0000-0000-0000F69C0000}"/>
    <cellStyle name="Wrap Bold 2 10 2 8 2" xfId="37047" xr:uid="{00000000-0005-0000-0000-0000F79C0000}"/>
    <cellStyle name="Wrap Bold 2 10 2 9" xfId="37048" xr:uid="{00000000-0005-0000-0000-0000F89C0000}"/>
    <cellStyle name="Wrap Bold 2 10 2 9 2" xfId="37049" xr:uid="{00000000-0005-0000-0000-0000F99C0000}"/>
    <cellStyle name="Wrap Bold 2 10 3" xfId="37050" xr:uid="{00000000-0005-0000-0000-0000FA9C0000}"/>
    <cellStyle name="Wrap Bold 2 10 3 10" xfId="37051" xr:uid="{00000000-0005-0000-0000-0000FB9C0000}"/>
    <cellStyle name="Wrap Bold 2 10 3 2" xfId="37052" xr:uid="{00000000-0005-0000-0000-0000FC9C0000}"/>
    <cellStyle name="Wrap Bold 2 10 3 2 2" xfId="37053" xr:uid="{00000000-0005-0000-0000-0000FD9C0000}"/>
    <cellStyle name="Wrap Bold 2 10 3 3" xfId="37054" xr:uid="{00000000-0005-0000-0000-0000FE9C0000}"/>
    <cellStyle name="Wrap Bold 2 10 3 3 2" xfId="37055" xr:uid="{00000000-0005-0000-0000-0000FF9C0000}"/>
    <cellStyle name="Wrap Bold 2 10 3 4" xfId="37056" xr:uid="{00000000-0005-0000-0000-0000009D0000}"/>
    <cellStyle name="Wrap Bold 2 10 3 4 2" xfId="37057" xr:uid="{00000000-0005-0000-0000-0000019D0000}"/>
    <cellStyle name="Wrap Bold 2 10 3 5" xfId="37058" xr:uid="{00000000-0005-0000-0000-0000029D0000}"/>
    <cellStyle name="Wrap Bold 2 10 3 5 2" xfId="37059" xr:uid="{00000000-0005-0000-0000-0000039D0000}"/>
    <cellStyle name="Wrap Bold 2 10 3 6" xfId="37060" xr:uid="{00000000-0005-0000-0000-0000049D0000}"/>
    <cellStyle name="Wrap Bold 2 10 3 6 2" xfId="37061" xr:uid="{00000000-0005-0000-0000-0000059D0000}"/>
    <cellStyle name="Wrap Bold 2 10 3 7" xfId="37062" xr:uid="{00000000-0005-0000-0000-0000069D0000}"/>
    <cellStyle name="Wrap Bold 2 10 3 7 2" xfId="37063" xr:uid="{00000000-0005-0000-0000-0000079D0000}"/>
    <cellStyle name="Wrap Bold 2 10 3 8" xfId="37064" xr:uid="{00000000-0005-0000-0000-0000089D0000}"/>
    <cellStyle name="Wrap Bold 2 10 3 8 2" xfId="37065" xr:uid="{00000000-0005-0000-0000-0000099D0000}"/>
    <cellStyle name="Wrap Bold 2 10 3 9" xfId="37066" xr:uid="{00000000-0005-0000-0000-00000A9D0000}"/>
    <cellStyle name="Wrap Bold 2 10 3 9 2" xfId="37067" xr:uid="{00000000-0005-0000-0000-00000B9D0000}"/>
    <cellStyle name="Wrap Bold 2 10 4" xfId="37068" xr:uid="{00000000-0005-0000-0000-00000C9D0000}"/>
    <cellStyle name="Wrap Bold 2 10 4 10" xfId="37069" xr:uid="{00000000-0005-0000-0000-00000D9D0000}"/>
    <cellStyle name="Wrap Bold 2 10 4 2" xfId="37070" xr:uid="{00000000-0005-0000-0000-00000E9D0000}"/>
    <cellStyle name="Wrap Bold 2 10 4 2 2" xfId="37071" xr:uid="{00000000-0005-0000-0000-00000F9D0000}"/>
    <cellStyle name="Wrap Bold 2 10 4 3" xfId="37072" xr:uid="{00000000-0005-0000-0000-0000109D0000}"/>
    <cellStyle name="Wrap Bold 2 10 4 3 2" xfId="37073" xr:uid="{00000000-0005-0000-0000-0000119D0000}"/>
    <cellStyle name="Wrap Bold 2 10 4 4" xfId="37074" xr:uid="{00000000-0005-0000-0000-0000129D0000}"/>
    <cellStyle name="Wrap Bold 2 10 4 4 2" xfId="37075" xr:uid="{00000000-0005-0000-0000-0000139D0000}"/>
    <cellStyle name="Wrap Bold 2 10 4 5" xfId="37076" xr:uid="{00000000-0005-0000-0000-0000149D0000}"/>
    <cellStyle name="Wrap Bold 2 10 4 5 2" xfId="37077" xr:uid="{00000000-0005-0000-0000-0000159D0000}"/>
    <cellStyle name="Wrap Bold 2 10 4 6" xfId="37078" xr:uid="{00000000-0005-0000-0000-0000169D0000}"/>
    <cellStyle name="Wrap Bold 2 10 4 6 2" xfId="37079" xr:uid="{00000000-0005-0000-0000-0000179D0000}"/>
    <cellStyle name="Wrap Bold 2 10 4 7" xfId="37080" xr:uid="{00000000-0005-0000-0000-0000189D0000}"/>
    <cellStyle name="Wrap Bold 2 10 4 7 2" xfId="37081" xr:uid="{00000000-0005-0000-0000-0000199D0000}"/>
    <cellStyle name="Wrap Bold 2 10 4 8" xfId="37082" xr:uid="{00000000-0005-0000-0000-00001A9D0000}"/>
    <cellStyle name="Wrap Bold 2 10 4 8 2" xfId="37083" xr:uid="{00000000-0005-0000-0000-00001B9D0000}"/>
    <cellStyle name="Wrap Bold 2 10 4 9" xfId="37084" xr:uid="{00000000-0005-0000-0000-00001C9D0000}"/>
    <cellStyle name="Wrap Bold 2 10 4 9 2" xfId="37085" xr:uid="{00000000-0005-0000-0000-00001D9D0000}"/>
    <cellStyle name="Wrap Bold 2 10 5" xfId="37086" xr:uid="{00000000-0005-0000-0000-00001E9D0000}"/>
    <cellStyle name="Wrap Bold 2 10 5 10" xfId="37087" xr:uid="{00000000-0005-0000-0000-00001F9D0000}"/>
    <cellStyle name="Wrap Bold 2 10 5 2" xfId="37088" xr:uid="{00000000-0005-0000-0000-0000209D0000}"/>
    <cellStyle name="Wrap Bold 2 10 5 2 2" xfId="37089" xr:uid="{00000000-0005-0000-0000-0000219D0000}"/>
    <cellStyle name="Wrap Bold 2 10 5 3" xfId="37090" xr:uid="{00000000-0005-0000-0000-0000229D0000}"/>
    <cellStyle name="Wrap Bold 2 10 5 3 2" xfId="37091" xr:uid="{00000000-0005-0000-0000-0000239D0000}"/>
    <cellStyle name="Wrap Bold 2 10 5 4" xfId="37092" xr:uid="{00000000-0005-0000-0000-0000249D0000}"/>
    <cellStyle name="Wrap Bold 2 10 5 4 2" xfId="37093" xr:uid="{00000000-0005-0000-0000-0000259D0000}"/>
    <cellStyle name="Wrap Bold 2 10 5 5" xfId="37094" xr:uid="{00000000-0005-0000-0000-0000269D0000}"/>
    <cellStyle name="Wrap Bold 2 10 5 5 2" xfId="37095" xr:uid="{00000000-0005-0000-0000-0000279D0000}"/>
    <cellStyle name="Wrap Bold 2 10 5 6" xfId="37096" xr:uid="{00000000-0005-0000-0000-0000289D0000}"/>
    <cellStyle name="Wrap Bold 2 10 5 6 2" xfId="37097" xr:uid="{00000000-0005-0000-0000-0000299D0000}"/>
    <cellStyle name="Wrap Bold 2 10 5 7" xfId="37098" xr:uid="{00000000-0005-0000-0000-00002A9D0000}"/>
    <cellStyle name="Wrap Bold 2 10 5 7 2" xfId="37099" xr:uid="{00000000-0005-0000-0000-00002B9D0000}"/>
    <cellStyle name="Wrap Bold 2 10 5 8" xfId="37100" xr:uid="{00000000-0005-0000-0000-00002C9D0000}"/>
    <cellStyle name="Wrap Bold 2 10 5 8 2" xfId="37101" xr:uid="{00000000-0005-0000-0000-00002D9D0000}"/>
    <cellStyle name="Wrap Bold 2 10 5 9" xfId="37102" xr:uid="{00000000-0005-0000-0000-00002E9D0000}"/>
    <cellStyle name="Wrap Bold 2 10 5 9 2" xfId="37103" xr:uid="{00000000-0005-0000-0000-00002F9D0000}"/>
    <cellStyle name="Wrap Bold 2 10 6" xfId="37104" xr:uid="{00000000-0005-0000-0000-0000309D0000}"/>
    <cellStyle name="Wrap Bold 2 10 6 10" xfId="37105" xr:uid="{00000000-0005-0000-0000-0000319D0000}"/>
    <cellStyle name="Wrap Bold 2 10 6 2" xfId="37106" xr:uid="{00000000-0005-0000-0000-0000329D0000}"/>
    <cellStyle name="Wrap Bold 2 10 6 2 2" xfId="37107" xr:uid="{00000000-0005-0000-0000-0000339D0000}"/>
    <cellStyle name="Wrap Bold 2 10 6 3" xfId="37108" xr:uid="{00000000-0005-0000-0000-0000349D0000}"/>
    <cellStyle name="Wrap Bold 2 10 6 3 2" xfId="37109" xr:uid="{00000000-0005-0000-0000-0000359D0000}"/>
    <cellStyle name="Wrap Bold 2 10 6 4" xfId="37110" xr:uid="{00000000-0005-0000-0000-0000369D0000}"/>
    <cellStyle name="Wrap Bold 2 10 6 4 2" xfId="37111" xr:uid="{00000000-0005-0000-0000-0000379D0000}"/>
    <cellStyle name="Wrap Bold 2 10 6 5" xfId="37112" xr:uid="{00000000-0005-0000-0000-0000389D0000}"/>
    <cellStyle name="Wrap Bold 2 10 6 5 2" xfId="37113" xr:uid="{00000000-0005-0000-0000-0000399D0000}"/>
    <cellStyle name="Wrap Bold 2 10 6 6" xfId="37114" xr:uid="{00000000-0005-0000-0000-00003A9D0000}"/>
    <cellStyle name="Wrap Bold 2 10 6 6 2" xfId="37115" xr:uid="{00000000-0005-0000-0000-00003B9D0000}"/>
    <cellStyle name="Wrap Bold 2 10 6 7" xfId="37116" xr:uid="{00000000-0005-0000-0000-00003C9D0000}"/>
    <cellStyle name="Wrap Bold 2 10 6 7 2" xfId="37117" xr:uid="{00000000-0005-0000-0000-00003D9D0000}"/>
    <cellStyle name="Wrap Bold 2 10 6 8" xfId="37118" xr:uid="{00000000-0005-0000-0000-00003E9D0000}"/>
    <cellStyle name="Wrap Bold 2 10 6 8 2" xfId="37119" xr:uid="{00000000-0005-0000-0000-00003F9D0000}"/>
    <cellStyle name="Wrap Bold 2 10 6 9" xfId="37120" xr:uid="{00000000-0005-0000-0000-0000409D0000}"/>
    <cellStyle name="Wrap Bold 2 10 6 9 2" xfId="37121" xr:uid="{00000000-0005-0000-0000-0000419D0000}"/>
    <cellStyle name="Wrap Bold 2 10 7" xfId="37122" xr:uid="{00000000-0005-0000-0000-0000429D0000}"/>
    <cellStyle name="Wrap Bold 2 10 7 10" xfId="37123" xr:uid="{00000000-0005-0000-0000-0000439D0000}"/>
    <cellStyle name="Wrap Bold 2 10 7 2" xfId="37124" xr:uid="{00000000-0005-0000-0000-0000449D0000}"/>
    <cellStyle name="Wrap Bold 2 10 7 2 2" xfId="37125" xr:uid="{00000000-0005-0000-0000-0000459D0000}"/>
    <cellStyle name="Wrap Bold 2 10 7 3" xfId="37126" xr:uid="{00000000-0005-0000-0000-0000469D0000}"/>
    <cellStyle name="Wrap Bold 2 10 7 3 2" xfId="37127" xr:uid="{00000000-0005-0000-0000-0000479D0000}"/>
    <cellStyle name="Wrap Bold 2 10 7 4" xfId="37128" xr:uid="{00000000-0005-0000-0000-0000489D0000}"/>
    <cellStyle name="Wrap Bold 2 10 7 4 2" xfId="37129" xr:uid="{00000000-0005-0000-0000-0000499D0000}"/>
    <cellStyle name="Wrap Bold 2 10 7 5" xfId="37130" xr:uid="{00000000-0005-0000-0000-00004A9D0000}"/>
    <cellStyle name="Wrap Bold 2 10 7 5 2" xfId="37131" xr:uid="{00000000-0005-0000-0000-00004B9D0000}"/>
    <cellStyle name="Wrap Bold 2 10 7 6" xfId="37132" xr:uid="{00000000-0005-0000-0000-00004C9D0000}"/>
    <cellStyle name="Wrap Bold 2 10 7 6 2" xfId="37133" xr:uid="{00000000-0005-0000-0000-00004D9D0000}"/>
    <cellStyle name="Wrap Bold 2 10 7 7" xfId="37134" xr:uid="{00000000-0005-0000-0000-00004E9D0000}"/>
    <cellStyle name="Wrap Bold 2 10 7 7 2" xfId="37135" xr:uid="{00000000-0005-0000-0000-00004F9D0000}"/>
    <cellStyle name="Wrap Bold 2 10 7 8" xfId="37136" xr:uid="{00000000-0005-0000-0000-0000509D0000}"/>
    <cellStyle name="Wrap Bold 2 10 7 8 2" xfId="37137" xr:uid="{00000000-0005-0000-0000-0000519D0000}"/>
    <cellStyle name="Wrap Bold 2 10 7 9" xfId="37138" xr:uid="{00000000-0005-0000-0000-0000529D0000}"/>
    <cellStyle name="Wrap Bold 2 10 7 9 2" xfId="37139" xr:uid="{00000000-0005-0000-0000-0000539D0000}"/>
    <cellStyle name="Wrap Bold 2 10 8" xfId="37140" xr:uid="{00000000-0005-0000-0000-0000549D0000}"/>
    <cellStyle name="Wrap Bold 2 10 8 10" xfId="37141" xr:uid="{00000000-0005-0000-0000-0000559D0000}"/>
    <cellStyle name="Wrap Bold 2 10 8 2" xfId="37142" xr:uid="{00000000-0005-0000-0000-0000569D0000}"/>
    <cellStyle name="Wrap Bold 2 10 8 2 2" xfId="37143" xr:uid="{00000000-0005-0000-0000-0000579D0000}"/>
    <cellStyle name="Wrap Bold 2 10 8 3" xfId="37144" xr:uid="{00000000-0005-0000-0000-0000589D0000}"/>
    <cellStyle name="Wrap Bold 2 10 8 3 2" xfId="37145" xr:uid="{00000000-0005-0000-0000-0000599D0000}"/>
    <cellStyle name="Wrap Bold 2 10 8 4" xfId="37146" xr:uid="{00000000-0005-0000-0000-00005A9D0000}"/>
    <cellStyle name="Wrap Bold 2 10 8 4 2" xfId="37147" xr:uid="{00000000-0005-0000-0000-00005B9D0000}"/>
    <cellStyle name="Wrap Bold 2 10 8 5" xfId="37148" xr:uid="{00000000-0005-0000-0000-00005C9D0000}"/>
    <cellStyle name="Wrap Bold 2 10 8 5 2" xfId="37149" xr:uid="{00000000-0005-0000-0000-00005D9D0000}"/>
    <cellStyle name="Wrap Bold 2 10 8 6" xfId="37150" xr:uid="{00000000-0005-0000-0000-00005E9D0000}"/>
    <cellStyle name="Wrap Bold 2 10 8 6 2" xfId="37151" xr:uid="{00000000-0005-0000-0000-00005F9D0000}"/>
    <cellStyle name="Wrap Bold 2 10 8 7" xfId="37152" xr:uid="{00000000-0005-0000-0000-0000609D0000}"/>
    <cellStyle name="Wrap Bold 2 10 8 7 2" xfId="37153" xr:uid="{00000000-0005-0000-0000-0000619D0000}"/>
    <cellStyle name="Wrap Bold 2 10 8 8" xfId="37154" xr:uid="{00000000-0005-0000-0000-0000629D0000}"/>
    <cellStyle name="Wrap Bold 2 10 8 8 2" xfId="37155" xr:uid="{00000000-0005-0000-0000-0000639D0000}"/>
    <cellStyle name="Wrap Bold 2 10 8 9" xfId="37156" xr:uid="{00000000-0005-0000-0000-0000649D0000}"/>
    <cellStyle name="Wrap Bold 2 10 8 9 2" xfId="37157" xr:uid="{00000000-0005-0000-0000-0000659D0000}"/>
    <cellStyle name="Wrap Bold 2 10 9" xfId="37158" xr:uid="{00000000-0005-0000-0000-0000669D0000}"/>
    <cellStyle name="Wrap Bold 2 10 9 10" xfId="37159" xr:uid="{00000000-0005-0000-0000-0000679D0000}"/>
    <cellStyle name="Wrap Bold 2 10 9 2" xfId="37160" xr:uid="{00000000-0005-0000-0000-0000689D0000}"/>
    <cellStyle name="Wrap Bold 2 10 9 2 2" xfId="37161" xr:uid="{00000000-0005-0000-0000-0000699D0000}"/>
    <cellStyle name="Wrap Bold 2 10 9 3" xfId="37162" xr:uid="{00000000-0005-0000-0000-00006A9D0000}"/>
    <cellStyle name="Wrap Bold 2 10 9 3 2" xfId="37163" xr:uid="{00000000-0005-0000-0000-00006B9D0000}"/>
    <cellStyle name="Wrap Bold 2 10 9 4" xfId="37164" xr:uid="{00000000-0005-0000-0000-00006C9D0000}"/>
    <cellStyle name="Wrap Bold 2 10 9 4 2" xfId="37165" xr:uid="{00000000-0005-0000-0000-00006D9D0000}"/>
    <cellStyle name="Wrap Bold 2 10 9 5" xfId="37166" xr:uid="{00000000-0005-0000-0000-00006E9D0000}"/>
    <cellStyle name="Wrap Bold 2 10 9 5 2" xfId="37167" xr:uid="{00000000-0005-0000-0000-00006F9D0000}"/>
    <cellStyle name="Wrap Bold 2 10 9 6" xfId="37168" xr:uid="{00000000-0005-0000-0000-0000709D0000}"/>
    <cellStyle name="Wrap Bold 2 10 9 6 2" xfId="37169" xr:uid="{00000000-0005-0000-0000-0000719D0000}"/>
    <cellStyle name="Wrap Bold 2 10 9 7" xfId="37170" xr:uid="{00000000-0005-0000-0000-0000729D0000}"/>
    <cellStyle name="Wrap Bold 2 10 9 7 2" xfId="37171" xr:uid="{00000000-0005-0000-0000-0000739D0000}"/>
    <cellStyle name="Wrap Bold 2 10 9 8" xfId="37172" xr:uid="{00000000-0005-0000-0000-0000749D0000}"/>
    <cellStyle name="Wrap Bold 2 10 9 8 2" xfId="37173" xr:uid="{00000000-0005-0000-0000-0000759D0000}"/>
    <cellStyle name="Wrap Bold 2 10 9 9" xfId="37174" xr:uid="{00000000-0005-0000-0000-0000769D0000}"/>
    <cellStyle name="Wrap Bold 2 10 9 9 2" xfId="37175" xr:uid="{00000000-0005-0000-0000-0000779D0000}"/>
    <cellStyle name="Wrap Bold 2 2" xfId="211" xr:uid="{00000000-0005-0000-0000-0000789D0000}"/>
    <cellStyle name="Wrap Bold 2 2 2" xfId="37176" xr:uid="{00000000-0005-0000-0000-0000799D0000}"/>
    <cellStyle name="Wrap Bold 2 2 2 10" xfId="37177" xr:uid="{00000000-0005-0000-0000-00007A9D0000}"/>
    <cellStyle name="Wrap Bold 2 2 2 10 10" xfId="37178" xr:uid="{00000000-0005-0000-0000-00007B9D0000}"/>
    <cellStyle name="Wrap Bold 2 2 2 10 2" xfId="37179" xr:uid="{00000000-0005-0000-0000-00007C9D0000}"/>
    <cellStyle name="Wrap Bold 2 2 2 10 2 2" xfId="37180" xr:uid="{00000000-0005-0000-0000-00007D9D0000}"/>
    <cellStyle name="Wrap Bold 2 2 2 10 3" xfId="37181" xr:uid="{00000000-0005-0000-0000-00007E9D0000}"/>
    <cellStyle name="Wrap Bold 2 2 2 10 3 2" xfId="37182" xr:uid="{00000000-0005-0000-0000-00007F9D0000}"/>
    <cellStyle name="Wrap Bold 2 2 2 10 4" xfId="37183" xr:uid="{00000000-0005-0000-0000-0000809D0000}"/>
    <cellStyle name="Wrap Bold 2 2 2 10 4 2" xfId="37184" xr:uid="{00000000-0005-0000-0000-0000819D0000}"/>
    <cellStyle name="Wrap Bold 2 2 2 10 5" xfId="37185" xr:uid="{00000000-0005-0000-0000-0000829D0000}"/>
    <cellStyle name="Wrap Bold 2 2 2 10 5 2" xfId="37186" xr:uid="{00000000-0005-0000-0000-0000839D0000}"/>
    <cellStyle name="Wrap Bold 2 2 2 10 6" xfId="37187" xr:uid="{00000000-0005-0000-0000-0000849D0000}"/>
    <cellStyle name="Wrap Bold 2 2 2 10 6 2" xfId="37188" xr:uid="{00000000-0005-0000-0000-0000859D0000}"/>
    <cellStyle name="Wrap Bold 2 2 2 10 7" xfId="37189" xr:uid="{00000000-0005-0000-0000-0000869D0000}"/>
    <cellStyle name="Wrap Bold 2 2 2 10 7 2" xfId="37190" xr:uid="{00000000-0005-0000-0000-0000879D0000}"/>
    <cellStyle name="Wrap Bold 2 2 2 10 8" xfId="37191" xr:uid="{00000000-0005-0000-0000-0000889D0000}"/>
    <cellStyle name="Wrap Bold 2 2 2 10 8 2" xfId="37192" xr:uid="{00000000-0005-0000-0000-0000899D0000}"/>
    <cellStyle name="Wrap Bold 2 2 2 10 9" xfId="37193" xr:uid="{00000000-0005-0000-0000-00008A9D0000}"/>
    <cellStyle name="Wrap Bold 2 2 2 10 9 2" xfId="37194" xr:uid="{00000000-0005-0000-0000-00008B9D0000}"/>
    <cellStyle name="Wrap Bold 2 2 2 11" xfId="37195" xr:uid="{00000000-0005-0000-0000-00008C9D0000}"/>
    <cellStyle name="Wrap Bold 2 2 2 11 2" xfId="37196" xr:uid="{00000000-0005-0000-0000-00008D9D0000}"/>
    <cellStyle name="Wrap Bold 2 2 2 11 2 2" xfId="37197" xr:uid="{00000000-0005-0000-0000-00008E9D0000}"/>
    <cellStyle name="Wrap Bold 2 2 2 11 3" xfId="37198" xr:uid="{00000000-0005-0000-0000-00008F9D0000}"/>
    <cellStyle name="Wrap Bold 2 2 2 11 3 2" xfId="37199" xr:uid="{00000000-0005-0000-0000-0000909D0000}"/>
    <cellStyle name="Wrap Bold 2 2 2 11 4" xfId="37200" xr:uid="{00000000-0005-0000-0000-0000919D0000}"/>
    <cellStyle name="Wrap Bold 2 2 2 11 4 2" xfId="37201" xr:uid="{00000000-0005-0000-0000-0000929D0000}"/>
    <cellStyle name="Wrap Bold 2 2 2 11 5" xfId="37202" xr:uid="{00000000-0005-0000-0000-0000939D0000}"/>
    <cellStyle name="Wrap Bold 2 2 2 11 5 2" xfId="37203" xr:uid="{00000000-0005-0000-0000-0000949D0000}"/>
    <cellStyle name="Wrap Bold 2 2 2 11 6" xfId="37204" xr:uid="{00000000-0005-0000-0000-0000959D0000}"/>
    <cellStyle name="Wrap Bold 2 2 2 11 6 2" xfId="37205" xr:uid="{00000000-0005-0000-0000-0000969D0000}"/>
    <cellStyle name="Wrap Bold 2 2 2 11 7" xfId="37206" xr:uid="{00000000-0005-0000-0000-0000979D0000}"/>
    <cellStyle name="Wrap Bold 2 2 2 11 7 2" xfId="37207" xr:uid="{00000000-0005-0000-0000-0000989D0000}"/>
    <cellStyle name="Wrap Bold 2 2 2 11 8" xfId="37208" xr:uid="{00000000-0005-0000-0000-0000999D0000}"/>
    <cellStyle name="Wrap Bold 2 2 2 11 8 2" xfId="37209" xr:uid="{00000000-0005-0000-0000-00009A9D0000}"/>
    <cellStyle name="Wrap Bold 2 2 2 11 9" xfId="37210" xr:uid="{00000000-0005-0000-0000-00009B9D0000}"/>
    <cellStyle name="Wrap Bold 2 2 2 2" xfId="37211" xr:uid="{00000000-0005-0000-0000-00009C9D0000}"/>
    <cellStyle name="Wrap Bold 2 2 2 2 10" xfId="37212" xr:uid="{00000000-0005-0000-0000-00009D9D0000}"/>
    <cellStyle name="Wrap Bold 2 2 2 2 2" xfId="37213" xr:uid="{00000000-0005-0000-0000-00009E9D0000}"/>
    <cellStyle name="Wrap Bold 2 2 2 2 2 2" xfId="37214" xr:uid="{00000000-0005-0000-0000-00009F9D0000}"/>
    <cellStyle name="Wrap Bold 2 2 2 2 3" xfId="37215" xr:uid="{00000000-0005-0000-0000-0000A09D0000}"/>
    <cellStyle name="Wrap Bold 2 2 2 2 3 2" xfId="37216" xr:uid="{00000000-0005-0000-0000-0000A19D0000}"/>
    <cellStyle name="Wrap Bold 2 2 2 2 4" xfId="37217" xr:uid="{00000000-0005-0000-0000-0000A29D0000}"/>
    <cellStyle name="Wrap Bold 2 2 2 2 4 2" xfId="37218" xr:uid="{00000000-0005-0000-0000-0000A39D0000}"/>
    <cellStyle name="Wrap Bold 2 2 2 2 5" xfId="37219" xr:uid="{00000000-0005-0000-0000-0000A49D0000}"/>
    <cellStyle name="Wrap Bold 2 2 2 2 5 2" xfId="37220" xr:uid="{00000000-0005-0000-0000-0000A59D0000}"/>
    <cellStyle name="Wrap Bold 2 2 2 2 6" xfId="37221" xr:uid="{00000000-0005-0000-0000-0000A69D0000}"/>
    <cellStyle name="Wrap Bold 2 2 2 2 6 2" xfId="37222" xr:uid="{00000000-0005-0000-0000-0000A79D0000}"/>
    <cellStyle name="Wrap Bold 2 2 2 2 7" xfId="37223" xr:uid="{00000000-0005-0000-0000-0000A89D0000}"/>
    <cellStyle name="Wrap Bold 2 2 2 2 7 2" xfId="37224" xr:uid="{00000000-0005-0000-0000-0000A99D0000}"/>
    <cellStyle name="Wrap Bold 2 2 2 2 8" xfId="37225" xr:uid="{00000000-0005-0000-0000-0000AA9D0000}"/>
    <cellStyle name="Wrap Bold 2 2 2 2 8 2" xfId="37226" xr:uid="{00000000-0005-0000-0000-0000AB9D0000}"/>
    <cellStyle name="Wrap Bold 2 2 2 2 9" xfId="37227" xr:uid="{00000000-0005-0000-0000-0000AC9D0000}"/>
    <cellStyle name="Wrap Bold 2 2 2 2 9 2" xfId="37228" xr:uid="{00000000-0005-0000-0000-0000AD9D0000}"/>
    <cellStyle name="Wrap Bold 2 2 2 3" xfId="37229" xr:uid="{00000000-0005-0000-0000-0000AE9D0000}"/>
    <cellStyle name="Wrap Bold 2 2 2 3 10" xfId="37230" xr:uid="{00000000-0005-0000-0000-0000AF9D0000}"/>
    <cellStyle name="Wrap Bold 2 2 2 3 2" xfId="37231" xr:uid="{00000000-0005-0000-0000-0000B09D0000}"/>
    <cellStyle name="Wrap Bold 2 2 2 3 2 2" xfId="37232" xr:uid="{00000000-0005-0000-0000-0000B19D0000}"/>
    <cellStyle name="Wrap Bold 2 2 2 3 3" xfId="37233" xr:uid="{00000000-0005-0000-0000-0000B29D0000}"/>
    <cellStyle name="Wrap Bold 2 2 2 3 3 2" xfId="37234" xr:uid="{00000000-0005-0000-0000-0000B39D0000}"/>
    <cellStyle name="Wrap Bold 2 2 2 3 4" xfId="37235" xr:uid="{00000000-0005-0000-0000-0000B49D0000}"/>
    <cellStyle name="Wrap Bold 2 2 2 3 4 2" xfId="37236" xr:uid="{00000000-0005-0000-0000-0000B59D0000}"/>
    <cellStyle name="Wrap Bold 2 2 2 3 5" xfId="37237" xr:uid="{00000000-0005-0000-0000-0000B69D0000}"/>
    <cellStyle name="Wrap Bold 2 2 2 3 5 2" xfId="37238" xr:uid="{00000000-0005-0000-0000-0000B79D0000}"/>
    <cellStyle name="Wrap Bold 2 2 2 3 6" xfId="37239" xr:uid="{00000000-0005-0000-0000-0000B89D0000}"/>
    <cellStyle name="Wrap Bold 2 2 2 3 6 2" xfId="37240" xr:uid="{00000000-0005-0000-0000-0000B99D0000}"/>
    <cellStyle name="Wrap Bold 2 2 2 3 7" xfId="37241" xr:uid="{00000000-0005-0000-0000-0000BA9D0000}"/>
    <cellStyle name="Wrap Bold 2 2 2 3 7 2" xfId="37242" xr:uid="{00000000-0005-0000-0000-0000BB9D0000}"/>
    <cellStyle name="Wrap Bold 2 2 2 3 8" xfId="37243" xr:uid="{00000000-0005-0000-0000-0000BC9D0000}"/>
    <cellStyle name="Wrap Bold 2 2 2 3 8 2" xfId="37244" xr:uid="{00000000-0005-0000-0000-0000BD9D0000}"/>
    <cellStyle name="Wrap Bold 2 2 2 3 9" xfId="37245" xr:uid="{00000000-0005-0000-0000-0000BE9D0000}"/>
    <cellStyle name="Wrap Bold 2 2 2 3 9 2" xfId="37246" xr:uid="{00000000-0005-0000-0000-0000BF9D0000}"/>
    <cellStyle name="Wrap Bold 2 2 2 4" xfId="37247" xr:uid="{00000000-0005-0000-0000-0000C09D0000}"/>
    <cellStyle name="Wrap Bold 2 2 2 4 10" xfId="37248" xr:uid="{00000000-0005-0000-0000-0000C19D0000}"/>
    <cellStyle name="Wrap Bold 2 2 2 4 2" xfId="37249" xr:uid="{00000000-0005-0000-0000-0000C29D0000}"/>
    <cellStyle name="Wrap Bold 2 2 2 4 2 2" xfId="37250" xr:uid="{00000000-0005-0000-0000-0000C39D0000}"/>
    <cellStyle name="Wrap Bold 2 2 2 4 3" xfId="37251" xr:uid="{00000000-0005-0000-0000-0000C49D0000}"/>
    <cellStyle name="Wrap Bold 2 2 2 4 3 2" xfId="37252" xr:uid="{00000000-0005-0000-0000-0000C59D0000}"/>
    <cellStyle name="Wrap Bold 2 2 2 4 4" xfId="37253" xr:uid="{00000000-0005-0000-0000-0000C69D0000}"/>
    <cellStyle name="Wrap Bold 2 2 2 4 4 2" xfId="37254" xr:uid="{00000000-0005-0000-0000-0000C79D0000}"/>
    <cellStyle name="Wrap Bold 2 2 2 4 5" xfId="37255" xr:uid="{00000000-0005-0000-0000-0000C89D0000}"/>
    <cellStyle name="Wrap Bold 2 2 2 4 5 2" xfId="37256" xr:uid="{00000000-0005-0000-0000-0000C99D0000}"/>
    <cellStyle name="Wrap Bold 2 2 2 4 6" xfId="37257" xr:uid="{00000000-0005-0000-0000-0000CA9D0000}"/>
    <cellStyle name="Wrap Bold 2 2 2 4 6 2" xfId="37258" xr:uid="{00000000-0005-0000-0000-0000CB9D0000}"/>
    <cellStyle name="Wrap Bold 2 2 2 4 7" xfId="37259" xr:uid="{00000000-0005-0000-0000-0000CC9D0000}"/>
    <cellStyle name="Wrap Bold 2 2 2 4 7 2" xfId="37260" xr:uid="{00000000-0005-0000-0000-0000CD9D0000}"/>
    <cellStyle name="Wrap Bold 2 2 2 4 8" xfId="37261" xr:uid="{00000000-0005-0000-0000-0000CE9D0000}"/>
    <cellStyle name="Wrap Bold 2 2 2 4 8 2" xfId="37262" xr:uid="{00000000-0005-0000-0000-0000CF9D0000}"/>
    <cellStyle name="Wrap Bold 2 2 2 4 9" xfId="37263" xr:uid="{00000000-0005-0000-0000-0000D09D0000}"/>
    <cellStyle name="Wrap Bold 2 2 2 4 9 2" xfId="37264" xr:uid="{00000000-0005-0000-0000-0000D19D0000}"/>
    <cellStyle name="Wrap Bold 2 2 2 5" xfId="37265" xr:uid="{00000000-0005-0000-0000-0000D29D0000}"/>
    <cellStyle name="Wrap Bold 2 2 2 5 10" xfId="37266" xr:uid="{00000000-0005-0000-0000-0000D39D0000}"/>
    <cellStyle name="Wrap Bold 2 2 2 5 2" xfId="37267" xr:uid="{00000000-0005-0000-0000-0000D49D0000}"/>
    <cellStyle name="Wrap Bold 2 2 2 5 2 2" xfId="37268" xr:uid="{00000000-0005-0000-0000-0000D59D0000}"/>
    <cellStyle name="Wrap Bold 2 2 2 5 3" xfId="37269" xr:uid="{00000000-0005-0000-0000-0000D69D0000}"/>
    <cellStyle name="Wrap Bold 2 2 2 5 3 2" xfId="37270" xr:uid="{00000000-0005-0000-0000-0000D79D0000}"/>
    <cellStyle name="Wrap Bold 2 2 2 5 4" xfId="37271" xr:uid="{00000000-0005-0000-0000-0000D89D0000}"/>
    <cellStyle name="Wrap Bold 2 2 2 5 4 2" xfId="37272" xr:uid="{00000000-0005-0000-0000-0000D99D0000}"/>
    <cellStyle name="Wrap Bold 2 2 2 5 5" xfId="37273" xr:uid="{00000000-0005-0000-0000-0000DA9D0000}"/>
    <cellStyle name="Wrap Bold 2 2 2 5 5 2" xfId="37274" xr:uid="{00000000-0005-0000-0000-0000DB9D0000}"/>
    <cellStyle name="Wrap Bold 2 2 2 5 6" xfId="37275" xr:uid="{00000000-0005-0000-0000-0000DC9D0000}"/>
    <cellStyle name="Wrap Bold 2 2 2 5 6 2" xfId="37276" xr:uid="{00000000-0005-0000-0000-0000DD9D0000}"/>
    <cellStyle name="Wrap Bold 2 2 2 5 7" xfId="37277" xr:uid="{00000000-0005-0000-0000-0000DE9D0000}"/>
    <cellStyle name="Wrap Bold 2 2 2 5 7 2" xfId="37278" xr:uid="{00000000-0005-0000-0000-0000DF9D0000}"/>
    <cellStyle name="Wrap Bold 2 2 2 5 8" xfId="37279" xr:uid="{00000000-0005-0000-0000-0000E09D0000}"/>
    <cellStyle name="Wrap Bold 2 2 2 5 8 2" xfId="37280" xr:uid="{00000000-0005-0000-0000-0000E19D0000}"/>
    <cellStyle name="Wrap Bold 2 2 2 5 9" xfId="37281" xr:uid="{00000000-0005-0000-0000-0000E29D0000}"/>
    <cellStyle name="Wrap Bold 2 2 2 5 9 2" xfId="37282" xr:uid="{00000000-0005-0000-0000-0000E39D0000}"/>
    <cellStyle name="Wrap Bold 2 2 2 6" xfId="37283" xr:uid="{00000000-0005-0000-0000-0000E49D0000}"/>
    <cellStyle name="Wrap Bold 2 2 2 6 10" xfId="37284" xr:uid="{00000000-0005-0000-0000-0000E59D0000}"/>
    <cellStyle name="Wrap Bold 2 2 2 6 2" xfId="37285" xr:uid="{00000000-0005-0000-0000-0000E69D0000}"/>
    <cellStyle name="Wrap Bold 2 2 2 6 2 2" xfId="37286" xr:uid="{00000000-0005-0000-0000-0000E79D0000}"/>
    <cellStyle name="Wrap Bold 2 2 2 6 3" xfId="37287" xr:uid="{00000000-0005-0000-0000-0000E89D0000}"/>
    <cellStyle name="Wrap Bold 2 2 2 6 3 2" xfId="37288" xr:uid="{00000000-0005-0000-0000-0000E99D0000}"/>
    <cellStyle name="Wrap Bold 2 2 2 6 4" xfId="37289" xr:uid="{00000000-0005-0000-0000-0000EA9D0000}"/>
    <cellStyle name="Wrap Bold 2 2 2 6 4 2" xfId="37290" xr:uid="{00000000-0005-0000-0000-0000EB9D0000}"/>
    <cellStyle name="Wrap Bold 2 2 2 6 5" xfId="37291" xr:uid="{00000000-0005-0000-0000-0000EC9D0000}"/>
    <cellStyle name="Wrap Bold 2 2 2 6 5 2" xfId="37292" xr:uid="{00000000-0005-0000-0000-0000ED9D0000}"/>
    <cellStyle name="Wrap Bold 2 2 2 6 6" xfId="37293" xr:uid="{00000000-0005-0000-0000-0000EE9D0000}"/>
    <cellStyle name="Wrap Bold 2 2 2 6 6 2" xfId="37294" xr:uid="{00000000-0005-0000-0000-0000EF9D0000}"/>
    <cellStyle name="Wrap Bold 2 2 2 6 7" xfId="37295" xr:uid="{00000000-0005-0000-0000-0000F09D0000}"/>
    <cellStyle name="Wrap Bold 2 2 2 6 7 2" xfId="37296" xr:uid="{00000000-0005-0000-0000-0000F19D0000}"/>
    <cellStyle name="Wrap Bold 2 2 2 6 8" xfId="37297" xr:uid="{00000000-0005-0000-0000-0000F29D0000}"/>
    <cellStyle name="Wrap Bold 2 2 2 6 8 2" xfId="37298" xr:uid="{00000000-0005-0000-0000-0000F39D0000}"/>
    <cellStyle name="Wrap Bold 2 2 2 6 9" xfId="37299" xr:uid="{00000000-0005-0000-0000-0000F49D0000}"/>
    <cellStyle name="Wrap Bold 2 2 2 6 9 2" xfId="37300" xr:uid="{00000000-0005-0000-0000-0000F59D0000}"/>
    <cellStyle name="Wrap Bold 2 2 2 7" xfId="37301" xr:uid="{00000000-0005-0000-0000-0000F69D0000}"/>
    <cellStyle name="Wrap Bold 2 2 2 7 10" xfId="37302" xr:uid="{00000000-0005-0000-0000-0000F79D0000}"/>
    <cellStyle name="Wrap Bold 2 2 2 7 2" xfId="37303" xr:uid="{00000000-0005-0000-0000-0000F89D0000}"/>
    <cellStyle name="Wrap Bold 2 2 2 7 2 2" xfId="37304" xr:uid="{00000000-0005-0000-0000-0000F99D0000}"/>
    <cellStyle name="Wrap Bold 2 2 2 7 3" xfId="37305" xr:uid="{00000000-0005-0000-0000-0000FA9D0000}"/>
    <cellStyle name="Wrap Bold 2 2 2 7 3 2" xfId="37306" xr:uid="{00000000-0005-0000-0000-0000FB9D0000}"/>
    <cellStyle name="Wrap Bold 2 2 2 7 4" xfId="37307" xr:uid="{00000000-0005-0000-0000-0000FC9D0000}"/>
    <cellStyle name="Wrap Bold 2 2 2 7 4 2" xfId="37308" xr:uid="{00000000-0005-0000-0000-0000FD9D0000}"/>
    <cellStyle name="Wrap Bold 2 2 2 7 5" xfId="37309" xr:uid="{00000000-0005-0000-0000-0000FE9D0000}"/>
    <cellStyle name="Wrap Bold 2 2 2 7 5 2" xfId="37310" xr:uid="{00000000-0005-0000-0000-0000FF9D0000}"/>
    <cellStyle name="Wrap Bold 2 2 2 7 6" xfId="37311" xr:uid="{00000000-0005-0000-0000-0000009E0000}"/>
    <cellStyle name="Wrap Bold 2 2 2 7 6 2" xfId="37312" xr:uid="{00000000-0005-0000-0000-0000019E0000}"/>
    <cellStyle name="Wrap Bold 2 2 2 7 7" xfId="37313" xr:uid="{00000000-0005-0000-0000-0000029E0000}"/>
    <cellStyle name="Wrap Bold 2 2 2 7 7 2" xfId="37314" xr:uid="{00000000-0005-0000-0000-0000039E0000}"/>
    <cellStyle name="Wrap Bold 2 2 2 7 8" xfId="37315" xr:uid="{00000000-0005-0000-0000-0000049E0000}"/>
    <cellStyle name="Wrap Bold 2 2 2 7 8 2" xfId="37316" xr:uid="{00000000-0005-0000-0000-0000059E0000}"/>
    <cellStyle name="Wrap Bold 2 2 2 7 9" xfId="37317" xr:uid="{00000000-0005-0000-0000-0000069E0000}"/>
    <cellStyle name="Wrap Bold 2 2 2 7 9 2" xfId="37318" xr:uid="{00000000-0005-0000-0000-0000079E0000}"/>
    <cellStyle name="Wrap Bold 2 2 2 8" xfId="37319" xr:uid="{00000000-0005-0000-0000-0000089E0000}"/>
    <cellStyle name="Wrap Bold 2 2 2 8 10" xfId="37320" xr:uid="{00000000-0005-0000-0000-0000099E0000}"/>
    <cellStyle name="Wrap Bold 2 2 2 8 2" xfId="37321" xr:uid="{00000000-0005-0000-0000-00000A9E0000}"/>
    <cellStyle name="Wrap Bold 2 2 2 8 2 2" xfId="37322" xr:uid="{00000000-0005-0000-0000-00000B9E0000}"/>
    <cellStyle name="Wrap Bold 2 2 2 8 3" xfId="37323" xr:uid="{00000000-0005-0000-0000-00000C9E0000}"/>
    <cellStyle name="Wrap Bold 2 2 2 8 3 2" xfId="37324" xr:uid="{00000000-0005-0000-0000-00000D9E0000}"/>
    <cellStyle name="Wrap Bold 2 2 2 8 4" xfId="37325" xr:uid="{00000000-0005-0000-0000-00000E9E0000}"/>
    <cellStyle name="Wrap Bold 2 2 2 8 4 2" xfId="37326" xr:uid="{00000000-0005-0000-0000-00000F9E0000}"/>
    <cellStyle name="Wrap Bold 2 2 2 8 5" xfId="37327" xr:uid="{00000000-0005-0000-0000-0000109E0000}"/>
    <cellStyle name="Wrap Bold 2 2 2 8 5 2" xfId="37328" xr:uid="{00000000-0005-0000-0000-0000119E0000}"/>
    <cellStyle name="Wrap Bold 2 2 2 8 6" xfId="37329" xr:uid="{00000000-0005-0000-0000-0000129E0000}"/>
    <cellStyle name="Wrap Bold 2 2 2 8 6 2" xfId="37330" xr:uid="{00000000-0005-0000-0000-0000139E0000}"/>
    <cellStyle name="Wrap Bold 2 2 2 8 7" xfId="37331" xr:uid="{00000000-0005-0000-0000-0000149E0000}"/>
    <cellStyle name="Wrap Bold 2 2 2 8 7 2" xfId="37332" xr:uid="{00000000-0005-0000-0000-0000159E0000}"/>
    <cellStyle name="Wrap Bold 2 2 2 8 8" xfId="37333" xr:uid="{00000000-0005-0000-0000-0000169E0000}"/>
    <cellStyle name="Wrap Bold 2 2 2 8 8 2" xfId="37334" xr:uid="{00000000-0005-0000-0000-0000179E0000}"/>
    <cellStyle name="Wrap Bold 2 2 2 8 9" xfId="37335" xr:uid="{00000000-0005-0000-0000-0000189E0000}"/>
    <cellStyle name="Wrap Bold 2 2 2 8 9 2" xfId="37336" xr:uid="{00000000-0005-0000-0000-0000199E0000}"/>
    <cellStyle name="Wrap Bold 2 2 2 9" xfId="37337" xr:uid="{00000000-0005-0000-0000-00001A9E0000}"/>
    <cellStyle name="Wrap Bold 2 2 2 9 10" xfId="37338" xr:uid="{00000000-0005-0000-0000-00001B9E0000}"/>
    <cellStyle name="Wrap Bold 2 2 2 9 2" xfId="37339" xr:uid="{00000000-0005-0000-0000-00001C9E0000}"/>
    <cellStyle name="Wrap Bold 2 2 2 9 2 2" xfId="37340" xr:uid="{00000000-0005-0000-0000-00001D9E0000}"/>
    <cellStyle name="Wrap Bold 2 2 2 9 3" xfId="37341" xr:uid="{00000000-0005-0000-0000-00001E9E0000}"/>
    <cellStyle name="Wrap Bold 2 2 2 9 3 2" xfId="37342" xr:uid="{00000000-0005-0000-0000-00001F9E0000}"/>
    <cellStyle name="Wrap Bold 2 2 2 9 4" xfId="37343" xr:uid="{00000000-0005-0000-0000-0000209E0000}"/>
    <cellStyle name="Wrap Bold 2 2 2 9 4 2" xfId="37344" xr:uid="{00000000-0005-0000-0000-0000219E0000}"/>
    <cellStyle name="Wrap Bold 2 2 2 9 5" xfId="37345" xr:uid="{00000000-0005-0000-0000-0000229E0000}"/>
    <cellStyle name="Wrap Bold 2 2 2 9 5 2" xfId="37346" xr:uid="{00000000-0005-0000-0000-0000239E0000}"/>
    <cellStyle name="Wrap Bold 2 2 2 9 6" xfId="37347" xr:uid="{00000000-0005-0000-0000-0000249E0000}"/>
    <cellStyle name="Wrap Bold 2 2 2 9 6 2" xfId="37348" xr:uid="{00000000-0005-0000-0000-0000259E0000}"/>
    <cellStyle name="Wrap Bold 2 2 2 9 7" xfId="37349" xr:uid="{00000000-0005-0000-0000-0000269E0000}"/>
    <cellStyle name="Wrap Bold 2 2 2 9 7 2" xfId="37350" xr:uid="{00000000-0005-0000-0000-0000279E0000}"/>
    <cellStyle name="Wrap Bold 2 2 2 9 8" xfId="37351" xr:uid="{00000000-0005-0000-0000-0000289E0000}"/>
    <cellStyle name="Wrap Bold 2 2 2 9 8 2" xfId="37352" xr:uid="{00000000-0005-0000-0000-0000299E0000}"/>
    <cellStyle name="Wrap Bold 2 2 2 9 9" xfId="37353" xr:uid="{00000000-0005-0000-0000-00002A9E0000}"/>
    <cellStyle name="Wrap Bold 2 2 2 9 9 2" xfId="37354" xr:uid="{00000000-0005-0000-0000-00002B9E0000}"/>
    <cellStyle name="Wrap Bold 2 2 3" xfId="37355" xr:uid="{00000000-0005-0000-0000-00002C9E0000}"/>
    <cellStyle name="Wrap Bold 2 2 3 10" xfId="37356" xr:uid="{00000000-0005-0000-0000-00002D9E0000}"/>
    <cellStyle name="Wrap Bold 2 2 3 10 10" xfId="37357" xr:uid="{00000000-0005-0000-0000-00002E9E0000}"/>
    <cellStyle name="Wrap Bold 2 2 3 10 2" xfId="37358" xr:uid="{00000000-0005-0000-0000-00002F9E0000}"/>
    <cellStyle name="Wrap Bold 2 2 3 10 2 2" xfId="37359" xr:uid="{00000000-0005-0000-0000-0000309E0000}"/>
    <cellStyle name="Wrap Bold 2 2 3 10 3" xfId="37360" xr:uid="{00000000-0005-0000-0000-0000319E0000}"/>
    <cellStyle name="Wrap Bold 2 2 3 10 3 2" xfId="37361" xr:uid="{00000000-0005-0000-0000-0000329E0000}"/>
    <cellStyle name="Wrap Bold 2 2 3 10 4" xfId="37362" xr:uid="{00000000-0005-0000-0000-0000339E0000}"/>
    <cellStyle name="Wrap Bold 2 2 3 10 4 2" xfId="37363" xr:uid="{00000000-0005-0000-0000-0000349E0000}"/>
    <cellStyle name="Wrap Bold 2 2 3 10 5" xfId="37364" xr:uid="{00000000-0005-0000-0000-0000359E0000}"/>
    <cellStyle name="Wrap Bold 2 2 3 10 5 2" xfId="37365" xr:uid="{00000000-0005-0000-0000-0000369E0000}"/>
    <cellStyle name="Wrap Bold 2 2 3 10 6" xfId="37366" xr:uid="{00000000-0005-0000-0000-0000379E0000}"/>
    <cellStyle name="Wrap Bold 2 2 3 10 6 2" xfId="37367" xr:uid="{00000000-0005-0000-0000-0000389E0000}"/>
    <cellStyle name="Wrap Bold 2 2 3 10 7" xfId="37368" xr:uid="{00000000-0005-0000-0000-0000399E0000}"/>
    <cellStyle name="Wrap Bold 2 2 3 10 7 2" xfId="37369" xr:uid="{00000000-0005-0000-0000-00003A9E0000}"/>
    <cellStyle name="Wrap Bold 2 2 3 10 8" xfId="37370" xr:uid="{00000000-0005-0000-0000-00003B9E0000}"/>
    <cellStyle name="Wrap Bold 2 2 3 10 8 2" xfId="37371" xr:uid="{00000000-0005-0000-0000-00003C9E0000}"/>
    <cellStyle name="Wrap Bold 2 2 3 10 9" xfId="37372" xr:uid="{00000000-0005-0000-0000-00003D9E0000}"/>
    <cellStyle name="Wrap Bold 2 2 3 10 9 2" xfId="37373" xr:uid="{00000000-0005-0000-0000-00003E9E0000}"/>
    <cellStyle name="Wrap Bold 2 2 3 11" xfId="37374" xr:uid="{00000000-0005-0000-0000-00003F9E0000}"/>
    <cellStyle name="Wrap Bold 2 2 3 11 2" xfId="37375" xr:uid="{00000000-0005-0000-0000-0000409E0000}"/>
    <cellStyle name="Wrap Bold 2 2 3 11 2 2" xfId="37376" xr:uid="{00000000-0005-0000-0000-0000419E0000}"/>
    <cellStyle name="Wrap Bold 2 2 3 11 3" xfId="37377" xr:uid="{00000000-0005-0000-0000-0000429E0000}"/>
    <cellStyle name="Wrap Bold 2 2 3 11 3 2" xfId="37378" xr:uid="{00000000-0005-0000-0000-0000439E0000}"/>
    <cellStyle name="Wrap Bold 2 2 3 11 4" xfId="37379" xr:uid="{00000000-0005-0000-0000-0000449E0000}"/>
    <cellStyle name="Wrap Bold 2 2 3 11 4 2" xfId="37380" xr:uid="{00000000-0005-0000-0000-0000459E0000}"/>
    <cellStyle name="Wrap Bold 2 2 3 11 5" xfId="37381" xr:uid="{00000000-0005-0000-0000-0000469E0000}"/>
    <cellStyle name="Wrap Bold 2 2 3 11 5 2" xfId="37382" xr:uid="{00000000-0005-0000-0000-0000479E0000}"/>
    <cellStyle name="Wrap Bold 2 2 3 11 6" xfId="37383" xr:uid="{00000000-0005-0000-0000-0000489E0000}"/>
    <cellStyle name="Wrap Bold 2 2 3 11 6 2" xfId="37384" xr:uid="{00000000-0005-0000-0000-0000499E0000}"/>
    <cellStyle name="Wrap Bold 2 2 3 11 7" xfId="37385" xr:uid="{00000000-0005-0000-0000-00004A9E0000}"/>
    <cellStyle name="Wrap Bold 2 2 3 11 7 2" xfId="37386" xr:uid="{00000000-0005-0000-0000-00004B9E0000}"/>
    <cellStyle name="Wrap Bold 2 2 3 11 8" xfId="37387" xr:uid="{00000000-0005-0000-0000-00004C9E0000}"/>
    <cellStyle name="Wrap Bold 2 2 3 11 8 2" xfId="37388" xr:uid="{00000000-0005-0000-0000-00004D9E0000}"/>
    <cellStyle name="Wrap Bold 2 2 3 11 9" xfId="37389" xr:uid="{00000000-0005-0000-0000-00004E9E0000}"/>
    <cellStyle name="Wrap Bold 2 2 3 2" xfId="37390" xr:uid="{00000000-0005-0000-0000-00004F9E0000}"/>
    <cellStyle name="Wrap Bold 2 2 3 2 10" xfId="37391" xr:uid="{00000000-0005-0000-0000-0000509E0000}"/>
    <cellStyle name="Wrap Bold 2 2 3 2 2" xfId="37392" xr:uid="{00000000-0005-0000-0000-0000519E0000}"/>
    <cellStyle name="Wrap Bold 2 2 3 2 2 2" xfId="37393" xr:uid="{00000000-0005-0000-0000-0000529E0000}"/>
    <cellStyle name="Wrap Bold 2 2 3 2 3" xfId="37394" xr:uid="{00000000-0005-0000-0000-0000539E0000}"/>
    <cellStyle name="Wrap Bold 2 2 3 2 3 2" xfId="37395" xr:uid="{00000000-0005-0000-0000-0000549E0000}"/>
    <cellStyle name="Wrap Bold 2 2 3 2 4" xfId="37396" xr:uid="{00000000-0005-0000-0000-0000559E0000}"/>
    <cellStyle name="Wrap Bold 2 2 3 2 4 2" xfId="37397" xr:uid="{00000000-0005-0000-0000-0000569E0000}"/>
    <cellStyle name="Wrap Bold 2 2 3 2 5" xfId="37398" xr:uid="{00000000-0005-0000-0000-0000579E0000}"/>
    <cellStyle name="Wrap Bold 2 2 3 2 5 2" xfId="37399" xr:uid="{00000000-0005-0000-0000-0000589E0000}"/>
    <cellStyle name="Wrap Bold 2 2 3 2 6" xfId="37400" xr:uid="{00000000-0005-0000-0000-0000599E0000}"/>
    <cellStyle name="Wrap Bold 2 2 3 2 6 2" xfId="37401" xr:uid="{00000000-0005-0000-0000-00005A9E0000}"/>
    <cellStyle name="Wrap Bold 2 2 3 2 7" xfId="37402" xr:uid="{00000000-0005-0000-0000-00005B9E0000}"/>
    <cellStyle name="Wrap Bold 2 2 3 2 7 2" xfId="37403" xr:uid="{00000000-0005-0000-0000-00005C9E0000}"/>
    <cellStyle name="Wrap Bold 2 2 3 2 8" xfId="37404" xr:uid="{00000000-0005-0000-0000-00005D9E0000}"/>
    <cellStyle name="Wrap Bold 2 2 3 2 8 2" xfId="37405" xr:uid="{00000000-0005-0000-0000-00005E9E0000}"/>
    <cellStyle name="Wrap Bold 2 2 3 2 9" xfId="37406" xr:uid="{00000000-0005-0000-0000-00005F9E0000}"/>
    <cellStyle name="Wrap Bold 2 2 3 2 9 2" xfId="37407" xr:uid="{00000000-0005-0000-0000-0000609E0000}"/>
    <cellStyle name="Wrap Bold 2 2 3 3" xfId="37408" xr:uid="{00000000-0005-0000-0000-0000619E0000}"/>
    <cellStyle name="Wrap Bold 2 2 3 3 10" xfId="37409" xr:uid="{00000000-0005-0000-0000-0000629E0000}"/>
    <cellStyle name="Wrap Bold 2 2 3 3 2" xfId="37410" xr:uid="{00000000-0005-0000-0000-0000639E0000}"/>
    <cellStyle name="Wrap Bold 2 2 3 3 2 2" xfId="37411" xr:uid="{00000000-0005-0000-0000-0000649E0000}"/>
    <cellStyle name="Wrap Bold 2 2 3 3 3" xfId="37412" xr:uid="{00000000-0005-0000-0000-0000659E0000}"/>
    <cellStyle name="Wrap Bold 2 2 3 3 3 2" xfId="37413" xr:uid="{00000000-0005-0000-0000-0000669E0000}"/>
    <cellStyle name="Wrap Bold 2 2 3 3 4" xfId="37414" xr:uid="{00000000-0005-0000-0000-0000679E0000}"/>
    <cellStyle name="Wrap Bold 2 2 3 3 4 2" xfId="37415" xr:uid="{00000000-0005-0000-0000-0000689E0000}"/>
    <cellStyle name="Wrap Bold 2 2 3 3 5" xfId="37416" xr:uid="{00000000-0005-0000-0000-0000699E0000}"/>
    <cellStyle name="Wrap Bold 2 2 3 3 5 2" xfId="37417" xr:uid="{00000000-0005-0000-0000-00006A9E0000}"/>
    <cellStyle name="Wrap Bold 2 2 3 3 6" xfId="37418" xr:uid="{00000000-0005-0000-0000-00006B9E0000}"/>
    <cellStyle name="Wrap Bold 2 2 3 3 6 2" xfId="37419" xr:uid="{00000000-0005-0000-0000-00006C9E0000}"/>
    <cellStyle name="Wrap Bold 2 2 3 3 7" xfId="37420" xr:uid="{00000000-0005-0000-0000-00006D9E0000}"/>
    <cellStyle name="Wrap Bold 2 2 3 3 7 2" xfId="37421" xr:uid="{00000000-0005-0000-0000-00006E9E0000}"/>
    <cellStyle name="Wrap Bold 2 2 3 3 8" xfId="37422" xr:uid="{00000000-0005-0000-0000-00006F9E0000}"/>
    <cellStyle name="Wrap Bold 2 2 3 3 8 2" xfId="37423" xr:uid="{00000000-0005-0000-0000-0000709E0000}"/>
    <cellStyle name="Wrap Bold 2 2 3 3 9" xfId="37424" xr:uid="{00000000-0005-0000-0000-0000719E0000}"/>
    <cellStyle name="Wrap Bold 2 2 3 3 9 2" xfId="37425" xr:uid="{00000000-0005-0000-0000-0000729E0000}"/>
    <cellStyle name="Wrap Bold 2 2 3 4" xfId="37426" xr:uid="{00000000-0005-0000-0000-0000739E0000}"/>
    <cellStyle name="Wrap Bold 2 2 3 4 10" xfId="37427" xr:uid="{00000000-0005-0000-0000-0000749E0000}"/>
    <cellStyle name="Wrap Bold 2 2 3 4 2" xfId="37428" xr:uid="{00000000-0005-0000-0000-0000759E0000}"/>
    <cellStyle name="Wrap Bold 2 2 3 4 2 2" xfId="37429" xr:uid="{00000000-0005-0000-0000-0000769E0000}"/>
    <cellStyle name="Wrap Bold 2 2 3 4 3" xfId="37430" xr:uid="{00000000-0005-0000-0000-0000779E0000}"/>
    <cellStyle name="Wrap Bold 2 2 3 4 3 2" xfId="37431" xr:uid="{00000000-0005-0000-0000-0000789E0000}"/>
    <cellStyle name="Wrap Bold 2 2 3 4 4" xfId="37432" xr:uid="{00000000-0005-0000-0000-0000799E0000}"/>
    <cellStyle name="Wrap Bold 2 2 3 4 4 2" xfId="37433" xr:uid="{00000000-0005-0000-0000-00007A9E0000}"/>
    <cellStyle name="Wrap Bold 2 2 3 4 5" xfId="37434" xr:uid="{00000000-0005-0000-0000-00007B9E0000}"/>
    <cellStyle name="Wrap Bold 2 2 3 4 5 2" xfId="37435" xr:uid="{00000000-0005-0000-0000-00007C9E0000}"/>
    <cellStyle name="Wrap Bold 2 2 3 4 6" xfId="37436" xr:uid="{00000000-0005-0000-0000-00007D9E0000}"/>
    <cellStyle name="Wrap Bold 2 2 3 4 6 2" xfId="37437" xr:uid="{00000000-0005-0000-0000-00007E9E0000}"/>
    <cellStyle name="Wrap Bold 2 2 3 4 7" xfId="37438" xr:uid="{00000000-0005-0000-0000-00007F9E0000}"/>
    <cellStyle name="Wrap Bold 2 2 3 4 7 2" xfId="37439" xr:uid="{00000000-0005-0000-0000-0000809E0000}"/>
    <cellStyle name="Wrap Bold 2 2 3 4 8" xfId="37440" xr:uid="{00000000-0005-0000-0000-0000819E0000}"/>
    <cellStyle name="Wrap Bold 2 2 3 4 8 2" xfId="37441" xr:uid="{00000000-0005-0000-0000-0000829E0000}"/>
    <cellStyle name="Wrap Bold 2 2 3 4 9" xfId="37442" xr:uid="{00000000-0005-0000-0000-0000839E0000}"/>
    <cellStyle name="Wrap Bold 2 2 3 4 9 2" xfId="37443" xr:uid="{00000000-0005-0000-0000-0000849E0000}"/>
    <cellStyle name="Wrap Bold 2 2 3 5" xfId="37444" xr:uid="{00000000-0005-0000-0000-0000859E0000}"/>
    <cellStyle name="Wrap Bold 2 2 3 5 10" xfId="37445" xr:uid="{00000000-0005-0000-0000-0000869E0000}"/>
    <cellStyle name="Wrap Bold 2 2 3 5 2" xfId="37446" xr:uid="{00000000-0005-0000-0000-0000879E0000}"/>
    <cellStyle name="Wrap Bold 2 2 3 5 2 2" xfId="37447" xr:uid="{00000000-0005-0000-0000-0000889E0000}"/>
    <cellStyle name="Wrap Bold 2 2 3 5 3" xfId="37448" xr:uid="{00000000-0005-0000-0000-0000899E0000}"/>
    <cellStyle name="Wrap Bold 2 2 3 5 3 2" xfId="37449" xr:uid="{00000000-0005-0000-0000-00008A9E0000}"/>
    <cellStyle name="Wrap Bold 2 2 3 5 4" xfId="37450" xr:uid="{00000000-0005-0000-0000-00008B9E0000}"/>
    <cellStyle name="Wrap Bold 2 2 3 5 4 2" xfId="37451" xr:uid="{00000000-0005-0000-0000-00008C9E0000}"/>
    <cellStyle name="Wrap Bold 2 2 3 5 5" xfId="37452" xr:uid="{00000000-0005-0000-0000-00008D9E0000}"/>
    <cellStyle name="Wrap Bold 2 2 3 5 5 2" xfId="37453" xr:uid="{00000000-0005-0000-0000-00008E9E0000}"/>
    <cellStyle name="Wrap Bold 2 2 3 5 6" xfId="37454" xr:uid="{00000000-0005-0000-0000-00008F9E0000}"/>
    <cellStyle name="Wrap Bold 2 2 3 5 6 2" xfId="37455" xr:uid="{00000000-0005-0000-0000-0000909E0000}"/>
    <cellStyle name="Wrap Bold 2 2 3 5 7" xfId="37456" xr:uid="{00000000-0005-0000-0000-0000919E0000}"/>
    <cellStyle name="Wrap Bold 2 2 3 5 7 2" xfId="37457" xr:uid="{00000000-0005-0000-0000-0000929E0000}"/>
    <cellStyle name="Wrap Bold 2 2 3 5 8" xfId="37458" xr:uid="{00000000-0005-0000-0000-0000939E0000}"/>
    <cellStyle name="Wrap Bold 2 2 3 5 8 2" xfId="37459" xr:uid="{00000000-0005-0000-0000-0000949E0000}"/>
    <cellStyle name="Wrap Bold 2 2 3 5 9" xfId="37460" xr:uid="{00000000-0005-0000-0000-0000959E0000}"/>
    <cellStyle name="Wrap Bold 2 2 3 5 9 2" xfId="37461" xr:uid="{00000000-0005-0000-0000-0000969E0000}"/>
    <cellStyle name="Wrap Bold 2 2 3 6" xfId="37462" xr:uid="{00000000-0005-0000-0000-0000979E0000}"/>
    <cellStyle name="Wrap Bold 2 2 3 6 10" xfId="37463" xr:uid="{00000000-0005-0000-0000-0000989E0000}"/>
    <cellStyle name="Wrap Bold 2 2 3 6 2" xfId="37464" xr:uid="{00000000-0005-0000-0000-0000999E0000}"/>
    <cellStyle name="Wrap Bold 2 2 3 6 2 2" xfId="37465" xr:uid="{00000000-0005-0000-0000-00009A9E0000}"/>
    <cellStyle name="Wrap Bold 2 2 3 6 3" xfId="37466" xr:uid="{00000000-0005-0000-0000-00009B9E0000}"/>
    <cellStyle name="Wrap Bold 2 2 3 6 3 2" xfId="37467" xr:uid="{00000000-0005-0000-0000-00009C9E0000}"/>
    <cellStyle name="Wrap Bold 2 2 3 6 4" xfId="37468" xr:uid="{00000000-0005-0000-0000-00009D9E0000}"/>
    <cellStyle name="Wrap Bold 2 2 3 6 4 2" xfId="37469" xr:uid="{00000000-0005-0000-0000-00009E9E0000}"/>
    <cellStyle name="Wrap Bold 2 2 3 6 5" xfId="37470" xr:uid="{00000000-0005-0000-0000-00009F9E0000}"/>
    <cellStyle name="Wrap Bold 2 2 3 6 5 2" xfId="37471" xr:uid="{00000000-0005-0000-0000-0000A09E0000}"/>
    <cellStyle name="Wrap Bold 2 2 3 6 6" xfId="37472" xr:uid="{00000000-0005-0000-0000-0000A19E0000}"/>
    <cellStyle name="Wrap Bold 2 2 3 6 6 2" xfId="37473" xr:uid="{00000000-0005-0000-0000-0000A29E0000}"/>
    <cellStyle name="Wrap Bold 2 2 3 6 7" xfId="37474" xr:uid="{00000000-0005-0000-0000-0000A39E0000}"/>
    <cellStyle name="Wrap Bold 2 2 3 6 7 2" xfId="37475" xr:uid="{00000000-0005-0000-0000-0000A49E0000}"/>
    <cellStyle name="Wrap Bold 2 2 3 6 8" xfId="37476" xr:uid="{00000000-0005-0000-0000-0000A59E0000}"/>
    <cellStyle name="Wrap Bold 2 2 3 6 8 2" xfId="37477" xr:uid="{00000000-0005-0000-0000-0000A69E0000}"/>
    <cellStyle name="Wrap Bold 2 2 3 6 9" xfId="37478" xr:uid="{00000000-0005-0000-0000-0000A79E0000}"/>
    <cellStyle name="Wrap Bold 2 2 3 6 9 2" xfId="37479" xr:uid="{00000000-0005-0000-0000-0000A89E0000}"/>
    <cellStyle name="Wrap Bold 2 2 3 7" xfId="37480" xr:uid="{00000000-0005-0000-0000-0000A99E0000}"/>
    <cellStyle name="Wrap Bold 2 2 3 7 10" xfId="37481" xr:uid="{00000000-0005-0000-0000-0000AA9E0000}"/>
    <cellStyle name="Wrap Bold 2 2 3 7 2" xfId="37482" xr:uid="{00000000-0005-0000-0000-0000AB9E0000}"/>
    <cellStyle name="Wrap Bold 2 2 3 7 2 2" xfId="37483" xr:uid="{00000000-0005-0000-0000-0000AC9E0000}"/>
    <cellStyle name="Wrap Bold 2 2 3 7 3" xfId="37484" xr:uid="{00000000-0005-0000-0000-0000AD9E0000}"/>
    <cellStyle name="Wrap Bold 2 2 3 7 3 2" xfId="37485" xr:uid="{00000000-0005-0000-0000-0000AE9E0000}"/>
    <cellStyle name="Wrap Bold 2 2 3 7 4" xfId="37486" xr:uid="{00000000-0005-0000-0000-0000AF9E0000}"/>
    <cellStyle name="Wrap Bold 2 2 3 7 4 2" xfId="37487" xr:uid="{00000000-0005-0000-0000-0000B09E0000}"/>
    <cellStyle name="Wrap Bold 2 2 3 7 5" xfId="37488" xr:uid="{00000000-0005-0000-0000-0000B19E0000}"/>
    <cellStyle name="Wrap Bold 2 2 3 7 5 2" xfId="37489" xr:uid="{00000000-0005-0000-0000-0000B29E0000}"/>
    <cellStyle name="Wrap Bold 2 2 3 7 6" xfId="37490" xr:uid="{00000000-0005-0000-0000-0000B39E0000}"/>
    <cellStyle name="Wrap Bold 2 2 3 7 6 2" xfId="37491" xr:uid="{00000000-0005-0000-0000-0000B49E0000}"/>
    <cellStyle name="Wrap Bold 2 2 3 7 7" xfId="37492" xr:uid="{00000000-0005-0000-0000-0000B59E0000}"/>
    <cellStyle name="Wrap Bold 2 2 3 7 7 2" xfId="37493" xr:uid="{00000000-0005-0000-0000-0000B69E0000}"/>
    <cellStyle name="Wrap Bold 2 2 3 7 8" xfId="37494" xr:uid="{00000000-0005-0000-0000-0000B79E0000}"/>
    <cellStyle name="Wrap Bold 2 2 3 7 8 2" xfId="37495" xr:uid="{00000000-0005-0000-0000-0000B89E0000}"/>
    <cellStyle name="Wrap Bold 2 2 3 7 9" xfId="37496" xr:uid="{00000000-0005-0000-0000-0000B99E0000}"/>
    <cellStyle name="Wrap Bold 2 2 3 7 9 2" xfId="37497" xr:uid="{00000000-0005-0000-0000-0000BA9E0000}"/>
    <cellStyle name="Wrap Bold 2 2 3 8" xfId="37498" xr:uid="{00000000-0005-0000-0000-0000BB9E0000}"/>
    <cellStyle name="Wrap Bold 2 2 3 8 10" xfId="37499" xr:uid="{00000000-0005-0000-0000-0000BC9E0000}"/>
    <cellStyle name="Wrap Bold 2 2 3 8 2" xfId="37500" xr:uid="{00000000-0005-0000-0000-0000BD9E0000}"/>
    <cellStyle name="Wrap Bold 2 2 3 8 2 2" xfId="37501" xr:uid="{00000000-0005-0000-0000-0000BE9E0000}"/>
    <cellStyle name="Wrap Bold 2 2 3 8 3" xfId="37502" xr:uid="{00000000-0005-0000-0000-0000BF9E0000}"/>
    <cellStyle name="Wrap Bold 2 2 3 8 3 2" xfId="37503" xr:uid="{00000000-0005-0000-0000-0000C09E0000}"/>
    <cellStyle name="Wrap Bold 2 2 3 8 4" xfId="37504" xr:uid="{00000000-0005-0000-0000-0000C19E0000}"/>
    <cellStyle name="Wrap Bold 2 2 3 8 4 2" xfId="37505" xr:uid="{00000000-0005-0000-0000-0000C29E0000}"/>
    <cellStyle name="Wrap Bold 2 2 3 8 5" xfId="37506" xr:uid="{00000000-0005-0000-0000-0000C39E0000}"/>
    <cellStyle name="Wrap Bold 2 2 3 8 5 2" xfId="37507" xr:uid="{00000000-0005-0000-0000-0000C49E0000}"/>
    <cellStyle name="Wrap Bold 2 2 3 8 6" xfId="37508" xr:uid="{00000000-0005-0000-0000-0000C59E0000}"/>
    <cellStyle name="Wrap Bold 2 2 3 8 6 2" xfId="37509" xr:uid="{00000000-0005-0000-0000-0000C69E0000}"/>
    <cellStyle name="Wrap Bold 2 2 3 8 7" xfId="37510" xr:uid="{00000000-0005-0000-0000-0000C79E0000}"/>
    <cellStyle name="Wrap Bold 2 2 3 8 7 2" xfId="37511" xr:uid="{00000000-0005-0000-0000-0000C89E0000}"/>
    <cellStyle name="Wrap Bold 2 2 3 8 8" xfId="37512" xr:uid="{00000000-0005-0000-0000-0000C99E0000}"/>
    <cellStyle name="Wrap Bold 2 2 3 8 8 2" xfId="37513" xr:uid="{00000000-0005-0000-0000-0000CA9E0000}"/>
    <cellStyle name="Wrap Bold 2 2 3 8 9" xfId="37514" xr:uid="{00000000-0005-0000-0000-0000CB9E0000}"/>
    <cellStyle name="Wrap Bold 2 2 3 8 9 2" xfId="37515" xr:uid="{00000000-0005-0000-0000-0000CC9E0000}"/>
    <cellStyle name="Wrap Bold 2 2 3 9" xfId="37516" xr:uid="{00000000-0005-0000-0000-0000CD9E0000}"/>
    <cellStyle name="Wrap Bold 2 2 3 9 10" xfId="37517" xr:uid="{00000000-0005-0000-0000-0000CE9E0000}"/>
    <cellStyle name="Wrap Bold 2 2 3 9 2" xfId="37518" xr:uid="{00000000-0005-0000-0000-0000CF9E0000}"/>
    <cellStyle name="Wrap Bold 2 2 3 9 2 2" xfId="37519" xr:uid="{00000000-0005-0000-0000-0000D09E0000}"/>
    <cellStyle name="Wrap Bold 2 2 3 9 3" xfId="37520" xr:uid="{00000000-0005-0000-0000-0000D19E0000}"/>
    <cellStyle name="Wrap Bold 2 2 3 9 3 2" xfId="37521" xr:uid="{00000000-0005-0000-0000-0000D29E0000}"/>
    <cellStyle name="Wrap Bold 2 2 3 9 4" xfId="37522" xr:uid="{00000000-0005-0000-0000-0000D39E0000}"/>
    <cellStyle name="Wrap Bold 2 2 3 9 4 2" xfId="37523" xr:uid="{00000000-0005-0000-0000-0000D49E0000}"/>
    <cellStyle name="Wrap Bold 2 2 3 9 5" xfId="37524" xr:uid="{00000000-0005-0000-0000-0000D59E0000}"/>
    <cellStyle name="Wrap Bold 2 2 3 9 5 2" xfId="37525" xr:uid="{00000000-0005-0000-0000-0000D69E0000}"/>
    <cellStyle name="Wrap Bold 2 2 3 9 6" xfId="37526" xr:uid="{00000000-0005-0000-0000-0000D79E0000}"/>
    <cellStyle name="Wrap Bold 2 2 3 9 6 2" xfId="37527" xr:uid="{00000000-0005-0000-0000-0000D89E0000}"/>
    <cellStyle name="Wrap Bold 2 2 3 9 7" xfId="37528" xr:uid="{00000000-0005-0000-0000-0000D99E0000}"/>
    <cellStyle name="Wrap Bold 2 2 3 9 7 2" xfId="37529" xr:uid="{00000000-0005-0000-0000-0000DA9E0000}"/>
    <cellStyle name="Wrap Bold 2 2 3 9 8" xfId="37530" xr:uid="{00000000-0005-0000-0000-0000DB9E0000}"/>
    <cellStyle name="Wrap Bold 2 2 3 9 8 2" xfId="37531" xr:uid="{00000000-0005-0000-0000-0000DC9E0000}"/>
    <cellStyle name="Wrap Bold 2 2 3 9 9" xfId="37532" xr:uid="{00000000-0005-0000-0000-0000DD9E0000}"/>
    <cellStyle name="Wrap Bold 2 2 3 9 9 2" xfId="37533" xr:uid="{00000000-0005-0000-0000-0000DE9E0000}"/>
    <cellStyle name="Wrap Bold 2 2 4" xfId="37534" xr:uid="{00000000-0005-0000-0000-0000DF9E0000}"/>
    <cellStyle name="Wrap Bold 2 2 4 10" xfId="37535" xr:uid="{00000000-0005-0000-0000-0000E09E0000}"/>
    <cellStyle name="Wrap Bold 2 2 4 10 2" xfId="37536" xr:uid="{00000000-0005-0000-0000-0000E19E0000}"/>
    <cellStyle name="Wrap Bold 2 2 4 10 2 2" xfId="37537" xr:uid="{00000000-0005-0000-0000-0000E29E0000}"/>
    <cellStyle name="Wrap Bold 2 2 4 10 3" xfId="37538" xr:uid="{00000000-0005-0000-0000-0000E39E0000}"/>
    <cellStyle name="Wrap Bold 2 2 4 10 3 2" xfId="37539" xr:uid="{00000000-0005-0000-0000-0000E49E0000}"/>
    <cellStyle name="Wrap Bold 2 2 4 10 4" xfId="37540" xr:uid="{00000000-0005-0000-0000-0000E59E0000}"/>
    <cellStyle name="Wrap Bold 2 2 4 10 4 2" xfId="37541" xr:uid="{00000000-0005-0000-0000-0000E69E0000}"/>
    <cellStyle name="Wrap Bold 2 2 4 10 5" xfId="37542" xr:uid="{00000000-0005-0000-0000-0000E79E0000}"/>
    <cellStyle name="Wrap Bold 2 2 4 10 5 2" xfId="37543" xr:uid="{00000000-0005-0000-0000-0000E89E0000}"/>
    <cellStyle name="Wrap Bold 2 2 4 10 6" xfId="37544" xr:uid="{00000000-0005-0000-0000-0000E99E0000}"/>
    <cellStyle name="Wrap Bold 2 2 4 10 6 2" xfId="37545" xr:uid="{00000000-0005-0000-0000-0000EA9E0000}"/>
    <cellStyle name="Wrap Bold 2 2 4 10 7" xfId="37546" xr:uid="{00000000-0005-0000-0000-0000EB9E0000}"/>
    <cellStyle name="Wrap Bold 2 2 4 10 7 2" xfId="37547" xr:uid="{00000000-0005-0000-0000-0000EC9E0000}"/>
    <cellStyle name="Wrap Bold 2 2 4 10 8" xfId="37548" xr:uid="{00000000-0005-0000-0000-0000ED9E0000}"/>
    <cellStyle name="Wrap Bold 2 2 4 10 8 2" xfId="37549" xr:uid="{00000000-0005-0000-0000-0000EE9E0000}"/>
    <cellStyle name="Wrap Bold 2 2 4 10 9" xfId="37550" xr:uid="{00000000-0005-0000-0000-0000EF9E0000}"/>
    <cellStyle name="Wrap Bold 2 2 4 11" xfId="37551" xr:uid="{00000000-0005-0000-0000-0000F09E0000}"/>
    <cellStyle name="Wrap Bold 2 2 4 11 2" xfId="37552" xr:uid="{00000000-0005-0000-0000-0000F19E0000}"/>
    <cellStyle name="Wrap Bold 2 2 4 12" xfId="37553" xr:uid="{00000000-0005-0000-0000-0000F29E0000}"/>
    <cellStyle name="Wrap Bold 2 2 4 12 2" xfId="37554" xr:uid="{00000000-0005-0000-0000-0000F39E0000}"/>
    <cellStyle name="Wrap Bold 2 2 4 13" xfId="37555" xr:uid="{00000000-0005-0000-0000-0000F49E0000}"/>
    <cellStyle name="Wrap Bold 2 2 4 13 2" xfId="37556" xr:uid="{00000000-0005-0000-0000-0000F59E0000}"/>
    <cellStyle name="Wrap Bold 2 2 4 14" xfId="37557" xr:uid="{00000000-0005-0000-0000-0000F69E0000}"/>
    <cellStyle name="Wrap Bold 2 2 4 14 2" xfId="37558" xr:uid="{00000000-0005-0000-0000-0000F79E0000}"/>
    <cellStyle name="Wrap Bold 2 2 4 15" xfId="37559" xr:uid="{00000000-0005-0000-0000-0000F89E0000}"/>
    <cellStyle name="Wrap Bold 2 2 4 15 2" xfId="37560" xr:uid="{00000000-0005-0000-0000-0000F99E0000}"/>
    <cellStyle name="Wrap Bold 2 2 4 16" xfId="37561" xr:uid="{00000000-0005-0000-0000-0000FA9E0000}"/>
    <cellStyle name="Wrap Bold 2 2 4 16 2" xfId="37562" xr:uid="{00000000-0005-0000-0000-0000FB9E0000}"/>
    <cellStyle name="Wrap Bold 2 2 4 17" xfId="37563" xr:uid="{00000000-0005-0000-0000-0000FC9E0000}"/>
    <cellStyle name="Wrap Bold 2 2 4 17 2" xfId="37564" xr:uid="{00000000-0005-0000-0000-0000FD9E0000}"/>
    <cellStyle name="Wrap Bold 2 2 4 18" xfId="37565" xr:uid="{00000000-0005-0000-0000-0000FE9E0000}"/>
    <cellStyle name="Wrap Bold 2 2 4 2" xfId="37566" xr:uid="{00000000-0005-0000-0000-0000FF9E0000}"/>
    <cellStyle name="Wrap Bold 2 2 4 2 10" xfId="37567" xr:uid="{00000000-0005-0000-0000-0000009F0000}"/>
    <cellStyle name="Wrap Bold 2 2 4 2 2" xfId="37568" xr:uid="{00000000-0005-0000-0000-0000019F0000}"/>
    <cellStyle name="Wrap Bold 2 2 4 2 2 2" xfId="37569" xr:uid="{00000000-0005-0000-0000-0000029F0000}"/>
    <cellStyle name="Wrap Bold 2 2 4 2 3" xfId="37570" xr:uid="{00000000-0005-0000-0000-0000039F0000}"/>
    <cellStyle name="Wrap Bold 2 2 4 2 3 2" xfId="37571" xr:uid="{00000000-0005-0000-0000-0000049F0000}"/>
    <cellStyle name="Wrap Bold 2 2 4 2 4" xfId="37572" xr:uid="{00000000-0005-0000-0000-0000059F0000}"/>
    <cellStyle name="Wrap Bold 2 2 4 2 4 2" xfId="37573" xr:uid="{00000000-0005-0000-0000-0000069F0000}"/>
    <cellStyle name="Wrap Bold 2 2 4 2 5" xfId="37574" xr:uid="{00000000-0005-0000-0000-0000079F0000}"/>
    <cellStyle name="Wrap Bold 2 2 4 2 5 2" xfId="37575" xr:uid="{00000000-0005-0000-0000-0000089F0000}"/>
    <cellStyle name="Wrap Bold 2 2 4 2 6" xfId="37576" xr:uid="{00000000-0005-0000-0000-0000099F0000}"/>
    <cellStyle name="Wrap Bold 2 2 4 2 6 2" xfId="37577" xr:uid="{00000000-0005-0000-0000-00000A9F0000}"/>
    <cellStyle name="Wrap Bold 2 2 4 2 7" xfId="37578" xr:uid="{00000000-0005-0000-0000-00000B9F0000}"/>
    <cellStyle name="Wrap Bold 2 2 4 2 7 2" xfId="37579" xr:uid="{00000000-0005-0000-0000-00000C9F0000}"/>
    <cellStyle name="Wrap Bold 2 2 4 2 8" xfId="37580" xr:uid="{00000000-0005-0000-0000-00000D9F0000}"/>
    <cellStyle name="Wrap Bold 2 2 4 2 8 2" xfId="37581" xr:uid="{00000000-0005-0000-0000-00000E9F0000}"/>
    <cellStyle name="Wrap Bold 2 2 4 2 9" xfId="37582" xr:uid="{00000000-0005-0000-0000-00000F9F0000}"/>
    <cellStyle name="Wrap Bold 2 2 4 2 9 2" xfId="37583" xr:uid="{00000000-0005-0000-0000-0000109F0000}"/>
    <cellStyle name="Wrap Bold 2 2 4 3" xfId="37584" xr:uid="{00000000-0005-0000-0000-0000119F0000}"/>
    <cellStyle name="Wrap Bold 2 2 4 3 10" xfId="37585" xr:uid="{00000000-0005-0000-0000-0000129F0000}"/>
    <cellStyle name="Wrap Bold 2 2 4 3 2" xfId="37586" xr:uid="{00000000-0005-0000-0000-0000139F0000}"/>
    <cellStyle name="Wrap Bold 2 2 4 3 2 2" xfId="37587" xr:uid="{00000000-0005-0000-0000-0000149F0000}"/>
    <cellStyle name="Wrap Bold 2 2 4 3 3" xfId="37588" xr:uid="{00000000-0005-0000-0000-0000159F0000}"/>
    <cellStyle name="Wrap Bold 2 2 4 3 3 2" xfId="37589" xr:uid="{00000000-0005-0000-0000-0000169F0000}"/>
    <cellStyle name="Wrap Bold 2 2 4 3 4" xfId="37590" xr:uid="{00000000-0005-0000-0000-0000179F0000}"/>
    <cellStyle name="Wrap Bold 2 2 4 3 4 2" xfId="37591" xr:uid="{00000000-0005-0000-0000-0000189F0000}"/>
    <cellStyle name="Wrap Bold 2 2 4 3 5" xfId="37592" xr:uid="{00000000-0005-0000-0000-0000199F0000}"/>
    <cellStyle name="Wrap Bold 2 2 4 3 5 2" xfId="37593" xr:uid="{00000000-0005-0000-0000-00001A9F0000}"/>
    <cellStyle name="Wrap Bold 2 2 4 3 6" xfId="37594" xr:uid="{00000000-0005-0000-0000-00001B9F0000}"/>
    <cellStyle name="Wrap Bold 2 2 4 3 6 2" xfId="37595" xr:uid="{00000000-0005-0000-0000-00001C9F0000}"/>
    <cellStyle name="Wrap Bold 2 2 4 3 7" xfId="37596" xr:uid="{00000000-0005-0000-0000-00001D9F0000}"/>
    <cellStyle name="Wrap Bold 2 2 4 3 7 2" xfId="37597" xr:uid="{00000000-0005-0000-0000-00001E9F0000}"/>
    <cellStyle name="Wrap Bold 2 2 4 3 8" xfId="37598" xr:uid="{00000000-0005-0000-0000-00001F9F0000}"/>
    <cellStyle name="Wrap Bold 2 2 4 3 8 2" xfId="37599" xr:uid="{00000000-0005-0000-0000-0000209F0000}"/>
    <cellStyle name="Wrap Bold 2 2 4 3 9" xfId="37600" xr:uid="{00000000-0005-0000-0000-0000219F0000}"/>
    <cellStyle name="Wrap Bold 2 2 4 3 9 2" xfId="37601" xr:uid="{00000000-0005-0000-0000-0000229F0000}"/>
    <cellStyle name="Wrap Bold 2 2 4 4" xfId="37602" xr:uid="{00000000-0005-0000-0000-0000239F0000}"/>
    <cellStyle name="Wrap Bold 2 2 4 4 10" xfId="37603" xr:uid="{00000000-0005-0000-0000-0000249F0000}"/>
    <cellStyle name="Wrap Bold 2 2 4 4 2" xfId="37604" xr:uid="{00000000-0005-0000-0000-0000259F0000}"/>
    <cellStyle name="Wrap Bold 2 2 4 4 2 2" xfId="37605" xr:uid="{00000000-0005-0000-0000-0000269F0000}"/>
    <cellStyle name="Wrap Bold 2 2 4 4 3" xfId="37606" xr:uid="{00000000-0005-0000-0000-0000279F0000}"/>
    <cellStyle name="Wrap Bold 2 2 4 4 3 2" xfId="37607" xr:uid="{00000000-0005-0000-0000-0000289F0000}"/>
    <cellStyle name="Wrap Bold 2 2 4 4 4" xfId="37608" xr:uid="{00000000-0005-0000-0000-0000299F0000}"/>
    <cellStyle name="Wrap Bold 2 2 4 4 4 2" xfId="37609" xr:uid="{00000000-0005-0000-0000-00002A9F0000}"/>
    <cellStyle name="Wrap Bold 2 2 4 4 5" xfId="37610" xr:uid="{00000000-0005-0000-0000-00002B9F0000}"/>
    <cellStyle name="Wrap Bold 2 2 4 4 5 2" xfId="37611" xr:uid="{00000000-0005-0000-0000-00002C9F0000}"/>
    <cellStyle name="Wrap Bold 2 2 4 4 6" xfId="37612" xr:uid="{00000000-0005-0000-0000-00002D9F0000}"/>
    <cellStyle name="Wrap Bold 2 2 4 4 6 2" xfId="37613" xr:uid="{00000000-0005-0000-0000-00002E9F0000}"/>
    <cellStyle name="Wrap Bold 2 2 4 4 7" xfId="37614" xr:uid="{00000000-0005-0000-0000-00002F9F0000}"/>
    <cellStyle name="Wrap Bold 2 2 4 4 7 2" xfId="37615" xr:uid="{00000000-0005-0000-0000-0000309F0000}"/>
    <cellStyle name="Wrap Bold 2 2 4 4 8" xfId="37616" xr:uid="{00000000-0005-0000-0000-0000319F0000}"/>
    <cellStyle name="Wrap Bold 2 2 4 4 8 2" xfId="37617" xr:uid="{00000000-0005-0000-0000-0000329F0000}"/>
    <cellStyle name="Wrap Bold 2 2 4 4 9" xfId="37618" xr:uid="{00000000-0005-0000-0000-0000339F0000}"/>
    <cellStyle name="Wrap Bold 2 2 4 4 9 2" xfId="37619" xr:uid="{00000000-0005-0000-0000-0000349F0000}"/>
    <cellStyle name="Wrap Bold 2 2 4 5" xfId="37620" xr:uid="{00000000-0005-0000-0000-0000359F0000}"/>
    <cellStyle name="Wrap Bold 2 2 4 5 10" xfId="37621" xr:uid="{00000000-0005-0000-0000-0000369F0000}"/>
    <cellStyle name="Wrap Bold 2 2 4 5 2" xfId="37622" xr:uid="{00000000-0005-0000-0000-0000379F0000}"/>
    <cellStyle name="Wrap Bold 2 2 4 5 2 2" xfId="37623" xr:uid="{00000000-0005-0000-0000-0000389F0000}"/>
    <cellStyle name="Wrap Bold 2 2 4 5 3" xfId="37624" xr:uid="{00000000-0005-0000-0000-0000399F0000}"/>
    <cellStyle name="Wrap Bold 2 2 4 5 3 2" xfId="37625" xr:uid="{00000000-0005-0000-0000-00003A9F0000}"/>
    <cellStyle name="Wrap Bold 2 2 4 5 4" xfId="37626" xr:uid="{00000000-0005-0000-0000-00003B9F0000}"/>
    <cellStyle name="Wrap Bold 2 2 4 5 4 2" xfId="37627" xr:uid="{00000000-0005-0000-0000-00003C9F0000}"/>
    <cellStyle name="Wrap Bold 2 2 4 5 5" xfId="37628" xr:uid="{00000000-0005-0000-0000-00003D9F0000}"/>
    <cellStyle name="Wrap Bold 2 2 4 5 5 2" xfId="37629" xr:uid="{00000000-0005-0000-0000-00003E9F0000}"/>
    <cellStyle name="Wrap Bold 2 2 4 5 6" xfId="37630" xr:uid="{00000000-0005-0000-0000-00003F9F0000}"/>
    <cellStyle name="Wrap Bold 2 2 4 5 6 2" xfId="37631" xr:uid="{00000000-0005-0000-0000-0000409F0000}"/>
    <cellStyle name="Wrap Bold 2 2 4 5 7" xfId="37632" xr:uid="{00000000-0005-0000-0000-0000419F0000}"/>
    <cellStyle name="Wrap Bold 2 2 4 5 7 2" xfId="37633" xr:uid="{00000000-0005-0000-0000-0000429F0000}"/>
    <cellStyle name="Wrap Bold 2 2 4 5 8" xfId="37634" xr:uid="{00000000-0005-0000-0000-0000439F0000}"/>
    <cellStyle name="Wrap Bold 2 2 4 5 8 2" xfId="37635" xr:uid="{00000000-0005-0000-0000-0000449F0000}"/>
    <cellStyle name="Wrap Bold 2 2 4 5 9" xfId="37636" xr:uid="{00000000-0005-0000-0000-0000459F0000}"/>
    <cellStyle name="Wrap Bold 2 2 4 5 9 2" xfId="37637" xr:uid="{00000000-0005-0000-0000-0000469F0000}"/>
    <cellStyle name="Wrap Bold 2 2 4 6" xfId="37638" xr:uid="{00000000-0005-0000-0000-0000479F0000}"/>
    <cellStyle name="Wrap Bold 2 2 4 6 10" xfId="37639" xr:uid="{00000000-0005-0000-0000-0000489F0000}"/>
    <cellStyle name="Wrap Bold 2 2 4 6 2" xfId="37640" xr:uid="{00000000-0005-0000-0000-0000499F0000}"/>
    <cellStyle name="Wrap Bold 2 2 4 6 2 2" xfId="37641" xr:uid="{00000000-0005-0000-0000-00004A9F0000}"/>
    <cellStyle name="Wrap Bold 2 2 4 6 3" xfId="37642" xr:uid="{00000000-0005-0000-0000-00004B9F0000}"/>
    <cellStyle name="Wrap Bold 2 2 4 6 3 2" xfId="37643" xr:uid="{00000000-0005-0000-0000-00004C9F0000}"/>
    <cellStyle name="Wrap Bold 2 2 4 6 4" xfId="37644" xr:uid="{00000000-0005-0000-0000-00004D9F0000}"/>
    <cellStyle name="Wrap Bold 2 2 4 6 4 2" xfId="37645" xr:uid="{00000000-0005-0000-0000-00004E9F0000}"/>
    <cellStyle name="Wrap Bold 2 2 4 6 5" xfId="37646" xr:uid="{00000000-0005-0000-0000-00004F9F0000}"/>
    <cellStyle name="Wrap Bold 2 2 4 6 5 2" xfId="37647" xr:uid="{00000000-0005-0000-0000-0000509F0000}"/>
    <cellStyle name="Wrap Bold 2 2 4 6 6" xfId="37648" xr:uid="{00000000-0005-0000-0000-0000519F0000}"/>
    <cellStyle name="Wrap Bold 2 2 4 6 6 2" xfId="37649" xr:uid="{00000000-0005-0000-0000-0000529F0000}"/>
    <cellStyle name="Wrap Bold 2 2 4 6 7" xfId="37650" xr:uid="{00000000-0005-0000-0000-0000539F0000}"/>
    <cellStyle name="Wrap Bold 2 2 4 6 7 2" xfId="37651" xr:uid="{00000000-0005-0000-0000-0000549F0000}"/>
    <cellStyle name="Wrap Bold 2 2 4 6 8" xfId="37652" xr:uid="{00000000-0005-0000-0000-0000559F0000}"/>
    <cellStyle name="Wrap Bold 2 2 4 6 8 2" xfId="37653" xr:uid="{00000000-0005-0000-0000-0000569F0000}"/>
    <cellStyle name="Wrap Bold 2 2 4 6 9" xfId="37654" xr:uid="{00000000-0005-0000-0000-0000579F0000}"/>
    <cellStyle name="Wrap Bold 2 2 4 6 9 2" xfId="37655" xr:uid="{00000000-0005-0000-0000-0000589F0000}"/>
    <cellStyle name="Wrap Bold 2 2 4 7" xfId="37656" xr:uid="{00000000-0005-0000-0000-0000599F0000}"/>
    <cellStyle name="Wrap Bold 2 2 4 7 10" xfId="37657" xr:uid="{00000000-0005-0000-0000-00005A9F0000}"/>
    <cellStyle name="Wrap Bold 2 2 4 7 2" xfId="37658" xr:uid="{00000000-0005-0000-0000-00005B9F0000}"/>
    <cellStyle name="Wrap Bold 2 2 4 7 2 2" xfId="37659" xr:uid="{00000000-0005-0000-0000-00005C9F0000}"/>
    <cellStyle name="Wrap Bold 2 2 4 7 3" xfId="37660" xr:uid="{00000000-0005-0000-0000-00005D9F0000}"/>
    <cellStyle name="Wrap Bold 2 2 4 7 3 2" xfId="37661" xr:uid="{00000000-0005-0000-0000-00005E9F0000}"/>
    <cellStyle name="Wrap Bold 2 2 4 7 4" xfId="37662" xr:uid="{00000000-0005-0000-0000-00005F9F0000}"/>
    <cellStyle name="Wrap Bold 2 2 4 7 4 2" xfId="37663" xr:uid="{00000000-0005-0000-0000-0000609F0000}"/>
    <cellStyle name="Wrap Bold 2 2 4 7 5" xfId="37664" xr:uid="{00000000-0005-0000-0000-0000619F0000}"/>
    <cellStyle name="Wrap Bold 2 2 4 7 5 2" xfId="37665" xr:uid="{00000000-0005-0000-0000-0000629F0000}"/>
    <cellStyle name="Wrap Bold 2 2 4 7 6" xfId="37666" xr:uid="{00000000-0005-0000-0000-0000639F0000}"/>
    <cellStyle name="Wrap Bold 2 2 4 7 6 2" xfId="37667" xr:uid="{00000000-0005-0000-0000-0000649F0000}"/>
    <cellStyle name="Wrap Bold 2 2 4 7 7" xfId="37668" xr:uid="{00000000-0005-0000-0000-0000659F0000}"/>
    <cellStyle name="Wrap Bold 2 2 4 7 7 2" xfId="37669" xr:uid="{00000000-0005-0000-0000-0000669F0000}"/>
    <cellStyle name="Wrap Bold 2 2 4 7 8" xfId="37670" xr:uid="{00000000-0005-0000-0000-0000679F0000}"/>
    <cellStyle name="Wrap Bold 2 2 4 7 8 2" xfId="37671" xr:uid="{00000000-0005-0000-0000-0000689F0000}"/>
    <cellStyle name="Wrap Bold 2 2 4 7 9" xfId="37672" xr:uid="{00000000-0005-0000-0000-0000699F0000}"/>
    <cellStyle name="Wrap Bold 2 2 4 7 9 2" xfId="37673" xr:uid="{00000000-0005-0000-0000-00006A9F0000}"/>
    <cellStyle name="Wrap Bold 2 2 4 8" xfId="37674" xr:uid="{00000000-0005-0000-0000-00006B9F0000}"/>
    <cellStyle name="Wrap Bold 2 2 4 8 10" xfId="37675" xr:uid="{00000000-0005-0000-0000-00006C9F0000}"/>
    <cellStyle name="Wrap Bold 2 2 4 8 2" xfId="37676" xr:uid="{00000000-0005-0000-0000-00006D9F0000}"/>
    <cellStyle name="Wrap Bold 2 2 4 8 2 2" xfId="37677" xr:uid="{00000000-0005-0000-0000-00006E9F0000}"/>
    <cellStyle name="Wrap Bold 2 2 4 8 3" xfId="37678" xr:uid="{00000000-0005-0000-0000-00006F9F0000}"/>
    <cellStyle name="Wrap Bold 2 2 4 8 3 2" xfId="37679" xr:uid="{00000000-0005-0000-0000-0000709F0000}"/>
    <cellStyle name="Wrap Bold 2 2 4 8 4" xfId="37680" xr:uid="{00000000-0005-0000-0000-0000719F0000}"/>
    <cellStyle name="Wrap Bold 2 2 4 8 4 2" xfId="37681" xr:uid="{00000000-0005-0000-0000-0000729F0000}"/>
    <cellStyle name="Wrap Bold 2 2 4 8 5" xfId="37682" xr:uid="{00000000-0005-0000-0000-0000739F0000}"/>
    <cellStyle name="Wrap Bold 2 2 4 8 5 2" xfId="37683" xr:uid="{00000000-0005-0000-0000-0000749F0000}"/>
    <cellStyle name="Wrap Bold 2 2 4 8 6" xfId="37684" xr:uid="{00000000-0005-0000-0000-0000759F0000}"/>
    <cellStyle name="Wrap Bold 2 2 4 8 6 2" xfId="37685" xr:uid="{00000000-0005-0000-0000-0000769F0000}"/>
    <cellStyle name="Wrap Bold 2 2 4 8 7" xfId="37686" xr:uid="{00000000-0005-0000-0000-0000779F0000}"/>
    <cellStyle name="Wrap Bold 2 2 4 8 7 2" xfId="37687" xr:uid="{00000000-0005-0000-0000-0000789F0000}"/>
    <cellStyle name="Wrap Bold 2 2 4 8 8" xfId="37688" xr:uid="{00000000-0005-0000-0000-0000799F0000}"/>
    <cellStyle name="Wrap Bold 2 2 4 8 8 2" xfId="37689" xr:uid="{00000000-0005-0000-0000-00007A9F0000}"/>
    <cellStyle name="Wrap Bold 2 2 4 8 9" xfId="37690" xr:uid="{00000000-0005-0000-0000-00007B9F0000}"/>
    <cellStyle name="Wrap Bold 2 2 4 8 9 2" xfId="37691" xr:uid="{00000000-0005-0000-0000-00007C9F0000}"/>
    <cellStyle name="Wrap Bold 2 2 4 9" xfId="37692" xr:uid="{00000000-0005-0000-0000-00007D9F0000}"/>
    <cellStyle name="Wrap Bold 2 2 4 9 10" xfId="37693" xr:uid="{00000000-0005-0000-0000-00007E9F0000}"/>
    <cellStyle name="Wrap Bold 2 2 4 9 2" xfId="37694" xr:uid="{00000000-0005-0000-0000-00007F9F0000}"/>
    <cellStyle name="Wrap Bold 2 2 4 9 2 2" xfId="37695" xr:uid="{00000000-0005-0000-0000-0000809F0000}"/>
    <cellStyle name="Wrap Bold 2 2 4 9 3" xfId="37696" xr:uid="{00000000-0005-0000-0000-0000819F0000}"/>
    <cellStyle name="Wrap Bold 2 2 4 9 3 2" xfId="37697" xr:uid="{00000000-0005-0000-0000-0000829F0000}"/>
    <cellStyle name="Wrap Bold 2 2 4 9 4" xfId="37698" xr:uid="{00000000-0005-0000-0000-0000839F0000}"/>
    <cellStyle name="Wrap Bold 2 2 4 9 4 2" xfId="37699" xr:uid="{00000000-0005-0000-0000-0000849F0000}"/>
    <cellStyle name="Wrap Bold 2 2 4 9 5" xfId="37700" xr:uid="{00000000-0005-0000-0000-0000859F0000}"/>
    <cellStyle name="Wrap Bold 2 2 4 9 5 2" xfId="37701" xr:uid="{00000000-0005-0000-0000-0000869F0000}"/>
    <cellStyle name="Wrap Bold 2 2 4 9 6" xfId="37702" xr:uid="{00000000-0005-0000-0000-0000879F0000}"/>
    <cellStyle name="Wrap Bold 2 2 4 9 6 2" xfId="37703" xr:uid="{00000000-0005-0000-0000-0000889F0000}"/>
    <cellStyle name="Wrap Bold 2 2 4 9 7" xfId="37704" xr:uid="{00000000-0005-0000-0000-0000899F0000}"/>
    <cellStyle name="Wrap Bold 2 2 4 9 7 2" xfId="37705" xr:uid="{00000000-0005-0000-0000-00008A9F0000}"/>
    <cellStyle name="Wrap Bold 2 2 4 9 8" xfId="37706" xr:uid="{00000000-0005-0000-0000-00008B9F0000}"/>
    <cellStyle name="Wrap Bold 2 2 4 9 8 2" xfId="37707" xr:uid="{00000000-0005-0000-0000-00008C9F0000}"/>
    <cellStyle name="Wrap Bold 2 2 4 9 9" xfId="37708" xr:uid="{00000000-0005-0000-0000-00008D9F0000}"/>
    <cellStyle name="Wrap Bold 2 2 4 9 9 2" xfId="37709" xr:uid="{00000000-0005-0000-0000-00008E9F0000}"/>
    <cellStyle name="Wrap Bold 2 2 5" xfId="37710" xr:uid="{00000000-0005-0000-0000-00008F9F0000}"/>
    <cellStyle name="Wrap Bold 2 2 5 10" xfId="37711" xr:uid="{00000000-0005-0000-0000-0000909F0000}"/>
    <cellStyle name="Wrap Bold 2 2 5 10 2" xfId="37712" xr:uid="{00000000-0005-0000-0000-0000919F0000}"/>
    <cellStyle name="Wrap Bold 2 2 5 10 2 2" xfId="37713" xr:uid="{00000000-0005-0000-0000-0000929F0000}"/>
    <cellStyle name="Wrap Bold 2 2 5 10 3" xfId="37714" xr:uid="{00000000-0005-0000-0000-0000939F0000}"/>
    <cellStyle name="Wrap Bold 2 2 5 10 3 2" xfId="37715" xr:uid="{00000000-0005-0000-0000-0000949F0000}"/>
    <cellStyle name="Wrap Bold 2 2 5 10 4" xfId="37716" xr:uid="{00000000-0005-0000-0000-0000959F0000}"/>
    <cellStyle name="Wrap Bold 2 2 5 10 4 2" xfId="37717" xr:uid="{00000000-0005-0000-0000-0000969F0000}"/>
    <cellStyle name="Wrap Bold 2 2 5 10 5" xfId="37718" xr:uid="{00000000-0005-0000-0000-0000979F0000}"/>
    <cellStyle name="Wrap Bold 2 2 5 10 5 2" xfId="37719" xr:uid="{00000000-0005-0000-0000-0000989F0000}"/>
    <cellStyle name="Wrap Bold 2 2 5 10 6" xfId="37720" xr:uid="{00000000-0005-0000-0000-0000999F0000}"/>
    <cellStyle name="Wrap Bold 2 2 5 10 6 2" xfId="37721" xr:uid="{00000000-0005-0000-0000-00009A9F0000}"/>
    <cellStyle name="Wrap Bold 2 2 5 10 7" xfId="37722" xr:uid="{00000000-0005-0000-0000-00009B9F0000}"/>
    <cellStyle name="Wrap Bold 2 2 5 10 7 2" xfId="37723" xr:uid="{00000000-0005-0000-0000-00009C9F0000}"/>
    <cellStyle name="Wrap Bold 2 2 5 10 8" xfId="37724" xr:uid="{00000000-0005-0000-0000-00009D9F0000}"/>
    <cellStyle name="Wrap Bold 2 2 5 10 8 2" xfId="37725" xr:uid="{00000000-0005-0000-0000-00009E9F0000}"/>
    <cellStyle name="Wrap Bold 2 2 5 10 9" xfId="37726" xr:uid="{00000000-0005-0000-0000-00009F9F0000}"/>
    <cellStyle name="Wrap Bold 2 2 5 11" xfId="37727" xr:uid="{00000000-0005-0000-0000-0000A09F0000}"/>
    <cellStyle name="Wrap Bold 2 2 5 11 2" xfId="37728" xr:uid="{00000000-0005-0000-0000-0000A19F0000}"/>
    <cellStyle name="Wrap Bold 2 2 5 12" xfId="37729" xr:uid="{00000000-0005-0000-0000-0000A29F0000}"/>
    <cellStyle name="Wrap Bold 2 2 5 12 2" xfId="37730" xr:uid="{00000000-0005-0000-0000-0000A39F0000}"/>
    <cellStyle name="Wrap Bold 2 2 5 13" xfId="37731" xr:uid="{00000000-0005-0000-0000-0000A49F0000}"/>
    <cellStyle name="Wrap Bold 2 2 5 13 2" xfId="37732" xr:uid="{00000000-0005-0000-0000-0000A59F0000}"/>
    <cellStyle name="Wrap Bold 2 2 5 14" xfId="37733" xr:uid="{00000000-0005-0000-0000-0000A69F0000}"/>
    <cellStyle name="Wrap Bold 2 2 5 14 2" xfId="37734" xr:uid="{00000000-0005-0000-0000-0000A79F0000}"/>
    <cellStyle name="Wrap Bold 2 2 5 15" xfId="37735" xr:uid="{00000000-0005-0000-0000-0000A89F0000}"/>
    <cellStyle name="Wrap Bold 2 2 5 15 2" xfId="37736" xr:uid="{00000000-0005-0000-0000-0000A99F0000}"/>
    <cellStyle name="Wrap Bold 2 2 5 16" xfId="37737" xr:uid="{00000000-0005-0000-0000-0000AA9F0000}"/>
    <cellStyle name="Wrap Bold 2 2 5 16 2" xfId="37738" xr:uid="{00000000-0005-0000-0000-0000AB9F0000}"/>
    <cellStyle name="Wrap Bold 2 2 5 17" xfId="37739" xr:uid="{00000000-0005-0000-0000-0000AC9F0000}"/>
    <cellStyle name="Wrap Bold 2 2 5 17 2" xfId="37740" xr:uid="{00000000-0005-0000-0000-0000AD9F0000}"/>
    <cellStyle name="Wrap Bold 2 2 5 18" xfId="37741" xr:uid="{00000000-0005-0000-0000-0000AE9F0000}"/>
    <cellStyle name="Wrap Bold 2 2 5 2" xfId="37742" xr:uid="{00000000-0005-0000-0000-0000AF9F0000}"/>
    <cellStyle name="Wrap Bold 2 2 5 2 10" xfId="37743" xr:uid="{00000000-0005-0000-0000-0000B09F0000}"/>
    <cellStyle name="Wrap Bold 2 2 5 2 2" xfId="37744" xr:uid="{00000000-0005-0000-0000-0000B19F0000}"/>
    <cellStyle name="Wrap Bold 2 2 5 2 2 2" xfId="37745" xr:uid="{00000000-0005-0000-0000-0000B29F0000}"/>
    <cellStyle name="Wrap Bold 2 2 5 2 3" xfId="37746" xr:uid="{00000000-0005-0000-0000-0000B39F0000}"/>
    <cellStyle name="Wrap Bold 2 2 5 2 3 2" xfId="37747" xr:uid="{00000000-0005-0000-0000-0000B49F0000}"/>
    <cellStyle name="Wrap Bold 2 2 5 2 4" xfId="37748" xr:uid="{00000000-0005-0000-0000-0000B59F0000}"/>
    <cellStyle name="Wrap Bold 2 2 5 2 4 2" xfId="37749" xr:uid="{00000000-0005-0000-0000-0000B69F0000}"/>
    <cellStyle name="Wrap Bold 2 2 5 2 5" xfId="37750" xr:uid="{00000000-0005-0000-0000-0000B79F0000}"/>
    <cellStyle name="Wrap Bold 2 2 5 2 5 2" xfId="37751" xr:uid="{00000000-0005-0000-0000-0000B89F0000}"/>
    <cellStyle name="Wrap Bold 2 2 5 2 6" xfId="37752" xr:uid="{00000000-0005-0000-0000-0000B99F0000}"/>
    <cellStyle name="Wrap Bold 2 2 5 2 6 2" xfId="37753" xr:uid="{00000000-0005-0000-0000-0000BA9F0000}"/>
    <cellStyle name="Wrap Bold 2 2 5 2 7" xfId="37754" xr:uid="{00000000-0005-0000-0000-0000BB9F0000}"/>
    <cellStyle name="Wrap Bold 2 2 5 2 7 2" xfId="37755" xr:uid="{00000000-0005-0000-0000-0000BC9F0000}"/>
    <cellStyle name="Wrap Bold 2 2 5 2 8" xfId="37756" xr:uid="{00000000-0005-0000-0000-0000BD9F0000}"/>
    <cellStyle name="Wrap Bold 2 2 5 2 8 2" xfId="37757" xr:uid="{00000000-0005-0000-0000-0000BE9F0000}"/>
    <cellStyle name="Wrap Bold 2 2 5 2 9" xfId="37758" xr:uid="{00000000-0005-0000-0000-0000BF9F0000}"/>
    <cellStyle name="Wrap Bold 2 2 5 2 9 2" xfId="37759" xr:uid="{00000000-0005-0000-0000-0000C09F0000}"/>
    <cellStyle name="Wrap Bold 2 2 5 3" xfId="37760" xr:uid="{00000000-0005-0000-0000-0000C19F0000}"/>
    <cellStyle name="Wrap Bold 2 2 5 3 10" xfId="37761" xr:uid="{00000000-0005-0000-0000-0000C29F0000}"/>
    <cellStyle name="Wrap Bold 2 2 5 3 2" xfId="37762" xr:uid="{00000000-0005-0000-0000-0000C39F0000}"/>
    <cellStyle name="Wrap Bold 2 2 5 3 2 2" xfId="37763" xr:uid="{00000000-0005-0000-0000-0000C49F0000}"/>
    <cellStyle name="Wrap Bold 2 2 5 3 3" xfId="37764" xr:uid="{00000000-0005-0000-0000-0000C59F0000}"/>
    <cellStyle name="Wrap Bold 2 2 5 3 3 2" xfId="37765" xr:uid="{00000000-0005-0000-0000-0000C69F0000}"/>
    <cellStyle name="Wrap Bold 2 2 5 3 4" xfId="37766" xr:uid="{00000000-0005-0000-0000-0000C79F0000}"/>
    <cellStyle name="Wrap Bold 2 2 5 3 4 2" xfId="37767" xr:uid="{00000000-0005-0000-0000-0000C89F0000}"/>
    <cellStyle name="Wrap Bold 2 2 5 3 5" xfId="37768" xr:uid="{00000000-0005-0000-0000-0000C99F0000}"/>
    <cellStyle name="Wrap Bold 2 2 5 3 5 2" xfId="37769" xr:uid="{00000000-0005-0000-0000-0000CA9F0000}"/>
    <cellStyle name="Wrap Bold 2 2 5 3 6" xfId="37770" xr:uid="{00000000-0005-0000-0000-0000CB9F0000}"/>
    <cellStyle name="Wrap Bold 2 2 5 3 6 2" xfId="37771" xr:uid="{00000000-0005-0000-0000-0000CC9F0000}"/>
    <cellStyle name="Wrap Bold 2 2 5 3 7" xfId="37772" xr:uid="{00000000-0005-0000-0000-0000CD9F0000}"/>
    <cellStyle name="Wrap Bold 2 2 5 3 7 2" xfId="37773" xr:uid="{00000000-0005-0000-0000-0000CE9F0000}"/>
    <cellStyle name="Wrap Bold 2 2 5 3 8" xfId="37774" xr:uid="{00000000-0005-0000-0000-0000CF9F0000}"/>
    <cellStyle name="Wrap Bold 2 2 5 3 8 2" xfId="37775" xr:uid="{00000000-0005-0000-0000-0000D09F0000}"/>
    <cellStyle name="Wrap Bold 2 2 5 3 9" xfId="37776" xr:uid="{00000000-0005-0000-0000-0000D19F0000}"/>
    <cellStyle name="Wrap Bold 2 2 5 3 9 2" xfId="37777" xr:uid="{00000000-0005-0000-0000-0000D29F0000}"/>
    <cellStyle name="Wrap Bold 2 2 5 4" xfId="37778" xr:uid="{00000000-0005-0000-0000-0000D39F0000}"/>
    <cellStyle name="Wrap Bold 2 2 5 4 10" xfId="37779" xr:uid="{00000000-0005-0000-0000-0000D49F0000}"/>
    <cellStyle name="Wrap Bold 2 2 5 4 2" xfId="37780" xr:uid="{00000000-0005-0000-0000-0000D59F0000}"/>
    <cellStyle name="Wrap Bold 2 2 5 4 2 2" xfId="37781" xr:uid="{00000000-0005-0000-0000-0000D69F0000}"/>
    <cellStyle name="Wrap Bold 2 2 5 4 3" xfId="37782" xr:uid="{00000000-0005-0000-0000-0000D79F0000}"/>
    <cellStyle name="Wrap Bold 2 2 5 4 3 2" xfId="37783" xr:uid="{00000000-0005-0000-0000-0000D89F0000}"/>
    <cellStyle name="Wrap Bold 2 2 5 4 4" xfId="37784" xr:uid="{00000000-0005-0000-0000-0000D99F0000}"/>
    <cellStyle name="Wrap Bold 2 2 5 4 4 2" xfId="37785" xr:uid="{00000000-0005-0000-0000-0000DA9F0000}"/>
    <cellStyle name="Wrap Bold 2 2 5 4 5" xfId="37786" xr:uid="{00000000-0005-0000-0000-0000DB9F0000}"/>
    <cellStyle name="Wrap Bold 2 2 5 4 5 2" xfId="37787" xr:uid="{00000000-0005-0000-0000-0000DC9F0000}"/>
    <cellStyle name="Wrap Bold 2 2 5 4 6" xfId="37788" xr:uid="{00000000-0005-0000-0000-0000DD9F0000}"/>
    <cellStyle name="Wrap Bold 2 2 5 4 6 2" xfId="37789" xr:uid="{00000000-0005-0000-0000-0000DE9F0000}"/>
    <cellStyle name="Wrap Bold 2 2 5 4 7" xfId="37790" xr:uid="{00000000-0005-0000-0000-0000DF9F0000}"/>
    <cellStyle name="Wrap Bold 2 2 5 4 7 2" xfId="37791" xr:uid="{00000000-0005-0000-0000-0000E09F0000}"/>
    <cellStyle name="Wrap Bold 2 2 5 4 8" xfId="37792" xr:uid="{00000000-0005-0000-0000-0000E19F0000}"/>
    <cellStyle name="Wrap Bold 2 2 5 4 8 2" xfId="37793" xr:uid="{00000000-0005-0000-0000-0000E29F0000}"/>
    <cellStyle name="Wrap Bold 2 2 5 4 9" xfId="37794" xr:uid="{00000000-0005-0000-0000-0000E39F0000}"/>
    <cellStyle name="Wrap Bold 2 2 5 4 9 2" xfId="37795" xr:uid="{00000000-0005-0000-0000-0000E49F0000}"/>
    <cellStyle name="Wrap Bold 2 2 5 5" xfId="37796" xr:uid="{00000000-0005-0000-0000-0000E59F0000}"/>
    <cellStyle name="Wrap Bold 2 2 5 5 10" xfId="37797" xr:uid="{00000000-0005-0000-0000-0000E69F0000}"/>
    <cellStyle name="Wrap Bold 2 2 5 5 2" xfId="37798" xr:uid="{00000000-0005-0000-0000-0000E79F0000}"/>
    <cellStyle name="Wrap Bold 2 2 5 5 2 2" xfId="37799" xr:uid="{00000000-0005-0000-0000-0000E89F0000}"/>
    <cellStyle name="Wrap Bold 2 2 5 5 3" xfId="37800" xr:uid="{00000000-0005-0000-0000-0000E99F0000}"/>
    <cellStyle name="Wrap Bold 2 2 5 5 3 2" xfId="37801" xr:uid="{00000000-0005-0000-0000-0000EA9F0000}"/>
    <cellStyle name="Wrap Bold 2 2 5 5 4" xfId="37802" xr:uid="{00000000-0005-0000-0000-0000EB9F0000}"/>
    <cellStyle name="Wrap Bold 2 2 5 5 4 2" xfId="37803" xr:uid="{00000000-0005-0000-0000-0000EC9F0000}"/>
    <cellStyle name="Wrap Bold 2 2 5 5 5" xfId="37804" xr:uid="{00000000-0005-0000-0000-0000ED9F0000}"/>
    <cellStyle name="Wrap Bold 2 2 5 5 5 2" xfId="37805" xr:uid="{00000000-0005-0000-0000-0000EE9F0000}"/>
    <cellStyle name="Wrap Bold 2 2 5 5 6" xfId="37806" xr:uid="{00000000-0005-0000-0000-0000EF9F0000}"/>
    <cellStyle name="Wrap Bold 2 2 5 5 6 2" xfId="37807" xr:uid="{00000000-0005-0000-0000-0000F09F0000}"/>
    <cellStyle name="Wrap Bold 2 2 5 5 7" xfId="37808" xr:uid="{00000000-0005-0000-0000-0000F19F0000}"/>
    <cellStyle name="Wrap Bold 2 2 5 5 7 2" xfId="37809" xr:uid="{00000000-0005-0000-0000-0000F29F0000}"/>
    <cellStyle name="Wrap Bold 2 2 5 5 8" xfId="37810" xr:uid="{00000000-0005-0000-0000-0000F39F0000}"/>
    <cellStyle name="Wrap Bold 2 2 5 5 8 2" xfId="37811" xr:uid="{00000000-0005-0000-0000-0000F49F0000}"/>
    <cellStyle name="Wrap Bold 2 2 5 5 9" xfId="37812" xr:uid="{00000000-0005-0000-0000-0000F59F0000}"/>
    <cellStyle name="Wrap Bold 2 2 5 5 9 2" xfId="37813" xr:uid="{00000000-0005-0000-0000-0000F69F0000}"/>
    <cellStyle name="Wrap Bold 2 2 5 6" xfId="37814" xr:uid="{00000000-0005-0000-0000-0000F79F0000}"/>
    <cellStyle name="Wrap Bold 2 2 5 6 10" xfId="37815" xr:uid="{00000000-0005-0000-0000-0000F89F0000}"/>
    <cellStyle name="Wrap Bold 2 2 5 6 2" xfId="37816" xr:uid="{00000000-0005-0000-0000-0000F99F0000}"/>
    <cellStyle name="Wrap Bold 2 2 5 6 2 2" xfId="37817" xr:uid="{00000000-0005-0000-0000-0000FA9F0000}"/>
    <cellStyle name="Wrap Bold 2 2 5 6 3" xfId="37818" xr:uid="{00000000-0005-0000-0000-0000FB9F0000}"/>
    <cellStyle name="Wrap Bold 2 2 5 6 3 2" xfId="37819" xr:uid="{00000000-0005-0000-0000-0000FC9F0000}"/>
    <cellStyle name="Wrap Bold 2 2 5 6 4" xfId="37820" xr:uid="{00000000-0005-0000-0000-0000FD9F0000}"/>
    <cellStyle name="Wrap Bold 2 2 5 6 4 2" xfId="37821" xr:uid="{00000000-0005-0000-0000-0000FE9F0000}"/>
    <cellStyle name="Wrap Bold 2 2 5 6 5" xfId="37822" xr:uid="{00000000-0005-0000-0000-0000FF9F0000}"/>
    <cellStyle name="Wrap Bold 2 2 5 6 5 2" xfId="37823" xr:uid="{00000000-0005-0000-0000-000000A00000}"/>
    <cellStyle name="Wrap Bold 2 2 5 6 6" xfId="37824" xr:uid="{00000000-0005-0000-0000-000001A00000}"/>
    <cellStyle name="Wrap Bold 2 2 5 6 6 2" xfId="37825" xr:uid="{00000000-0005-0000-0000-000002A00000}"/>
    <cellStyle name="Wrap Bold 2 2 5 6 7" xfId="37826" xr:uid="{00000000-0005-0000-0000-000003A00000}"/>
    <cellStyle name="Wrap Bold 2 2 5 6 7 2" xfId="37827" xr:uid="{00000000-0005-0000-0000-000004A00000}"/>
    <cellStyle name="Wrap Bold 2 2 5 6 8" xfId="37828" xr:uid="{00000000-0005-0000-0000-000005A00000}"/>
    <cellStyle name="Wrap Bold 2 2 5 6 8 2" xfId="37829" xr:uid="{00000000-0005-0000-0000-000006A00000}"/>
    <cellStyle name="Wrap Bold 2 2 5 6 9" xfId="37830" xr:uid="{00000000-0005-0000-0000-000007A00000}"/>
    <cellStyle name="Wrap Bold 2 2 5 6 9 2" xfId="37831" xr:uid="{00000000-0005-0000-0000-000008A00000}"/>
    <cellStyle name="Wrap Bold 2 2 5 7" xfId="37832" xr:uid="{00000000-0005-0000-0000-000009A00000}"/>
    <cellStyle name="Wrap Bold 2 2 5 7 10" xfId="37833" xr:uid="{00000000-0005-0000-0000-00000AA00000}"/>
    <cellStyle name="Wrap Bold 2 2 5 7 2" xfId="37834" xr:uid="{00000000-0005-0000-0000-00000BA00000}"/>
    <cellStyle name="Wrap Bold 2 2 5 7 2 2" xfId="37835" xr:uid="{00000000-0005-0000-0000-00000CA00000}"/>
    <cellStyle name="Wrap Bold 2 2 5 7 3" xfId="37836" xr:uid="{00000000-0005-0000-0000-00000DA00000}"/>
    <cellStyle name="Wrap Bold 2 2 5 7 3 2" xfId="37837" xr:uid="{00000000-0005-0000-0000-00000EA00000}"/>
    <cellStyle name="Wrap Bold 2 2 5 7 4" xfId="37838" xr:uid="{00000000-0005-0000-0000-00000FA00000}"/>
    <cellStyle name="Wrap Bold 2 2 5 7 4 2" xfId="37839" xr:uid="{00000000-0005-0000-0000-000010A00000}"/>
    <cellStyle name="Wrap Bold 2 2 5 7 5" xfId="37840" xr:uid="{00000000-0005-0000-0000-000011A00000}"/>
    <cellStyle name="Wrap Bold 2 2 5 7 5 2" xfId="37841" xr:uid="{00000000-0005-0000-0000-000012A00000}"/>
    <cellStyle name="Wrap Bold 2 2 5 7 6" xfId="37842" xr:uid="{00000000-0005-0000-0000-000013A00000}"/>
    <cellStyle name="Wrap Bold 2 2 5 7 6 2" xfId="37843" xr:uid="{00000000-0005-0000-0000-000014A00000}"/>
    <cellStyle name="Wrap Bold 2 2 5 7 7" xfId="37844" xr:uid="{00000000-0005-0000-0000-000015A00000}"/>
    <cellStyle name="Wrap Bold 2 2 5 7 7 2" xfId="37845" xr:uid="{00000000-0005-0000-0000-000016A00000}"/>
    <cellStyle name="Wrap Bold 2 2 5 7 8" xfId="37846" xr:uid="{00000000-0005-0000-0000-000017A00000}"/>
    <cellStyle name="Wrap Bold 2 2 5 7 8 2" xfId="37847" xr:uid="{00000000-0005-0000-0000-000018A00000}"/>
    <cellStyle name="Wrap Bold 2 2 5 7 9" xfId="37848" xr:uid="{00000000-0005-0000-0000-000019A00000}"/>
    <cellStyle name="Wrap Bold 2 2 5 7 9 2" xfId="37849" xr:uid="{00000000-0005-0000-0000-00001AA00000}"/>
    <cellStyle name="Wrap Bold 2 2 5 8" xfId="37850" xr:uid="{00000000-0005-0000-0000-00001BA00000}"/>
    <cellStyle name="Wrap Bold 2 2 5 8 10" xfId="37851" xr:uid="{00000000-0005-0000-0000-00001CA00000}"/>
    <cellStyle name="Wrap Bold 2 2 5 8 2" xfId="37852" xr:uid="{00000000-0005-0000-0000-00001DA00000}"/>
    <cellStyle name="Wrap Bold 2 2 5 8 2 2" xfId="37853" xr:uid="{00000000-0005-0000-0000-00001EA00000}"/>
    <cellStyle name="Wrap Bold 2 2 5 8 3" xfId="37854" xr:uid="{00000000-0005-0000-0000-00001FA00000}"/>
    <cellStyle name="Wrap Bold 2 2 5 8 3 2" xfId="37855" xr:uid="{00000000-0005-0000-0000-000020A00000}"/>
    <cellStyle name="Wrap Bold 2 2 5 8 4" xfId="37856" xr:uid="{00000000-0005-0000-0000-000021A00000}"/>
    <cellStyle name="Wrap Bold 2 2 5 8 4 2" xfId="37857" xr:uid="{00000000-0005-0000-0000-000022A00000}"/>
    <cellStyle name="Wrap Bold 2 2 5 8 5" xfId="37858" xr:uid="{00000000-0005-0000-0000-000023A00000}"/>
    <cellStyle name="Wrap Bold 2 2 5 8 5 2" xfId="37859" xr:uid="{00000000-0005-0000-0000-000024A00000}"/>
    <cellStyle name="Wrap Bold 2 2 5 8 6" xfId="37860" xr:uid="{00000000-0005-0000-0000-000025A00000}"/>
    <cellStyle name="Wrap Bold 2 2 5 8 6 2" xfId="37861" xr:uid="{00000000-0005-0000-0000-000026A00000}"/>
    <cellStyle name="Wrap Bold 2 2 5 8 7" xfId="37862" xr:uid="{00000000-0005-0000-0000-000027A00000}"/>
    <cellStyle name="Wrap Bold 2 2 5 8 7 2" xfId="37863" xr:uid="{00000000-0005-0000-0000-000028A00000}"/>
    <cellStyle name="Wrap Bold 2 2 5 8 8" xfId="37864" xr:uid="{00000000-0005-0000-0000-000029A00000}"/>
    <cellStyle name="Wrap Bold 2 2 5 8 8 2" xfId="37865" xr:uid="{00000000-0005-0000-0000-00002AA00000}"/>
    <cellStyle name="Wrap Bold 2 2 5 8 9" xfId="37866" xr:uid="{00000000-0005-0000-0000-00002BA00000}"/>
    <cellStyle name="Wrap Bold 2 2 5 8 9 2" xfId="37867" xr:uid="{00000000-0005-0000-0000-00002CA00000}"/>
    <cellStyle name="Wrap Bold 2 2 5 9" xfId="37868" xr:uid="{00000000-0005-0000-0000-00002DA00000}"/>
    <cellStyle name="Wrap Bold 2 2 5 9 10" xfId="37869" xr:uid="{00000000-0005-0000-0000-00002EA00000}"/>
    <cellStyle name="Wrap Bold 2 2 5 9 2" xfId="37870" xr:uid="{00000000-0005-0000-0000-00002FA00000}"/>
    <cellStyle name="Wrap Bold 2 2 5 9 2 2" xfId="37871" xr:uid="{00000000-0005-0000-0000-000030A00000}"/>
    <cellStyle name="Wrap Bold 2 2 5 9 3" xfId="37872" xr:uid="{00000000-0005-0000-0000-000031A00000}"/>
    <cellStyle name="Wrap Bold 2 2 5 9 3 2" xfId="37873" xr:uid="{00000000-0005-0000-0000-000032A00000}"/>
    <cellStyle name="Wrap Bold 2 2 5 9 4" xfId="37874" xr:uid="{00000000-0005-0000-0000-000033A00000}"/>
    <cellStyle name="Wrap Bold 2 2 5 9 4 2" xfId="37875" xr:uid="{00000000-0005-0000-0000-000034A00000}"/>
    <cellStyle name="Wrap Bold 2 2 5 9 5" xfId="37876" xr:uid="{00000000-0005-0000-0000-000035A00000}"/>
    <cellStyle name="Wrap Bold 2 2 5 9 5 2" xfId="37877" xr:uid="{00000000-0005-0000-0000-000036A00000}"/>
    <cellStyle name="Wrap Bold 2 2 5 9 6" xfId="37878" xr:uid="{00000000-0005-0000-0000-000037A00000}"/>
    <cellStyle name="Wrap Bold 2 2 5 9 6 2" xfId="37879" xr:uid="{00000000-0005-0000-0000-000038A00000}"/>
    <cellStyle name="Wrap Bold 2 2 5 9 7" xfId="37880" xr:uid="{00000000-0005-0000-0000-000039A00000}"/>
    <cellStyle name="Wrap Bold 2 2 5 9 7 2" xfId="37881" xr:uid="{00000000-0005-0000-0000-00003AA00000}"/>
    <cellStyle name="Wrap Bold 2 2 5 9 8" xfId="37882" xr:uid="{00000000-0005-0000-0000-00003BA00000}"/>
    <cellStyle name="Wrap Bold 2 2 5 9 8 2" xfId="37883" xr:uid="{00000000-0005-0000-0000-00003CA00000}"/>
    <cellStyle name="Wrap Bold 2 2 5 9 9" xfId="37884" xr:uid="{00000000-0005-0000-0000-00003DA00000}"/>
    <cellStyle name="Wrap Bold 2 2 5 9 9 2" xfId="37885" xr:uid="{00000000-0005-0000-0000-00003EA00000}"/>
    <cellStyle name="Wrap Bold 2 2 6" xfId="37886" xr:uid="{00000000-0005-0000-0000-00003FA00000}"/>
    <cellStyle name="Wrap Bold 2 2 6 10" xfId="37887" xr:uid="{00000000-0005-0000-0000-000040A00000}"/>
    <cellStyle name="Wrap Bold 2 2 6 10 2" xfId="37888" xr:uid="{00000000-0005-0000-0000-000041A00000}"/>
    <cellStyle name="Wrap Bold 2 2 6 10 2 2" xfId="37889" xr:uid="{00000000-0005-0000-0000-000042A00000}"/>
    <cellStyle name="Wrap Bold 2 2 6 10 3" xfId="37890" xr:uid="{00000000-0005-0000-0000-000043A00000}"/>
    <cellStyle name="Wrap Bold 2 2 6 10 3 2" xfId="37891" xr:uid="{00000000-0005-0000-0000-000044A00000}"/>
    <cellStyle name="Wrap Bold 2 2 6 10 4" xfId="37892" xr:uid="{00000000-0005-0000-0000-000045A00000}"/>
    <cellStyle name="Wrap Bold 2 2 6 10 4 2" xfId="37893" xr:uid="{00000000-0005-0000-0000-000046A00000}"/>
    <cellStyle name="Wrap Bold 2 2 6 10 5" xfId="37894" xr:uid="{00000000-0005-0000-0000-000047A00000}"/>
    <cellStyle name="Wrap Bold 2 2 6 10 5 2" xfId="37895" xr:uid="{00000000-0005-0000-0000-000048A00000}"/>
    <cellStyle name="Wrap Bold 2 2 6 10 6" xfId="37896" xr:uid="{00000000-0005-0000-0000-000049A00000}"/>
    <cellStyle name="Wrap Bold 2 2 6 10 6 2" xfId="37897" xr:uid="{00000000-0005-0000-0000-00004AA00000}"/>
    <cellStyle name="Wrap Bold 2 2 6 10 7" xfId="37898" xr:uid="{00000000-0005-0000-0000-00004BA00000}"/>
    <cellStyle name="Wrap Bold 2 2 6 10 7 2" xfId="37899" xr:uid="{00000000-0005-0000-0000-00004CA00000}"/>
    <cellStyle name="Wrap Bold 2 2 6 10 8" xfId="37900" xr:uid="{00000000-0005-0000-0000-00004DA00000}"/>
    <cellStyle name="Wrap Bold 2 2 6 10 8 2" xfId="37901" xr:uid="{00000000-0005-0000-0000-00004EA00000}"/>
    <cellStyle name="Wrap Bold 2 2 6 10 9" xfId="37902" xr:uid="{00000000-0005-0000-0000-00004FA00000}"/>
    <cellStyle name="Wrap Bold 2 2 6 11" xfId="37903" xr:uid="{00000000-0005-0000-0000-000050A00000}"/>
    <cellStyle name="Wrap Bold 2 2 6 11 2" xfId="37904" xr:uid="{00000000-0005-0000-0000-000051A00000}"/>
    <cellStyle name="Wrap Bold 2 2 6 12" xfId="37905" xr:uid="{00000000-0005-0000-0000-000052A00000}"/>
    <cellStyle name="Wrap Bold 2 2 6 12 2" xfId="37906" xr:uid="{00000000-0005-0000-0000-000053A00000}"/>
    <cellStyle name="Wrap Bold 2 2 6 13" xfId="37907" xr:uid="{00000000-0005-0000-0000-000054A00000}"/>
    <cellStyle name="Wrap Bold 2 2 6 13 2" xfId="37908" xr:uid="{00000000-0005-0000-0000-000055A00000}"/>
    <cellStyle name="Wrap Bold 2 2 6 14" xfId="37909" xr:uid="{00000000-0005-0000-0000-000056A00000}"/>
    <cellStyle name="Wrap Bold 2 2 6 14 2" xfId="37910" xr:uid="{00000000-0005-0000-0000-000057A00000}"/>
    <cellStyle name="Wrap Bold 2 2 6 15" xfId="37911" xr:uid="{00000000-0005-0000-0000-000058A00000}"/>
    <cellStyle name="Wrap Bold 2 2 6 15 2" xfId="37912" xr:uid="{00000000-0005-0000-0000-000059A00000}"/>
    <cellStyle name="Wrap Bold 2 2 6 16" xfId="37913" xr:uid="{00000000-0005-0000-0000-00005AA00000}"/>
    <cellStyle name="Wrap Bold 2 2 6 16 2" xfId="37914" xr:uid="{00000000-0005-0000-0000-00005BA00000}"/>
    <cellStyle name="Wrap Bold 2 2 6 17" xfId="37915" xr:uid="{00000000-0005-0000-0000-00005CA00000}"/>
    <cellStyle name="Wrap Bold 2 2 6 17 2" xfId="37916" xr:uid="{00000000-0005-0000-0000-00005DA00000}"/>
    <cellStyle name="Wrap Bold 2 2 6 18" xfId="37917" xr:uid="{00000000-0005-0000-0000-00005EA00000}"/>
    <cellStyle name="Wrap Bold 2 2 6 2" xfId="37918" xr:uid="{00000000-0005-0000-0000-00005FA00000}"/>
    <cellStyle name="Wrap Bold 2 2 6 2 10" xfId="37919" xr:uid="{00000000-0005-0000-0000-000060A00000}"/>
    <cellStyle name="Wrap Bold 2 2 6 2 2" xfId="37920" xr:uid="{00000000-0005-0000-0000-000061A00000}"/>
    <cellStyle name="Wrap Bold 2 2 6 2 2 2" xfId="37921" xr:uid="{00000000-0005-0000-0000-000062A00000}"/>
    <cellStyle name="Wrap Bold 2 2 6 2 3" xfId="37922" xr:uid="{00000000-0005-0000-0000-000063A00000}"/>
    <cellStyle name="Wrap Bold 2 2 6 2 3 2" xfId="37923" xr:uid="{00000000-0005-0000-0000-000064A00000}"/>
    <cellStyle name="Wrap Bold 2 2 6 2 4" xfId="37924" xr:uid="{00000000-0005-0000-0000-000065A00000}"/>
    <cellStyle name="Wrap Bold 2 2 6 2 4 2" xfId="37925" xr:uid="{00000000-0005-0000-0000-000066A00000}"/>
    <cellStyle name="Wrap Bold 2 2 6 2 5" xfId="37926" xr:uid="{00000000-0005-0000-0000-000067A00000}"/>
    <cellStyle name="Wrap Bold 2 2 6 2 5 2" xfId="37927" xr:uid="{00000000-0005-0000-0000-000068A00000}"/>
    <cellStyle name="Wrap Bold 2 2 6 2 6" xfId="37928" xr:uid="{00000000-0005-0000-0000-000069A00000}"/>
    <cellStyle name="Wrap Bold 2 2 6 2 6 2" xfId="37929" xr:uid="{00000000-0005-0000-0000-00006AA00000}"/>
    <cellStyle name="Wrap Bold 2 2 6 2 7" xfId="37930" xr:uid="{00000000-0005-0000-0000-00006BA00000}"/>
    <cellStyle name="Wrap Bold 2 2 6 2 7 2" xfId="37931" xr:uid="{00000000-0005-0000-0000-00006CA00000}"/>
    <cellStyle name="Wrap Bold 2 2 6 2 8" xfId="37932" xr:uid="{00000000-0005-0000-0000-00006DA00000}"/>
    <cellStyle name="Wrap Bold 2 2 6 2 8 2" xfId="37933" xr:uid="{00000000-0005-0000-0000-00006EA00000}"/>
    <cellStyle name="Wrap Bold 2 2 6 2 9" xfId="37934" xr:uid="{00000000-0005-0000-0000-00006FA00000}"/>
    <cellStyle name="Wrap Bold 2 2 6 2 9 2" xfId="37935" xr:uid="{00000000-0005-0000-0000-000070A00000}"/>
    <cellStyle name="Wrap Bold 2 2 6 3" xfId="37936" xr:uid="{00000000-0005-0000-0000-000071A00000}"/>
    <cellStyle name="Wrap Bold 2 2 6 3 10" xfId="37937" xr:uid="{00000000-0005-0000-0000-000072A00000}"/>
    <cellStyle name="Wrap Bold 2 2 6 3 2" xfId="37938" xr:uid="{00000000-0005-0000-0000-000073A00000}"/>
    <cellStyle name="Wrap Bold 2 2 6 3 2 2" xfId="37939" xr:uid="{00000000-0005-0000-0000-000074A00000}"/>
    <cellStyle name="Wrap Bold 2 2 6 3 3" xfId="37940" xr:uid="{00000000-0005-0000-0000-000075A00000}"/>
    <cellStyle name="Wrap Bold 2 2 6 3 3 2" xfId="37941" xr:uid="{00000000-0005-0000-0000-000076A00000}"/>
    <cellStyle name="Wrap Bold 2 2 6 3 4" xfId="37942" xr:uid="{00000000-0005-0000-0000-000077A00000}"/>
    <cellStyle name="Wrap Bold 2 2 6 3 4 2" xfId="37943" xr:uid="{00000000-0005-0000-0000-000078A00000}"/>
    <cellStyle name="Wrap Bold 2 2 6 3 5" xfId="37944" xr:uid="{00000000-0005-0000-0000-000079A00000}"/>
    <cellStyle name="Wrap Bold 2 2 6 3 5 2" xfId="37945" xr:uid="{00000000-0005-0000-0000-00007AA00000}"/>
    <cellStyle name="Wrap Bold 2 2 6 3 6" xfId="37946" xr:uid="{00000000-0005-0000-0000-00007BA00000}"/>
    <cellStyle name="Wrap Bold 2 2 6 3 6 2" xfId="37947" xr:uid="{00000000-0005-0000-0000-00007CA00000}"/>
    <cellStyle name="Wrap Bold 2 2 6 3 7" xfId="37948" xr:uid="{00000000-0005-0000-0000-00007DA00000}"/>
    <cellStyle name="Wrap Bold 2 2 6 3 7 2" xfId="37949" xr:uid="{00000000-0005-0000-0000-00007EA00000}"/>
    <cellStyle name="Wrap Bold 2 2 6 3 8" xfId="37950" xr:uid="{00000000-0005-0000-0000-00007FA00000}"/>
    <cellStyle name="Wrap Bold 2 2 6 3 8 2" xfId="37951" xr:uid="{00000000-0005-0000-0000-000080A00000}"/>
    <cellStyle name="Wrap Bold 2 2 6 3 9" xfId="37952" xr:uid="{00000000-0005-0000-0000-000081A00000}"/>
    <cellStyle name="Wrap Bold 2 2 6 3 9 2" xfId="37953" xr:uid="{00000000-0005-0000-0000-000082A00000}"/>
    <cellStyle name="Wrap Bold 2 2 6 4" xfId="37954" xr:uid="{00000000-0005-0000-0000-000083A00000}"/>
    <cellStyle name="Wrap Bold 2 2 6 4 10" xfId="37955" xr:uid="{00000000-0005-0000-0000-000084A00000}"/>
    <cellStyle name="Wrap Bold 2 2 6 4 2" xfId="37956" xr:uid="{00000000-0005-0000-0000-000085A00000}"/>
    <cellStyle name="Wrap Bold 2 2 6 4 2 2" xfId="37957" xr:uid="{00000000-0005-0000-0000-000086A00000}"/>
    <cellStyle name="Wrap Bold 2 2 6 4 3" xfId="37958" xr:uid="{00000000-0005-0000-0000-000087A00000}"/>
    <cellStyle name="Wrap Bold 2 2 6 4 3 2" xfId="37959" xr:uid="{00000000-0005-0000-0000-000088A00000}"/>
    <cellStyle name="Wrap Bold 2 2 6 4 4" xfId="37960" xr:uid="{00000000-0005-0000-0000-000089A00000}"/>
    <cellStyle name="Wrap Bold 2 2 6 4 4 2" xfId="37961" xr:uid="{00000000-0005-0000-0000-00008AA00000}"/>
    <cellStyle name="Wrap Bold 2 2 6 4 5" xfId="37962" xr:uid="{00000000-0005-0000-0000-00008BA00000}"/>
    <cellStyle name="Wrap Bold 2 2 6 4 5 2" xfId="37963" xr:uid="{00000000-0005-0000-0000-00008CA00000}"/>
    <cellStyle name="Wrap Bold 2 2 6 4 6" xfId="37964" xr:uid="{00000000-0005-0000-0000-00008DA00000}"/>
    <cellStyle name="Wrap Bold 2 2 6 4 6 2" xfId="37965" xr:uid="{00000000-0005-0000-0000-00008EA00000}"/>
    <cellStyle name="Wrap Bold 2 2 6 4 7" xfId="37966" xr:uid="{00000000-0005-0000-0000-00008FA00000}"/>
    <cellStyle name="Wrap Bold 2 2 6 4 7 2" xfId="37967" xr:uid="{00000000-0005-0000-0000-000090A00000}"/>
    <cellStyle name="Wrap Bold 2 2 6 4 8" xfId="37968" xr:uid="{00000000-0005-0000-0000-000091A00000}"/>
    <cellStyle name="Wrap Bold 2 2 6 4 8 2" xfId="37969" xr:uid="{00000000-0005-0000-0000-000092A00000}"/>
    <cellStyle name="Wrap Bold 2 2 6 4 9" xfId="37970" xr:uid="{00000000-0005-0000-0000-000093A00000}"/>
    <cellStyle name="Wrap Bold 2 2 6 4 9 2" xfId="37971" xr:uid="{00000000-0005-0000-0000-000094A00000}"/>
    <cellStyle name="Wrap Bold 2 2 6 5" xfId="37972" xr:uid="{00000000-0005-0000-0000-000095A00000}"/>
    <cellStyle name="Wrap Bold 2 2 6 5 10" xfId="37973" xr:uid="{00000000-0005-0000-0000-000096A00000}"/>
    <cellStyle name="Wrap Bold 2 2 6 5 2" xfId="37974" xr:uid="{00000000-0005-0000-0000-000097A00000}"/>
    <cellStyle name="Wrap Bold 2 2 6 5 2 2" xfId="37975" xr:uid="{00000000-0005-0000-0000-000098A00000}"/>
    <cellStyle name="Wrap Bold 2 2 6 5 3" xfId="37976" xr:uid="{00000000-0005-0000-0000-000099A00000}"/>
    <cellStyle name="Wrap Bold 2 2 6 5 3 2" xfId="37977" xr:uid="{00000000-0005-0000-0000-00009AA00000}"/>
    <cellStyle name="Wrap Bold 2 2 6 5 4" xfId="37978" xr:uid="{00000000-0005-0000-0000-00009BA00000}"/>
    <cellStyle name="Wrap Bold 2 2 6 5 4 2" xfId="37979" xr:uid="{00000000-0005-0000-0000-00009CA00000}"/>
    <cellStyle name="Wrap Bold 2 2 6 5 5" xfId="37980" xr:uid="{00000000-0005-0000-0000-00009DA00000}"/>
    <cellStyle name="Wrap Bold 2 2 6 5 5 2" xfId="37981" xr:uid="{00000000-0005-0000-0000-00009EA00000}"/>
    <cellStyle name="Wrap Bold 2 2 6 5 6" xfId="37982" xr:uid="{00000000-0005-0000-0000-00009FA00000}"/>
    <cellStyle name="Wrap Bold 2 2 6 5 6 2" xfId="37983" xr:uid="{00000000-0005-0000-0000-0000A0A00000}"/>
    <cellStyle name="Wrap Bold 2 2 6 5 7" xfId="37984" xr:uid="{00000000-0005-0000-0000-0000A1A00000}"/>
    <cellStyle name="Wrap Bold 2 2 6 5 7 2" xfId="37985" xr:uid="{00000000-0005-0000-0000-0000A2A00000}"/>
    <cellStyle name="Wrap Bold 2 2 6 5 8" xfId="37986" xr:uid="{00000000-0005-0000-0000-0000A3A00000}"/>
    <cellStyle name="Wrap Bold 2 2 6 5 8 2" xfId="37987" xr:uid="{00000000-0005-0000-0000-0000A4A00000}"/>
    <cellStyle name="Wrap Bold 2 2 6 5 9" xfId="37988" xr:uid="{00000000-0005-0000-0000-0000A5A00000}"/>
    <cellStyle name="Wrap Bold 2 2 6 5 9 2" xfId="37989" xr:uid="{00000000-0005-0000-0000-0000A6A00000}"/>
    <cellStyle name="Wrap Bold 2 2 6 6" xfId="37990" xr:uid="{00000000-0005-0000-0000-0000A7A00000}"/>
    <cellStyle name="Wrap Bold 2 2 6 6 10" xfId="37991" xr:uid="{00000000-0005-0000-0000-0000A8A00000}"/>
    <cellStyle name="Wrap Bold 2 2 6 6 2" xfId="37992" xr:uid="{00000000-0005-0000-0000-0000A9A00000}"/>
    <cellStyle name="Wrap Bold 2 2 6 6 2 2" xfId="37993" xr:uid="{00000000-0005-0000-0000-0000AAA00000}"/>
    <cellStyle name="Wrap Bold 2 2 6 6 3" xfId="37994" xr:uid="{00000000-0005-0000-0000-0000ABA00000}"/>
    <cellStyle name="Wrap Bold 2 2 6 6 3 2" xfId="37995" xr:uid="{00000000-0005-0000-0000-0000ACA00000}"/>
    <cellStyle name="Wrap Bold 2 2 6 6 4" xfId="37996" xr:uid="{00000000-0005-0000-0000-0000ADA00000}"/>
    <cellStyle name="Wrap Bold 2 2 6 6 4 2" xfId="37997" xr:uid="{00000000-0005-0000-0000-0000AEA00000}"/>
    <cellStyle name="Wrap Bold 2 2 6 6 5" xfId="37998" xr:uid="{00000000-0005-0000-0000-0000AFA00000}"/>
    <cellStyle name="Wrap Bold 2 2 6 6 5 2" xfId="37999" xr:uid="{00000000-0005-0000-0000-0000B0A00000}"/>
    <cellStyle name="Wrap Bold 2 2 6 6 6" xfId="38000" xr:uid="{00000000-0005-0000-0000-0000B1A00000}"/>
    <cellStyle name="Wrap Bold 2 2 6 6 6 2" xfId="38001" xr:uid="{00000000-0005-0000-0000-0000B2A00000}"/>
    <cellStyle name="Wrap Bold 2 2 6 6 7" xfId="38002" xr:uid="{00000000-0005-0000-0000-0000B3A00000}"/>
    <cellStyle name="Wrap Bold 2 2 6 6 7 2" xfId="38003" xr:uid="{00000000-0005-0000-0000-0000B4A00000}"/>
    <cellStyle name="Wrap Bold 2 2 6 6 8" xfId="38004" xr:uid="{00000000-0005-0000-0000-0000B5A00000}"/>
    <cellStyle name="Wrap Bold 2 2 6 6 8 2" xfId="38005" xr:uid="{00000000-0005-0000-0000-0000B6A00000}"/>
    <cellStyle name="Wrap Bold 2 2 6 6 9" xfId="38006" xr:uid="{00000000-0005-0000-0000-0000B7A00000}"/>
    <cellStyle name="Wrap Bold 2 2 6 6 9 2" xfId="38007" xr:uid="{00000000-0005-0000-0000-0000B8A00000}"/>
    <cellStyle name="Wrap Bold 2 2 6 7" xfId="38008" xr:uid="{00000000-0005-0000-0000-0000B9A00000}"/>
    <cellStyle name="Wrap Bold 2 2 6 7 10" xfId="38009" xr:uid="{00000000-0005-0000-0000-0000BAA00000}"/>
    <cellStyle name="Wrap Bold 2 2 6 7 2" xfId="38010" xr:uid="{00000000-0005-0000-0000-0000BBA00000}"/>
    <cellStyle name="Wrap Bold 2 2 6 7 2 2" xfId="38011" xr:uid="{00000000-0005-0000-0000-0000BCA00000}"/>
    <cellStyle name="Wrap Bold 2 2 6 7 3" xfId="38012" xr:uid="{00000000-0005-0000-0000-0000BDA00000}"/>
    <cellStyle name="Wrap Bold 2 2 6 7 3 2" xfId="38013" xr:uid="{00000000-0005-0000-0000-0000BEA00000}"/>
    <cellStyle name="Wrap Bold 2 2 6 7 4" xfId="38014" xr:uid="{00000000-0005-0000-0000-0000BFA00000}"/>
    <cellStyle name="Wrap Bold 2 2 6 7 4 2" xfId="38015" xr:uid="{00000000-0005-0000-0000-0000C0A00000}"/>
    <cellStyle name="Wrap Bold 2 2 6 7 5" xfId="38016" xr:uid="{00000000-0005-0000-0000-0000C1A00000}"/>
    <cellStyle name="Wrap Bold 2 2 6 7 5 2" xfId="38017" xr:uid="{00000000-0005-0000-0000-0000C2A00000}"/>
    <cellStyle name="Wrap Bold 2 2 6 7 6" xfId="38018" xr:uid="{00000000-0005-0000-0000-0000C3A00000}"/>
    <cellStyle name="Wrap Bold 2 2 6 7 6 2" xfId="38019" xr:uid="{00000000-0005-0000-0000-0000C4A00000}"/>
    <cellStyle name="Wrap Bold 2 2 6 7 7" xfId="38020" xr:uid="{00000000-0005-0000-0000-0000C5A00000}"/>
    <cellStyle name="Wrap Bold 2 2 6 7 7 2" xfId="38021" xr:uid="{00000000-0005-0000-0000-0000C6A00000}"/>
    <cellStyle name="Wrap Bold 2 2 6 7 8" xfId="38022" xr:uid="{00000000-0005-0000-0000-0000C7A00000}"/>
    <cellStyle name="Wrap Bold 2 2 6 7 8 2" xfId="38023" xr:uid="{00000000-0005-0000-0000-0000C8A00000}"/>
    <cellStyle name="Wrap Bold 2 2 6 7 9" xfId="38024" xr:uid="{00000000-0005-0000-0000-0000C9A00000}"/>
    <cellStyle name="Wrap Bold 2 2 6 7 9 2" xfId="38025" xr:uid="{00000000-0005-0000-0000-0000CAA00000}"/>
    <cellStyle name="Wrap Bold 2 2 6 8" xfId="38026" xr:uid="{00000000-0005-0000-0000-0000CBA00000}"/>
    <cellStyle name="Wrap Bold 2 2 6 8 10" xfId="38027" xr:uid="{00000000-0005-0000-0000-0000CCA00000}"/>
    <cellStyle name="Wrap Bold 2 2 6 8 2" xfId="38028" xr:uid="{00000000-0005-0000-0000-0000CDA00000}"/>
    <cellStyle name="Wrap Bold 2 2 6 8 2 2" xfId="38029" xr:uid="{00000000-0005-0000-0000-0000CEA00000}"/>
    <cellStyle name="Wrap Bold 2 2 6 8 3" xfId="38030" xr:uid="{00000000-0005-0000-0000-0000CFA00000}"/>
    <cellStyle name="Wrap Bold 2 2 6 8 3 2" xfId="38031" xr:uid="{00000000-0005-0000-0000-0000D0A00000}"/>
    <cellStyle name="Wrap Bold 2 2 6 8 4" xfId="38032" xr:uid="{00000000-0005-0000-0000-0000D1A00000}"/>
    <cellStyle name="Wrap Bold 2 2 6 8 4 2" xfId="38033" xr:uid="{00000000-0005-0000-0000-0000D2A00000}"/>
    <cellStyle name="Wrap Bold 2 2 6 8 5" xfId="38034" xr:uid="{00000000-0005-0000-0000-0000D3A00000}"/>
    <cellStyle name="Wrap Bold 2 2 6 8 5 2" xfId="38035" xr:uid="{00000000-0005-0000-0000-0000D4A00000}"/>
    <cellStyle name="Wrap Bold 2 2 6 8 6" xfId="38036" xr:uid="{00000000-0005-0000-0000-0000D5A00000}"/>
    <cellStyle name="Wrap Bold 2 2 6 8 6 2" xfId="38037" xr:uid="{00000000-0005-0000-0000-0000D6A00000}"/>
    <cellStyle name="Wrap Bold 2 2 6 8 7" xfId="38038" xr:uid="{00000000-0005-0000-0000-0000D7A00000}"/>
    <cellStyle name="Wrap Bold 2 2 6 8 7 2" xfId="38039" xr:uid="{00000000-0005-0000-0000-0000D8A00000}"/>
    <cellStyle name="Wrap Bold 2 2 6 8 8" xfId="38040" xr:uid="{00000000-0005-0000-0000-0000D9A00000}"/>
    <cellStyle name="Wrap Bold 2 2 6 8 8 2" xfId="38041" xr:uid="{00000000-0005-0000-0000-0000DAA00000}"/>
    <cellStyle name="Wrap Bold 2 2 6 8 9" xfId="38042" xr:uid="{00000000-0005-0000-0000-0000DBA00000}"/>
    <cellStyle name="Wrap Bold 2 2 6 8 9 2" xfId="38043" xr:uid="{00000000-0005-0000-0000-0000DCA00000}"/>
    <cellStyle name="Wrap Bold 2 2 6 9" xfId="38044" xr:uid="{00000000-0005-0000-0000-0000DDA00000}"/>
    <cellStyle name="Wrap Bold 2 2 6 9 10" xfId="38045" xr:uid="{00000000-0005-0000-0000-0000DEA00000}"/>
    <cellStyle name="Wrap Bold 2 2 6 9 2" xfId="38046" xr:uid="{00000000-0005-0000-0000-0000DFA00000}"/>
    <cellStyle name="Wrap Bold 2 2 6 9 2 2" xfId="38047" xr:uid="{00000000-0005-0000-0000-0000E0A00000}"/>
    <cellStyle name="Wrap Bold 2 2 6 9 3" xfId="38048" xr:uid="{00000000-0005-0000-0000-0000E1A00000}"/>
    <cellStyle name="Wrap Bold 2 2 6 9 3 2" xfId="38049" xr:uid="{00000000-0005-0000-0000-0000E2A00000}"/>
    <cellStyle name="Wrap Bold 2 2 6 9 4" xfId="38050" xr:uid="{00000000-0005-0000-0000-0000E3A00000}"/>
    <cellStyle name="Wrap Bold 2 2 6 9 4 2" xfId="38051" xr:uid="{00000000-0005-0000-0000-0000E4A00000}"/>
    <cellStyle name="Wrap Bold 2 2 6 9 5" xfId="38052" xr:uid="{00000000-0005-0000-0000-0000E5A00000}"/>
    <cellStyle name="Wrap Bold 2 2 6 9 5 2" xfId="38053" xr:uid="{00000000-0005-0000-0000-0000E6A00000}"/>
    <cellStyle name="Wrap Bold 2 2 6 9 6" xfId="38054" xr:uid="{00000000-0005-0000-0000-0000E7A00000}"/>
    <cellStyle name="Wrap Bold 2 2 6 9 6 2" xfId="38055" xr:uid="{00000000-0005-0000-0000-0000E8A00000}"/>
    <cellStyle name="Wrap Bold 2 2 6 9 7" xfId="38056" xr:uid="{00000000-0005-0000-0000-0000E9A00000}"/>
    <cellStyle name="Wrap Bold 2 2 6 9 7 2" xfId="38057" xr:uid="{00000000-0005-0000-0000-0000EAA00000}"/>
    <cellStyle name="Wrap Bold 2 2 6 9 8" xfId="38058" xr:uid="{00000000-0005-0000-0000-0000EBA00000}"/>
    <cellStyle name="Wrap Bold 2 2 6 9 8 2" xfId="38059" xr:uid="{00000000-0005-0000-0000-0000ECA00000}"/>
    <cellStyle name="Wrap Bold 2 2 6 9 9" xfId="38060" xr:uid="{00000000-0005-0000-0000-0000EDA00000}"/>
    <cellStyle name="Wrap Bold 2 2 6 9 9 2" xfId="38061" xr:uid="{00000000-0005-0000-0000-0000EEA00000}"/>
    <cellStyle name="Wrap Bold 2 2 7" xfId="38062" xr:uid="{00000000-0005-0000-0000-0000EFA00000}"/>
    <cellStyle name="Wrap Bold 2 2 7 10" xfId="38063" xr:uid="{00000000-0005-0000-0000-0000F0A00000}"/>
    <cellStyle name="Wrap Bold 2 2 7 10 2" xfId="38064" xr:uid="{00000000-0005-0000-0000-0000F1A00000}"/>
    <cellStyle name="Wrap Bold 2 2 7 10 2 2" xfId="38065" xr:uid="{00000000-0005-0000-0000-0000F2A00000}"/>
    <cellStyle name="Wrap Bold 2 2 7 10 3" xfId="38066" xr:uid="{00000000-0005-0000-0000-0000F3A00000}"/>
    <cellStyle name="Wrap Bold 2 2 7 10 3 2" xfId="38067" xr:uid="{00000000-0005-0000-0000-0000F4A00000}"/>
    <cellStyle name="Wrap Bold 2 2 7 10 4" xfId="38068" xr:uid="{00000000-0005-0000-0000-0000F5A00000}"/>
    <cellStyle name="Wrap Bold 2 2 7 10 4 2" xfId="38069" xr:uid="{00000000-0005-0000-0000-0000F6A00000}"/>
    <cellStyle name="Wrap Bold 2 2 7 10 5" xfId="38070" xr:uid="{00000000-0005-0000-0000-0000F7A00000}"/>
    <cellStyle name="Wrap Bold 2 2 7 10 5 2" xfId="38071" xr:uid="{00000000-0005-0000-0000-0000F8A00000}"/>
    <cellStyle name="Wrap Bold 2 2 7 10 6" xfId="38072" xr:uid="{00000000-0005-0000-0000-0000F9A00000}"/>
    <cellStyle name="Wrap Bold 2 2 7 10 6 2" xfId="38073" xr:uid="{00000000-0005-0000-0000-0000FAA00000}"/>
    <cellStyle name="Wrap Bold 2 2 7 10 7" xfId="38074" xr:uid="{00000000-0005-0000-0000-0000FBA00000}"/>
    <cellStyle name="Wrap Bold 2 2 7 10 7 2" xfId="38075" xr:uid="{00000000-0005-0000-0000-0000FCA00000}"/>
    <cellStyle name="Wrap Bold 2 2 7 10 8" xfId="38076" xr:uid="{00000000-0005-0000-0000-0000FDA00000}"/>
    <cellStyle name="Wrap Bold 2 2 7 10 8 2" xfId="38077" xr:uid="{00000000-0005-0000-0000-0000FEA00000}"/>
    <cellStyle name="Wrap Bold 2 2 7 10 9" xfId="38078" xr:uid="{00000000-0005-0000-0000-0000FFA00000}"/>
    <cellStyle name="Wrap Bold 2 2 7 11" xfId="38079" xr:uid="{00000000-0005-0000-0000-000000A10000}"/>
    <cellStyle name="Wrap Bold 2 2 7 11 2" xfId="38080" xr:uid="{00000000-0005-0000-0000-000001A10000}"/>
    <cellStyle name="Wrap Bold 2 2 7 12" xfId="38081" xr:uid="{00000000-0005-0000-0000-000002A10000}"/>
    <cellStyle name="Wrap Bold 2 2 7 12 2" xfId="38082" xr:uid="{00000000-0005-0000-0000-000003A10000}"/>
    <cellStyle name="Wrap Bold 2 2 7 13" xfId="38083" xr:uid="{00000000-0005-0000-0000-000004A10000}"/>
    <cellStyle name="Wrap Bold 2 2 7 13 2" xfId="38084" xr:uid="{00000000-0005-0000-0000-000005A10000}"/>
    <cellStyle name="Wrap Bold 2 2 7 14" xfId="38085" xr:uid="{00000000-0005-0000-0000-000006A10000}"/>
    <cellStyle name="Wrap Bold 2 2 7 14 2" xfId="38086" xr:uid="{00000000-0005-0000-0000-000007A10000}"/>
    <cellStyle name="Wrap Bold 2 2 7 15" xfId="38087" xr:uid="{00000000-0005-0000-0000-000008A10000}"/>
    <cellStyle name="Wrap Bold 2 2 7 15 2" xfId="38088" xr:uid="{00000000-0005-0000-0000-000009A10000}"/>
    <cellStyle name="Wrap Bold 2 2 7 16" xfId="38089" xr:uid="{00000000-0005-0000-0000-00000AA10000}"/>
    <cellStyle name="Wrap Bold 2 2 7 16 2" xfId="38090" xr:uid="{00000000-0005-0000-0000-00000BA10000}"/>
    <cellStyle name="Wrap Bold 2 2 7 17" xfId="38091" xr:uid="{00000000-0005-0000-0000-00000CA10000}"/>
    <cellStyle name="Wrap Bold 2 2 7 17 2" xfId="38092" xr:uid="{00000000-0005-0000-0000-00000DA10000}"/>
    <cellStyle name="Wrap Bold 2 2 7 18" xfId="38093" xr:uid="{00000000-0005-0000-0000-00000EA10000}"/>
    <cellStyle name="Wrap Bold 2 2 7 2" xfId="38094" xr:uid="{00000000-0005-0000-0000-00000FA10000}"/>
    <cellStyle name="Wrap Bold 2 2 7 2 10" xfId="38095" xr:uid="{00000000-0005-0000-0000-000010A10000}"/>
    <cellStyle name="Wrap Bold 2 2 7 2 2" xfId="38096" xr:uid="{00000000-0005-0000-0000-000011A10000}"/>
    <cellStyle name="Wrap Bold 2 2 7 2 2 2" xfId="38097" xr:uid="{00000000-0005-0000-0000-000012A10000}"/>
    <cellStyle name="Wrap Bold 2 2 7 2 3" xfId="38098" xr:uid="{00000000-0005-0000-0000-000013A10000}"/>
    <cellStyle name="Wrap Bold 2 2 7 2 3 2" xfId="38099" xr:uid="{00000000-0005-0000-0000-000014A10000}"/>
    <cellStyle name="Wrap Bold 2 2 7 2 4" xfId="38100" xr:uid="{00000000-0005-0000-0000-000015A10000}"/>
    <cellStyle name="Wrap Bold 2 2 7 2 4 2" xfId="38101" xr:uid="{00000000-0005-0000-0000-000016A10000}"/>
    <cellStyle name="Wrap Bold 2 2 7 2 5" xfId="38102" xr:uid="{00000000-0005-0000-0000-000017A10000}"/>
    <cellStyle name="Wrap Bold 2 2 7 2 5 2" xfId="38103" xr:uid="{00000000-0005-0000-0000-000018A10000}"/>
    <cellStyle name="Wrap Bold 2 2 7 2 6" xfId="38104" xr:uid="{00000000-0005-0000-0000-000019A10000}"/>
    <cellStyle name="Wrap Bold 2 2 7 2 6 2" xfId="38105" xr:uid="{00000000-0005-0000-0000-00001AA10000}"/>
    <cellStyle name="Wrap Bold 2 2 7 2 7" xfId="38106" xr:uid="{00000000-0005-0000-0000-00001BA10000}"/>
    <cellStyle name="Wrap Bold 2 2 7 2 7 2" xfId="38107" xr:uid="{00000000-0005-0000-0000-00001CA10000}"/>
    <cellStyle name="Wrap Bold 2 2 7 2 8" xfId="38108" xr:uid="{00000000-0005-0000-0000-00001DA10000}"/>
    <cellStyle name="Wrap Bold 2 2 7 2 8 2" xfId="38109" xr:uid="{00000000-0005-0000-0000-00001EA10000}"/>
    <cellStyle name="Wrap Bold 2 2 7 2 9" xfId="38110" xr:uid="{00000000-0005-0000-0000-00001FA10000}"/>
    <cellStyle name="Wrap Bold 2 2 7 2 9 2" xfId="38111" xr:uid="{00000000-0005-0000-0000-000020A10000}"/>
    <cellStyle name="Wrap Bold 2 2 7 3" xfId="38112" xr:uid="{00000000-0005-0000-0000-000021A10000}"/>
    <cellStyle name="Wrap Bold 2 2 7 3 10" xfId="38113" xr:uid="{00000000-0005-0000-0000-000022A10000}"/>
    <cellStyle name="Wrap Bold 2 2 7 3 2" xfId="38114" xr:uid="{00000000-0005-0000-0000-000023A10000}"/>
    <cellStyle name="Wrap Bold 2 2 7 3 2 2" xfId="38115" xr:uid="{00000000-0005-0000-0000-000024A10000}"/>
    <cellStyle name="Wrap Bold 2 2 7 3 3" xfId="38116" xr:uid="{00000000-0005-0000-0000-000025A10000}"/>
    <cellStyle name="Wrap Bold 2 2 7 3 3 2" xfId="38117" xr:uid="{00000000-0005-0000-0000-000026A10000}"/>
    <cellStyle name="Wrap Bold 2 2 7 3 4" xfId="38118" xr:uid="{00000000-0005-0000-0000-000027A10000}"/>
    <cellStyle name="Wrap Bold 2 2 7 3 4 2" xfId="38119" xr:uid="{00000000-0005-0000-0000-000028A10000}"/>
    <cellStyle name="Wrap Bold 2 2 7 3 5" xfId="38120" xr:uid="{00000000-0005-0000-0000-000029A10000}"/>
    <cellStyle name="Wrap Bold 2 2 7 3 5 2" xfId="38121" xr:uid="{00000000-0005-0000-0000-00002AA10000}"/>
    <cellStyle name="Wrap Bold 2 2 7 3 6" xfId="38122" xr:uid="{00000000-0005-0000-0000-00002BA10000}"/>
    <cellStyle name="Wrap Bold 2 2 7 3 6 2" xfId="38123" xr:uid="{00000000-0005-0000-0000-00002CA10000}"/>
    <cellStyle name="Wrap Bold 2 2 7 3 7" xfId="38124" xr:uid="{00000000-0005-0000-0000-00002DA10000}"/>
    <cellStyle name="Wrap Bold 2 2 7 3 7 2" xfId="38125" xr:uid="{00000000-0005-0000-0000-00002EA10000}"/>
    <cellStyle name="Wrap Bold 2 2 7 3 8" xfId="38126" xr:uid="{00000000-0005-0000-0000-00002FA10000}"/>
    <cellStyle name="Wrap Bold 2 2 7 3 8 2" xfId="38127" xr:uid="{00000000-0005-0000-0000-000030A10000}"/>
    <cellStyle name="Wrap Bold 2 2 7 3 9" xfId="38128" xr:uid="{00000000-0005-0000-0000-000031A10000}"/>
    <cellStyle name="Wrap Bold 2 2 7 3 9 2" xfId="38129" xr:uid="{00000000-0005-0000-0000-000032A10000}"/>
    <cellStyle name="Wrap Bold 2 2 7 4" xfId="38130" xr:uid="{00000000-0005-0000-0000-000033A10000}"/>
    <cellStyle name="Wrap Bold 2 2 7 4 10" xfId="38131" xr:uid="{00000000-0005-0000-0000-000034A10000}"/>
    <cellStyle name="Wrap Bold 2 2 7 4 2" xfId="38132" xr:uid="{00000000-0005-0000-0000-000035A10000}"/>
    <cellStyle name="Wrap Bold 2 2 7 4 2 2" xfId="38133" xr:uid="{00000000-0005-0000-0000-000036A10000}"/>
    <cellStyle name="Wrap Bold 2 2 7 4 3" xfId="38134" xr:uid="{00000000-0005-0000-0000-000037A10000}"/>
    <cellStyle name="Wrap Bold 2 2 7 4 3 2" xfId="38135" xr:uid="{00000000-0005-0000-0000-000038A10000}"/>
    <cellStyle name="Wrap Bold 2 2 7 4 4" xfId="38136" xr:uid="{00000000-0005-0000-0000-000039A10000}"/>
    <cellStyle name="Wrap Bold 2 2 7 4 4 2" xfId="38137" xr:uid="{00000000-0005-0000-0000-00003AA10000}"/>
    <cellStyle name="Wrap Bold 2 2 7 4 5" xfId="38138" xr:uid="{00000000-0005-0000-0000-00003BA10000}"/>
    <cellStyle name="Wrap Bold 2 2 7 4 5 2" xfId="38139" xr:uid="{00000000-0005-0000-0000-00003CA10000}"/>
    <cellStyle name="Wrap Bold 2 2 7 4 6" xfId="38140" xr:uid="{00000000-0005-0000-0000-00003DA10000}"/>
    <cellStyle name="Wrap Bold 2 2 7 4 6 2" xfId="38141" xr:uid="{00000000-0005-0000-0000-00003EA10000}"/>
    <cellStyle name="Wrap Bold 2 2 7 4 7" xfId="38142" xr:uid="{00000000-0005-0000-0000-00003FA10000}"/>
    <cellStyle name="Wrap Bold 2 2 7 4 7 2" xfId="38143" xr:uid="{00000000-0005-0000-0000-000040A10000}"/>
    <cellStyle name="Wrap Bold 2 2 7 4 8" xfId="38144" xr:uid="{00000000-0005-0000-0000-000041A10000}"/>
    <cellStyle name="Wrap Bold 2 2 7 4 8 2" xfId="38145" xr:uid="{00000000-0005-0000-0000-000042A10000}"/>
    <cellStyle name="Wrap Bold 2 2 7 4 9" xfId="38146" xr:uid="{00000000-0005-0000-0000-000043A10000}"/>
    <cellStyle name="Wrap Bold 2 2 7 4 9 2" xfId="38147" xr:uid="{00000000-0005-0000-0000-000044A10000}"/>
    <cellStyle name="Wrap Bold 2 2 7 5" xfId="38148" xr:uid="{00000000-0005-0000-0000-000045A10000}"/>
    <cellStyle name="Wrap Bold 2 2 7 5 10" xfId="38149" xr:uid="{00000000-0005-0000-0000-000046A10000}"/>
    <cellStyle name="Wrap Bold 2 2 7 5 2" xfId="38150" xr:uid="{00000000-0005-0000-0000-000047A10000}"/>
    <cellStyle name="Wrap Bold 2 2 7 5 2 2" xfId="38151" xr:uid="{00000000-0005-0000-0000-000048A10000}"/>
    <cellStyle name="Wrap Bold 2 2 7 5 3" xfId="38152" xr:uid="{00000000-0005-0000-0000-000049A10000}"/>
    <cellStyle name="Wrap Bold 2 2 7 5 3 2" xfId="38153" xr:uid="{00000000-0005-0000-0000-00004AA10000}"/>
    <cellStyle name="Wrap Bold 2 2 7 5 4" xfId="38154" xr:uid="{00000000-0005-0000-0000-00004BA10000}"/>
    <cellStyle name="Wrap Bold 2 2 7 5 4 2" xfId="38155" xr:uid="{00000000-0005-0000-0000-00004CA10000}"/>
    <cellStyle name="Wrap Bold 2 2 7 5 5" xfId="38156" xr:uid="{00000000-0005-0000-0000-00004DA10000}"/>
    <cellStyle name="Wrap Bold 2 2 7 5 5 2" xfId="38157" xr:uid="{00000000-0005-0000-0000-00004EA10000}"/>
    <cellStyle name="Wrap Bold 2 2 7 5 6" xfId="38158" xr:uid="{00000000-0005-0000-0000-00004FA10000}"/>
    <cellStyle name="Wrap Bold 2 2 7 5 6 2" xfId="38159" xr:uid="{00000000-0005-0000-0000-000050A10000}"/>
    <cellStyle name="Wrap Bold 2 2 7 5 7" xfId="38160" xr:uid="{00000000-0005-0000-0000-000051A10000}"/>
    <cellStyle name="Wrap Bold 2 2 7 5 7 2" xfId="38161" xr:uid="{00000000-0005-0000-0000-000052A10000}"/>
    <cellStyle name="Wrap Bold 2 2 7 5 8" xfId="38162" xr:uid="{00000000-0005-0000-0000-000053A10000}"/>
    <cellStyle name="Wrap Bold 2 2 7 5 8 2" xfId="38163" xr:uid="{00000000-0005-0000-0000-000054A10000}"/>
    <cellStyle name="Wrap Bold 2 2 7 5 9" xfId="38164" xr:uid="{00000000-0005-0000-0000-000055A10000}"/>
    <cellStyle name="Wrap Bold 2 2 7 5 9 2" xfId="38165" xr:uid="{00000000-0005-0000-0000-000056A10000}"/>
    <cellStyle name="Wrap Bold 2 2 7 6" xfId="38166" xr:uid="{00000000-0005-0000-0000-000057A10000}"/>
    <cellStyle name="Wrap Bold 2 2 7 6 10" xfId="38167" xr:uid="{00000000-0005-0000-0000-000058A10000}"/>
    <cellStyle name="Wrap Bold 2 2 7 6 2" xfId="38168" xr:uid="{00000000-0005-0000-0000-000059A10000}"/>
    <cellStyle name="Wrap Bold 2 2 7 6 2 2" xfId="38169" xr:uid="{00000000-0005-0000-0000-00005AA10000}"/>
    <cellStyle name="Wrap Bold 2 2 7 6 3" xfId="38170" xr:uid="{00000000-0005-0000-0000-00005BA10000}"/>
    <cellStyle name="Wrap Bold 2 2 7 6 3 2" xfId="38171" xr:uid="{00000000-0005-0000-0000-00005CA10000}"/>
    <cellStyle name="Wrap Bold 2 2 7 6 4" xfId="38172" xr:uid="{00000000-0005-0000-0000-00005DA10000}"/>
    <cellStyle name="Wrap Bold 2 2 7 6 4 2" xfId="38173" xr:uid="{00000000-0005-0000-0000-00005EA10000}"/>
    <cellStyle name="Wrap Bold 2 2 7 6 5" xfId="38174" xr:uid="{00000000-0005-0000-0000-00005FA10000}"/>
    <cellStyle name="Wrap Bold 2 2 7 6 5 2" xfId="38175" xr:uid="{00000000-0005-0000-0000-000060A10000}"/>
    <cellStyle name="Wrap Bold 2 2 7 6 6" xfId="38176" xr:uid="{00000000-0005-0000-0000-000061A10000}"/>
    <cellStyle name="Wrap Bold 2 2 7 6 6 2" xfId="38177" xr:uid="{00000000-0005-0000-0000-000062A10000}"/>
    <cellStyle name="Wrap Bold 2 2 7 6 7" xfId="38178" xr:uid="{00000000-0005-0000-0000-000063A10000}"/>
    <cellStyle name="Wrap Bold 2 2 7 6 7 2" xfId="38179" xr:uid="{00000000-0005-0000-0000-000064A10000}"/>
    <cellStyle name="Wrap Bold 2 2 7 6 8" xfId="38180" xr:uid="{00000000-0005-0000-0000-000065A10000}"/>
    <cellStyle name="Wrap Bold 2 2 7 6 8 2" xfId="38181" xr:uid="{00000000-0005-0000-0000-000066A10000}"/>
    <cellStyle name="Wrap Bold 2 2 7 6 9" xfId="38182" xr:uid="{00000000-0005-0000-0000-000067A10000}"/>
    <cellStyle name="Wrap Bold 2 2 7 6 9 2" xfId="38183" xr:uid="{00000000-0005-0000-0000-000068A10000}"/>
    <cellStyle name="Wrap Bold 2 2 7 7" xfId="38184" xr:uid="{00000000-0005-0000-0000-000069A10000}"/>
    <cellStyle name="Wrap Bold 2 2 7 7 10" xfId="38185" xr:uid="{00000000-0005-0000-0000-00006AA10000}"/>
    <cellStyle name="Wrap Bold 2 2 7 7 2" xfId="38186" xr:uid="{00000000-0005-0000-0000-00006BA10000}"/>
    <cellStyle name="Wrap Bold 2 2 7 7 2 2" xfId="38187" xr:uid="{00000000-0005-0000-0000-00006CA10000}"/>
    <cellStyle name="Wrap Bold 2 2 7 7 3" xfId="38188" xr:uid="{00000000-0005-0000-0000-00006DA10000}"/>
    <cellStyle name="Wrap Bold 2 2 7 7 3 2" xfId="38189" xr:uid="{00000000-0005-0000-0000-00006EA10000}"/>
    <cellStyle name="Wrap Bold 2 2 7 7 4" xfId="38190" xr:uid="{00000000-0005-0000-0000-00006FA10000}"/>
    <cellStyle name="Wrap Bold 2 2 7 7 4 2" xfId="38191" xr:uid="{00000000-0005-0000-0000-000070A10000}"/>
    <cellStyle name="Wrap Bold 2 2 7 7 5" xfId="38192" xr:uid="{00000000-0005-0000-0000-000071A10000}"/>
    <cellStyle name="Wrap Bold 2 2 7 7 5 2" xfId="38193" xr:uid="{00000000-0005-0000-0000-000072A10000}"/>
    <cellStyle name="Wrap Bold 2 2 7 7 6" xfId="38194" xr:uid="{00000000-0005-0000-0000-000073A10000}"/>
    <cellStyle name="Wrap Bold 2 2 7 7 6 2" xfId="38195" xr:uid="{00000000-0005-0000-0000-000074A10000}"/>
    <cellStyle name="Wrap Bold 2 2 7 7 7" xfId="38196" xr:uid="{00000000-0005-0000-0000-000075A10000}"/>
    <cellStyle name="Wrap Bold 2 2 7 7 7 2" xfId="38197" xr:uid="{00000000-0005-0000-0000-000076A10000}"/>
    <cellStyle name="Wrap Bold 2 2 7 7 8" xfId="38198" xr:uid="{00000000-0005-0000-0000-000077A10000}"/>
    <cellStyle name="Wrap Bold 2 2 7 7 8 2" xfId="38199" xr:uid="{00000000-0005-0000-0000-000078A10000}"/>
    <cellStyle name="Wrap Bold 2 2 7 7 9" xfId="38200" xr:uid="{00000000-0005-0000-0000-000079A10000}"/>
    <cellStyle name="Wrap Bold 2 2 7 7 9 2" xfId="38201" xr:uid="{00000000-0005-0000-0000-00007AA10000}"/>
    <cellStyle name="Wrap Bold 2 2 7 8" xfId="38202" xr:uid="{00000000-0005-0000-0000-00007BA10000}"/>
    <cellStyle name="Wrap Bold 2 2 7 8 10" xfId="38203" xr:uid="{00000000-0005-0000-0000-00007CA10000}"/>
    <cellStyle name="Wrap Bold 2 2 7 8 2" xfId="38204" xr:uid="{00000000-0005-0000-0000-00007DA10000}"/>
    <cellStyle name="Wrap Bold 2 2 7 8 2 2" xfId="38205" xr:uid="{00000000-0005-0000-0000-00007EA10000}"/>
    <cellStyle name="Wrap Bold 2 2 7 8 3" xfId="38206" xr:uid="{00000000-0005-0000-0000-00007FA10000}"/>
    <cellStyle name="Wrap Bold 2 2 7 8 3 2" xfId="38207" xr:uid="{00000000-0005-0000-0000-000080A10000}"/>
    <cellStyle name="Wrap Bold 2 2 7 8 4" xfId="38208" xr:uid="{00000000-0005-0000-0000-000081A10000}"/>
    <cellStyle name="Wrap Bold 2 2 7 8 4 2" xfId="38209" xr:uid="{00000000-0005-0000-0000-000082A10000}"/>
    <cellStyle name="Wrap Bold 2 2 7 8 5" xfId="38210" xr:uid="{00000000-0005-0000-0000-000083A10000}"/>
    <cellStyle name="Wrap Bold 2 2 7 8 5 2" xfId="38211" xr:uid="{00000000-0005-0000-0000-000084A10000}"/>
    <cellStyle name="Wrap Bold 2 2 7 8 6" xfId="38212" xr:uid="{00000000-0005-0000-0000-000085A10000}"/>
    <cellStyle name="Wrap Bold 2 2 7 8 6 2" xfId="38213" xr:uid="{00000000-0005-0000-0000-000086A10000}"/>
    <cellStyle name="Wrap Bold 2 2 7 8 7" xfId="38214" xr:uid="{00000000-0005-0000-0000-000087A10000}"/>
    <cellStyle name="Wrap Bold 2 2 7 8 7 2" xfId="38215" xr:uid="{00000000-0005-0000-0000-000088A10000}"/>
    <cellStyle name="Wrap Bold 2 2 7 8 8" xfId="38216" xr:uid="{00000000-0005-0000-0000-000089A10000}"/>
    <cellStyle name="Wrap Bold 2 2 7 8 8 2" xfId="38217" xr:uid="{00000000-0005-0000-0000-00008AA10000}"/>
    <cellStyle name="Wrap Bold 2 2 7 8 9" xfId="38218" xr:uid="{00000000-0005-0000-0000-00008BA10000}"/>
    <cellStyle name="Wrap Bold 2 2 7 8 9 2" xfId="38219" xr:uid="{00000000-0005-0000-0000-00008CA10000}"/>
    <cellStyle name="Wrap Bold 2 2 7 9" xfId="38220" xr:uid="{00000000-0005-0000-0000-00008DA10000}"/>
    <cellStyle name="Wrap Bold 2 2 7 9 10" xfId="38221" xr:uid="{00000000-0005-0000-0000-00008EA10000}"/>
    <cellStyle name="Wrap Bold 2 2 7 9 2" xfId="38222" xr:uid="{00000000-0005-0000-0000-00008FA10000}"/>
    <cellStyle name="Wrap Bold 2 2 7 9 2 2" xfId="38223" xr:uid="{00000000-0005-0000-0000-000090A10000}"/>
    <cellStyle name="Wrap Bold 2 2 7 9 3" xfId="38224" xr:uid="{00000000-0005-0000-0000-000091A10000}"/>
    <cellStyle name="Wrap Bold 2 2 7 9 3 2" xfId="38225" xr:uid="{00000000-0005-0000-0000-000092A10000}"/>
    <cellStyle name="Wrap Bold 2 2 7 9 4" xfId="38226" xr:uid="{00000000-0005-0000-0000-000093A10000}"/>
    <cellStyle name="Wrap Bold 2 2 7 9 4 2" xfId="38227" xr:uid="{00000000-0005-0000-0000-000094A10000}"/>
    <cellStyle name="Wrap Bold 2 2 7 9 5" xfId="38228" xr:uid="{00000000-0005-0000-0000-000095A10000}"/>
    <cellStyle name="Wrap Bold 2 2 7 9 5 2" xfId="38229" xr:uid="{00000000-0005-0000-0000-000096A10000}"/>
    <cellStyle name="Wrap Bold 2 2 7 9 6" xfId="38230" xr:uid="{00000000-0005-0000-0000-000097A10000}"/>
    <cellStyle name="Wrap Bold 2 2 7 9 6 2" xfId="38231" xr:uid="{00000000-0005-0000-0000-000098A10000}"/>
    <cellStyle name="Wrap Bold 2 2 7 9 7" xfId="38232" xr:uid="{00000000-0005-0000-0000-000099A10000}"/>
    <cellStyle name="Wrap Bold 2 2 7 9 7 2" xfId="38233" xr:uid="{00000000-0005-0000-0000-00009AA10000}"/>
    <cellStyle name="Wrap Bold 2 2 7 9 8" xfId="38234" xr:uid="{00000000-0005-0000-0000-00009BA10000}"/>
    <cellStyle name="Wrap Bold 2 2 7 9 8 2" xfId="38235" xr:uid="{00000000-0005-0000-0000-00009CA10000}"/>
    <cellStyle name="Wrap Bold 2 2 7 9 9" xfId="38236" xr:uid="{00000000-0005-0000-0000-00009DA10000}"/>
    <cellStyle name="Wrap Bold 2 2 7 9 9 2" xfId="38237" xr:uid="{00000000-0005-0000-0000-00009EA10000}"/>
    <cellStyle name="Wrap Bold 2 2 8" xfId="38238" xr:uid="{00000000-0005-0000-0000-00009FA10000}"/>
    <cellStyle name="Wrap Bold 2 2 8 10" xfId="38239" xr:uid="{00000000-0005-0000-0000-0000A0A10000}"/>
    <cellStyle name="Wrap Bold 2 2 8 10 2" xfId="38240" xr:uid="{00000000-0005-0000-0000-0000A1A10000}"/>
    <cellStyle name="Wrap Bold 2 2 8 10 2 2" xfId="38241" xr:uid="{00000000-0005-0000-0000-0000A2A10000}"/>
    <cellStyle name="Wrap Bold 2 2 8 10 3" xfId="38242" xr:uid="{00000000-0005-0000-0000-0000A3A10000}"/>
    <cellStyle name="Wrap Bold 2 2 8 10 3 2" xfId="38243" xr:uid="{00000000-0005-0000-0000-0000A4A10000}"/>
    <cellStyle name="Wrap Bold 2 2 8 10 4" xfId="38244" xr:uid="{00000000-0005-0000-0000-0000A5A10000}"/>
    <cellStyle name="Wrap Bold 2 2 8 10 4 2" xfId="38245" xr:uid="{00000000-0005-0000-0000-0000A6A10000}"/>
    <cellStyle name="Wrap Bold 2 2 8 10 5" xfId="38246" xr:uid="{00000000-0005-0000-0000-0000A7A10000}"/>
    <cellStyle name="Wrap Bold 2 2 8 10 5 2" xfId="38247" xr:uid="{00000000-0005-0000-0000-0000A8A10000}"/>
    <cellStyle name="Wrap Bold 2 2 8 10 6" xfId="38248" xr:uid="{00000000-0005-0000-0000-0000A9A10000}"/>
    <cellStyle name="Wrap Bold 2 2 8 10 6 2" xfId="38249" xr:uid="{00000000-0005-0000-0000-0000AAA10000}"/>
    <cellStyle name="Wrap Bold 2 2 8 10 7" xfId="38250" xr:uid="{00000000-0005-0000-0000-0000ABA10000}"/>
    <cellStyle name="Wrap Bold 2 2 8 10 7 2" xfId="38251" xr:uid="{00000000-0005-0000-0000-0000ACA10000}"/>
    <cellStyle name="Wrap Bold 2 2 8 10 8" xfId="38252" xr:uid="{00000000-0005-0000-0000-0000ADA10000}"/>
    <cellStyle name="Wrap Bold 2 2 8 10 8 2" xfId="38253" xr:uid="{00000000-0005-0000-0000-0000AEA10000}"/>
    <cellStyle name="Wrap Bold 2 2 8 10 9" xfId="38254" xr:uid="{00000000-0005-0000-0000-0000AFA10000}"/>
    <cellStyle name="Wrap Bold 2 2 8 11" xfId="38255" xr:uid="{00000000-0005-0000-0000-0000B0A10000}"/>
    <cellStyle name="Wrap Bold 2 2 8 11 2" xfId="38256" xr:uid="{00000000-0005-0000-0000-0000B1A10000}"/>
    <cellStyle name="Wrap Bold 2 2 8 12" xfId="38257" xr:uid="{00000000-0005-0000-0000-0000B2A10000}"/>
    <cellStyle name="Wrap Bold 2 2 8 12 2" xfId="38258" xr:uid="{00000000-0005-0000-0000-0000B3A10000}"/>
    <cellStyle name="Wrap Bold 2 2 8 13" xfId="38259" xr:uid="{00000000-0005-0000-0000-0000B4A10000}"/>
    <cellStyle name="Wrap Bold 2 2 8 13 2" xfId="38260" xr:uid="{00000000-0005-0000-0000-0000B5A10000}"/>
    <cellStyle name="Wrap Bold 2 2 8 14" xfId="38261" xr:uid="{00000000-0005-0000-0000-0000B6A10000}"/>
    <cellStyle name="Wrap Bold 2 2 8 14 2" xfId="38262" xr:uid="{00000000-0005-0000-0000-0000B7A10000}"/>
    <cellStyle name="Wrap Bold 2 2 8 15" xfId="38263" xr:uid="{00000000-0005-0000-0000-0000B8A10000}"/>
    <cellStyle name="Wrap Bold 2 2 8 15 2" xfId="38264" xr:uid="{00000000-0005-0000-0000-0000B9A10000}"/>
    <cellStyle name="Wrap Bold 2 2 8 16" xfId="38265" xr:uid="{00000000-0005-0000-0000-0000BAA10000}"/>
    <cellStyle name="Wrap Bold 2 2 8 16 2" xfId="38266" xr:uid="{00000000-0005-0000-0000-0000BBA10000}"/>
    <cellStyle name="Wrap Bold 2 2 8 17" xfId="38267" xr:uid="{00000000-0005-0000-0000-0000BCA10000}"/>
    <cellStyle name="Wrap Bold 2 2 8 17 2" xfId="38268" xr:uid="{00000000-0005-0000-0000-0000BDA10000}"/>
    <cellStyle name="Wrap Bold 2 2 8 18" xfId="38269" xr:uid="{00000000-0005-0000-0000-0000BEA10000}"/>
    <cellStyle name="Wrap Bold 2 2 8 2" xfId="38270" xr:uid="{00000000-0005-0000-0000-0000BFA10000}"/>
    <cellStyle name="Wrap Bold 2 2 8 2 10" xfId="38271" xr:uid="{00000000-0005-0000-0000-0000C0A10000}"/>
    <cellStyle name="Wrap Bold 2 2 8 2 2" xfId="38272" xr:uid="{00000000-0005-0000-0000-0000C1A10000}"/>
    <cellStyle name="Wrap Bold 2 2 8 2 2 2" xfId="38273" xr:uid="{00000000-0005-0000-0000-0000C2A10000}"/>
    <cellStyle name="Wrap Bold 2 2 8 2 3" xfId="38274" xr:uid="{00000000-0005-0000-0000-0000C3A10000}"/>
    <cellStyle name="Wrap Bold 2 2 8 2 3 2" xfId="38275" xr:uid="{00000000-0005-0000-0000-0000C4A10000}"/>
    <cellStyle name="Wrap Bold 2 2 8 2 4" xfId="38276" xr:uid="{00000000-0005-0000-0000-0000C5A10000}"/>
    <cellStyle name="Wrap Bold 2 2 8 2 4 2" xfId="38277" xr:uid="{00000000-0005-0000-0000-0000C6A10000}"/>
    <cellStyle name="Wrap Bold 2 2 8 2 5" xfId="38278" xr:uid="{00000000-0005-0000-0000-0000C7A10000}"/>
    <cellStyle name="Wrap Bold 2 2 8 2 5 2" xfId="38279" xr:uid="{00000000-0005-0000-0000-0000C8A10000}"/>
    <cellStyle name="Wrap Bold 2 2 8 2 6" xfId="38280" xr:uid="{00000000-0005-0000-0000-0000C9A10000}"/>
    <cellStyle name="Wrap Bold 2 2 8 2 6 2" xfId="38281" xr:uid="{00000000-0005-0000-0000-0000CAA10000}"/>
    <cellStyle name="Wrap Bold 2 2 8 2 7" xfId="38282" xr:uid="{00000000-0005-0000-0000-0000CBA10000}"/>
    <cellStyle name="Wrap Bold 2 2 8 2 7 2" xfId="38283" xr:uid="{00000000-0005-0000-0000-0000CCA10000}"/>
    <cellStyle name="Wrap Bold 2 2 8 2 8" xfId="38284" xr:uid="{00000000-0005-0000-0000-0000CDA10000}"/>
    <cellStyle name="Wrap Bold 2 2 8 2 8 2" xfId="38285" xr:uid="{00000000-0005-0000-0000-0000CEA10000}"/>
    <cellStyle name="Wrap Bold 2 2 8 2 9" xfId="38286" xr:uid="{00000000-0005-0000-0000-0000CFA10000}"/>
    <cellStyle name="Wrap Bold 2 2 8 2 9 2" xfId="38287" xr:uid="{00000000-0005-0000-0000-0000D0A10000}"/>
    <cellStyle name="Wrap Bold 2 2 8 3" xfId="38288" xr:uid="{00000000-0005-0000-0000-0000D1A10000}"/>
    <cellStyle name="Wrap Bold 2 2 8 3 10" xfId="38289" xr:uid="{00000000-0005-0000-0000-0000D2A10000}"/>
    <cellStyle name="Wrap Bold 2 2 8 3 2" xfId="38290" xr:uid="{00000000-0005-0000-0000-0000D3A10000}"/>
    <cellStyle name="Wrap Bold 2 2 8 3 2 2" xfId="38291" xr:uid="{00000000-0005-0000-0000-0000D4A10000}"/>
    <cellStyle name="Wrap Bold 2 2 8 3 3" xfId="38292" xr:uid="{00000000-0005-0000-0000-0000D5A10000}"/>
    <cellStyle name="Wrap Bold 2 2 8 3 3 2" xfId="38293" xr:uid="{00000000-0005-0000-0000-0000D6A10000}"/>
    <cellStyle name="Wrap Bold 2 2 8 3 4" xfId="38294" xr:uid="{00000000-0005-0000-0000-0000D7A10000}"/>
    <cellStyle name="Wrap Bold 2 2 8 3 4 2" xfId="38295" xr:uid="{00000000-0005-0000-0000-0000D8A10000}"/>
    <cellStyle name="Wrap Bold 2 2 8 3 5" xfId="38296" xr:uid="{00000000-0005-0000-0000-0000D9A10000}"/>
    <cellStyle name="Wrap Bold 2 2 8 3 5 2" xfId="38297" xr:uid="{00000000-0005-0000-0000-0000DAA10000}"/>
    <cellStyle name="Wrap Bold 2 2 8 3 6" xfId="38298" xr:uid="{00000000-0005-0000-0000-0000DBA10000}"/>
    <cellStyle name="Wrap Bold 2 2 8 3 6 2" xfId="38299" xr:uid="{00000000-0005-0000-0000-0000DCA10000}"/>
    <cellStyle name="Wrap Bold 2 2 8 3 7" xfId="38300" xr:uid="{00000000-0005-0000-0000-0000DDA10000}"/>
    <cellStyle name="Wrap Bold 2 2 8 3 7 2" xfId="38301" xr:uid="{00000000-0005-0000-0000-0000DEA10000}"/>
    <cellStyle name="Wrap Bold 2 2 8 3 8" xfId="38302" xr:uid="{00000000-0005-0000-0000-0000DFA10000}"/>
    <cellStyle name="Wrap Bold 2 2 8 3 8 2" xfId="38303" xr:uid="{00000000-0005-0000-0000-0000E0A10000}"/>
    <cellStyle name="Wrap Bold 2 2 8 3 9" xfId="38304" xr:uid="{00000000-0005-0000-0000-0000E1A10000}"/>
    <cellStyle name="Wrap Bold 2 2 8 3 9 2" xfId="38305" xr:uid="{00000000-0005-0000-0000-0000E2A10000}"/>
    <cellStyle name="Wrap Bold 2 2 8 4" xfId="38306" xr:uid="{00000000-0005-0000-0000-0000E3A10000}"/>
    <cellStyle name="Wrap Bold 2 2 8 4 10" xfId="38307" xr:uid="{00000000-0005-0000-0000-0000E4A10000}"/>
    <cellStyle name="Wrap Bold 2 2 8 4 2" xfId="38308" xr:uid="{00000000-0005-0000-0000-0000E5A10000}"/>
    <cellStyle name="Wrap Bold 2 2 8 4 2 2" xfId="38309" xr:uid="{00000000-0005-0000-0000-0000E6A10000}"/>
    <cellStyle name="Wrap Bold 2 2 8 4 3" xfId="38310" xr:uid="{00000000-0005-0000-0000-0000E7A10000}"/>
    <cellStyle name="Wrap Bold 2 2 8 4 3 2" xfId="38311" xr:uid="{00000000-0005-0000-0000-0000E8A10000}"/>
    <cellStyle name="Wrap Bold 2 2 8 4 4" xfId="38312" xr:uid="{00000000-0005-0000-0000-0000E9A10000}"/>
    <cellStyle name="Wrap Bold 2 2 8 4 4 2" xfId="38313" xr:uid="{00000000-0005-0000-0000-0000EAA10000}"/>
    <cellStyle name="Wrap Bold 2 2 8 4 5" xfId="38314" xr:uid="{00000000-0005-0000-0000-0000EBA10000}"/>
    <cellStyle name="Wrap Bold 2 2 8 4 5 2" xfId="38315" xr:uid="{00000000-0005-0000-0000-0000ECA10000}"/>
    <cellStyle name="Wrap Bold 2 2 8 4 6" xfId="38316" xr:uid="{00000000-0005-0000-0000-0000EDA10000}"/>
    <cellStyle name="Wrap Bold 2 2 8 4 6 2" xfId="38317" xr:uid="{00000000-0005-0000-0000-0000EEA10000}"/>
    <cellStyle name="Wrap Bold 2 2 8 4 7" xfId="38318" xr:uid="{00000000-0005-0000-0000-0000EFA10000}"/>
    <cellStyle name="Wrap Bold 2 2 8 4 7 2" xfId="38319" xr:uid="{00000000-0005-0000-0000-0000F0A10000}"/>
    <cellStyle name="Wrap Bold 2 2 8 4 8" xfId="38320" xr:uid="{00000000-0005-0000-0000-0000F1A10000}"/>
    <cellStyle name="Wrap Bold 2 2 8 4 8 2" xfId="38321" xr:uid="{00000000-0005-0000-0000-0000F2A10000}"/>
    <cellStyle name="Wrap Bold 2 2 8 4 9" xfId="38322" xr:uid="{00000000-0005-0000-0000-0000F3A10000}"/>
    <cellStyle name="Wrap Bold 2 2 8 4 9 2" xfId="38323" xr:uid="{00000000-0005-0000-0000-0000F4A10000}"/>
    <cellStyle name="Wrap Bold 2 2 8 5" xfId="38324" xr:uid="{00000000-0005-0000-0000-0000F5A10000}"/>
    <cellStyle name="Wrap Bold 2 2 8 5 10" xfId="38325" xr:uid="{00000000-0005-0000-0000-0000F6A10000}"/>
    <cellStyle name="Wrap Bold 2 2 8 5 2" xfId="38326" xr:uid="{00000000-0005-0000-0000-0000F7A10000}"/>
    <cellStyle name="Wrap Bold 2 2 8 5 2 2" xfId="38327" xr:uid="{00000000-0005-0000-0000-0000F8A10000}"/>
    <cellStyle name="Wrap Bold 2 2 8 5 3" xfId="38328" xr:uid="{00000000-0005-0000-0000-0000F9A10000}"/>
    <cellStyle name="Wrap Bold 2 2 8 5 3 2" xfId="38329" xr:uid="{00000000-0005-0000-0000-0000FAA10000}"/>
    <cellStyle name="Wrap Bold 2 2 8 5 4" xfId="38330" xr:uid="{00000000-0005-0000-0000-0000FBA10000}"/>
    <cellStyle name="Wrap Bold 2 2 8 5 4 2" xfId="38331" xr:uid="{00000000-0005-0000-0000-0000FCA10000}"/>
    <cellStyle name="Wrap Bold 2 2 8 5 5" xfId="38332" xr:uid="{00000000-0005-0000-0000-0000FDA10000}"/>
    <cellStyle name="Wrap Bold 2 2 8 5 5 2" xfId="38333" xr:uid="{00000000-0005-0000-0000-0000FEA10000}"/>
    <cellStyle name="Wrap Bold 2 2 8 5 6" xfId="38334" xr:uid="{00000000-0005-0000-0000-0000FFA10000}"/>
    <cellStyle name="Wrap Bold 2 2 8 5 6 2" xfId="38335" xr:uid="{00000000-0005-0000-0000-000000A20000}"/>
    <cellStyle name="Wrap Bold 2 2 8 5 7" xfId="38336" xr:uid="{00000000-0005-0000-0000-000001A20000}"/>
    <cellStyle name="Wrap Bold 2 2 8 5 7 2" xfId="38337" xr:uid="{00000000-0005-0000-0000-000002A20000}"/>
    <cellStyle name="Wrap Bold 2 2 8 5 8" xfId="38338" xr:uid="{00000000-0005-0000-0000-000003A20000}"/>
    <cellStyle name="Wrap Bold 2 2 8 5 8 2" xfId="38339" xr:uid="{00000000-0005-0000-0000-000004A20000}"/>
    <cellStyle name="Wrap Bold 2 2 8 5 9" xfId="38340" xr:uid="{00000000-0005-0000-0000-000005A20000}"/>
    <cellStyle name="Wrap Bold 2 2 8 5 9 2" xfId="38341" xr:uid="{00000000-0005-0000-0000-000006A20000}"/>
    <cellStyle name="Wrap Bold 2 2 8 6" xfId="38342" xr:uid="{00000000-0005-0000-0000-000007A20000}"/>
    <cellStyle name="Wrap Bold 2 2 8 6 10" xfId="38343" xr:uid="{00000000-0005-0000-0000-000008A20000}"/>
    <cellStyle name="Wrap Bold 2 2 8 6 2" xfId="38344" xr:uid="{00000000-0005-0000-0000-000009A20000}"/>
    <cellStyle name="Wrap Bold 2 2 8 6 2 2" xfId="38345" xr:uid="{00000000-0005-0000-0000-00000AA20000}"/>
    <cellStyle name="Wrap Bold 2 2 8 6 3" xfId="38346" xr:uid="{00000000-0005-0000-0000-00000BA20000}"/>
    <cellStyle name="Wrap Bold 2 2 8 6 3 2" xfId="38347" xr:uid="{00000000-0005-0000-0000-00000CA20000}"/>
    <cellStyle name="Wrap Bold 2 2 8 6 4" xfId="38348" xr:uid="{00000000-0005-0000-0000-00000DA20000}"/>
    <cellStyle name="Wrap Bold 2 2 8 6 4 2" xfId="38349" xr:uid="{00000000-0005-0000-0000-00000EA20000}"/>
    <cellStyle name="Wrap Bold 2 2 8 6 5" xfId="38350" xr:uid="{00000000-0005-0000-0000-00000FA20000}"/>
    <cellStyle name="Wrap Bold 2 2 8 6 5 2" xfId="38351" xr:uid="{00000000-0005-0000-0000-000010A20000}"/>
    <cellStyle name="Wrap Bold 2 2 8 6 6" xfId="38352" xr:uid="{00000000-0005-0000-0000-000011A20000}"/>
    <cellStyle name="Wrap Bold 2 2 8 6 6 2" xfId="38353" xr:uid="{00000000-0005-0000-0000-000012A20000}"/>
    <cellStyle name="Wrap Bold 2 2 8 6 7" xfId="38354" xr:uid="{00000000-0005-0000-0000-000013A20000}"/>
    <cellStyle name="Wrap Bold 2 2 8 6 7 2" xfId="38355" xr:uid="{00000000-0005-0000-0000-000014A20000}"/>
    <cellStyle name="Wrap Bold 2 2 8 6 8" xfId="38356" xr:uid="{00000000-0005-0000-0000-000015A20000}"/>
    <cellStyle name="Wrap Bold 2 2 8 6 8 2" xfId="38357" xr:uid="{00000000-0005-0000-0000-000016A20000}"/>
    <cellStyle name="Wrap Bold 2 2 8 6 9" xfId="38358" xr:uid="{00000000-0005-0000-0000-000017A20000}"/>
    <cellStyle name="Wrap Bold 2 2 8 6 9 2" xfId="38359" xr:uid="{00000000-0005-0000-0000-000018A20000}"/>
    <cellStyle name="Wrap Bold 2 2 8 7" xfId="38360" xr:uid="{00000000-0005-0000-0000-000019A20000}"/>
    <cellStyle name="Wrap Bold 2 2 8 7 10" xfId="38361" xr:uid="{00000000-0005-0000-0000-00001AA20000}"/>
    <cellStyle name="Wrap Bold 2 2 8 7 2" xfId="38362" xr:uid="{00000000-0005-0000-0000-00001BA20000}"/>
    <cellStyle name="Wrap Bold 2 2 8 7 2 2" xfId="38363" xr:uid="{00000000-0005-0000-0000-00001CA20000}"/>
    <cellStyle name="Wrap Bold 2 2 8 7 3" xfId="38364" xr:uid="{00000000-0005-0000-0000-00001DA20000}"/>
    <cellStyle name="Wrap Bold 2 2 8 7 3 2" xfId="38365" xr:uid="{00000000-0005-0000-0000-00001EA20000}"/>
    <cellStyle name="Wrap Bold 2 2 8 7 4" xfId="38366" xr:uid="{00000000-0005-0000-0000-00001FA20000}"/>
    <cellStyle name="Wrap Bold 2 2 8 7 4 2" xfId="38367" xr:uid="{00000000-0005-0000-0000-000020A20000}"/>
    <cellStyle name="Wrap Bold 2 2 8 7 5" xfId="38368" xr:uid="{00000000-0005-0000-0000-000021A20000}"/>
    <cellStyle name="Wrap Bold 2 2 8 7 5 2" xfId="38369" xr:uid="{00000000-0005-0000-0000-000022A20000}"/>
    <cellStyle name="Wrap Bold 2 2 8 7 6" xfId="38370" xr:uid="{00000000-0005-0000-0000-000023A20000}"/>
    <cellStyle name="Wrap Bold 2 2 8 7 6 2" xfId="38371" xr:uid="{00000000-0005-0000-0000-000024A20000}"/>
    <cellStyle name="Wrap Bold 2 2 8 7 7" xfId="38372" xr:uid="{00000000-0005-0000-0000-000025A20000}"/>
    <cellStyle name="Wrap Bold 2 2 8 7 7 2" xfId="38373" xr:uid="{00000000-0005-0000-0000-000026A20000}"/>
    <cellStyle name="Wrap Bold 2 2 8 7 8" xfId="38374" xr:uid="{00000000-0005-0000-0000-000027A20000}"/>
    <cellStyle name="Wrap Bold 2 2 8 7 8 2" xfId="38375" xr:uid="{00000000-0005-0000-0000-000028A20000}"/>
    <cellStyle name="Wrap Bold 2 2 8 7 9" xfId="38376" xr:uid="{00000000-0005-0000-0000-000029A20000}"/>
    <cellStyle name="Wrap Bold 2 2 8 7 9 2" xfId="38377" xr:uid="{00000000-0005-0000-0000-00002AA20000}"/>
    <cellStyle name="Wrap Bold 2 2 8 8" xfId="38378" xr:uid="{00000000-0005-0000-0000-00002BA20000}"/>
    <cellStyle name="Wrap Bold 2 2 8 8 10" xfId="38379" xr:uid="{00000000-0005-0000-0000-00002CA20000}"/>
    <cellStyle name="Wrap Bold 2 2 8 8 2" xfId="38380" xr:uid="{00000000-0005-0000-0000-00002DA20000}"/>
    <cellStyle name="Wrap Bold 2 2 8 8 2 2" xfId="38381" xr:uid="{00000000-0005-0000-0000-00002EA20000}"/>
    <cellStyle name="Wrap Bold 2 2 8 8 3" xfId="38382" xr:uid="{00000000-0005-0000-0000-00002FA20000}"/>
    <cellStyle name="Wrap Bold 2 2 8 8 3 2" xfId="38383" xr:uid="{00000000-0005-0000-0000-000030A20000}"/>
    <cellStyle name="Wrap Bold 2 2 8 8 4" xfId="38384" xr:uid="{00000000-0005-0000-0000-000031A20000}"/>
    <cellStyle name="Wrap Bold 2 2 8 8 4 2" xfId="38385" xr:uid="{00000000-0005-0000-0000-000032A20000}"/>
    <cellStyle name="Wrap Bold 2 2 8 8 5" xfId="38386" xr:uid="{00000000-0005-0000-0000-000033A20000}"/>
    <cellStyle name="Wrap Bold 2 2 8 8 5 2" xfId="38387" xr:uid="{00000000-0005-0000-0000-000034A20000}"/>
    <cellStyle name="Wrap Bold 2 2 8 8 6" xfId="38388" xr:uid="{00000000-0005-0000-0000-000035A20000}"/>
    <cellStyle name="Wrap Bold 2 2 8 8 6 2" xfId="38389" xr:uid="{00000000-0005-0000-0000-000036A20000}"/>
    <cellStyle name="Wrap Bold 2 2 8 8 7" xfId="38390" xr:uid="{00000000-0005-0000-0000-000037A20000}"/>
    <cellStyle name="Wrap Bold 2 2 8 8 7 2" xfId="38391" xr:uid="{00000000-0005-0000-0000-000038A20000}"/>
    <cellStyle name="Wrap Bold 2 2 8 8 8" xfId="38392" xr:uid="{00000000-0005-0000-0000-000039A20000}"/>
    <cellStyle name="Wrap Bold 2 2 8 8 8 2" xfId="38393" xr:uid="{00000000-0005-0000-0000-00003AA20000}"/>
    <cellStyle name="Wrap Bold 2 2 8 8 9" xfId="38394" xr:uid="{00000000-0005-0000-0000-00003BA20000}"/>
    <cellStyle name="Wrap Bold 2 2 8 8 9 2" xfId="38395" xr:uid="{00000000-0005-0000-0000-00003CA20000}"/>
    <cellStyle name="Wrap Bold 2 2 8 9" xfId="38396" xr:uid="{00000000-0005-0000-0000-00003DA20000}"/>
    <cellStyle name="Wrap Bold 2 2 8 9 10" xfId="38397" xr:uid="{00000000-0005-0000-0000-00003EA20000}"/>
    <cellStyle name="Wrap Bold 2 2 8 9 2" xfId="38398" xr:uid="{00000000-0005-0000-0000-00003FA20000}"/>
    <cellStyle name="Wrap Bold 2 2 8 9 2 2" xfId="38399" xr:uid="{00000000-0005-0000-0000-000040A20000}"/>
    <cellStyle name="Wrap Bold 2 2 8 9 3" xfId="38400" xr:uid="{00000000-0005-0000-0000-000041A20000}"/>
    <cellStyle name="Wrap Bold 2 2 8 9 3 2" xfId="38401" xr:uid="{00000000-0005-0000-0000-000042A20000}"/>
    <cellStyle name="Wrap Bold 2 2 8 9 4" xfId="38402" xr:uid="{00000000-0005-0000-0000-000043A20000}"/>
    <cellStyle name="Wrap Bold 2 2 8 9 4 2" xfId="38403" xr:uid="{00000000-0005-0000-0000-000044A20000}"/>
    <cellStyle name="Wrap Bold 2 2 8 9 5" xfId="38404" xr:uid="{00000000-0005-0000-0000-000045A20000}"/>
    <cellStyle name="Wrap Bold 2 2 8 9 5 2" xfId="38405" xr:uid="{00000000-0005-0000-0000-000046A20000}"/>
    <cellStyle name="Wrap Bold 2 2 8 9 6" xfId="38406" xr:uid="{00000000-0005-0000-0000-000047A20000}"/>
    <cellStyle name="Wrap Bold 2 2 8 9 6 2" xfId="38407" xr:uid="{00000000-0005-0000-0000-000048A20000}"/>
    <cellStyle name="Wrap Bold 2 2 8 9 7" xfId="38408" xr:uid="{00000000-0005-0000-0000-000049A20000}"/>
    <cellStyle name="Wrap Bold 2 2 8 9 7 2" xfId="38409" xr:uid="{00000000-0005-0000-0000-00004AA20000}"/>
    <cellStyle name="Wrap Bold 2 2 8 9 8" xfId="38410" xr:uid="{00000000-0005-0000-0000-00004BA20000}"/>
    <cellStyle name="Wrap Bold 2 2 8 9 8 2" xfId="38411" xr:uid="{00000000-0005-0000-0000-00004CA20000}"/>
    <cellStyle name="Wrap Bold 2 2 8 9 9" xfId="38412" xr:uid="{00000000-0005-0000-0000-00004DA20000}"/>
    <cellStyle name="Wrap Bold 2 2 8 9 9 2" xfId="38413" xr:uid="{00000000-0005-0000-0000-00004EA20000}"/>
    <cellStyle name="Wrap Bold 2 3" xfId="212" xr:uid="{00000000-0005-0000-0000-00004FA20000}"/>
    <cellStyle name="Wrap Bold 2 3 2" xfId="38414" xr:uid="{00000000-0005-0000-0000-000050A20000}"/>
    <cellStyle name="Wrap Bold 2 3 2 10" xfId="38415" xr:uid="{00000000-0005-0000-0000-000051A20000}"/>
    <cellStyle name="Wrap Bold 2 3 2 10 10" xfId="38416" xr:uid="{00000000-0005-0000-0000-000052A20000}"/>
    <cellStyle name="Wrap Bold 2 3 2 10 2" xfId="38417" xr:uid="{00000000-0005-0000-0000-000053A20000}"/>
    <cellStyle name="Wrap Bold 2 3 2 10 2 2" xfId="38418" xr:uid="{00000000-0005-0000-0000-000054A20000}"/>
    <cellStyle name="Wrap Bold 2 3 2 10 3" xfId="38419" xr:uid="{00000000-0005-0000-0000-000055A20000}"/>
    <cellStyle name="Wrap Bold 2 3 2 10 3 2" xfId="38420" xr:uid="{00000000-0005-0000-0000-000056A20000}"/>
    <cellStyle name="Wrap Bold 2 3 2 10 4" xfId="38421" xr:uid="{00000000-0005-0000-0000-000057A20000}"/>
    <cellStyle name="Wrap Bold 2 3 2 10 4 2" xfId="38422" xr:uid="{00000000-0005-0000-0000-000058A20000}"/>
    <cellStyle name="Wrap Bold 2 3 2 10 5" xfId="38423" xr:uid="{00000000-0005-0000-0000-000059A20000}"/>
    <cellStyle name="Wrap Bold 2 3 2 10 5 2" xfId="38424" xr:uid="{00000000-0005-0000-0000-00005AA20000}"/>
    <cellStyle name="Wrap Bold 2 3 2 10 6" xfId="38425" xr:uid="{00000000-0005-0000-0000-00005BA20000}"/>
    <cellStyle name="Wrap Bold 2 3 2 10 6 2" xfId="38426" xr:uid="{00000000-0005-0000-0000-00005CA20000}"/>
    <cellStyle name="Wrap Bold 2 3 2 10 7" xfId="38427" xr:uid="{00000000-0005-0000-0000-00005DA20000}"/>
    <cellStyle name="Wrap Bold 2 3 2 10 7 2" xfId="38428" xr:uid="{00000000-0005-0000-0000-00005EA20000}"/>
    <cellStyle name="Wrap Bold 2 3 2 10 8" xfId="38429" xr:uid="{00000000-0005-0000-0000-00005FA20000}"/>
    <cellStyle name="Wrap Bold 2 3 2 10 8 2" xfId="38430" xr:uid="{00000000-0005-0000-0000-000060A20000}"/>
    <cellStyle name="Wrap Bold 2 3 2 10 9" xfId="38431" xr:uid="{00000000-0005-0000-0000-000061A20000}"/>
    <cellStyle name="Wrap Bold 2 3 2 10 9 2" xfId="38432" xr:uid="{00000000-0005-0000-0000-000062A20000}"/>
    <cellStyle name="Wrap Bold 2 3 2 11" xfId="38433" xr:uid="{00000000-0005-0000-0000-000063A20000}"/>
    <cellStyle name="Wrap Bold 2 3 2 11 2" xfId="38434" xr:uid="{00000000-0005-0000-0000-000064A20000}"/>
    <cellStyle name="Wrap Bold 2 3 2 11 2 2" xfId="38435" xr:uid="{00000000-0005-0000-0000-000065A20000}"/>
    <cellStyle name="Wrap Bold 2 3 2 11 3" xfId="38436" xr:uid="{00000000-0005-0000-0000-000066A20000}"/>
    <cellStyle name="Wrap Bold 2 3 2 11 3 2" xfId="38437" xr:uid="{00000000-0005-0000-0000-000067A20000}"/>
    <cellStyle name="Wrap Bold 2 3 2 11 4" xfId="38438" xr:uid="{00000000-0005-0000-0000-000068A20000}"/>
    <cellStyle name="Wrap Bold 2 3 2 11 4 2" xfId="38439" xr:uid="{00000000-0005-0000-0000-000069A20000}"/>
    <cellStyle name="Wrap Bold 2 3 2 11 5" xfId="38440" xr:uid="{00000000-0005-0000-0000-00006AA20000}"/>
    <cellStyle name="Wrap Bold 2 3 2 11 5 2" xfId="38441" xr:uid="{00000000-0005-0000-0000-00006BA20000}"/>
    <cellStyle name="Wrap Bold 2 3 2 11 6" xfId="38442" xr:uid="{00000000-0005-0000-0000-00006CA20000}"/>
    <cellStyle name="Wrap Bold 2 3 2 11 6 2" xfId="38443" xr:uid="{00000000-0005-0000-0000-00006DA20000}"/>
    <cellStyle name="Wrap Bold 2 3 2 11 7" xfId="38444" xr:uid="{00000000-0005-0000-0000-00006EA20000}"/>
    <cellStyle name="Wrap Bold 2 3 2 11 7 2" xfId="38445" xr:uid="{00000000-0005-0000-0000-00006FA20000}"/>
    <cellStyle name="Wrap Bold 2 3 2 11 8" xfId="38446" xr:uid="{00000000-0005-0000-0000-000070A20000}"/>
    <cellStyle name="Wrap Bold 2 3 2 11 8 2" xfId="38447" xr:uid="{00000000-0005-0000-0000-000071A20000}"/>
    <cellStyle name="Wrap Bold 2 3 2 11 9" xfId="38448" xr:uid="{00000000-0005-0000-0000-000072A20000}"/>
    <cellStyle name="Wrap Bold 2 3 2 2" xfId="38449" xr:uid="{00000000-0005-0000-0000-000073A20000}"/>
    <cellStyle name="Wrap Bold 2 3 2 2 10" xfId="38450" xr:uid="{00000000-0005-0000-0000-000074A20000}"/>
    <cellStyle name="Wrap Bold 2 3 2 2 2" xfId="38451" xr:uid="{00000000-0005-0000-0000-000075A20000}"/>
    <cellStyle name="Wrap Bold 2 3 2 2 2 2" xfId="38452" xr:uid="{00000000-0005-0000-0000-000076A20000}"/>
    <cellStyle name="Wrap Bold 2 3 2 2 3" xfId="38453" xr:uid="{00000000-0005-0000-0000-000077A20000}"/>
    <cellStyle name="Wrap Bold 2 3 2 2 3 2" xfId="38454" xr:uid="{00000000-0005-0000-0000-000078A20000}"/>
    <cellStyle name="Wrap Bold 2 3 2 2 4" xfId="38455" xr:uid="{00000000-0005-0000-0000-000079A20000}"/>
    <cellStyle name="Wrap Bold 2 3 2 2 4 2" xfId="38456" xr:uid="{00000000-0005-0000-0000-00007AA20000}"/>
    <cellStyle name="Wrap Bold 2 3 2 2 5" xfId="38457" xr:uid="{00000000-0005-0000-0000-00007BA20000}"/>
    <cellStyle name="Wrap Bold 2 3 2 2 5 2" xfId="38458" xr:uid="{00000000-0005-0000-0000-00007CA20000}"/>
    <cellStyle name="Wrap Bold 2 3 2 2 6" xfId="38459" xr:uid="{00000000-0005-0000-0000-00007DA20000}"/>
    <cellStyle name="Wrap Bold 2 3 2 2 6 2" xfId="38460" xr:uid="{00000000-0005-0000-0000-00007EA20000}"/>
    <cellStyle name="Wrap Bold 2 3 2 2 7" xfId="38461" xr:uid="{00000000-0005-0000-0000-00007FA20000}"/>
    <cellStyle name="Wrap Bold 2 3 2 2 7 2" xfId="38462" xr:uid="{00000000-0005-0000-0000-000080A20000}"/>
    <cellStyle name="Wrap Bold 2 3 2 2 8" xfId="38463" xr:uid="{00000000-0005-0000-0000-000081A20000}"/>
    <cellStyle name="Wrap Bold 2 3 2 2 8 2" xfId="38464" xr:uid="{00000000-0005-0000-0000-000082A20000}"/>
    <cellStyle name="Wrap Bold 2 3 2 2 9" xfId="38465" xr:uid="{00000000-0005-0000-0000-000083A20000}"/>
    <cellStyle name="Wrap Bold 2 3 2 2 9 2" xfId="38466" xr:uid="{00000000-0005-0000-0000-000084A20000}"/>
    <cellStyle name="Wrap Bold 2 3 2 3" xfId="38467" xr:uid="{00000000-0005-0000-0000-000085A20000}"/>
    <cellStyle name="Wrap Bold 2 3 2 3 10" xfId="38468" xr:uid="{00000000-0005-0000-0000-000086A20000}"/>
    <cellStyle name="Wrap Bold 2 3 2 3 2" xfId="38469" xr:uid="{00000000-0005-0000-0000-000087A20000}"/>
    <cellStyle name="Wrap Bold 2 3 2 3 2 2" xfId="38470" xr:uid="{00000000-0005-0000-0000-000088A20000}"/>
    <cellStyle name="Wrap Bold 2 3 2 3 3" xfId="38471" xr:uid="{00000000-0005-0000-0000-000089A20000}"/>
    <cellStyle name="Wrap Bold 2 3 2 3 3 2" xfId="38472" xr:uid="{00000000-0005-0000-0000-00008AA20000}"/>
    <cellStyle name="Wrap Bold 2 3 2 3 4" xfId="38473" xr:uid="{00000000-0005-0000-0000-00008BA20000}"/>
    <cellStyle name="Wrap Bold 2 3 2 3 4 2" xfId="38474" xr:uid="{00000000-0005-0000-0000-00008CA20000}"/>
    <cellStyle name="Wrap Bold 2 3 2 3 5" xfId="38475" xr:uid="{00000000-0005-0000-0000-00008DA20000}"/>
    <cellStyle name="Wrap Bold 2 3 2 3 5 2" xfId="38476" xr:uid="{00000000-0005-0000-0000-00008EA20000}"/>
    <cellStyle name="Wrap Bold 2 3 2 3 6" xfId="38477" xr:uid="{00000000-0005-0000-0000-00008FA20000}"/>
    <cellStyle name="Wrap Bold 2 3 2 3 6 2" xfId="38478" xr:uid="{00000000-0005-0000-0000-000090A20000}"/>
    <cellStyle name="Wrap Bold 2 3 2 3 7" xfId="38479" xr:uid="{00000000-0005-0000-0000-000091A20000}"/>
    <cellStyle name="Wrap Bold 2 3 2 3 7 2" xfId="38480" xr:uid="{00000000-0005-0000-0000-000092A20000}"/>
    <cellStyle name="Wrap Bold 2 3 2 3 8" xfId="38481" xr:uid="{00000000-0005-0000-0000-000093A20000}"/>
    <cellStyle name="Wrap Bold 2 3 2 3 8 2" xfId="38482" xr:uid="{00000000-0005-0000-0000-000094A20000}"/>
    <cellStyle name="Wrap Bold 2 3 2 3 9" xfId="38483" xr:uid="{00000000-0005-0000-0000-000095A20000}"/>
    <cellStyle name="Wrap Bold 2 3 2 3 9 2" xfId="38484" xr:uid="{00000000-0005-0000-0000-000096A20000}"/>
    <cellStyle name="Wrap Bold 2 3 2 4" xfId="38485" xr:uid="{00000000-0005-0000-0000-000097A20000}"/>
    <cellStyle name="Wrap Bold 2 3 2 4 10" xfId="38486" xr:uid="{00000000-0005-0000-0000-000098A20000}"/>
    <cellStyle name="Wrap Bold 2 3 2 4 2" xfId="38487" xr:uid="{00000000-0005-0000-0000-000099A20000}"/>
    <cellStyle name="Wrap Bold 2 3 2 4 2 2" xfId="38488" xr:uid="{00000000-0005-0000-0000-00009AA20000}"/>
    <cellStyle name="Wrap Bold 2 3 2 4 3" xfId="38489" xr:uid="{00000000-0005-0000-0000-00009BA20000}"/>
    <cellStyle name="Wrap Bold 2 3 2 4 3 2" xfId="38490" xr:uid="{00000000-0005-0000-0000-00009CA20000}"/>
    <cellStyle name="Wrap Bold 2 3 2 4 4" xfId="38491" xr:uid="{00000000-0005-0000-0000-00009DA20000}"/>
    <cellStyle name="Wrap Bold 2 3 2 4 4 2" xfId="38492" xr:uid="{00000000-0005-0000-0000-00009EA20000}"/>
    <cellStyle name="Wrap Bold 2 3 2 4 5" xfId="38493" xr:uid="{00000000-0005-0000-0000-00009FA20000}"/>
    <cellStyle name="Wrap Bold 2 3 2 4 5 2" xfId="38494" xr:uid="{00000000-0005-0000-0000-0000A0A20000}"/>
    <cellStyle name="Wrap Bold 2 3 2 4 6" xfId="38495" xr:uid="{00000000-0005-0000-0000-0000A1A20000}"/>
    <cellStyle name="Wrap Bold 2 3 2 4 6 2" xfId="38496" xr:uid="{00000000-0005-0000-0000-0000A2A20000}"/>
    <cellStyle name="Wrap Bold 2 3 2 4 7" xfId="38497" xr:uid="{00000000-0005-0000-0000-0000A3A20000}"/>
    <cellStyle name="Wrap Bold 2 3 2 4 7 2" xfId="38498" xr:uid="{00000000-0005-0000-0000-0000A4A20000}"/>
    <cellStyle name="Wrap Bold 2 3 2 4 8" xfId="38499" xr:uid="{00000000-0005-0000-0000-0000A5A20000}"/>
    <cellStyle name="Wrap Bold 2 3 2 4 8 2" xfId="38500" xr:uid="{00000000-0005-0000-0000-0000A6A20000}"/>
    <cellStyle name="Wrap Bold 2 3 2 4 9" xfId="38501" xr:uid="{00000000-0005-0000-0000-0000A7A20000}"/>
    <cellStyle name="Wrap Bold 2 3 2 4 9 2" xfId="38502" xr:uid="{00000000-0005-0000-0000-0000A8A20000}"/>
    <cellStyle name="Wrap Bold 2 3 2 5" xfId="38503" xr:uid="{00000000-0005-0000-0000-0000A9A20000}"/>
    <cellStyle name="Wrap Bold 2 3 2 5 10" xfId="38504" xr:uid="{00000000-0005-0000-0000-0000AAA20000}"/>
    <cellStyle name="Wrap Bold 2 3 2 5 2" xfId="38505" xr:uid="{00000000-0005-0000-0000-0000ABA20000}"/>
    <cellStyle name="Wrap Bold 2 3 2 5 2 2" xfId="38506" xr:uid="{00000000-0005-0000-0000-0000ACA20000}"/>
    <cellStyle name="Wrap Bold 2 3 2 5 3" xfId="38507" xr:uid="{00000000-0005-0000-0000-0000ADA20000}"/>
    <cellStyle name="Wrap Bold 2 3 2 5 3 2" xfId="38508" xr:uid="{00000000-0005-0000-0000-0000AEA20000}"/>
    <cellStyle name="Wrap Bold 2 3 2 5 4" xfId="38509" xr:uid="{00000000-0005-0000-0000-0000AFA20000}"/>
    <cellStyle name="Wrap Bold 2 3 2 5 4 2" xfId="38510" xr:uid="{00000000-0005-0000-0000-0000B0A20000}"/>
    <cellStyle name="Wrap Bold 2 3 2 5 5" xfId="38511" xr:uid="{00000000-0005-0000-0000-0000B1A20000}"/>
    <cellStyle name="Wrap Bold 2 3 2 5 5 2" xfId="38512" xr:uid="{00000000-0005-0000-0000-0000B2A20000}"/>
    <cellStyle name="Wrap Bold 2 3 2 5 6" xfId="38513" xr:uid="{00000000-0005-0000-0000-0000B3A20000}"/>
    <cellStyle name="Wrap Bold 2 3 2 5 6 2" xfId="38514" xr:uid="{00000000-0005-0000-0000-0000B4A20000}"/>
    <cellStyle name="Wrap Bold 2 3 2 5 7" xfId="38515" xr:uid="{00000000-0005-0000-0000-0000B5A20000}"/>
    <cellStyle name="Wrap Bold 2 3 2 5 7 2" xfId="38516" xr:uid="{00000000-0005-0000-0000-0000B6A20000}"/>
    <cellStyle name="Wrap Bold 2 3 2 5 8" xfId="38517" xr:uid="{00000000-0005-0000-0000-0000B7A20000}"/>
    <cellStyle name="Wrap Bold 2 3 2 5 8 2" xfId="38518" xr:uid="{00000000-0005-0000-0000-0000B8A20000}"/>
    <cellStyle name="Wrap Bold 2 3 2 5 9" xfId="38519" xr:uid="{00000000-0005-0000-0000-0000B9A20000}"/>
    <cellStyle name="Wrap Bold 2 3 2 5 9 2" xfId="38520" xr:uid="{00000000-0005-0000-0000-0000BAA20000}"/>
    <cellStyle name="Wrap Bold 2 3 2 6" xfId="38521" xr:uid="{00000000-0005-0000-0000-0000BBA20000}"/>
    <cellStyle name="Wrap Bold 2 3 2 6 10" xfId="38522" xr:uid="{00000000-0005-0000-0000-0000BCA20000}"/>
    <cellStyle name="Wrap Bold 2 3 2 6 2" xfId="38523" xr:uid="{00000000-0005-0000-0000-0000BDA20000}"/>
    <cellStyle name="Wrap Bold 2 3 2 6 2 2" xfId="38524" xr:uid="{00000000-0005-0000-0000-0000BEA20000}"/>
    <cellStyle name="Wrap Bold 2 3 2 6 3" xfId="38525" xr:uid="{00000000-0005-0000-0000-0000BFA20000}"/>
    <cellStyle name="Wrap Bold 2 3 2 6 3 2" xfId="38526" xr:uid="{00000000-0005-0000-0000-0000C0A20000}"/>
    <cellStyle name="Wrap Bold 2 3 2 6 4" xfId="38527" xr:uid="{00000000-0005-0000-0000-0000C1A20000}"/>
    <cellStyle name="Wrap Bold 2 3 2 6 4 2" xfId="38528" xr:uid="{00000000-0005-0000-0000-0000C2A20000}"/>
    <cellStyle name="Wrap Bold 2 3 2 6 5" xfId="38529" xr:uid="{00000000-0005-0000-0000-0000C3A20000}"/>
    <cellStyle name="Wrap Bold 2 3 2 6 5 2" xfId="38530" xr:uid="{00000000-0005-0000-0000-0000C4A20000}"/>
    <cellStyle name="Wrap Bold 2 3 2 6 6" xfId="38531" xr:uid="{00000000-0005-0000-0000-0000C5A20000}"/>
    <cellStyle name="Wrap Bold 2 3 2 6 6 2" xfId="38532" xr:uid="{00000000-0005-0000-0000-0000C6A20000}"/>
    <cellStyle name="Wrap Bold 2 3 2 6 7" xfId="38533" xr:uid="{00000000-0005-0000-0000-0000C7A20000}"/>
    <cellStyle name="Wrap Bold 2 3 2 6 7 2" xfId="38534" xr:uid="{00000000-0005-0000-0000-0000C8A20000}"/>
    <cellStyle name="Wrap Bold 2 3 2 6 8" xfId="38535" xr:uid="{00000000-0005-0000-0000-0000C9A20000}"/>
    <cellStyle name="Wrap Bold 2 3 2 6 8 2" xfId="38536" xr:uid="{00000000-0005-0000-0000-0000CAA20000}"/>
    <cellStyle name="Wrap Bold 2 3 2 6 9" xfId="38537" xr:uid="{00000000-0005-0000-0000-0000CBA20000}"/>
    <cellStyle name="Wrap Bold 2 3 2 6 9 2" xfId="38538" xr:uid="{00000000-0005-0000-0000-0000CCA20000}"/>
    <cellStyle name="Wrap Bold 2 3 2 7" xfId="38539" xr:uid="{00000000-0005-0000-0000-0000CDA20000}"/>
    <cellStyle name="Wrap Bold 2 3 2 7 10" xfId="38540" xr:uid="{00000000-0005-0000-0000-0000CEA20000}"/>
    <cellStyle name="Wrap Bold 2 3 2 7 2" xfId="38541" xr:uid="{00000000-0005-0000-0000-0000CFA20000}"/>
    <cellStyle name="Wrap Bold 2 3 2 7 2 2" xfId="38542" xr:uid="{00000000-0005-0000-0000-0000D0A20000}"/>
    <cellStyle name="Wrap Bold 2 3 2 7 3" xfId="38543" xr:uid="{00000000-0005-0000-0000-0000D1A20000}"/>
    <cellStyle name="Wrap Bold 2 3 2 7 3 2" xfId="38544" xr:uid="{00000000-0005-0000-0000-0000D2A20000}"/>
    <cellStyle name="Wrap Bold 2 3 2 7 4" xfId="38545" xr:uid="{00000000-0005-0000-0000-0000D3A20000}"/>
    <cellStyle name="Wrap Bold 2 3 2 7 4 2" xfId="38546" xr:uid="{00000000-0005-0000-0000-0000D4A20000}"/>
    <cellStyle name="Wrap Bold 2 3 2 7 5" xfId="38547" xr:uid="{00000000-0005-0000-0000-0000D5A20000}"/>
    <cellStyle name="Wrap Bold 2 3 2 7 5 2" xfId="38548" xr:uid="{00000000-0005-0000-0000-0000D6A20000}"/>
    <cellStyle name="Wrap Bold 2 3 2 7 6" xfId="38549" xr:uid="{00000000-0005-0000-0000-0000D7A20000}"/>
    <cellStyle name="Wrap Bold 2 3 2 7 6 2" xfId="38550" xr:uid="{00000000-0005-0000-0000-0000D8A20000}"/>
    <cellStyle name="Wrap Bold 2 3 2 7 7" xfId="38551" xr:uid="{00000000-0005-0000-0000-0000D9A20000}"/>
    <cellStyle name="Wrap Bold 2 3 2 7 7 2" xfId="38552" xr:uid="{00000000-0005-0000-0000-0000DAA20000}"/>
    <cellStyle name="Wrap Bold 2 3 2 7 8" xfId="38553" xr:uid="{00000000-0005-0000-0000-0000DBA20000}"/>
    <cellStyle name="Wrap Bold 2 3 2 7 8 2" xfId="38554" xr:uid="{00000000-0005-0000-0000-0000DCA20000}"/>
    <cellStyle name="Wrap Bold 2 3 2 7 9" xfId="38555" xr:uid="{00000000-0005-0000-0000-0000DDA20000}"/>
    <cellStyle name="Wrap Bold 2 3 2 7 9 2" xfId="38556" xr:uid="{00000000-0005-0000-0000-0000DEA20000}"/>
    <cellStyle name="Wrap Bold 2 3 2 8" xfId="38557" xr:uid="{00000000-0005-0000-0000-0000DFA20000}"/>
    <cellStyle name="Wrap Bold 2 3 2 8 10" xfId="38558" xr:uid="{00000000-0005-0000-0000-0000E0A20000}"/>
    <cellStyle name="Wrap Bold 2 3 2 8 2" xfId="38559" xr:uid="{00000000-0005-0000-0000-0000E1A20000}"/>
    <cellStyle name="Wrap Bold 2 3 2 8 2 2" xfId="38560" xr:uid="{00000000-0005-0000-0000-0000E2A20000}"/>
    <cellStyle name="Wrap Bold 2 3 2 8 3" xfId="38561" xr:uid="{00000000-0005-0000-0000-0000E3A20000}"/>
    <cellStyle name="Wrap Bold 2 3 2 8 3 2" xfId="38562" xr:uid="{00000000-0005-0000-0000-0000E4A20000}"/>
    <cellStyle name="Wrap Bold 2 3 2 8 4" xfId="38563" xr:uid="{00000000-0005-0000-0000-0000E5A20000}"/>
    <cellStyle name="Wrap Bold 2 3 2 8 4 2" xfId="38564" xr:uid="{00000000-0005-0000-0000-0000E6A20000}"/>
    <cellStyle name="Wrap Bold 2 3 2 8 5" xfId="38565" xr:uid="{00000000-0005-0000-0000-0000E7A20000}"/>
    <cellStyle name="Wrap Bold 2 3 2 8 5 2" xfId="38566" xr:uid="{00000000-0005-0000-0000-0000E8A20000}"/>
    <cellStyle name="Wrap Bold 2 3 2 8 6" xfId="38567" xr:uid="{00000000-0005-0000-0000-0000E9A20000}"/>
    <cellStyle name="Wrap Bold 2 3 2 8 6 2" xfId="38568" xr:uid="{00000000-0005-0000-0000-0000EAA20000}"/>
    <cellStyle name="Wrap Bold 2 3 2 8 7" xfId="38569" xr:uid="{00000000-0005-0000-0000-0000EBA20000}"/>
    <cellStyle name="Wrap Bold 2 3 2 8 7 2" xfId="38570" xr:uid="{00000000-0005-0000-0000-0000ECA20000}"/>
    <cellStyle name="Wrap Bold 2 3 2 8 8" xfId="38571" xr:uid="{00000000-0005-0000-0000-0000EDA20000}"/>
    <cellStyle name="Wrap Bold 2 3 2 8 8 2" xfId="38572" xr:uid="{00000000-0005-0000-0000-0000EEA20000}"/>
    <cellStyle name="Wrap Bold 2 3 2 8 9" xfId="38573" xr:uid="{00000000-0005-0000-0000-0000EFA20000}"/>
    <cellStyle name="Wrap Bold 2 3 2 8 9 2" xfId="38574" xr:uid="{00000000-0005-0000-0000-0000F0A20000}"/>
    <cellStyle name="Wrap Bold 2 3 2 9" xfId="38575" xr:uid="{00000000-0005-0000-0000-0000F1A20000}"/>
    <cellStyle name="Wrap Bold 2 3 2 9 10" xfId="38576" xr:uid="{00000000-0005-0000-0000-0000F2A20000}"/>
    <cellStyle name="Wrap Bold 2 3 2 9 2" xfId="38577" xr:uid="{00000000-0005-0000-0000-0000F3A20000}"/>
    <cellStyle name="Wrap Bold 2 3 2 9 2 2" xfId="38578" xr:uid="{00000000-0005-0000-0000-0000F4A20000}"/>
    <cellStyle name="Wrap Bold 2 3 2 9 3" xfId="38579" xr:uid="{00000000-0005-0000-0000-0000F5A20000}"/>
    <cellStyle name="Wrap Bold 2 3 2 9 3 2" xfId="38580" xr:uid="{00000000-0005-0000-0000-0000F6A20000}"/>
    <cellStyle name="Wrap Bold 2 3 2 9 4" xfId="38581" xr:uid="{00000000-0005-0000-0000-0000F7A20000}"/>
    <cellStyle name="Wrap Bold 2 3 2 9 4 2" xfId="38582" xr:uid="{00000000-0005-0000-0000-0000F8A20000}"/>
    <cellStyle name="Wrap Bold 2 3 2 9 5" xfId="38583" xr:uid="{00000000-0005-0000-0000-0000F9A20000}"/>
    <cellStyle name="Wrap Bold 2 3 2 9 5 2" xfId="38584" xr:uid="{00000000-0005-0000-0000-0000FAA20000}"/>
    <cellStyle name="Wrap Bold 2 3 2 9 6" xfId="38585" xr:uid="{00000000-0005-0000-0000-0000FBA20000}"/>
    <cellStyle name="Wrap Bold 2 3 2 9 6 2" xfId="38586" xr:uid="{00000000-0005-0000-0000-0000FCA20000}"/>
    <cellStyle name="Wrap Bold 2 3 2 9 7" xfId="38587" xr:uid="{00000000-0005-0000-0000-0000FDA20000}"/>
    <cellStyle name="Wrap Bold 2 3 2 9 7 2" xfId="38588" xr:uid="{00000000-0005-0000-0000-0000FEA20000}"/>
    <cellStyle name="Wrap Bold 2 3 2 9 8" xfId="38589" xr:uid="{00000000-0005-0000-0000-0000FFA20000}"/>
    <cellStyle name="Wrap Bold 2 3 2 9 8 2" xfId="38590" xr:uid="{00000000-0005-0000-0000-000000A30000}"/>
    <cellStyle name="Wrap Bold 2 3 2 9 9" xfId="38591" xr:uid="{00000000-0005-0000-0000-000001A30000}"/>
    <cellStyle name="Wrap Bold 2 3 2 9 9 2" xfId="38592" xr:uid="{00000000-0005-0000-0000-000002A30000}"/>
    <cellStyle name="Wrap Bold 2 3 3" xfId="38593" xr:uid="{00000000-0005-0000-0000-000003A30000}"/>
    <cellStyle name="Wrap Bold 2 3 3 10" xfId="38594" xr:uid="{00000000-0005-0000-0000-000004A30000}"/>
    <cellStyle name="Wrap Bold 2 3 3 10 10" xfId="38595" xr:uid="{00000000-0005-0000-0000-000005A30000}"/>
    <cellStyle name="Wrap Bold 2 3 3 10 2" xfId="38596" xr:uid="{00000000-0005-0000-0000-000006A30000}"/>
    <cellStyle name="Wrap Bold 2 3 3 10 2 2" xfId="38597" xr:uid="{00000000-0005-0000-0000-000007A30000}"/>
    <cellStyle name="Wrap Bold 2 3 3 10 3" xfId="38598" xr:uid="{00000000-0005-0000-0000-000008A30000}"/>
    <cellStyle name="Wrap Bold 2 3 3 10 3 2" xfId="38599" xr:uid="{00000000-0005-0000-0000-000009A30000}"/>
    <cellStyle name="Wrap Bold 2 3 3 10 4" xfId="38600" xr:uid="{00000000-0005-0000-0000-00000AA30000}"/>
    <cellStyle name="Wrap Bold 2 3 3 10 4 2" xfId="38601" xr:uid="{00000000-0005-0000-0000-00000BA30000}"/>
    <cellStyle name="Wrap Bold 2 3 3 10 5" xfId="38602" xr:uid="{00000000-0005-0000-0000-00000CA30000}"/>
    <cellStyle name="Wrap Bold 2 3 3 10 5 2" xfId="38603" xr:uid="{00000000-0005-0000-0000-00000DA30000}"/>
    <cellStyle name="Wrap Bold 2 3 3 10 6" xfId="38604" xr:uid="{00000000-0005-0000-0000-00000EA30000}"/>
    <cellStyle name="Wrap Bold 2 3 3 10 6 2" xfId="38605" xr:uid="{00000000-0005-0000-0000-00000FA30000}"/>
    <cellStyle name="Wrap Bold 2 3 3 10 7" xfId="38606" xr:uid="{00000000-0005-0000-0000-000010A30000}"/>
    <cellStyle name="Wrap Bold 2 3 3 10 7 2" xfId="38607" xr:uid="{00000000-0005-0000-0000-000011A30000}"/>
    <cellStyle name="Wrap Bold 2 3 3 10 8" xfId="38608" xr:uid="{00000000-0005-0000-0000-000012A30000}"/>
    <cellStyle name="Wrap Bold 2 3 3 10 8 2" xfId="38609" xr:uid="{00000000-0005-0000-0000-000013A30000}"/>
    <cellStyle name="Wrap Bold 2 3 3 10 9" xfId="38610" xr:uid="{00000000-0005-0000-0000-000014A30000}"/>
    <cellStyle name="Wrap Bold 2 3 3 10 9 2" xfId="38611" xr:uid="{00000000-0005-0000-0000-000015A30000}"/>
    <cellStyle name="Wrap Bold 2 3 3 11" xfId="38612" xr:uid="{00000000-0005-0000-0000-000016A30000}"/>
    <cellStyle name="Wrap Bold 2 3 3 11 2" xfId="38613" xr:uid="{00000000-0005-0000-0000-000017A30000}"/>
    <cellStyle name="Wrap Bold 2 3 3 11 2 2" xfId="38614" xr:uid="{00000000-0005-0000-0000-000018A30000}"/>
    <cellStyle name="Wrap Bold 2 3 3 11 3" xfId="38615" xr:uid="{00000000-0005-0000-0000-000019A30000}"/>
    <cellStyle name="Wrap Bold 2 3 3 11 3 2" xfId="38616" xr:uid="{00000000-0005-0000-0000-00001AA30000}"/>
    <cellStyle name="Wrap Bold 2 3 3 11 4" xfId="38617" xr:uid="{00000000-0005-0000-0000-00001BA30000}"/>
    <cellStyle name="Wrap Bold 2 3 3 11 4 2" xfId="38618" xr:uid="{00000000-0005-0000-0000-00001CA30000}"/>
    <cellStyle name="Wrap Bold 2 3 3 11 5" xfId="38619" xr:uid="{00000000-0005-0000-0000-00001DA30000}"/>
    <cellStyle name="Wrap Bold 2 3 3 11 5 2" xfId="38620" xr:uid="{00000000-0005-0000-0000-00001EA30000}"/>
    <cellStyle name="Wrap Bold 2 3 3 11 6" xfId="38621" xr:uid="{00000000-0005-0000-0000-00001FA30000}"/>
    <cellStyle name="Wrap Bold 2 3 3 11 6 2" xfId="38622" xr:uid="{00000000-0005-0000-0000-000020A30000}"/>
    <cellStyle name="Wrap Bold 2 3 3 11 7" xfId="38623" xr:uid="{00000000-0005-0000-0000-000021A30000}"/>
    <cellStyle name="Wrap Bold 2 3 3 11 7 2" xfId="38624" xr:uid="{00000000-0005-0000-0000-000022A30000}"/>
    <cellStyle name="Wrap Bold 2 3 3 11 8" xfId="38625" xr:uid="{00000000-0005-0000-0000-000023A30000}"/>
    <cellStyle name="Wrap Bold 2 3 3 11 8 2" xfId="38626" xr:uid="{00000000-0005-0000-0000-000024A30000}"/>
    <cellStyle name="Wrap Bold 2 3 3 11 9" xfId="38627" xr:uid="{00000000-0005-0000-0000-000025A30000}"/>
    <cellStyle name="Wrap Bold 2 3 3 2" xfId="38628" xr:uid="{00000000-0005-0000-0000-000026A30000}"/>
    <cellStyle name="Wrap Bold 2 3 3 2 10" xfId="38629" xr:uid="{00000000-0005-0000-0000-000027A30000}"/>
    <cellStyle name="Wrap Bold 2 3 3 2 2" xfId="38630" xr:uid="{00000000-0005-0000-0000-000028A30000}"/>
    <cellStyle name="Wrap Bold 2 3 3 2 2 2" xfId="38631" xr:uid="{00000000-0005-0000-0000-000029A30000}"/>
    <cellStyle name="Wrap Bold 2 3 3 2 3" xfId="38632" xr:uid="{00000000-0005-0000-0000-00002AA30000}"/>
    <cellStyle name="Wrap Bold 2 3 3 2 3 2" xfId="38633" xr:uid="{00000000-0005-0000-0000-00002BA30000}"/>
    <cellStyle name="Wrap Bold 2 3 3 2 4" xfId="38634" xr:uid="{00000000-0005-0000-0000-00002CA30000}"/>
    <cellStyle name="Wrap Bold 2 3 3 2 4 2" xfId="38635" xr:uid="{00000000-0005-0000-0000-00002DA30000}"/>
    <cellStyle name="Wrap Bold 2 3 3 2 5" xfId="38636" xr:uid="{00000000-0005-0000-0000-00002EA30000}"/>
    <cellStyle name="Wrap Bold 2 3 3 2 5 2" xfId="38637" xr:uid="{00000000-0005-0000-0000-00002FA30000}"/>
    <cellStyle name="Wrap Bold 2 3 3 2 6" xfId="38638" xr:uid="{00000000-0005-0000-0000-000030A30000}"/>
    <cellStyle name="Wrap Bold 2 3 3 2 6 2" xfId="38639" xr:uid="{00000000-0005-0000-0000-000031A30000}"/>
    <cellStyle name="Wrap Bold 2 3 3 2 7" xfId="38640" xr:uid="{00000000-0005-0000-0000-000032A30000}"/>
    <cellStyle name="Wrap Bold 2 3 3 2 7 2" xfId="38641" xr:uid="{00000000-0005-0000-0000-000033A30000}"/>
    <cellStyle name="Wrap Bold 2 3 3 2 8" xfId="38642" xr:uid="{00000000-0005-0000-0000-000034A30000}"/>
    <cellStyle name="Wrap Bold 2 3 3 2 8 2" xfId="38643" xr:uid="{00000000-0005-0000-0000-000035A30000}"/>
    <cellStyle name="Wrap Bold 2 3 3 2 9" xfId="38644" xr:uid="{00000000-0005-0000-0000-000036A30000}"/>
    <cellStyle name="Wrap Bold 2 3 3 2 9 2" xfId="38645" xr:uid="{00000000-0005-0000-0000-000037A30000}"/>
    <cellStyle name="Wrap Bold 2 3 3 3" xfId="38646" xr:uid="{00000000-0005-0000-0000-000038A30000}"/>
    <cellStyle name="Wrap Bold 2 3 3 3 10" xfId="38647" xr:uid="{00000000-0005-0000-0000-000039A30000}"/>
    <cellStyle name="Wrap Bold 2 3 3 3 2" xfId="38648" xr:uid="{00000000-0005-0000-0000-00003AA30000}"/>
    <cellStyle name="Wrap Bold 2 3 3 3 2 2" xfId="38649" xr:uid="{00000000-0005-0000-0000-00003BA30000}"/>
    <cellStyle name="Wrap Bold 2 3 3 3 3" xfId="38650" xr:uid="{00000000-0005-0000-0000-00003CA30000}"/>
    <cellStyle name="Wrap Bold 2 3 3 3 3 2" xfId="38651" xr:uid="{00000000-0005-0000-0000-00003DA30000}"/>
    <cellStyle name="Wrap Bold 2 3 3 3 4" xfId="38652" xr:uid="{00000000-0005-0000-0000-00003EA30000}"/>
    <cellStyle name="Wrap Bold 2 3 3 3 4 2" xfId="38653" xr:uid="{00000000-0005-0000-0000-00003FA30000}"/>
    <cellStyle name="Wrap Bold 2 3 3 3 5" xfId="38654" xr:uid="{00000000-0005-0000-0000-000040A30000}"/>
    <cellStyle name="Wrap Bold 2 3 3 3 5 2" xfId="38655" xr:uid="{00000000-0005-0000-0000-000041A30000}"/>
    <cellStyle name="Wrap Bold 2 3 3 3 6" xfId="38656" xr:uid="{00000000-0005-0000-0000-000042A30000}"/>
    <cellStyle name="Wrap Bold 2 3 3 3 6 2" xfId="38657" xr:uid="{00000000-0005-0000-0000-000043A30000}"/>
    <cellStyle name="Wrap Bold 2 3 3 3 7" xfId="38658" xr:uid="{00000000-0005-0000-0000-000044A30000}"/>
    <cellStyle name="Wrap Bold 2 3 3 3 7 2" xfId="38659" xr:uid="{00000000-0005-0000-0000-000045A30000}"/>
    <cellStyle name="Wrap Bold 2 3 3 3 8" xfId="38660" xr:uid="{00000000-0005-0000-0000-000046A30000}"/>
    <cellStyle name="Wrap Bold 2 3 3 3 8 2" xfId="38661" xr:uid="{00000000-0005-0000-0000-000047A30000}"/>
    <cellStyle name="Wrap Bold 2 3 3 3 9" xfId="38662" xr:uid="{00000000-0005-0000-0000-000048A30000}"/>
    <cellStyle name="Wrap Bold 2 3 3 3 9 2" xfId="38663" xr:uid="{00000000-0005-0000-0000-000049A30000}"/>
    <cellStyle name="Wrap Bold 2 3 3 4" xfId="38664" xr:uid="{00000000-0005-0000-0000-00004AA30000}"/>
    <cellStyle name="Wrap Bold 2 3 3 4 10" xfId="38665" xr:uid="{00000000-0005-0000-0000-00004BA30000}"/>
    <cellStyle name="Wrap Bold 2 3 3 4 2" xfId="38666" xr:uid="{00000000-0005-0000-0000-00004CA30000}"/>
    <cellStyle name="Wrap Bold 2 3 3 4 2 2" xfId="38667" xr:uid="{00000000-0005-0000-0000-00004DA30000}"/>
    <cellStyle name="Wrap Bold 2 3 3 4 3" xfId="38668" xr:uid="{00000000-0005-0000-0000-00004EA30000}"/>
    <cellStyle name="Wrap Bold 2 3 3 4 3 2" xfId="38669" xr:uid="{00000000-0005-0000-0000-00004FA30000}"/>
    <cellStyle name="Wrap Bold 2 3 3 4 4" xfId="38670" xr:uid="{00000000-0005-0000-0000-000050A30000}"/>
    <cellStyle name="Wrap Bold 2 3 3 4 4 2" xfId="38671" xr:uid="{00000000-0005-0000-0000-000051A30000}"/>
    <cellStyle name="Wrap Bold 2 3 3 4 5" xfId="38672" xr:uid="{00000000-0005-0000-0000-000052A30000}"/>
    <cellStyle name="Wrap Bold 2 3 3 4 5 2" xfId="38673" xr:uid="{00000000-0005-0000-0000-000053A30000}"/>
    <cellStyle name="Wrap Bold 2 3 3 4 6" xfId="38674" xr:uid="{00000000-0005-0000-0000-000054A30000}"/>
    <cellStyle name="Wrap Bold 2 3 3 4 6 2" xfId="38675" xr:uid="{00000000-0005-0000-0000-000055A30000}"/>
    <cellStyle name="Wrap Bold 2 3 3 4 7" xfId="38676" xr:uid="{00000000-0005-0000-0000-000056A30000}"/>
    <cellStyle name="Wrap Bold 2 3 3 4 7 2" xfId="38677" xr:uid="{00000000-0005-0000-0000-000057A30000}"/>
    <cellStyle name="Wrap Bold 2 3 3 4 8" xfId="38678" xr:uid="{00000000-0005-0000-0000-000058A30000}"/>
    <cellStyle name="Wrap Bold 2 3 3 4 8 2" xfId="38679" xr:uid="{00000000-0005-0000-0000-000059A30000}"/>
    <cellStyle name="Wrap Bold 2 3 3 4 9" xfId="38680" xr:uid="{00000000-0005-0000-0000-00005AA30000}"/>
    <cellStyle name="Wrap Bold 2 3 3 4 9 2" xfId="38681" xr:uid="{00000000-0005-0000-0000-00005BA30000}"/>
    <cellStyle name="Wrap Bold 2 3 3 5" xfId="38682" xr:uid="{00000000-0005-0000-0000-00005CA30000}"/>
    <cellStyle name="Wrap Bold 2 3 3 5 10" xfId="38683" xr:uid="{00000000-0005-0000-0000-00005DA30000}"/>
    <cellStyle name="Wrap Bold 2 3 3 5 2" xfId="38684" xr:uid="{00000000-0005-0000-0000-00005EA30000}"/>
    <cellStyle name="Wrap Bold 2 3 3 5 2 2" xfId="38685" xr:uid="{00000000-0005-0000-0000-00005FA30000}"/>
    <cellStyle name="Wrap Bold 2 3 3 5 3" xfId="38686" xr:uid="{00000000-0005-0000-0000-000060A30000}"/>
    <cellStyle name="Wrap Bold 2 3 3 5 3 2" xfId="38687" xr:uid="{00000000-0005-0000-0000-000061A30000}"/>
    <cellStyle name="Wrap Bold 2 3 3 5 4" xfId="38688" xr:uid="{00000000-0005-0000-0000-000062A30000}"/>
    <cellStyle name="Wrap Bold 2 3 3 5 4 2" xfId="38689" xr:uid="{00000000-0005-0000-0000-000063A30000}"/>
    <cellStyle name="Wrap Bold 2 3 3 5 5" xfId="38690" xr:uid="{00000000-0005-0000-0000-000064A30000}"/>
    <cellStyle name="Wrap Bold 2 3 3 5 5 2" xfId="38691" xr:uid="{00000000-0005-0000-0000-000065A30000}"/>
    <cellStyle name="Wrap Bold 2 3 3 5 6" xfId="38692" xr:uid="{00000000-0005-0000-0000-000066A30000}"/>
    <cellStyle name="Wrap Bold 2 3 3 5 6 2" xfId="38693" xr:uid="{00000000-0005-0000-0000-000067A30000}"/>
    <cellStyle name="Wrap Bold 2 3 3 5 7" xfId="38694" xr:uid="{00000000-0005-0000-0000-000068A30000}"/>
    <cellStyle name="Wrap Bold 2 3 3 5 7 2" xfId="38695" xr:uid="{00000000-0005-0000-0000-000069A30000}"/>
    <cellStyle name="Wrap Bold 2 3 3 5 8" xfId="38696" xr:uid="{00000000-0005-0000-0000-00006AA30000}"/>
    <cellStyle name="Wrap Bold 2 3 3 5 8 2" xfId="38697" xr:uid="{00000000-0005-0000-0000-00006BA30000}"/>
    <cellStyle name="Wrap Bold 2 3 3 5 9" xfId="38698" xr:uid="{00000000-0005-0000-0000-00006CA30000}"/>
    <cellStyle name="Wrap Bold 2 3 3 5 9 2" xfId="38699" xr:uid="{00000000-0005-0000-0000-00006DA30000}"/>
    <cellStyle name="Wrap Bold 2 3 3 6" xfId="38700" xr:uid="{00000000-0005-0000-0000-00006EA30000}"/>
    <cellStyle name="Wrap Bold 2 3 3 6 10" xfId="38701" xr:uid="{00000000-0005-0000-0000-00006FA30000}"/>
    <cellStyle name="Wrap Bold 2 3 3 6 2" xfId="38702" xr:uid="{00000000-0005-0000-0000-000070A30000}"/>
    <cellStyle name="Wrap Bold 2 3 3 6 2 2" xfId="38703" xr:uid="{00000000-0005-0000-0000-000071A30000}"/>
    <cellStyle name="Wrap Bold 2 3 3 6 3" xfId="38704" xr:uid="{00000000-0005-0000-0000-000072A30000}"/>
    <cellStyle name="Wrap Bold 2 3 3 6 3 2" xfId="38705" xr:uid="{00000000-0005-0000-0000-000073A30000}"/>
    <cellStyle name="Wrap Bold 2 3 3 6 4" xfId="38706" xr:uid="{00000000-0005-0000-0000-000074A30000}"/>
    <cellStyle name="Wrap Bold 2 3 3 6 4 2" xfId="38707" xr:uid="{00000000-0005-0000-0000-000075A30000}"/>
    <cellStyle name="Wrap Bold 2 3 3 6 5" xfId="38708" xr:uid="{00000000-0005-0000-0000-000076A30000}"/>
    <cellStyle name="Wrap Bold 2 3 3 6 5 2" xfId="38709" xr:uid="{00000000-0005-0000-0000-000077A30000}"/>
    <cellStyle name="Wrap Bold 2 3 3 6 6" xfId="38710" xr:uid="{00000000-0005-0000-0000-000078A30000}"/>
    <cellStyle name="Wrap Bold 2 3 3 6 6 2" xfId="38711" xr:uid="{00000000-0005-0000-0000-000079A30000}"/>
    <cellStyle name="Wrap Bold 2 3 3 6 7" xfId="38712" xr:uid="{00000000-0005-0000-0000-00007AA30000}"/>
    <cellStyle name="Wrap Bold 2 3 3 6 7 2" xfId="38713" xr:uid="{00000000-0005-0000-0000-00007BA30000}"/>
    <cellStyle name="Wrap Bold 2 3 3 6 8" xfId="38714" xr:uid="{00000000-0005-0000-0000-00007CA30000}"/>
    <cellStyle name="Wrap Bold 2 3 3 6 8 2" xfId="38715" xr:uid="{00000000-0005-0000-0000-00007DA30000}"/>
    <cellStyle name="Wrap Bold 2 3 3 6 9" xfId="38716" xr:uid="{00000000-0005-0000-0000-00007EA30000}"/>
    <cellStyle name="Wrap Bold 2 3 3 6 9 2" xfId="38717" xr:uid="{00000000-0005-0000-0000-00007FA30000}"/>
    <cellStyle name="Wrap Bold 2 3 3 7" xfId="38718" xr:uid="{00000000-0005-0000-0000-000080A30000}"/>
    <cellStyle name="Wrap Bold 2 3 3 7 10" xfId="38719" xr:uid="{00000000-0005-0000-0000-000081A30000}"/>
    <cellStyle name="Wrap Bold 2 3 3 7 2" xfId="38720" xr:uid="{00000000-0005-0000-0000-000082A30000}"/>
    <cellStyle name="Wrap Bold 2 3 3 7 2 2" xfId="38721" xr:uid="{00000000-0005-0000-0000-000083A30000}"/>
    <cellStyle name="Wrap Bold 2 3 3 7 3" xfId="38722" xr:uid="{00000000-0005-0000-0000-000084A30000}"/>
    <cellStyle name="Wrap Bold 2 3 3 7 3 2" xfId="38723" xr:uid="{00000000-0005-0000-0000-000085A30000}"/>
    <cellStyle name="Wrap Bold 2 3 3 7 4" xfId="38724" xr:uid="{00000000-0005-0000-0000-000086A30000}"/>
    <cellStyle name="Wrap Bold 2 3 3 7 4 2" xfId="38725" xr:uid="{00000000-0005-0000-0000-000087A30000}"/>
    <cellStyle name="Wrap Bold 2 3 3 7 5" xfId="38726" xr:uid="{00000000-0005-0000-0000-000088A30000}"/>
    <cellStyle name="Wrap Bold 2 3 3 7 5 2" xfId="38727" xr:uid="{00000000-0005-0000-0000-000089A30000}"/>
    <cellStyle name="Wrap Bold 2 3 3 7 6" xfId="38728" xr:uid="{00000000-0005-0000-0000-00008AA30000}"/>
    <cellStyle name="Wrap Bold 2 3 3 7 6 2" xfId="38729" xr:uid="{00000000-0005-0000-0000-00008BA30000}"/>
    <cellStyle name="Wrap Bold 2 3 3 7 7" xfId="38730" xr:uid="{00000000-0005-0000-0000-00008CA30000}"/>
    <cellStyle name="Wrap Bold 2 3 3 7 7 2" xfId="38731" xr:uid="{00000000-0005-0000-0000-00008DA30000}"/>
    <cellStyle name="Wrap Bold 2 3 3 7 8" xfId="38732" xr:uid="{00000000-0005-0000-0000-00008EA30000}"/>
    <cellStyle name="Wrap Bold 2 3 3 7 8 2" xfId="38733" xr:uid="{00000000-0005-0000-0000-00008FA30000}"/>
    <cellStyle name="Wrap Bold 2 3 3 7 9" xfId="38734" xr:uid="{00000000-0005-0000-0000-000090A30000}"/>
    <cellStyle name="Wrap Bold 2 3 3 7 9 2" xfId="38735" xr:uid="{00000000-0005-0000-0000-000091A30000}"/>
    <cellStyle name="Wrap Bold 2 3 3 8" xfId="38736" xr:uid="{00000000-0005-0000-0000-000092A30000}"/>
    <cellStyle name="Wrap Bold 2 3 3 8 10" xfId="38737" xr:uid="{00000000-0005-0000-0000-000093A30000}"/>
    <cellStyle name="Wrap Bold 2 3 3 8 2" xfId="38738" xr:uid="{00000000-0005-0000-0000-000094A30000}"/>
    <cellStyle name="Wrap Bold 2 3 3 8 2 2" xfId="38739" xr:uid="{00000000-0005-0000-0000-000095A30000}"/>
    <cellStyle name="Wrap Bold 2 3 3 8 3" xfId="38740" xr:uid="{00000000-0005-0000-0000-000096A30000}"/>
    <cellStyle name="Wrap Bold 2 3 3 8 3 2" xfId="38741" xr:uid="{00000000-0005-0000-0000-000097A30000}"/>
    <cellStyle name="Wrap Bold 2 3 3 8 4" xfId="38742" xr:uid="{00000000-0005-0000-0000-000098A30000}"/>
    <cellStyle name="Wrap Bold 2 3 3 8 4 2" xfId="38743" xr:uid="{00000000-0005-0000-0000-000099A30000}"/>
    <cellStyle name="Wrap Bold 2 3 3 8 5" xfId="38744" xr:uid="{00000000-0005-0000-0000-00009AA30000}"/>
    <cellStyle name="Wrap Bold 2 3 3 8 5 2" xfId="38745" xr:uid="{00000000-0005-0000-0000-00009BA30000}"/>
    <cellStyle name="Wrap Bold 2 3 3 8 6" xfId="38746" xr:uid="{00000000-0005-0000-0000-00009CA30000}"/>
    <cellStyle name="Wrap Bold 2 3 3 8 6 2" xfId="38747" xr:uid="{00000000-0005-0000-0000-00009DA30000}"/>
    <cellStyle name="Wrap Bold 2 3 3 8 7" xfId="38748" xr:uid="{00000000-0005-0000-0000-00009EA30000}"/>
    <cellStyle name="Wrap Bold 2 3 3 8 7 2" xfId="38749" xr:uid="{00000000-0005-0000-0000-00009FA30000}"/>
    <cellStyle name="Wrap Bold 2 3 3 8 8" xfId="38750" xr:uid="{00000000-0005-0000-0000-0000A0A30000}"/>
    <cellStyle name="Wrap Bold 2 3 3 8 8 2" xfId="38751" xr:uid="{00000000-0005-0000-0000-0000A1A30000}"/>
    <cellStyle name="Wrap Bold 2 3 3 8 9" xfId="38752" xr:uid="{00000000-0005-0000-0000-0000A2A30000}"/>
    <cellStyle name="Wrap Bold 2 3 3 8 9 2" xfId="38753" xr:uid="{00000000-0005-0000-0000-0000A3A30000}"/>
    <cellStyle name="Wrap Bold 2 3 3 9" xfId="38754" xr:uid="{00000000-0005-0000-0000-0000A4A30000}"/>
    <cellStyle name="Wrap Bold 2 3 3 9 10" xfId="38755" xr:uid="{00000000-0005-0000-0000-0000A5A30000}"/>
    <cellStyle name="Wrap Bold 2 3 3 9 2" xfId="38756" xr:uid="{00000000-0005-0000-0000-0000A6A30000}"/>
    <cellStyle name="Wrap Bold 2 3 3 9 2 2" xfId="38757" xr:uid="{00000000-0005-0000-0000-0000A7A30000}"/>
    <cellStyle name="Wrap Bold 2 3 3 9 3" xfId="38758" xr:uid="{00000000-0005-0000-0000-0000A8A30000}"/>
    <cellStyle name="Wrap Bold 2 3 3 9 3 2" xfId="38759" xr:uid="{00000000-0005-0000-0000-0000A9A30000}"/>
    <cellStyle name="Wrap Bold 2 3 3 9 4" xfId="38760" xr:uid="{00000000-0005-0000-0000-0000AAA30000}"/>
    <cellStyle name="Wrap Bold 2 3 3 9 4 2" xfId="38761" xr:uid="{00000000-0005-0000-0000-0000ABA30000}"/>
    <cellStyle name="Wrap Bold 2 3 3 9 5" xfId="38762" xr:uid="{00000000-0005-0000-0000-0000ACA30000}"/>
    <cellStyle name="Wrap Bold 2 3 3 9 5 2" xfId="38763" xr:uid="{00000000-0005-0000-0000-0000ADA30000}"/>
    <cellStyle name="Wrap Bold 2 3 3 9 6" xfId="38764" xr:uid="{00000000-0005-0000-0000-0000AEA30000}"/>
    <cellStyle name="Wrap Bold 2 3 3 9 6 2" xfId="38765" xr:uid="{00000000-0005-0000-0000-0000AFA30000}"/>
    <cellStyle name="Wrap Bold 2 3 3 9 7" xfId="38766" xr:uid="{00000000-0005-0000-0000-0000B0A30000}"/>
    <cellStyle name="Wrap Bold 2 3 3 9 7 2" xfId="38767" xr:uid="{00000000-0005-0000-0000-0000B1A30000}"/>
    <cellStyle name="Wrap Bold 2 3 3 9 8" xfId="38768" xr:uid="{00000000-0005-0000-0000-0000B2A30000}"/>
    <cellStyle name="Wrap Bold 2 3 3 9 8 2" xfId="38769" xr:uid="{00000000-0005-0000-0000-0000B3A30000}"/>
    <cellStyle name="Wrap Bold 2 3 3 9 9" xfId="38770" xr:uid="{00000000-0005-0000-0000-0000B4A30000}"/>
    <cellStyle name="Wrap Bold 2 3 3 9 9 2" xfId="38771" xr:uid="{00000000-0005-0000-0000-0000B5A30000}"/>
    <cellStyle name="Wrap Bold 2 3 4" xfId="38772" xr:uid="{00000000-0005-0000-0000-0000B6A30000}"/>
    <cellStyle name="Wrap Bold 2 3 4 10" xfId="38773" xr:uid="{00000000-0005-0000-0000-0000B7A30000}"/>
    <cellStyle name="Wrap Bold 2 3 4 10 2" xfId="38774" xr:uid="{00000000-0005-0000-0000-0000B8A30000}"/>
    <cellStyle name="Wrap Bold 2 3 4 10 2 2" xfId="38775" xr:uid="{00000000-0005-0000-0000-0000B9A30000}"/>
    <cellStyle name="Wrap Bold 2 3 4 10 3" xfId="38776" xr:uid="{00000000-0005-0000-0000-0000BAA30000}"/>
    <cellStyle name="Wrap Bold 2 3 4 10 3 2" xfId="38777" xr:uid="{00000000-0005-0000-0000-0000BBA30000}"/>
    <cellStyle name="Wrap Bold 2 3 4 10 4" xfId="38778" xr:uid="{00000000-0005-0000-0000-0000BCA30000}"/>
    <cellStyle name="Wrap Bold 2 3 4 10 4 2" xfId="38779" xr:uid="{00000000-0005-0000-0000-0000BDA30000}"/>
    <cellStyle name="Wrap Bold 2 3 4 10 5" xfId="38780" xr:uid="{00000000-0005-0000-0000-0000BEA30000}"/>
    <cellStyle name="Wrap Bold 2 3 4 10 5 2" xfId="38781" xr:uid="{00000000-0005-0000-0000-0000BFA30000}"/>
    <cellStyle name="Wrap Bold 2 3 4 10 6" xfId="38782" xr:uid="{00000000-0005-0000-0000-0000C0A30000}"/>
    <cellStyle name="Wrap Bold 2 3 4 10 6 2" xfId="38783" xr:uid="{00000000-0005-0000-0000-0000C1A30000}"/>
    <cellStyle name="Wrap Bold 2 3 4 10 7" xfId="38784" xr:uid="{00000000-0005-0000-0000-0000C2A30000}"/>
    <cellStyle name="Wrap Bold 2 3 4 10 7 2" xfId="38785" xr:uid="{00000000-0005-0000-0000-0000C3A30000}"/>
    <cellStyle name="Wrap Bold 2 3 4 10 8" xfId="38786" xr:uid="{00000000-0005-0000-0000-0000C4A30000}"/>
    <cellStyle name="Wrap Bold 2 3 4 10 8 2" xfId="38787" xr:uid="{00000000-0005-0000-0000-0000C5A30000}"/>
    <cellStyle name="Wrap Bold 2 3 4 10 9" xfId="38788" xr:uid="{00000000-0005-0000-0000-0000C6A30000}"/>
    <cellStyle name="Wrap Bold 2 3 4 11" xfId="38789" xr:uid="{00000000-0005-0000-0000-0000C7A30000}"/>
    <cellStyle name="Wrap Bold 2 3 4 11 2" xfId="38790" xr:uid="{00000000-0005-0000-0000-0000C8A30000}"/>
    <cellStyle name="Wrap Bold 2 3 4 12" xfId="38791" xr:uid="{00000000-0005-0000-0000-0000C9A30000}"/>
    <cellStyle name="Wrap Bold 2 3 4 12 2" xfId="38792" xr:uid="{00000000-0005-0000-0000-0000CAA30000}"/>
    <cellStyle name="Wrap Bold 2 3 4 13" xfId="38793" xr:uid="{00000000-0005-0000-0000-0000CBA30000}"/>
    <cellStyle name="Wrap Bold 2 3 4 13 2" xfId="38794" xr:uid="{00000000-0005-0000-0000-0000CCA30000}"/>
    <cellStyle name="Wrap Bold 2 3 4 14" xfId="38795" xr:uid="{00000000-0005-0000-0000-0000CDA30000}"/>
    <cellStyle name="Wrap Bold 2 3 4 14 2" xfId="38796" xr:uid="{00000000-0005-0000-0000-0000CEA30000}"/>
    <cellStyle name="Wrap Bold 2 3 4 15" xfId="38797" xr:uid="{00000000-0005-0000-0000-0000CFA30000}"/>
    <cellStyle name="Wrap Bold 2 3 4 15 2" xfId="38798" xr:uid="{00000000-0005-0000-0000-0000D0A30000}"/>
    <cellStyle name="Wrap Bold 2 3 4 16" xfId="38799" xr:uid="{00000000-0005-0000-0000-0000D1A30000}"/>
    <cellStyle name="Wrap Bold 2 3 4 16 2" xfId="38800" xr:uid="{00000000-0005-0000-0000-0000D2A30000}"/>
    <cellStyle name="Wrap Bold 2 3 4 17" xfId="38801" xr:uid="{00000000-0005-0000-0000-0000D3A30000}"/>
    <cellStyle name="Wrap Bold 2 3 4 17 2" xfId="38802" xr:uid="{00000000-0005-0000-0000-0000D4A30000}"/>
    <cellStyle name="Wrap Bold 2 3 4 18" xfId="38803" xr:uid="{00000000-0005-0000-0000-0000D5A30000}"/>
    <cellStyle name="Wrap Bold 2 3 4 2" xfId="38804" xr:uid="{00000000-0005-0000-0000-0000D6A30000}"/>
    <cellStyle name="Wrap Bold 2 3 4 2 10" xfId="38805" xr:uid="{00000000-0005-0000-0000-0000D7A30000}"/>
    <cellStyle name="Wrap Bold 2 3 4 2 2" xfId="38806" xr:uid="{00000000-0005-0000-0000-0000D8A30000}"/>
    <cellStyle name="Wrap Bold 2 3 4 2 2 2" xfId="38807" xr:uid="{00000000-0005-0000-0000-0000D9A30000}"/>
    <cellStyle name="Wrap Bold 2 3 4 2 3" xfId="38808" xr:uid="{00000000-0005-0000-0000-0000DAA30000}"/>
    <cellStyle name="Wrap Bold 2 3 4 2 3 2" xfId="38809" xr:uid="{00000000-0005-0000-0000-0000DBA30000}"/>
    <cellStyle name="Wrap Bold 2 3 4 2 4" xfId="38810" xr:uid="{00000000-0005-0000-0000-0000DCA30000}"/>
    <cellStyle name="Wrap Bold 2 3 4 2 4 2" xfId="38811" xr:uid="{00000000-0005-0000-0000-0000DDA30000}"/>
    <cellStyle name="Wrap Bold 2 3 4 2 5" xfId="38812" xr:uid="{00000000-0005-0000-0000-0000DEA30000}"/>
    <cellStyle name="Wrap Bold 2 3 4 2 5 2" xfId="38813" xr:uid="{00000000-0005-0000-0000-0000DFA30000}"/>
    <cellStyle name="Wrap Bold 2 3 4 2 6" xfId="38814" xr:uid="{00000000-0005-0000-0000-0000E0A30000}"/>
    <cellStyle name="Wrap Bold 2 3 4 2 6 2" xfId="38815" xr:uid="{00000000-0005-0000-0000-0000E1A30000}"/>
    <cellStyle name="Wrap Bold 2 3 4 2 7" xfId="38816" xr:uid="{00000000-0005-0000-0000-0000E2A30000}"/>
    <cellStyle name="Wrap Bold 2 3 4 2 7 2" xfId="38817" xr:uid="{00000000-0005-0000-0000-0000E3A30000}"/>
    <cellStyle name="Wrap Bold 2 3 4 2 8" xfId="38818" xr:uid="{00000000-0005-0000-0000-0000E4A30000}"/>
    <cellStyle name="Wrap Bold 2 3 4 2 8 2" xfId="38819" xr:uid="{00000000-0005-0000-0000-0000E5A30000}"/>
    <cellStyle name="Wrap Bold 2 3 4 2 9" xfId="38820" xr:uid="{00000000-0005-0000-0000-0000E6A30000}"/>
    <cellStyle name="Wrap Bold 2 3 4 2 9 2" xfId="38821" xr:uid="{00000000-0005-0000-0000-0000E7A30000}"/>
    <cellStyle name="Wrap Bold 2 3 4 3" xfId="38822" xr:uid="{00000000-0005-0000-0000-0000E8A30000}"/>
    <cellStyle name="Wrap Bold 2 3 4 3 10" xfId="38823" xr:uid="{00000000-0005-0000-0000-0000E9A30000}"/>
    <cellStyle name="Wrap Bold 2 3 4 3 2" xfId="38824" xr:uid="{00000000-0005-0000-0000-0000EAA30000}"/>
    <cellStyle name="Wrap Bold 2 3 4 3 2 2" xfId="38825" xr:uid="{00000000-0005-0000-0000-0000EBA30000}"/>
    <cellStyle name="Wrap Bold 2 3 4 3 3" xfId="38826" xr:uid="{00000000-0005-0000-0000-0000ECA30000}"/>
    <cellStyle name="Wrap Bold 2 3 4 3 3 2" xfId="38827" xr:uid="{00000000-0005-0000-0000-0000EDA30000}"/>
    <cellStyle name="Wrap Bold 2 3 4 3 4" xfId="38828" xr:uid="{00000000-0005-0000-0000-0000EEA30000}"/>
    <cellStyle name="Wrap Bold 2 3 4 3 4 2" xfId="38829" xr:uid="{00000000-0005-0000-0000-0000EFA30000}"/>
    <cellStyle name="Wrap Bold 2 3 4 3 5" xfId="38830" xr:uid="{00000000-0005-0000-0000-0000F0A30000}"/>
    <cellStyle name="Wrap Bold 2 3 4 3 5 2" xfId="38831" xr:uid="{00000000-0005-0000-0000-0000F1A30000}"/>
    <cellStyle name="Wrap Bold 2 3 4 3 6" xfId="38832" xr:uid="{00000000-0005-0000-0000-0000F2A30000}"/>
    <cellStyle name="Wrap Bold 2 3 4 3 6 2" xfId="38833" xr:uid="{00000000-0005-0000-0000-0000F3A30000}"/>
    <cellStyle name="Wrap Bold 2 3 4 3 7" xfId="38834" xr:uid="{00000000-0005-0000-0000-0000F4A30000}"/>
    <cellStyle name="Wrap Bold 2 3 4 3 7 2" xfId="38835" xr:uid="{00000000-0005-0000-0000-0000F5A30000}"/>
    <cellStyle name="Wrap Bold 2 3 4 3 8" xfId="38836" xr:uid="{00000000-0005-0000-0000-0000F6A30000}"/>
    <cellStyle name="Wrap Bold 2 3 4 3 8 2" xfId="38837" xr:uid="{00000000-0005-0000-0000-0000F7A30000}"/>
    <cellStyle name="Wrap Bold 2 3 4 3 9" xfId="38838" xr:uid="{00000000-0005-0000-0000-0000F8A30000}"/>
    <cellStyle name="Wrap Bold 2 3 4 3 9 2" xfId="38839" xr:uid="{00000000-0005-0000-0000-0000F9A30000}"/>
    <cellStyle name="Wrap Bold 2 3 4 4" xfId="38840" xr:uid="{00000000-0005-0000-0000-0000FAA30000}"/>
    <cellStyle name="Wrap Bold 2 3 4 4 10" xfId="38841" xr:uid="{00000000-0005-0000-0000-0000FBA30000}"/>
    <cellStyle name="Wrap Bold 2 3 4 4 2" xfId="38842" xr:uid="{00000000-0005-0000-0000-0000FCA30000}"/>
    <cellStyle name="Wrap Bold 2 3 4 4 2 2" xfId="38843" xr:uid="{00000000-0005-0000-0000-0000FDA30000}"/>
    <cellStyle name="Wrap Bold 2 3 4 4 3" xfId="38844" xr:uid="{00000000-0005-0000-0000-0000FEA30000}"/>
    <cellStyle name="Wrap Bold 2 3 4 4 3 2" xfId="38845" xr:uid="{00000000-0005-0000-0000-0000FFA30000}"/>
    <cellStyle name="Wrap Bold 2 3 4 4 4" xfId="38846" xr:uid="{00000000-0005-0000-0000-000000A40000}"/>
    <cellStyle name="Wrap Bold 2 3 4 4 4 2" xfId="38847" xr:uid="{00000000-0005-0000-0000-000001A40000}"/>
    <cellStyle name="Wrap Bold 2 3 4 4 5" xfId="38848" xr:uid="{00000000-0005-0000-0000-000002A40000}"/>
    <cellStyle name="Wrap Bold 2 3 4 4 5 2" xfId="38849" xr:uid="{00000000-0005-0000-0000-000003A40000}"/>
    <cellStyle name="Wrap Bold 2 3 4 4 6" xfId="38850" xr:uid="{00000000-0005-0000-0000-000004A40000}"/>
    <cellStyle name="Wrap Bold 2 3 4 4 6 2" xfId="38851" xr:uid="{00000000-0005-0000-0000-000005A40000}"/>
    <cellStyle name="Wrap Bold 2 3 4 4 7" xfId="38852" xr:uid="{00000000-0005-0000-0000-000006A40000}"/>
    <cellStyle name="Wrap Bold 2 3 4 4 7 2" xfId="38853" xr:uid="{00000000-0005-0000-0000-000007A40000}"/>
    <cellStyle name="Wrap Bold 2 3 4 4 8" xfId="38854" xr:uid="{00000000-0005-0000-0000-000008A40000}"/>
    <cellStyle name="Wrap Bold 2 3 4 4 8 2" xfId="38855" xr:uid="{00000000-0005-0000-0000-000009A40000}"/>
    <cellStyle name="Wrap Bold 2 3 4 4 9" xfId="38856" xr:uid="{00000000-0005-0000-0000-00000AA40000}"/>
    <cellStyle name="Wrap Bold 2 3 4 4 9 2" xfId="38857" xr:uid="{00000000-0005-0000-0000-00000BA40000}"/>
    <cellStyle name="Wrap Bold 2 3 4 5" xfId="38858" xr:uid="{00000000-0005-0000-0000-00000CA40000}"/>
    <cellStyle name="Wrap Bold 2 3 4 5 10" xfId="38859" xr:uid="{00000000-0005-0000-0000-00000DA40000}"/>
    <cellStyle name="Wrap Bold 2 3 4 5 2" xfId="38860" xr:uid="{00000000-0005-0000-0000-00000EA40000}"/>
    <cellStyle name="Wrap Bold 2 3 4 5 2 2" xfId="38861" xr:uid="{00000000-0005-0000-0000-00000FA40000}"/>
    <cellStyle name="Wrap Bold 2 3 4 5 3" xfId="38862" xr:uid="{00000000-0005-0000-0000-000010A40000}"/>
    <cellStyle name="Wrap Bold 2 3 4 5 3 2" xfId="38863" xr:uid="{00000000-0005-0000-0000-000011A40000}"/>
    <cellStyle name="Wrap Bold 2 3 4 5 4" xfId="38864" xr:uid="{00000000-0005-0000-0000-000012A40000}"/>
    <cellStyle name="Wrap Bold 2 3 4 5 4 2" xfId="38865" xr:uid="{00000000-0005-0000-0000-000013A40000}"/>
    <cellStyle name="Wrap Bold 2 3 4 5 5" xfId="38866" xr:uid="{00000000-0005-0000-0000-000014A40000}"/>
    <cellStyle name="Wrap Bold 2 3 4 5 5 2" xfId="38867" xr:uid="{00000000-0005-0000-0000-000015A40000}"/>
    <cellStyle name="Wrap Bold 2 3 4 5 6" xfId="38868" xr:uid="{00000000-0005-0000-0000-000016A40000}"/>
    <cellStyle name="Wrap Bold 2 3 4 5 6 2" xfId="38869" xr:uid="{00000000-0005-0000-0000-000017A40000}"/>
    <cellStyle name="Wrap Bold 2 3 4 5 7" xfId="38870" xr:uid="{00000000-0005-0000-0000-000018A40000}"/>
    <cellStyle name="Wrap Bold 2 3 4 5 7 2" xfId="38871" xr:uid="{00000000-0005-0000-0000-000019A40000}"/>
    <cellStyle name="Wrap Bold 2 3 4 5 8" xfId="38872" xr:uid="{00000000-0005-0000-0000-00001AA40000}"/>
    <cellStyle name="Wrap Bold 2 3 4 5 8 2" xfId="38873" xr:uid="{00000000-0005-0000-0000-00001BA40000}"/>
    <cellStyle name="Wrap Bold 2 3 4 5 9" xfId="38874" xr:uid="{00000000-0005-0000-0000-00001CA40000}"/>
    <cellStyle name="Wrap Bold 2 3 4 5 9 2" xfId="38875" xr:uid="{00000000-0005-0000-0000-00001DA40000}"/>
    <cellStyle name="Wrap Bold 2 3 4 6" xfId="38876" xr:uid="{00000000-0005-0000-0000-00001EA40000}"/>
    <cellStyle name="Wrap Bold 2 3 4 6 10" xfId="38877" xr:uid="{00000000-0005-0000-0000-00001FA40000}"/>
    <cellStyle name="Wrap Bold 2 3 4 6 2" xfId="38878" xr:uid="{00000000-0005-0000-0000-000020A40000}"/>
    <cellStyle name="Wrap Bold 2 3 4 6 2 2" xfId="38879" xr:uid="{00000000-0005-0000-0000-000021A40000}"/>
    <cellStyle name="Wrap Bold 2 3 4 6 3" xfId="38880" xr:uid="{00000000-0005-0000-0000-000022A40000}"/>
    <cellStyle name="Wrap Bold 2 3 4 6 3 2" xfId="38881" xr:uid="{00000000-0005-0000-0000-000023A40000}"/>
    <cellStyle name="Wrap Bold 2 3 4 6 4" xfId="38882" xr:uid="{00000000-0005-0000-0000-000024A40000}"/>
    <cellStyle name="Wrap Bold 2 3 4 6 4 2" xfId="38883" xr:uid="{00000000-0005-0000-0000-000025A40000}"/>
    <cellStyle name="Wrap Bold 2 3 4 6 5" xfId="38884" xr:uid="{00000000-0005-0000-0000-000026A40000}"/>
    <cellStyle name="Wrap Bold 2 3 4 6 5 2" xfId="38885" xr:uid="{00000000-0005-0000-0000-000027A40000}"/>
    <cellStyle name="Wrap Bold 2 3 4 6 6" xfId="38886" xr:uid="{00000000-0005-0000-0000-000028A40000}"/>
    <cellStyle name="Wrap Bold 2 3 4 6 6 2" xfId="38887" xr:uid="{00000000-0005-0000-0000-000029A40000}"/>
    <cellStyle name="Wrap Bold 2 3 4 6 7" xfId="38888" xr:uid="{00000000-0005-0000-0000-00002AA40000}"/>
    <cellStyle name="Wrap Bold 2 3 4 6 7 2" xfId="38889" xr:uid="{00000000-0005-0000-0000-00002BA40000}"/>
    <cellStyle name="Wrap Bold 2 3 4 6 8" xfId="38890" xr:uid="{00000000-0005-0000-0000-00002CA40000}"/>
    <cellStyle name="Wrap Bold 2 3 4 6 8 2" xfId="38891" xr:uid="{00000000-0005-0000-0000-00002DA40000}"/>
    <cellStyle name="Wrap Bold 2 3 4 6 9" xfId="38892" xr:uid="{00000000-0005-0000-0000-00002EA40000}"/>
    <cellStyle name="Wrap Bold 2 3 4 6 9 2" xfId="38893" xr:uid="{00000000-0005-0000-0000-00002FA40000}"/>
    <cellStyle name="Wrap Bold 2 3 4 7" xfId="38894" xr:uid="{00000000-0005-0000-0000-000030A40000}"/>
    <cellStyle name="Wrap Bold 2 3 4 7 10" xfId="38895" xr:uid="{00000000-0005-0000-0000-000031A40000}"/>
    <cellStyle name="Wrap Bold 2 3 4 7 2" xfId="38896" xr:uid="{00000000-0005-0000-0000-000032A40000}"/>
    <cellStyle name="Wrap Bold 2 3 4 7 2 2" xfId="38897" xr:uid="{00000000-0005-0000-0000-000033A40000}"/>
    <cellStyle name="Wrap Bold 2 3 4 7 3" xfId="38898" xr:uid="{00000000-0005-0000-0000-000034A40000}"/>
    <cellStyle name="Wrap Bold 2 3 4 7 3 2" xfId="38899" xr:uid="{00000000-0005-0000-0000-000035A40000}"/>
    <cellStyle name="Wrap Bold 2 3 4 7 4" xfId="38900" xr:uid="{00000000-0005-0000-0000-000036A40000}"/>
    <cellStyle name="Wrap Bold 2 3 4 7 4 2" xfId="38901" xr:uid="{00000000-0005-0000-0000-000037A40000}"/>
    <cellStyle name="Wrap Bold 2 3 4 7 5" xfId="38902" xr:uid="{00000000-0005-0000-0000-000038A40000}"/>
    <cellStyle name="Wrap Bold 2 3 4 7 5 2" xfId="38903" xr:uid="{00000000-0005-0000-0000-000039A40000}"/>
    <cellStyle name="Wrap Bold 2 3 4 7 6" xfId="38904" xr:uid="{00000000-0005-0000-0000-00003AA40000}"/>
    <cellStyle name="Wrap Bold 2 3 4 7 6 2" xfId="38905" xr:uid="{00000000-0005-0000-0000-00003BA40000}"/>
    <cellStyle name="Wrap Bold 2 3 4 7 7" xfId="38906" xr:uid="{00000000-0005-0000-0000-00003CA40000}"/>
    <cellStyle name="Wrap Bold 2 3 4 7 7 2" xfId="38907" xr:uid="{00000000-0005-0000-0000-00003DA40000}"/>
    <cellStyle name="Wrap Bold 2 3 4 7 8" xfId="38908" xr:uid="{00000000-0005-0000-0000-00003EA40000}"/>
    <cellStyle name="Wrap Bold 2 3 4 7 8 2" xfId="38909" xr:uid="{00000000-0005-0000-0000-00003FA40000}"/>
    <cellStyle name="Wrap Bold 2 3 4 7 9" xfId="38910" xr:uid="{00000000-0005-0000-0000-000040A40000}"/>
    <cellStyle name="Wrap Bold 2 3 4 7 9 2" xfId="38911" xr:uid="{00000000-0005-0000-0000-000041A40000}"/>
    <cellStyle name="Wrap Bold 2 3 4 8" xfId="38912" xr:uid="{00000000-0005-0000-0000-000042A40000}"/>
    <cellStyle name="Wrap Bold 2 3 4 8 10" xfId="38913" xr:uid="{00000000-0005-0000-0000-000043A40000}"/>
    <cellStyle name="Wrap Bold 2 3 4 8 2" xfId="38914" xr:uid="{00000000-0005-0000-0000-000044A40000}"/>
    <cellStyle name="Wrap Bold 2 3 4 8 2 2" xfId="38915" xr:uid="{00000000-0005-0000-0000-000045A40000}"/>
    <cellStyle name="Wrap Bold 2 3 4 8 3" xfId="38916" xr:uid="{00000000-0005-0000-0000-000046A40000}"/>
    <cellStyle name="Wrap Bold 2 3 4 8 3 2" xfId="38917" xr:uid="{00000000-0005-0000-0000-000047A40000}"/>
    <cellStyle name="Wrap Bold 2 3 4 8 4" xfId="38918" xr:uid="{00000000-0005-0000-0000-000048A40000}"/>
    <cellStyle name="Wrap Bold 2 3 4 8 4 2" xfId="38919" xr:uid="{00000000-0005-0000-0000-000049A40000}"/>
    <cellStyle name="Wrap Bold 2 3 4 8 5" xfId="38920" xr:uid="{00000000-0005-0000-0000-00004AA40000}"/>
    <cellStyle name="Wrap Bold 2 3 4 8 5 2" xfId="38921" xr:uid="{00000000-0005-0000-0000-00004BA40000}"/>
    <cellStyle name="Wrap Bold 2 3 4 8 6" xfId="38922" xr:uid="{00000000-0005-0000-0000-00004CA40000}"/>
    <cellStyle name="Wrap Bold 2 3 4 8 6 2" xfId="38923" xr:uid="{00000000-0005-0000-0000-00004DA40000}"/>
    <cellStyle name="Wrap Bold 2 3 4 8 7" xfId="38924" xr:uid="{00000000-0005-0000-0000-00004EA40000}"/>
    <cellStyle name="Wrap Bold 2 3 4 8 7 2" xfId="38925" xr:uid="{00000000-0005-0000-0000-00004FA40000}"/>
    <cellStyle name="Wrap Bold 2 3 4 8 8" xfId="38926" xr:uid="{00000000-0005-0000-0000-000050A40000}"/>
    <cellStyle name="Wrap Bold 2 3 4 8 8 2" xfId="38927" xr:uid="{00000000-0005-0000-0000-000051A40000}"/>
    <cellStyle name="Wrap Bold 2 3 4 8 9" xfId="38928" xr:uid="{00000000-0005-0000-0000-000052A40000}"/>
    <cellStyle name="Wrap Bold 2 3 4 8 9 2" xfId="38929" xr:uid="{00000000-0005-0000-0000-000053A40000}"/>
    <cellStyle name="Wrap Bold 2 3 4 9" xfId="38930" xr:uid="{00000000-0005-0000-0000-000054A40000}"/>
    <cellStyle name="Wrap Bold 2 3 4 9 10" xfId="38931" xr:uid="{00000000-0005-0000-0000-000055A40000}"/>
    <cellStyle name="Wrap Bold 2 3 4 9 2" xfId="38932" xr:uid="{00000000-0005-0000-0000-000056A40000}"/>
    <cellStyle name="Wrap Bold 2 3 4 9 2 2" xfId="38933" xr:uid="{00000000-0005-0000-0000-000057A40000}"/>
    <cellStyle name="Wrap Bold 2 3 4 9 3" xfId="38934" xr:uid="{00000000-0005-0000-0000-000058A40000}"/>
    <cellStyle name="Wrap Bold 2 3 4 9 3 2" xfId="38935" xr:uid="{00000000-0005-0000-0000-000059A40000}"/>
    <cellStyle name="Wrap Bold 2 3 4 9 4" xfId="38936" xr:uid="{00000000-0005-0000-0000-00005AA40000}"/>
    <cellStyle name="Wrap Bold 2 3 4 9 4 2" xfId="38937" xr:uid="{00000000-0005-0000-0000-00005BA40000}"/>
    <cellStyle name="Wrap Bold 2 3 4 9 5" xfId="38938" xr:uid="{00000000-0005-0000-0000-00005CA40000}"/>
    <cellStyle name="Wrap Bold 2 3 4 9 5 2" xfId="38939" xr:uid="{00000000-0005-0000-0000-00005DA40000}"/>
    <cellStyle name="Wrap Bold 2 3 4 9 6" xfId="38940" xr:uid="{00000000-0005-0000-0000-00005EA40000}"/>
    <cellStyle name="Wrap Bold 2 3 4 9 6 2" xfId="38941" xr:uid="{00000000-0005-0000-0000-00005FA40000}"/>
    <cellStyle name="Wrap Bold 2 3 4 9 7" xfId="38942" xr:uid="{00000000-0005-0000-0000-000060A40000}"/>
    <cellStyle name="Wrap Bold 2 3 4 9 7 2" xfId="38943" xr:uid="{00000000-0005-0000-0000-000061A40000}"/>
    <cellStyle name="Wrap Bold 2 3 4 9 8" xfId="38944" xr:uid="{00000000-0005-0000-0000-000062A40000}"/>
    <cellStyle name="Wrap Bold 2 3 4 9 8 2" xfId="38945" xr:uid="{00000000-0005-0000-0000-000063A40000}"/>
    <cellStyle name="Wrap Bold 2 3 4 9 9" xfId="38946" xr:uid="{00000000-0005-0000-0000-000064A40000}"/>
    <cellStyle name="Wrap Bold 2 3 4 9 9 2" xfId="38947" xr:uid="{00000000-0005-0000-0000-000065A40000}"/>
    <cellStyle name="Wrap Bold 2 3 5" xfId="38948" xr:uid="{00000000-0005-0000-0000-000066A40000}"/>
    <cellStyle name="Wrap Bold 2 3 5 10" xfId="38949" xr:uid="{00000000-0005-0000-0000-000067A40000}"/>
    <cellStyle name="Wrap Bold 2 3 5 10 2" xfId="38950" xr:uid="{00000000-0005-0000-0000-000068A40000}"/>
    <cellStyle name="Wrap Bold 2 3 5 10 2 2" xfId="38951" xr:uid="{00000000-0005-0000-0000-000069A40000}"/>
    <cellStyle name="Wrap Bold 2 3 5 10 3" xfId="38952" xr:uid="{00000000-0005-0000-0000-00006AA40000}"/>
    <cellStyle name="Wrap Bold 2 3 5 10 3 2" xfId="38953" xr:uid="{00000000-0005-0000-0000-00006BA40000}"/>
    <cellStyle name="Wrap Bold 2 3 5 10 4" xfId="38954" xr:uid="{00000000-0005-0000-0000-00006CA40000}"/>
    <cellStyle name="Wrap Bold 2 3 5 10 4 2" xfId="38955" xr:uid="{00000000-0005-0000-0000-00006DA40000}"/>
    <cellStyle name="Wrap Bold 2 3 5 10 5" xfId="38956" xr:uid="{00000000-0005-0000-0000-00006EA40000}"/>
    <cellStyle name="Wrap Bold 2 3 5 10 5 2" xfId="38957" xr:uid="{00000000-0005-0000-0000-00006FA40000}"/>
    <cellStyle name="Wrap Bold 2 3 5 10 6" xfId="38958" xr:uid="{00000000-0005-0000-0000-000070A40000}"/>
    <cellStyle name="Wrap Bold 2 3 5 10 6 2" xfId="38959" xr:uid="{00000000-0005-0000-0000-000071A40000}"/>
    <cellStyle name="Wrap Bold 2 3 5 10 7" xfId="38960" xr:uid="{00000000-0005-0000-0000-000072A40000}"/>
    <cellStyle name="Wrap Bold 2 3 5 10 7 2" xfId="38961" xr:uid="{00000000-0005-0000-0000-000073A40000}"/>
    <cellStyle name="Wrap Bold 2 3 5 10 8" xfId="38962" xr:uid="{00000000-0005-0000-0000-000074A40000}"/>
    <cellStyle name="Wrap Bold 2 3 5 10 8 2" xfId="38963" xr:uid="{00000000-0005-0000-0000-000075A40000}"/>
    <cellStyle name="Wrap Bold 2 3 5 10 9" xfId="38964" xr:uid="{00000000-0005-0000-0000-000076A40000}"/>
    <cellStyle name="Wrap Bold 2 3 5 11" xfId="38965" xr:uid="{00000000-0005-0000-0000-000077A40000}"/>
    <cellStyle name="Wrap Bold 2 3 5 11 2" xfId="38966" xr:uid="{00000000-0005-0000-0000-000078A40000}"/>
    <cellStyle name="Wrap Bold 2 3 5 12" xfId="38967" xr:uid="{00000000-0005-0000-0000-000079A40000}"/>
    <cellStyle name="Wrap Bold 2 3 5 12 2" xfId="38968" xr:uid="{00000000-0005-0000-0000-00007AA40000}"/>
    <cellStyle name="Wrap Bold 2 3 5 13" xfId="38969" xr:uid="{00000000-0005-0000-0000-00007BA40000}"/>
    <cellStyle name="Wrap Bold 2 3 5 13 2" xfId="38970" xr:uid="{00000000-0005-0000-0000-00007CA40000}"/>
    <cellStyle name="Wrap Bold 2 3 5 14" xfId="38971" xr:uid="{00000000-0005-0000-0000-00007DA40000}"/>
    <cellStyle name="Wrap Bold 2 3 5 14 2" xfId="38972" xr:uid="{00000000-0005-0000-0000-00007EA40000}"/>
    <cellStyle name="Wrap Bold 2 3 5 15" xfId="38973" xr:uid="{00000000-0005-0000-0000-00007FA40000}"/>
    <cellStyle name="Wrap Bold 2 3 5 15 2" xfId="38974" xr:uid="{00000000-0005-0000-0000-000080A40000}"/>
    <cellStyle name="Wrap Bold 2 3 5 16" xfId="38975" xr:uid="{00000000-0005-0000-0000-000081A40000}"/>
    <cellStyle name="Wrap Bold 2 3 5 16 2" xfId="38976" xr:uid="{00000000-0005-0000-0000-000082A40000}"/>
    <cellStyle name="Wrap Bold 2 3 5 17" xfId="38977" xr:uid="{00000000-0005-0000-0000-000083A40000}"/>
    <cellStyle name="Wrap Bold 2 3 5 17 2" xfId="38978" xr:uid="{00000000-0005-0000-0000-000084A40000}"/>
    <cellStyle name="Wrap Bold 2 3 5 18" xfId="38979" xr:uid="{00000000-0005-0000-0000-000085A40000}"/>
    <cellStyle name="Wrap Bold 2 3 5 2" xfId="38980" xr:uid="{00000000-0005-0000-0000-000086A40000}"/>
    <cellStyle name="Wrap Bold 2 3 5 2 10" xfId="38981" xr:uid="{00000000-0005-0000-0000-000087A40000}"/>
    <cellStyle name="Wrap Bold 2 3 5 2 2" xfId="38982" xr:uid="{00000000-0005-0000-0000-000088A40000}"/>
    <cellStyle name="Wrap Bold 2 3 5 2 2 2" xfId="38983" xr:uid="{00000000-0005-0000-0000-000089A40000}"/>
    <cellStyle name="Wrap Bold 2 3 5 2 3" xfId="38984" xr:uid="{00000000-0005-0000-0000-00008AA40000}"/>
    <cellStyle name="Wrap Bold 2 3 5 2 3 2" xfId="38985" xr:uid="{00000000-0005-0000-0000-00008BA40000}"/>
    <cellStyle name="Wrap Bold 2 3 5 2 4" xfId="38986" xr:uid="{00000000-0005-0000-0000-00008CA40000}"/>
    <cellStyle name="Wrap Bold 2 3 5 2 4 2" xfId="38987" xr:uid="{00000000-0005-0000-0000-00008DA40000}"/>
    <cellStyle name="Wrap Bold 2 3 5 2 5" xfId="38988" xr:uid="{00000000-0005-0000-0000-00008EA40000}"/>
    <cellStyle name="Wrap Bold 2 3 5 2 5 2" xfId="38989" xr:uid="{00000000-0005-0000-0000-00008FA40000}"/>
    <cellStyle name="Wrap Bold 2 3 5 2 6" xfId="38990" xr:uid="{00000000-0005-0000-0000-000090A40000}"/>
    <cellStyle name="Wrap Bold 2 3 5 2 6 2" xfId="38991" xr:uid="{00000000-0005-0000-0000-000091A40000}"/>
    <cellStyle name="Wrap Bold 2 3 5 2 7" xfId="38992" xr:uid="{00000000-0005-0000-0000-000092A40000}"/>
    <cellStyle name="Wrap Bold 2 3 5 2 7 2" xfId="38993" xr:uid="{00000000-0005-0000-0000-000093A40000}"/>
    <cellStyle name="Wrap Bold 2 3 5 2 8" xfId="38994" xr:uid="{00000000-0005-0000-0000-000094A40000}"/>
    <cellStyle name="Wrap Bold 2 3 5 2 8 2" xfId="38995" xr:uid="{00000000-0005-0000-0000-000095A40000}"/>
    <cellStyle name="Wrap Bold 2 3 5 2 9" xfId="38996" xr:uid="{00000000-0005-0000-0000-000096A40000}"/>
    <cellStyle name="Wrap Bold 2 3 5 2 9 2" xfId="38997" xr:uid="{00000000-0005-0000-0000-000097A40000}"/>
    <cellStyle name="Wrap Bold 2 3 5 3" xfId="38998" xr:uid="{00000000-0005-0000-0000-000098A40000}"/>
    <cellStyle name="Wrap Bold 2 3 5 3 10" xfId="38999" xr:uid="{00000000-0005-0000-0000-000099A40000}"/>
    <cellStyle name="Wrap Bold 2 3 5 3 2" xfId="39000" xr:uid="{00000000-0005-0000-0000-00009AA40000}"/>
    <cellStyle name="Wrap Bold 2 3 5 3 2 2" xfId="39001" xr:uid="{00000000-0005-0000-0000-00009BA40000}"/>
    <cellStyle name="Wrap Bold 2 3 5 3 3" xfId="39002" xr:uid="{00000000-0005-0000-0000-00009CA40000}"/>
    <cellStyle name="Wrap Bold 2 3 5 3 3 2" xfId="39003" xr:uid="{00000000-0005-0000-0000-00009DA40000}"/>
    <cellStyle name="Wrap Bold 2 3 5 3 4" xfId="39004" xr:uid="{00000000-0005-0000-0000-00009EA40000}"/>
    <cellStyle name="Wrap Bold 2 3 5 3 4 2" xfId="39005" xr:uid="{00000000-0005-0000-0000-00009FA40000}"/>
    <cellStyle name="Wrap Bold 2 3 5 3 5" xfId="39006" xr:uid="{00000000-0005-0000-0000-0000A0A40000}"/>
    <cellStyle name="Wrap Bold 2 3 5 3 5 2" xfId="39007" xr:uid="{00000000-0005-0000-0000-0000A1A40000}"/>
    <cellStyle name="Wrap Bold 2 3 5 3 6" xfId="39008" xr:uid="{00000000-0005-0000-0000-0000A2A40000}"/>
    <cellStyle name="Wrap Bold 2 3 5 3 6 2" xfId="39009" xr:uid="{00000000-0005-0000-0000-0000A3A40000}"/>
    <cellStyle name="Wrap Bold 2 3 5 3 7" xfId="39010" xr:uid="{00000000-0005-0000-0000-0000A4A40000}"/>
    <cellStyle name="Wrap Bold 2 3 5 3 7 2" xfId="39011" xr:uid="{00000000-0005-0000-0000-0000A5A40000}"/>
    <cellStyle name="Wrap Bold 2 3 5 3 8" xfId="39012" xr:uid="{00000000-0005-0000-0000-0000A6A40000}"/>
    <cellStyle name="Wrap Bold 2 3 5 3 8 2" xfId="39013" xr:uid="{00000000-0005-0000-0000-0000A7A40000}"/>
    <cellStyle name="Wrap Bold 2 3 5 3 9" xfId="39014" xr:uid="{00000000-0005-0000-0000-0000A8A40000}"/>
    <cellStyle name="Wrap Bold 2 3 5 3 9 2" xfId="39015" xr:uid="{00000000-0005-0000-0000-0000A9A40000}"/>
    <cellStyle name="Wrap Bold 2 3 5 4" xfId="39016" xr:uid="{00000000-0005-0000-0000-0000AAA40000}"/>
    <cellStyle name="Wrap Bold 2 3 5 4 10" xfId="39017" xr:uid="{00000000-0005-0000-0000-0000ABA40000}"/>
    <cellStyle name="Wrap Bold 2 3 5 4 2" xfId="39018" xr:uid="{00000000-0005-0000-0000-0000ACA40000}"/>
    <cellStyle name="Wrap Bold 2 3 5 4 2 2" xfId="39019" xr:uid="{00000000-0005-0000-0000-0000ADA40000}"/>
    <cellStyle name="Wrap Bold 2 3 5 4 3" xfId="39020" xr:uid="{00000000-0005-0000-0000-0000AEA40000}"/>
    <cellStyle name="Wrap Bold 2 3 5 4 3 2" xfId="39021" xr:uid="{00000000-0005-0000-0000-0000AFA40000}"/>
    <cellStyle name="Wrap Bold 2 3 5 4 4" xfId="39022" xr:uid="{00000000-0005-0000-0000-0000B0A40000}"/>
    <cellStyle name="Wrap Bold 2 3 5 4 4 2" xfId="39023" xr:uid="{00000000-0005-0000-0000-0000B1A40000}"/>
    <cellStyle name="Wrap Bold 2 3 5 4 5" xfId="39024" xr:uid="{00000000-0005-0000-0000-0000B2A40000}"/>
    <cellStyle name="Wrap Bold 2 3 5 4 5 2" xfId="39025" xr:uid="{00000000-0005-0000-0000-0000B3A40000}"/>
    <cellStyle name="Wrap Bold 2 3 5 4 6" xfId="39026" xr:uid="{00000000-0005-0000-0000-0000B4A40000}"/>
    <cellStyle name="Wrap Bold 2 3 5 4 6 2" xfId="39027" xr:uid="{00000000-0005-0000-0000-0000B5A40000}"/>
    <cellStyle name="Wrap Bold 2 3 5 4 7" xfId="39028" xr:uid="{00000000-0005-0000-0000-0000B6A40000}"/>
    <cellStyle name="Wrap Bold 2 3 5 4 7 2" xfId="39029" xr:uid="{00000000-0005-0000-0000-0000B7A40000}"/>
    <cellStyle name="Wrap Bold 2 3 5 4 8" xfId="39030" xr:uid="{00000000-0005-0000-0000-0000B8A40000}"/>
    <cellStyle name="Wrap Bold 2 3 5 4 8 2" xfId="39031" xr:uid="{00000000-0005-0000-0000-0000B9A40000}"/>
    <cellStyle name="Wrap Bold 2 3 5 4 9" xfId="39032" xr:uid="{00000000-0005-0000-0000-0000BAA40000}"/>
    <cellStyle name="Wrap Bold 2 3 5 4 9 2" xfId="39033" xr:uid="{00000000-0005-0000-0000-0000BBA40000}"/>
    <cellStyle name="Wrap Bold 2 3 5 5" xfId="39034" xr:uid="{00000000-0005-0000-0000-0000BCA40000}"/>
    <cellStyle name="Wrap Bold 2 3 5 5 10" xfId="39035" xr:uid="{00000000-0005-0000-0000-0000BDA40000}"/>
    <cellStyle name="Wrap Bold 2 3 5 5 2" xfId="39036" xr:uid="{00000000-0005-0000-0000-0000BEA40000}"/>
    <cellStyle name="Wrap Bold 2 3 5 5 2 2" xfId="39037" xr:uid="{00000000-0005-0000-0000-0000BFA40000}"/>
    <cellStyle name="Wrap Bold 2 3 5 5 3" xfId="39038" xr:uid="{00000000-0005-0000-0000-0000C0A40000}"/>
    <cellStyle name="Wrap Bold 2 3 5 5 3 2" xfId="39039" xr:uid="{00000000-0005-0000-0000-0000C1A40000}"/>
    <cellStyle name="Wrap Bold 2 3 5 5 4" xfId="39040" xr:uid="{00000000-0005-0000-0000-0000C2A40000}"/>
    <cellStyle name="Wrap Bold 2 3 5 5 4 2" xfId="39041" xr:uid="{00000000-0005-0000-0000-0000C3A40000}"/>
    <cellStyle name="Wrap Bold 2 3 5 5 5" xfId="39042" xr:uid="{00000000-0005-0000-0000-0000C4A40000}"/>
    <cellStyle name="Wrap Bold 2 3 5 5 5 2" xfId="39043" xr:uid="{00000000-0005-0000-0000-0000C5A40000}"/>
    <cellStyle name="Wrap Bold 2 3 5 5 6" xfId="39044" xr:uid="{00000000-0005-0000-0000-0000C6A40000}"/>
    <cellStyle name="Wrap Bold 2 3 5 5 6 2" xfId="39045" xr:uid="{00000000-0005-0000-0000-0000C7A40000}"/>
    <cellStyle name="Wrap Bold 2 3 5 5 7" xfId="39046" xr:uid="{00000000-0005-0000-0000-0000C8A40000}"/>
    <cellStyle name="Wrap Bold 2 3 5 5 7 2" xfId="39047" xr:uid="{00000000-0005-0000-0000-0000C9A40000}"/>
    <cellStyle name="Wrap Bold 2 3 5 5 8" xfId="39048" xr:uid="{00000000-0005-0000-0000-0000CAA40000}"/>
    <cellStyle name="Wrap Bold 2 3 5 5 8 2" xfId="39049" xr:uid="{00000000-0005-0000-0000-0000CBA40000}"/>
    <cellStyle name="Wrap Bold 2 3 5 5 9" xfId="39050" xr:uid="{00000000-0005-0000-0000-0000CCA40000}"/>
    <cellStyle name="Wrap Bold 2 3 5 5 9 2" xfId="39051" xr:uid="{00000000-0005-0000-0000-0000CDA40000}"/>
    <cellStyle name="Wrap Bold 2 3 5 6" xfId="39052" xr:uid="{00000000-0005-0000-0000-0000CEA40000}"/>
    <cellStyle name="Wrap Bold 2 3 5 6 10" xfId="39053" xr:uid="{00000000-0005-0000-0000-0000CFA40000}"/>
    <cellStyle name="Wrap Bold 2 3 5 6 2" xfId="39054" xr:uid="{00000000-0005-0000-0000-0000D0A40000}"/>
    <cellStyle name="Wrap Bold 2 3 5 6 2 2" xfId="39055" xr:uid="{00000000-0005-0000-0000-0000D1A40000}"/>
    <cellStyle name="Wrap Bold 2 3 5 6 3" xfId="39056" xr:uid="{00000000-0005-0000-0000-0000D2A40000}"/>
    <cellStyle name="Wrap Bold 2 3 5 6 3 2" xfId="39057" xr:uid="{00000000-0005-0000-0000-0000D3A40000}"/>
    <cellStyle name="Wrap Bold 2 3 5 6 4" xfId="39058" xr:uid="{00000000-0005-0000-0000-0000D4A40000}"/>
    <cellStyle name="Wrap Bold 2 3 5 6 4 2" xfId="39059" xr:uid="{00000000-0005-0000-0000-0000D5A40000}"/>
    <cellStyle name="Wrap Bold 2 3 5 6 5" xfId="39060" xr:uid="{00000000-0005-0000-0000-0000D6A40000}"/>
    <cellStyle name="Wrap Bold 2 3 5 6 5 2" xfId="39061" xr:uid="{00000000-0005-0000-0000-0000D7A40000}"/>
    <cellStyle name="Wrap Bold 2 3 5 6 6" xfId="39062" xr:uid="{00000000-0005-0000-0000-0000D8A40000}"/>
    <cellStyle name="Wrap Bold 2 3 5 6 6 2" xfId="39063" xr:uid="{00000000-0005-0000-0000-0000D9A40000}"/>
    <cellStyle name="Wrap Bold 2 3 5 6 7" xfId="39064" xr:uid="{00000000-0005-0000-0000-0000DAA40000}"/>
    <cellStyle name="Wrap Bold 2 3 5 6 7 2" xfId="39065" xr:uid="{00000000-0005-0000-0000-0000DBA40000}"/>
    <cellStyle name="Wrap Bold 2 3 5 6 8" xfId="39066" xr:uid="{00000000-0005-0000-0000-0000DCA40000}"/>
    <cellStyle name="Wrap Bold 2 3 5 6 8 2" xfId="39067" xr:uid="{00000000-0005-0000-0000-0000DDA40000}"/>
    <cellStyle name="Wrap Bold 2 3 5 6 9" xfId="39068" xr:uid="{00000000-0005-0000-0000-0000DEA40000}"/>
    <cellStyle name="Wrap Bold 2 3 5 6 9 2" xfId="39069" xr:uid="{00000000-0005-0000-0000-0000DFA40000}"/>
    <cellStyle name="Wrap Bold 2 3 5 7" xfId="39070" xr:uid="{00000000-0005-0000-0000-0000E0A40000}"/>
    <cellStyle name="Wrap Bold 2 3 5 7 10" xfId="39071" xr:uid="{00000000-0005-0000-0000-0000E1A40000}"/>
    <cellStyle name="Wrap Bold 2 3 5 7 2" xfId="39072" xr:uid="{00000000-0005-0000-0000-0000E2A40000}"/>
    <cellStyle name="Wrap Bold 2 3 5 7 2 2" xfId="39073" xr:uid="{00000000-0005-0000-0000-0000E3A40000}"/>
    <cellStyle name="Wrap Bold 2 3 5 7 3" xfId="39074" xr:uid="{00000000-0005-0000-0000-0000E4A40000}"/>
    <cellStyle name="Wrap Bold 2 3 5 7 3 2" xfId="39075" xr:uid="{00000000-0005-0000-0000-0000E5A40000}"/>
    <cellStyle name="Wrap Bold 2 3 5 7 4" xfId="39076" xr:uid="{00000000-0005-0000-0000-0000E6A40000}"/>
    <cellStyle name="Wrap Bold 2 3 5 7 4 2" xfId="39077" xr:uid="{00000000-0005-0000-0000-0000E7A40000}"/>
    <cellStyle name="Wrap Bold 2 3 5 7 5" xfId="39078" xr:uid="{00000000-0005-0000-0000-0000E8A40000}"/>
    <cellStyle name="Wrap Bold 2 3 5 7 5 2" xfId="39079" xr:uid="{00000000-0005-0000-0000-0000E9A40000}"/>
    <cellStyle name="Wrap Bold 2 3 5 7 6" xfId="39080" xr:uid="{00000000-0005-0000-0000-0000EAA40000}"/>
    <cellStyle name="Wrap Bold 2 3 5 7 6 2" xfId="39081" xr:uid="{00000000-0005-0000-0000-0000EBA40000}"/>
    <cellStyle name="Wrap Bold 2 3 5 7 7" xfId="39082" xr:uid="{00000000-0005-0000-0000-0000ECA40000}"/>
    <cellStyle name="Wrap Bold 2 3 5 7 7 2" xfId="39083" xr:uid="{00000000-0005-0000-0000-0000EDA40000}"/>
    <cellStyle name="Wrap Bold 2 3 5 7 8" xfId="39084" xr:uid="{00000000-0005-0000-0000-0000EEA40000}"/>
    <cellStyle name="Wrap Bold 2 3 5 7 8 2" xfId="39085" xr:uid="{00000000-0005-0000-0000-0000EFA40000}"/>
    <cellStyle name="Wrap Bold 2 3 5 7 9" xfId="39086" xr:uid="{00000000-0005-0000-0000-0000F0A40000}"/>
    <cellStyle name="Wrap Bold 2 3 5 7 9 2" xfId="39087" xr:uid="{00000000-0005-0000-0000-0000F1A40000}"/>
    <cellStyle name="Wrap Bold 2 3 5 8" xfId="39088" xr:uid="{00000000-0005-0000-0000-0000F2A40000}"/>
    <cellStyle name="Wrap Bold 2 3 5 8 10" xfId="39089" xr:uid="{00000000-0005-0000-0000-0000F3A40000}"/>
    <cellStyle name="Wrap Bold 2 3 5 8 2" xfId="39090" xr:uid="{00000000-0005-0000-0000-0000F4A40000}"/>
    <cellStyle name="Wrap Bold 2 3 5 8 2 2" xfId="39091" xr:uid="{00000000-0005-0000-0000-0000F5A40000}"/>
    <cellStyle name="Wrap Bold 2 3 5 8 3" xfId="39092" xr:uid="{00000000-0005-0000-0000-0000F6A40000}"/>
    <cellStyle name="Wrap Bold 2 3 5 8 3 2" xfId="39093" xr:uid="{00000000-0005-0000-0000-0000F7A40000}"/>
    <cellStyle name="Wrap Bold 2 3 5 8 4" xfId="39094" xr:uid="{00000000-0005-0000-0000-0000F8A40000}"/>
    <cellStyle name="Wrap Bold 2 3 5 8 4 2" xfId="39095" xr:uid="{00000000-0005-0000-0000-0000F9A40000}"/>
    <cellStyle name="Wrap Bold 2 3 5 8 5" xfId="39096" xr:uid="{00000000-0005-0000-0000-0000FAA40000}"/>
    <cellStyle name="Wrap Bold 2 3 5 8 5 2" xfId="39097" xr:uid="{00000000-0005-0000-0000-0000FBA40000}"/>
    <cellStyle name="Wrap Bold 2 3 5 8 6" xfId="39098" xr:uid="{00000000-0005-0000-0000-0000FCA40000}"/>
    <cellStyle name="Wrap Bold 2 3 5 8 6 2" xfId="39099" xr:uid="{00000000-0005-0000-0000-0000FDA40000}"/>
    <cellStyle name="Wrap Bold 2 3 5 8 7" xfId="39100" xr:uid="{00000000-0005-0000-0000-0000FEA40000}"/>
    <cellStyle name="Wrap Bold 2 3 5 8 7 2" xfId="39101" xr:uid="{00000000-0005-0000-0000-0000FFA40000}"/>
    <cellStyle name="Wrap Bold 2 3 5 8 8" xfId="39102" xr:uid="{00000000-0005-0000-0000-000000A50000}"/>
    <cellStyle name="Wrap Bold 2 3 5 8 8 2" xfId="39103" xr:uid="{00000000-0005-0000-0000-000001A50000}"/>
    <cellStyle name="Wrap Bold 2 3 5 8 9" xfId="39104" xr:uid="{00000000-0005-0000-0000-000002A50000}"/>
    <cellStyle name="Wrap Bold 2 3 5 8 9 2" xfId="39105" xr:uid="{00000000-0005-0000-0000-000003A50000}"/>
    <cellStyle name="Wrap Bold 2 3 5 9" xfId="39106" xr:uid="{00000000-0005-0000-0000-000004A50000}"/>
    <cellStyle name="Wrap Bold 2 3 5 9 10" xfId="39107" xr:uid="{00000000-0005-0000-0000-000005A50000}"/>
    <cellStyle name="Wrap Bold 2 3 5 9 2" xfId="39108" xr:uid="{00000000-0005-0000-0000-000006A50000}"/>
    <cellStyle name="Wrap Bold 2 3 5 9 2 2" xfId="39109" xr:uid="{00000000-0005-0000-0000-000007A50000}"/>
    <cellStyle name="Wrap Bold 2 3 5 9 3" xfId="39110" xr:uid="{00000000-0005-0000-0000-000008A50000}"/>
    <cellStyle name="Wrap Bold 2 3 5 9 3 2" xfId="39111" xr:uid="{00000000-0005-0000-0000-000009A50000}"/>
    <cellStyle name="Wrap Bold 2 3 5 9 4" xfId="39112" xr:uid="{00000000-0005-0000-0000-00000AA50000}"/>
    <cellStyle name="Wrap Bold 2 3 5 9 4 2" xfId="39113" xr:uid="{00000000-0005-0000-0000-00000BA50000}"/>
    <cellStyle name="Wrap Bold 2 3 5 9 5" xfId="39114" xr:uid="{00000000-0005-0000-0000-00000CA50000}"/>
    <cellStyle name="Wrap Bold 2 3 5 9 5 2" xfId="39115" xr:uid="{00000000-0005-0000-0000-00000DA50000}"/>
    <cellStyle name="Wrap Bold 2 3 5 9 6" xfId="39116" xr:uid="{00000000-0005-0000-0000-00000EA50000}"/>
    <cellStyle name="Wrap Bold 2 3 5 9 6 2" xfId="39117" xr:uid="{00000000-0005-0000-0000-00000FA50000}"/>
    <cellStyle name="Wrap Bold 2 3 5 9 7" xfId="39118" xr:uid="{00000000-0005-0000-0000-000010A50000}"/>
    <cellStyle name="Wrap Bold 2 3 5 9 7 2" xfId="39119" xr:uid="{00000000-0005-0000-0000-000011A50000}"/>
    <cellStyle name="Wrap Bold 2 3 5 9 8" xfId="39120" xr:uid="{00000000-0005-0000-0000-000012A50000}"/>
    <cellStyle name="Wrap Bold 2 3 5 9 8 2" xfId="39121" xr:uid="{00000000-0005-0000-0000-000013A50000}"/>
    <cellStyle name="Wrap Bold 2 3 5 9 9" xfId="39122" xr:uid="{00000000-0005-0000-0000-000014A50000}"/>
    <cellStyle name="Wrap Bold 2 3 5 9 9 2" xfId="39123" xr:uid="{00000000-0005-0000-0000-000015A50000}"/>
    <cellStyle name="Wrap Bold 2 3 6" xfId="39124" xr:uid="{00000000-0005-0000-0000-000016A50000}"/>
    <cellStyle name="Wrap Bold 2 3 6 10" xfId="39125" xr:uid="{00000000-0005-0000-0000-000017A50000}"/>
    <cellStyle name="Wrap Bold 2 3 6 10 2" xfId="39126" xr:uid="{00000000-0005-0000-0000-000018A50000}"/>
    <cellStyle name="Wrap Bold 2 3 6 10 2 2" xfId="39127" xr:uid="{00000000-0005-0000-0000-000019A50000}"/>
    <cellStyle name="Wrap Bold 2 3 6 10 3" xfId="39128" xr:uid="{00000000-0005-0000-0000-00001AA50000}"/>
    <cellStyle name="Wrap Bold 2 3 6 10 3 2" xfId="39129" xr:uid="{00000000-0005-0000-0000-00001BA50000}"/>
    <cellStyle name="Wrap Bold 2 3 6 10 4" xfId="39130" xr:uid="{00000000-0005-0000-0000-00001CA50000}"/>
    <cellStyle name="Wrap Bold 2 3 6 10 4 2" xfId="39131" xr:uid="{00000000-0005-0000-0000-00001DA50000}"/>
    <cellStyle name="Wrap Bold 2 3 6 10 5" xfId="39132" xr:uid="{00000000-0005-0000-0000-00001EA50000}"/>
    <cellStyle name="Wrap Bold 2 3 6 10 5 2" xfId="39133" xr:uid="{00000000-0005-0000-0000-00001FA50000}"/>
    <cellStyle name="Wrap Bold 2 3 6 10 6" xfId="39134" xr:uid="{00000000-0005-0000-0000-000020A50000}"/>
    <cellStyle name="Wrap Bold 2 3 6 10 6 2" xfId="39135" xr:uid="{00000000-0005-0000-0000-000021A50000}"/>
    <cellStyle name="Wrap Bold 2 3 6 10 7" xfId="39136" xr:uid="{00000000-0005-0000-0000-000022A50000}"/>
    <cellStyle name="Wrap Bold 2 3 6 10 7 2" xfId="39137" xr:uid="{00000000-0005-0000-0000-000023A50000}"/>
    <cellStyle name="Wrap Bold 2 3 6 10 8" xfId="39138" xr:uid="{00000000-0005-0000-0000-000024A50000}"/>
    <cellStyle name="Wrap Bold 2 3 6 10 8 2" xfId="39139" xr:uid="{00000000-0005-0000-0000-000025A50000}"/>
    <cellStyle name="Wrap Bold 2 3 6 10 9" xfId="39140" xr:uid="{00000000-0005-0000-0000-000026A50000}"/>
    <cellStyle name="Wrap Bold 2 3 6 11" xfId="39141" xr:uid="{00000000-0005-0000-0000-000027A50000}"/>
    <cellStyle name="Wrap Bold 2 3 6 11 2" xfId="39142" xr:uid="{00000000-0005-0000-0000-000028A50000}"/>
    <cellStyle name="Wrap Bold 2 3 6 12" xfId="39143" xr:uid="{00000000-0005-0000-0000-000029A50000}"/>
    <cellStyle name="Wrap Bold 2 3 6 12 2" xfId="39144" xr:uid="{00000000-0005-0000-0000-00002AA50000}"/>
    <cellStyle name="Wrap Bold 2 3 6 13" xfId="39145" xr:uid="{00000000-0005-0000-0000-00002BA50000}"/>
    <cellStyle name="Wrap Bold 2 3 6 13 2" xfId="39146" xr:uid="{00000000-0005-0000-0000-00002CA50000}"/>
    <cellStyle name="Wrap Bold 2 3 6 14" xfId="39147" xr:uid="{00000000-0005-0000-0000-00002DA50000}"/>
    <cellStyle name="Wrap Bold 2 3 6 14 2" xfId="39148" xr:uid="{00000000-0005-0000-0000-00002EA50000}"/>
    <cellStyle name="Wrap Bold 2 3 6 15" xfId="39149" xr:uid="{00000000-0005-0000-0000-00002FA50000}"/>
    <cellStyle name="Wrap Bold 2 3 6 15 2" xfId="39150" xr:uid="{00000000-0005-0000-0000-000030A50000}"/>
    <cellStyle name="Wrap Bold 2 3 6 16" xfId="39151" xr:uid="{00000000-0005-0000-0000-000031A50000}"/>
    <cellStyle name="Wrap Bold 2 3 6 16 2" xfId="39152" xr:uid="{00000000-0005-0000-0000-000032A50000}"/>
    <cellStyle name="Wrap Bold 2 3 6 17" xfId="39153" xr:uid="{00000000-0005-0000-0000-000033A50000}"/>
    <cellStyle name="Wrap Bold 2 3 6 17 2" xfId="39154" xr:uid="{00000000-0005-0000-0000-000034A50000}"/>
    <cellStyle name="Wrap Bold 2 3 6 18" xfId="39155" xr:uid="{00000000-0005-0000-0000-000035A50000}"/>
    <cellStyle name="Wrap Bold 2 3 6 2" xfId="39156" xr:uid="{00000000-0005-0000-0000-000036A50000}"/>
    <cellStyle name="Wrap Bold 2 3 6 2 10" xfId="39157" xr:uid="{00000000-0005-0000-0000-000037A50000}"/>
    <cellStyle name="Wrap Bold 2 3 6 2 2" xfId="39158" xr:uid="{00000000-0005-0000-0000-000038A50000}"/>
    <cellStyle name="Wrap Bold 2 3 6 2 2 2" xfId="39159" xr:uid="{00000000-0005-0000-0000-000039A50000}"/>
    <cellStyle name="Wrap Bold 2 3 6 2 3" xfId="39160" xr:uid="{00000000-0005-0000-0000-00003AA50000}"/>
    <cellStyle name="Wrap Bold 2 3 6 2 3 2" xfId="39161" xr:uid="{00000000-0005-0000-0000-00003BA50000}"/>
    <cellStyle name="Wrap Bold 2 3 6 2 4" xfId="39162" xr:uid="{00000000-0005-0000-0000-00003CA50000}"/>
    <cellStyle name="Wrap Bold 2 3 6 2 4 2" xfId="39163" xr:uid="{00000000-0005-0000-0000-00003DA50000}"/>
    <cellStyle name="Wrap Bold 2 3 6 2 5" xfId="39164" xr:uid="{00000000-0005-0000-0000-00003EA50000}"/>
    <cellStyle name="Wrap Bold 2 3 6 2 5 2" xfId="39165" xr:uid="{00000000-0005-0000-0000-00003FA50000}"/>
    <cellStyle name="Wrap Bold 2 3 6 2 6" xfId="39166" xr:uid="{00000000-0005-0000-0000-000040A50000}"/>
    <cellStyle name="Wrap Bold 2 3 6 2 6 2" xfId="39167" xr:uid="{00000000-0005-0000-0000-000041A50000}"/>
    <cellStyle name="Wrap Bold 2 3 6 2 7" xfId="39168" xr:uid="{00000000-0005-0000-0000-000042A50000}"/>
    <cellStyle name="Wrap Bold 2 3 6 2 7 2" xfId="39169" xr:uid="{00000000-0005-0000-0000-000043A50000}"/>
    <cellStyle name="Wrap Bold 2 3 6 2 8" xfId="39170" xr:uid="{00000000-0005-0000-0000-000044A50000}"/>
    <cellStyle name="Wrap Bold 2 3 6 2 8 2" xfId="39171" xr:uid="{00000000-0005-0000-0000-000045A50000}"/>
    <cellStyle name="Wrap Bold 2 3 6 2 9" xfId="39172" xr:uid="{00000000-0005-0000-0000-000046A50000}"/>
    <cellStyle name="Wrap Bold 2 3 6 2 9 2" xfId="39173" xr:uid="{00000000-0005-0000-0000-000047A50000}"/>
    <cellStyle name="Wrap Bold 2 3 6 3" xfId="39174" xr:uid="{00000000-0005-0000-0000-000048A50000}"/>
    <cellStyle name="Wrap Bold 2 3 6 3 10" xfId="39175" xr:uid="{00000000-0005-0000-0000-000049A50000}"/>
    <cellStyle name="Wrap Bold 2 3 6 3 2" xfId="39176" xr:uid="{00000000-0005-0000-0000-00004AA50000}"/>
    <cellStyle name="Wrap Bold 2 3 6 3 2 2" xfId="39177" xr:uid="{00000000-0005-0000-0000-00004BA50000}"/>
    <cellStyle name="Wrap Bold 2 3 6 3 3" xfId="39178" xr:uid="{00000000-0005-0000-0000-00004CA50000}"/>
    <cellStyle name="Wrap Bold 2 3 6 3 3 2" xfId="39179" xr:uid="{00000000-0005-0000-0000-00004DA50000}"/>
    <cellStyle name="Wrap Bold 2 3 6 3 4" xfId="39180" xr:uid="{00000000-0005-0000-0000-00004EA50000}"/>
    <cellStyle name="Wrap Bold 2 3 6 3 4 2" xfId="39181" xr:uid="{00000000-0005-0000-0000-00004FA50000}"/>
    <cellStyle name="Wrap Bold 2 3 6 3 5" xfId="39182" xr:uid="{00000000-0005-0000-0000-000050A50000}"/>
    <cellStyle name="Wrap Bold 2 3 6 3 5 2" xfId="39183" xr:uid="{00000000-0005-0000-0000-000051A50000}"/>
    <cellStyle name="Wrap Bold 2 3 6 3 6" xfId="39184" xr:uid="{00000000-0005-0000-0000-000052A50000}"/>
    <cellStyle name="Wrap Bold 2 3 6 3 6 2" xfId="39185" xr:uid="{00000000-0005-0000-0000-000053A50000}"/>
    <cellStyle name="Wrap Bold 2 3 6 3 7" xfId="39186" xr:uid="{00000000-0005-0000-0000-000054A50000}"/>
    <cellStyle name="Wrap Bold 2 3 6 3 7 2" xfId="39187" xr:uid="{00000000-0005-0000-0000-000055A50000}"/>
    <cellStyle name="Wrap Bold 2 3 6 3 8" xfId="39188" xr:uid="{00000000-0005-0000-0000-000056A50000}"/>
    <cellStyle name="Wrap Bold 2 3 6 3 8 2" xfId="39189" xr:uid="{00000000-0005-0000-0000-000057A50000}"/>
    <cellStyle name="Wrap Bold 2 3 6 3 9" xfId="39190" xr:uid="{00000000-0005-0000-0000-000058A50000}"/>
    <cellStyle name="Wrap Bold 2 3 6 3 9 2" xfId="39191" xr:uid="{00000000-0005-0000-0000-000059A50000}"/>
    <cellStyle name="Wrap Bold 2 3 6 4" xfId="39192" xr:uid="{00000000-0005-0000-0000-00005AA50000}"/>
    <cellStyle name="Wrap Bold 2 3 6 4 10" xfId="39193" xr:uid="{00000000-0005-0000-0000-00005BA50000}"/>
    <cellStyle name="Wrap Bold 2 3 6 4 2" xfId="39194" xr:uid="{00000000-0005-0000-0000-00005CA50000}"/>
    <cellStyle name="Wrap Bold 2 3 6 4 2 2" xfId="39195" xr:uid="{00000000-0005-0000-0000-00005DA50000}"/>
    <cellStyle name="Wrap Bold 2 3 6 4 3" xfId="39196" xr:uid="{00000000-0005-0000-0000-00005EA50000}"/>
    <cellStyle name="Wrap Bold 2 3 6 4 3 2" xfId="39197" xr:uid="{00000000-0005-0000-0000-00005FA50000}"/>
    <cellStyle name="Wrap Bold 2 3 6 4 4" xfId="39198" xr:uid="{00000000-0005-0000-0000-000060A50000}"/>
    <cellStyle name="Wrap Bold 2 3 6 4 4 2" xfId="39199" xr:uid="{00000000-0005-0000-0000-000061A50000}"/>
    <cellStyle name="Wrap Bold 2 3 6 4 5" xfId="39200" xr:uid="{00000000-0005-0000-0000-000062A50000}"/>
    <cellStyle name="Wrap Bold 2 3 6 4 5 2" xfId="39201" xr:uid="{00000000-0005-0000-0000-000063A50000}"/>
    <cellStyle name="Wrap Bold 2 3 6 4 6" xfId="39202" xr:uid="{00000000-0005-0000-0000-000064A50000}"/>
    <cellStyle name="Wrap Bold 2 3 6 4 6 2" xfId="39203" xr:uid="{00000000-0005-0000-0000-000065A50000}"/>
    <cellStyle name="Wrap Bold 2 3 6 4 7" xfId="39204" xr:uid="{00000000-0005-0000-0000-000066A50000}"/>
    <cellStyle name="Wrap Bold 2 3 6 4 7 2" xfId="39205" xr:uid="{00000000-0005-0000-0000-000067A50000}"/>
    <cellStyle name="Wrap Bold 2 3 6 4 8" xfId="39206" xr:uid="{00000000-0005-0000-0000-000068A50000}"/>
    <cellStyle name="Wrap Bold 2 3 6 4 8 2" xfId="39207" xr:uid="{00000000-0005-0000-0000-000069A50000}"/>
    <cellStyle name="Wrap Bold 2 3 6 4 9" xfId="39208" xr:uid="{00000000-0005-0000-0000-00006AA50000}"/>
    <cellStyle name="Wrap Bold 2 3 6 4 9 2" xfId="39209" xr:uid="{00000000-0005-0000-0000-00006BA50000}"/>
    <cellStyle name="Wrap Bold 2 3 6 5" xfId="39210" xr:uid="{00000000-0005-0000-0000-00006CA50000}"/>
    <cellStyle name="Wrap Bold 2 3 6 5 10" xfId="39211" xr:uid="{00000000-0005-0000-0000-00006DA50000}"/>
    <cellStyle name="Wrap Bold 2 3 6 5 2" xfId="39212" xr:uid="{00000000-0005-0000-0000-00006EA50000}"/>
    <cellStyle name="Wrap Bold 2 3 6 5 2 2" xfId="39213" xr:uid="{00000000-0005-0000-0000-00006FA50000}"/>
    <cellStyle name="Wrap Bold 2 3 6 5 3" xfId="39214" xr:uid="{00000000-0005-0000-0000-000070A50000}"/>
    <cellStyle name="Wrap Bold 2 3 6 5 3 2" xfId="39215" xr:uid="{00000000-0005-0000-0000-000071A50000}"/>
    <cellStyle name="Wrap Bold 2 3 6 5 4" xfId="39216" xr:uid="{00000000-0005-0000-0000-000072A50000}"/>
    <cellStyle name="Wrap Bold 2 3 6 5 4 2" xfId="39217" xr:uid="{00000000-0005-0000-0000-000073A50000}"/>
    <cellStyle name="Wrap Bold 2 3 6 5 5" xfId="39218" xr:uid="{00000000-0005-0000-0000-000074A50000}"/>
    <cellStyle name="Wrap Bold 2 3 6 5 5 2" xfId="39219" xr:uid="{00000000-0005-0000-0000-000075A50000}"/>
    <cellStyle name="Wrap Bold 2 3 6 5 6" xfId="39220" xr:uid="{00000000-0005-0000-0000-000076A50000}"/>
    <cellStyle name="Wrap Bold 2 3 6 5 6 2" xfId="39221" xr:uid="{00000000-0005-0000-0000-000077A50000}"/>
    <cellStyle name="Wrap Bold 2 3 6 5 7" xfId="39222" xr:uid="{00000000-0005-0000-0000-000078A50000}"/>
    <cellStyle name="Wrap Bold 2 3 6 5 7 2" xfId="39223" xr:uid="{00000000-0005-0000-0000-000079A50000}"/>
    <cellStyle name="Wrap Bold 2 3 6 5 8" xfId="39224" xr:uid="{00000000-0005-0000-0000-00007AA50000}"/>
    <cellStyle name="Wrap Bold 2 3 6 5 8 2" xfId="39225" xr:uid="{00000000-0005-0000-0000-00007BA50000}"/>
    <cellStyle name="Wrap Bold 2 3 6 5 9" xfId="39226" xr:uid="{00000000-0005-0000-0000-00007CA50000}"/>
    <cellStyle name="Wrap Bold 2 3 6 5 9 2" xfId="39227" xr:uid="{00000000-0005-0000-0000-00007DA50000}"/>
    <cellStyle name="Wrap Bold 2 3 6 6" xfId="39228" xr:uid="{00000000-0005-0000-0000-00007EA50000}"/>
    <cellStyle name="Wrap Bold 2 3 6 6 10" xfId="39229" xr:uid="{00000000-0005-0000-0000-00007FA50000}"/>
    <cellStyle name="Wrap Bold 2 3 6 6 2" xfId="39230" xr:uid="{00000000-0005-0000-0000-000080A50000}"/>
    <cellStyle name="Wrap Bold 2 3 6 6 2 2" xfId="39231" xr:uid="{00000000-0005-0000-0000-000081A50000}"/>
    <cellStyle name="Wrap Bold 2 3 6 6 3" xfId="39232" xr:uid="{00000000-0005-0000-0000-000082A50000}"/>
    <cellStyle name="Wrap Bold 2 3 6 6 3 2" xfId="39233" xr:uid="{00000000-0005-0000-0000-000083A50000}"/>
    <cellStyle name="Wrap Bold 2 3 6 6 4" xfId="39234" xr:uid="{00000000-0005-0000-0000-000084A50000}"/>
    <cellStyle name="Wrap Bold 2 3 6 6 4 2" xfId="39235" xr:uid="{00000000-0005-0000-0000-000085A50000}"/>
    <cellStyle name="Wrap Bold 2 3 6 6 5" xfId="39236" xr:uid="{00000000-0005-0000-0000-000086A50000}"/>
    <cellStyle name="Wrap Bold 2 3 6 6 5 2" xfId="39237" xr:uid="{00000000-0005-0000-0000-000087A50000}"/>
    <cellStyle name="Wrap Bold 2 3 6 6 6" xfId="39238" xr:uid="{00000000-0005-0000-0000-000088A50000}"/>
    <cellStyle name="Wrap Bold 2 3 6 6 6 2" xfId="39239" xr:uid="{00000000-0005-0000-0000-000089A50000}"/>
    <cellStyle name="Wrap Bold 2 3 6 6 7" xfId="39240" xr:uid="{00000000-0005-0000-0000-00008AA50000}"/>
    <cellStyle name="Wrap Bold 2 3 6 6 7 2" xfId="39241" xr:uid="{00000000-0005-0000-0000-00008BA50000}"/>
    <cellStyle name="Wrap Bold 2 3 6 6 8" xfId="39242" xr:uid="{00000000-0005-0000-0000-00008CA50000}"/>
    <cellStyle name="Wrap Bold 2 3 6 6 8 2" xfId="39243" xr:uid="{00000000-0005-0000-0000-00008DA50000}"/>
    <cellStyle name="Wrap Bold 2 3 6 6 9" xfId="39244" xr:uid="{00000000-0005-0000-0000-00008EA50000}"/>
    <cellStyle name="Wrap Bold 2 3 6 6 9 2" xfId="39245" xr:uid="{00000000-0005-0000-0000-00008FA50000}"/>
    <cellStyle name="Wrap Bold 2 3 6 7" xfId="39246" xr:uid="{00000000-0005-0000-0000-000090A50000}"/>
    <cellStyle name="Wrap Bold 2 3 6 7 10" xfId="39247" xr:uid="{00000000-0005-0000-0000-000091A50000}"/>
    <cellStyle name="Wrap Bold 2 3 6 7 2" xfId="39248" xr:uid="{00000000-0005-0000-0000-000092A50000}"/>
    <cellStyle name="Wrap Bold 2 3 6 7 2 2" xfId="39249" xr:uid="{00000000-0005-0000-0000-000093A50000}"/>
    <cellStyle name="Wrap Bold 2 3 6 7 3" xfId="39250" xr:uid="{00000000-0005-0000-0000-000094A50000}"/>
    <cellStyle name="Wrap Bold 2 3 6 7 3 2" xfId="39251" xr:uid="{00000000-0005-0000-0000-000095A50000}"/>
    <cellStyle name="Wrap Bold 2 3 6 7 4" xfId="39252" xr:uid="{00000000-0005-0000-0000-000096A50000}"/>
    <cellStyle name="Wrap Bold 2 3 6 7 4 2" xfId="39253" xr:uid="{00000000-0005-0000-0000-000097A50000}"/>
    <cellStyle name="Wrap Bold 2 3 6 7 5" xfId="39254" xr:uid="{00000000-0005-0000-0000-000098A50000}"/>
    <cellStyle name="Wrap Bold 2 3 6 7 5 2" xfId="39255" xr:uid="{00000000-0005-0000-0000-000099A50000}"/>
    <cellStyle name="Wrap Bold 2 3 6 7 6" xfId="39256" xr:uid="{00000000-0005-0000-0000-00009AA50000}"/>
    <cellStyle name="Wrap Bold 2 3 6 7 6 2" xfId="39257" xr:uid="{00000000-0005-0000-0000-00009BA50000}"/>
    <cellStyle name="Wrap Bold 2 3 6 7 7" xfId="39258" xr:uid="{00000000-0005-0000-0000-00009CA50000}"/>
    <cellStyle name="Wrap Bold 2 3 6 7 7 2" xfId="39259" xr:uid="{00000000-0005-0000-0000-00009DA50000}"/>
    <cellStyle name="Wrap Bold 2 3 6 7 8" xfId="39260" xr:uid="{00000000-0005-0000-0000-00009EA50000}"/>
    <cellStyle name="Wrap Bold 2 3 6 7 8 2" xfId="39261" xr:uid="{00000000-0005-0000-0000-00009FA50000}"/>
    <cellStyle name="Wrap Bold 2 3 6 7 9" xfId="39262" xr:uid="{00000000-0005-0000-0000-0000A0A50000}"/>
    <cellStyle name="Wrap Bold 2 3 6 7 9 2" xfId="39263" xr:uid="{00000000-0005-0000-0000-0000A1A50000}"/>
    <cellStyle name="Wrap Bold 2 3 6 8" xfId="39264" xr:uid="{00000000-0005-0000-0000-0000A2A50000}"/>
    <cellStyle name="Wrap Bold 2 3 6 8 10" xfId="39265" xr:uid="{00000000-0005-0000-0000-0000A3A50000}"/>
    <cellStyle name="Wrap Bold 2 3 6 8 2" xfId="39266" xr:uid="{00000000-0005-0000-0000-0000A4A50000}"/>
    <cellStyle name="Wrap Bold 2 3 6 8 2 2" xfId="39267" xr:uid="{00000000-0005-0000-0000-0000A5A50000}"/>
    <cellStyle name="Wrap Bold 2 3 6 8 3" xfId="39268" xr:uid="{00000000-0005-0000-0000-0000A6A50000}"/>
    <cellStyle name="Wrap Bold 2 3 6 8 3 2" xfId="39269" xr:uid="{00000000-0005-0000-0000-0000A7A50000}"/>
    <cellStyle name="Wrap Bold 2 3 6 8 4" xfId="39270" xr:uid="{00000000-0005-0000-0000-0000A8A50000}"/>
    <cellStyle name="Wrap Bold 2 3 6 8 4 2" xfId="39271" xr:uid="{00000000-0005-0000-0000-0000A9A50000}"/>
    <cellStyle name="Wrap Bold 2 3 6 8 5" xfId="39272" xr:uid="{00000000-0005-0000-0000-0000AAA50000}"/>
    <cellStyle name="Wrap Bold 2 3 6 8 5 2" xfId="39273" xr:uid="{00000000-0005-0000-0000-0000ABA50000}"/>
    <cellStyle name="Wrap Bold 2 3 6 8 6" xfId="39274" xr:uid="{00000000-0005-0000-0000-0000ACA50000}"/>
    <cellStyle name="Wrap Bold 2 3 6 8 6 2" xfId="39275" xr:uid="{00000000-0005-0000-0000-0000ADA50000}"/>
    <cellStyle name="Wrap Bold 2 3 6 8 7" xfId="39276" xr:uid="{00000000-0005-0000-0000-0000AEA50000}"/>
    <cellStyle name="Wrap Bold 2 3 6 8 7 2" xfId="39277" xr:uid="{00000000-0005-0000-0000-0000AFA50000}"/>
    <cellStyle name="Wrap Bold 2 3 6 8 8" xfId="39278" xr:uid="{00000000-0005-0000-0000-0000B0A50000}"/>
    <cellStyle name="Wrap Bold 2 3 6 8 8 2" xfId="39279" xr:uid="{00000000-0005-0000-0000-0000B1A50000}"/>
    <cellStyle name="Wrap Bold 2 3 6 8 9" xfId="39280" xr:uid="{00000000-0005-0000-0000-0000B2A50000}"/>
    <cellStyle name="Wrap Bold 2 3 6 8 9 2" xfId="39281" xr:uid="{00000000-0005-0000-0000-0000B3A50000}"/>
    <cellStyle name="Wrap Bold 2 3 6 9" xfId="39282" xr:uid="{00000000-0005-0000-0000-0000B4A50000}"/>
    <cellStyle name="Wrap Bold 2 3 6 9 10" xfId="39283" xr:uid="{00000000-0005-0000-0000-0000B5A50000}"/>
    <cellStyle name="Wrap Bold 2 3 6 9 2" xfId="39284" xr:uid="{00000000-0005-0000-0000-0000B6A50000}"/>
    <cellStyle name="Wrap Bold 2 3 6 9 2 2" xfId="39285" xr:uid="{00000000-0005-0000-0000-0000B7A50000}"/>
    <cellStyle name="Wrap Bold 2 3 6 9 3" xfId="39286" xr:uid="{00000000-0005-0000-0000-0000B8A50000}"/>
    <cellStyle name="Wrap Bold 2 3 6 9 3 2" xfId="39287" xr:uid="{00000000-0005-0000-0000-0000B9A50000}"/>
    <cellStyle name="Wrap Bold 2 3 6 9 4" xfId="39288" xr:uid="{00000000-0005-0000-0000-0000BAA50000}"/>
    <cellStyle name="Wrap Bold 2 3 6 9 4 2" xfId="39289" xr:uid="{00000000-0005-0000-0000-0000BBA50000}"/>
    <cellStyle name="Wrap Bold 2 3 6 9 5" xfId="39290" xr:uid="{00000000-0005-0000-0000-0000BCA50000}"/>
    <cellStyle name="Wrap Bold 2 3 6 9 5 2" xfId="39291" xr:uid="{00000000-0005-0000-0000-0000BDA50000}"/>
    <cellStyle name="Wrap Bold 2 3 6 9 6" xfId="39292" xr:uid="{00000000-0005-0000-0000-0000BEA50000}"/>
    <cellStyle name="Wrap Bold 2 3 6 9 6 2" xfId="39293" xr:uid="{00000000-0005-0000-0000-0000BFA50000}"/>
    <cellStyle name="Wrap Bold 2 3 6 9 7" xfId="39294" xr:uid="{00000000-0005-0000-0000-0000C0A50000}"/>
    <cellStyle name="Wrap Bold 2 3 6 9 7 2" xfId="39295" xr:uid="{00000000-0005-0000-0000-0000C1A50000}"/>
    <cellStyle name="Wrap Bold 2 3 6 9 8" xfId="39296" xr:uid="{00000000-0005-0000-0000-0000C2A50000}"/>
    <cellStyle name="Wrap Bold 2 3 6 9 8 2" xfId="39297" xr:uid="{00000000-0005-0000-0000-0000C3A50000}"/>
    <cellStyle name="Wrap Bold 2 3 6 9 9" xfId="39298" xr:uid="{00000000-0005-0000-0000-0000C4A50000}"/>
    <cellStyle name="Wrap Bold 2 3 6 9 9 2" xfId="39299" xr:uid="{00000000-0005-0000-0000-0000C5A50000}"/>
    <cellStyle name="Wrap Bold 2 3 7" xfId="39300" xr:uid="{00000000-0005-0000-0000-0000C6A50000}"/>
    <cellStyle name="Wrap Bold 2 3 7 10" xfId="39301" xr:uid="{00000000-0005-0000-0000-0000C7A50000}"/>
    <cellStyle name="Wrap Bold 2 3 7 10 2" xfId="39302" xr:uid="{00000000-0005-0000-0000-0000C8A50000}"/>
    <cellStyle name="Wrap Bold 2 3 7 10 2 2" xfId="39303" xr:uid="{00000000-0005-0000-0000-0000C9A50000}"/>
    <cellStyle name="Wrap Bold 2 3 7 10 3" xfId="39304" xr:uid="{00000000-0005-0000-0000-0000CAA50000}"/>
    <cellStyle name="Wrap Bold 2 3 7 10 3 2" xfId="39305" xr:uid="{00000000-0005-0000-0000-0000CBA50000}"/>
    <cellStyle name="Wrap Bold 2 3 7 10 4" xfId="39306" xr:uid="{00000000-0005-0000-0000-0000CCA50000}"/>
    <cellStyle name="Wrap Bold 2 3 7 10 4 2" xfId="39307" xr:uid="{00000000-0005-0000-0000-0000CDA50000}"/>
    <cellStyle name="Wrap Bold 2 3 7 10 5" xfId="39308" xr:uid="{00000000-0005-0000-0000-0000CEA50000}"/>
    <cellStyle name="Wrap Bold 2 3 7 10 5 2" xfId="39309" xr:uid="{00000000-0005-0000-0000-0000CFA50000}"/>
    <cellStyle name="Wrap Bold 2 3 7 10 6" xfId="39310" xr:uid="{00000000-0005-0000-0000-0000D0A50000}"/>
    <cellStyle name="Wrap Bold 2 3 7 10 6 2" xfId="39311" xr:uid="{00000000-0005-0000-0000-0000D1A50000}"/>
    <cellStyle name="Wrap Bold 2 3 7 10 7" xfId="39312" xr:uid="{00000000-0005-0000-0000-0000D2A50000}"/>
    <cellStyle name="Wrap Bold 2 3 7 10 7 2" xfId="39313" xr:uid="{00000000-0005-0000-0000-0000D3A50000}"/>
    <cellStyle name="Wrap Bold 2 3 7 10 8" xfId="39314" xr:uid="{00000000-0005-0000-0000-0000D4A50000}"/>
    <cellStyle name="Wrap Bold 2 3 7 10 8 2" xfId="39315" xr:uid="{00000000-0005-0000-0000-0000D5A50000}"/>
    <cellStyle name="Wrap Bold 2 3 7 10 9" xfId="39316" xr:uid="{00000000-0005-0000-0000-0000D6A50000}"/>
    <cellStyle name="Wrap Bold 2 3 7 11" xfId="39317" xr:uid="{00000000-0005-0000-0000-0000D7A50000}"/>
    <cellStyle name="Wrap Bold 2 3 7 11 2" xfId="39318" xr:uid="{00000000-0005-0000-0000-0000D8A50000}"/>
    <cellStyle name="Wrap Bold 2 3 7 12" xfId="39319" xr:uid="{00000000-0005-0000-0000-0000D9A50000}"/>
    <cellStyle name="Wrap Bold 2 3 7 12 2" xfId="39320" xr:uid="{00000000-0005-0000-0000-0000DAA50000}"/>
    <cellStyle name="Wrap Bold 2 3 7 13" xfId="39321" xr:uid="{00000000-0005-0000-0000-0000DBA50000}"/>
    <cellStyle name="Wrap Bold 2 3 7 13 2" xfId="39322" xr:uid="{00000000-0005-0000-0000-0000DCA50000}"/>
    <cellStyle name="Wrap Bold 2 3 7 14" xfId="39323" xr:uid="{00000000-0005-0000-0000-0000DDA50000}"/>
    <cellStyle name="Wrap Bold 2 3 7 14 2" xfId="39324" xr:uid="{00000000-0005-0000-0000-0000DEA50000}"/>
    <cellStyle name="Wrap Bold 2 3 7 15" xfId="39325" xr:uid="{00000000-0005-0000-0000-0000DFA50000}"/>
    <cellStyle name="Wrap Bold 2 3 7 15 2" xfId="39326" xr:uid="{00000000-0005-0000-0000-0000E0A50000}"/>
    <cellStyle name="Wrap Bold 2 3 7 16" xfId="39327" xr:uid="{00000000-0005-0000-0000-0000E1A50000}"/>
    <cellStyle name="Wrap Bold 2 3 7 16 2" xfId="39328" xr:uid="{00000000-0005-0000-0000-0000E2A50000}"/>
    <cellStyle name="Wrap Bold 2 3 7 17" xfId="39329" xr:uid="{00000000-0005-0000-0000-0000E3A50000}"/>
    <cellStyle name="Wrap Bold 2 3 7 17 2" xfId="39330" xr:uid="{00000000-0005-0000-0000-0000E4A50000}"/>
    <cellStyle name="Wrap Bold 2 3 7 18" xfId="39331" xr:uid="{00000000-0005-0000-0000-0000E5A50000}"/>
    <cellStyle name="Wrap Bold 2 3 7 2" xfId="39332" xr:uid="{00000000-0005-0000-0000-0000E6A50000}"/>
    <cellStyle name="Wrap Bold 2 3 7 2 10" xfId="39333" xr:uid="{00000000-0005-0000-0000-0000E7A50000}"/>
    <cellStyle name="Wrap Bold 2 3 7 2 2" xfId="39334" xr:uid="{00000000-0005-0000-0000-0000E8A50000}"/>
    <cellStyle name="Wrap Bold 2 3 7 2 2 2" xfId="39335" xr:uid="{00000000-0005-0000-0000-0000E9A50000}"/>
    <cellStyle name="Wrap Bold 2 3 7 2 3" xfId="39336" xr:uid="{00000000-0005-0000-0000-0000EAA50000}"/>
    <cellStyle name="Wrap Bold 2 3 7 2 3 2" xfId="39337" xr:uid="{00000000-0005-0000-0000-0000EBA50000}"/>
    <cellStyle name="Wrap Bold 2 3 7 2 4" xfId="39338" xr:uid="{00000000-0005-0000-0000-0000ECA50000}"/>
    <cellStyle name="Wrap Bold 2 3 7 2 4 2" xfId="39339" xr:uid="{00000000-0005-0000-0000-0000EDA50000}"/>
    <cellStyle name="Wrap Bold 2 3 7 2 5" xfId="39340" xr:uid="{00000000-0005-0000-0000-0000EEA50000}"/>
    <cellStyle name="Wrap Bold 2 3 7 2 5 2" xfId="39341" xr:uid="{00000000-0005-0000-0000-0000EFA50000}"/>
    <cellStyle name="Wrap Bold 2 3 7 2 6" xfId="39342" xr:uid="{00000000-0005-0000-0000-0000F0A50000}"/>
    <cellStyle name="Wrap Bold 2 3 7 2 6 2" xfId="39343" xr:uid="{00000000-0005-0000-0000-0000F1A50000}"/>
    <cellStyle name="Wrap Bold 2 3 7 2 7" xfId="39344" xr:uid="{00000000-0005-0000-0000-0000F2A50000}"/>
    <cellStyle name="Wrap Bold 2 3 7 2 7 2" xfId="39345" xr:uid="{00000000-0005-0000-0000-0000F3A50000}"/>
    <cellStyle name="Wrap Bold 2 3 7 2 8" xfId="39346" xr:uid="{00000000-0005-0000-0000-0000F4A50000}"/>
    <cellStyle name="Wrap Bold 2 3 7 2 8 2" xfId="39347" xr:uid="{00000000-0005-0000-0000-0000F5A50000}"/>
    <cellStyle name="Wrap Bold 2 3 7 2 9" xfId="39348" xr:uid="{00000000-0005-0000-0000-0000F6A50000}"/>
    <cellStyle name="Wrap Bold 2 3 7 2 9 2" xfId="39349" xr:uid="{00000000-0005-0000-0000-0000F7A50000}"/>
    <cellStyle name="Wrap Bold 2 3 7 3" xfId="39350" xr:uid="{00000000-0005-0000-0000-0000F8A50000}"/>
    <cellStyle name="Wrap Bold 2 3 7 3 10" xfId="39351" xr:uid="{00000000-0005-0000-0000-0000F9A50000}"/>
    <cellStyle name="Wrap Bold 2 3 7 3 2" xfId="39352" xr:uid="{00000000-0005-0000-0000-0000FAA50000}"/>
    <cellStyle name="Wrap Bold 2 3 7 3 2 2" xfId="39353" xr:uid="{00000000-0005-0000-0000-0000FBA50000}"/>
    <cellStyle name="Wrap Bold 2 3 7 3 3" xfId="39354" xr:uid="{00000000-0005-0000-0000-0000FCA50000}"/>
    <cellStyle name="Wrap Bold 2 3 7 3 3 2" xfId="39355" xr:uid="{00000000-0005-0000-0000-0000FDA50000}"/>
    <cellStyle name="Wrap Bold 2 3 7 3 4" xfId="39356" xr:uid="{00000000-0005-0000-0000-0000FEA50000}"/>
    <cellStyle name="Wrap Bold 2 3 7 3 4 2" xfId="39357" xr:uid="{00000000-0005-0000-0000-0000FFA50000}"/>
    <cellStyle name="Wrap Bold 2 3 7 3 5" xfId="39358" xr:uid="{00000000-0005-0000-0000-000000A60000}"/>
    <cellStyle name="Wrap Bold 2 3 7 3 5 2" xfId="39359" xr:uid="{00000000-0005-0000-0000-000001A60000}"/>
    <cellStyle name="Wrap Bold 2 3 7 3 6" xfId="39360" xr:uid="{00000000-0005-0000-0000-000002A60000}"/>
    <cellStyle name="Wrap Bold 2 3 7 3 6 2" xfId="39361" xr:uid="{00000000-0005-0000-0000-000003A60000}"/>
    <cellStyle name="Wrap Bold 2 3 7 3 7" xfId="39362" xr:uid="{00000000-0005-0000-0000-000004A60000}"/>
    <cellStyle name="Wrap Bold 2 3 7 3 7 2" xfId="39363" xr:uid="{00000000-0005-0000-0000-000005A60000}"/>
    <cellStyle name="Wrap Bold 2 3 7 3 8" xfId="39364" xr:uid="{00000000-0005-0000-0000-000006A60000}"/>
    <cellStyle name="Wrap Bold 2 3 7 3 8 2" xfId="39365" xr:uid="{00000000-0005-0000-0000-000007A60000}"/>
    <cellStyle name="Wrap Bold 2 3 7 3 9" xfId="39366" xr:uid="{00000000-0005-0000-0000-000008A60000}"/>
    <cellStyle name="Wrap Bold 2 3 7 3 9 2" xfId="39367" xr:uid="{00000000-0005-0000-0000-000009A60000}"/>
    <cellStyle name="Wrap Bold 2 3 7 4" xfId="39368" xr:uid="{00000000-0005-0000-0000-00000AA60000}"/>
    <cellStyle name="Wrap Bold 2 3 7 4 10" xfId="39369" xr:uid="{00000000-0005-0000-0000-00000BA60000}"/>
    <cellStyle name="Wrap Bold 2 3 7 4 2" xfId="39370" xr:uid="{00000000-0005-0000-0000-00000CA60000}"/>
    <cellStyle name="Wrap Bold 2 3 7 4 2 2" xfId="39371" xr:uid="{00000000-0005-0000-0000-00000DA60000}"/>
    <cellStyle name="Wrap Bold 2 3 7 4 3" xfId="39372" xr:uid="{00000000-0005-0000-0000-00000EA60000}"/>
    <cellStyle name="Wrap Bold 2 3 7 4 3 2" xfId="39373" xr:uid="{00000000-0005-0000-0000-00000FA60000}"/>
    <cellStyle name="Wrap Bold 2 3 7 4 4" xfId="39374" xr:uid="{00000000-0005-0000-0000-000010A60000}"/>
    <cellStyle name="Wrap Bold 2 3 7 4 4 2" xfId="39375" xr:uid="{00000000-0005-0000-0000-000011A60000}"/>
    <cellStyle name="Wrap Bold 2 3 7 4 5" xfId="39376" xr:uid="{00000000-0005-0000-0000-000012A60000}"/>
    <cellStyle name="Wrap Bold 2 3 7 4 5 2" xfId="39377" xr:uid="{00000000-0005-0000-0000-000013A60000}"/>
    <cellStyle name="Wrap Bold 2 3 7 4 6" xfId="39378" xr:uid="{00000000-0005-0000-0000-000014A60000}"/>
    <cellStyle name="Wrap Bold 2 3 7 4 6 2" xfId="39379" xr:uid="{00000000-0005-0000-0000-000015A60000}"/>
    <cellStyle name="Wrap Bold 2 3 7 4 7" xfId="39380" xr:uid="{00000000-0005-0000-0000-000016A60000}"/>
    <cellStyle name="Wrap Bold 2 3 7 4 7 2" xfId="39381" xr:uid="{00000000-0005-0000-0000-000017A60000}"/>
    <cellStyle name="Wrap Bold 2 3 7 4 8" xfId="39382" xr:uid="{00000000-0005-0000-0000-000018A60000}"/>
    <cellStyle name="Wrap Bold 2 3 7 4 8 2" xfId="39383" xr:uid="{00000000-0005-0000-0000-000019A60000}"/>
    <cellStyle name="Wrap Bold 2 3 7 4 9" xfId="39384" xr:uid="{00000000-0005-0000-0000-00001AA60000}"/>
    <cellStyle name="Wrap Bold 2 3 7 4 9 2" xfId="39385" xr:uid="{00000000-0005-0000-0000-00001BA60000}"/>
    <cellStyle name="Wrap Bold 2 3 7 5" xfId="39386" xr:uid="{00000000-0005-0000-0000-00001CA60000}"/>
    <cellStyle name="Wrap Bold 2 3 7 5 10" xfId="39387" xr:uid="{00000000-0005-0000-0000-00001DA60000}"/>
    <cellStyle name="Wrap Bold 2 3 7 5 2" xfId="39388" xr:uid="{00000000-0005-0000-0000-00001EA60000}"/>
    <cellStyle name="Wrap Bold 2 3 7 5 2 2" xfId="39389" xr:uid="{00000000-0005-0000-0000-00001FA60000}"/>
    <cellStyle name="Wrap Bold 2 3 7 5 3" xfId="39390" xr:uid="{00000000-0005-0000-0000-000020A60000}"/>
    <cellStyle name="Wrap Bold 2 3 7 5 3 2" xfId="39391" xr:uid="{00000000-0005-0000-0000-000021A60000}"/>
    <cellStyle name="Wrap Bold 2 3 7 5 4" xfId="39392" xr:uid="{00000000-0005-0000-0000-000022A60000}"/>
    <cellStyle name="Wrap Bold 2 3 7 5 4 2" xfId="39393" xr:uid="{00000000-0005-0000-0000-000023A60000}"/>
    <cellStyle name="Wrap Bold 2 3 7 5 5" xfId="39394" xr:uid="{00000000-0005-0000-0000-000024A60000}"/>
    <cellStyle name="Wrap Bold 2 3 7 5 5 2" xfId="39395" xr:uid="{00000000-0005-0000-0000-000025A60000}"/>
    <cellStyle name="Wrap Bold 2 3 7 5 6" xfId="39396" xr:uid="{00000000-0005-0000-0000-000026A60000}"/>
    <cellStyle name="Wrap Bold 2 3 7 5 6 2" xfId="39397" xr:uid="{00000000-0005-0000-0000-000027A60000}"/>
    <cellStyle name="Wrap Bold 2 3 7 5 7" xfId="39398" xr:uid="{00000000-0005-0000-0000-000028A60000}"/>
    <cellStyle name="Wrap Bold 2 3 7 5 7 2" xfId="39399" xr:uid="{00000000-0005-0000-0000-000029A60000}"/>
    <cellStyle name="Wrap Bold 2 3 7 5 8" xfId="39400" xr:uid="{00000000-0005-0000-0000-00002AA60000}"/>
    <cellStyle name="Wrap Bold 2 3 7 5 8 2" xfId="39401" xr:uid="{00000000-0005-0000-0000-00002BA60000}"/>
    <cellStyle name="Wrap Bold 2 3 7 5 9" xfId="39402" xr:uid="{00000000-0005-0000-0000-00002CA60000}"/>
    <cellStyle name="Wrap Bold 2 3 7 5 9 2" xfId="39403" xr:uid="{00000000-0005-0000-0000-00002DA60000}"/>
    <cellStyle name="Wrap Bold 2 3 7 6" xfId="39404" xr:uid="{00000000-0005-0000-0000-00002EA60000}"/>
    <cellStyle name="Wrap Bold 2 3 7 6 10" xfId="39405" xr:uid="{00000000-0005-0000-0000-00002FA60000}"/>
    <cellStyle name="Wrap Bold 2 3 7 6 2" xfId="39406" xr:uid="{00000000-0005-0000-0000-000030A60000}"/>
    <cellStyle name="Wrap Bold 2 3 7 6 2 2" xfId="39407" xr:uid="{00000000-0005-0000-0000-000031A60000}"/>
    <cellStyle name="Wrap Bold 2 3 7 6 3" xfId="39408" xr:uid="{00000000-0005-0000-0000-000032A60000}"/>
    <cellStyle name="Wrap Bold 2 3 7 6 3 2" xfId="39409" xr:uid="{00000000-0005-0000-0000-000033A60000}"/>
    <cellStyle name="Wrap Bold 2 3 7 6 4" xfId="39410" xr:uid="{00000000-0005-0000-0000-000034A60000}"/>
    <cellStyle name="Wrap Bold 2 3 7 6 4 2" xfId="39411" xr:uid="{00000000-0005-0000-0000-000035A60000}"/>
    <cellStyle name="Wrap Bold 2 3 7 6 5" xfId="39412" xr:uid="{00000000-0005-0000-0000-000036A60000}"/>
    <cellStyle name="Wrap Bold 2 3 7 6 5 2" xfId="39413" xr:uid="{00000000-0005-0000-0000-000037A60000}"/>
    <cellStyle name="Wrap Bold 2 3 7 6 6" xfId="39414" xr:uid="{00000000-0005-0000-0000-000038A60000}"/>
    <cellStyle name="Wrap Bold 2 3 7 6 6 2" xfId="39415" xr:uid="{00000000-0005-0000-0000-000039A60000}"/>
    <cellStyle name="Wrap Bold 2 3 7 6 7" xfId="39416" xr:uid="{00000000-0005-0000-0000-00003AA60000}"/>
    <cellStyle name="Wrap Bold 2 3 7 6 7 2" xfId="39417" xr:uid="{00000000-0005-0000-0000-00003BA60000}"/>
    <cellStyle name="Wrap Bold 2 3 7 6 8" xfId="39418" xr:uid="{00000000-0005-0000-0000-00003CA60000}"/>
    <cellStyle name="Wrap Bold 2 3 7 6 8 2" xfId="39419" xr:uid="{00000000-0005-0000-0000-00003DA60000}"/>
    <cellStyle name="Wrap Bold 2 3 7 6 9" xfId="39420" xr:uid="{00000000-0005-0000-0000-00003EA60000}"/>
    <cellStyle name="Wrap Bold 2 3 7 6 9 2" xfId="39421" xr:uid="{00000000-0005-0000-0000-00003FA60000}"/>
    <cellStyle name="Wrap Bold 2 3 7 7" xfId="39422" xr:uid="{00000000-0005-0000-0000-000040A60000}"/>
    <cellStyle name="Wrap Bold 2 3 7 7 10" xfId="39423" xr:uid="{00000000-0005-0000-0000-000041A60000}"/>
    <cellStyle name="Wrap Bold 2 3 7 7 2" xfId="39424" xr:uid="{00000000-0005-0000-0000-000042A60000}"/>
    <cellStyle name="Wrap Bold 2 3 7 7 2 2" xfId="39425" xr:uid="{00000000-0005-0000-0000-000043A60000}"/>
    <cellStyle name="Wrap Bold 2 3 7 7 3" xfId="39426" xr:uid="{00000000-0005-0000-0000-000044A60000}"/>
    <cellStyle name="Wrap Bold 2 3 7 7 3 2" xfId="39427" xr:uid="{00000000-0005-0000-0000-000045A60000}"/>
    <cellStyle name="Wrap Bold 2 3 7 7 4" xfId="39428" xr:uid="{00000000-0005-0000-0000-000046A60000}"/>
    <cellStyle name="Wrap Bold 2 3 7 7 4 2" xfId="39429" xr:uid="{00000000-0005-0000-0000-000047A60000}"/>
    <cellStyle name="Wrap Bold 2 3 7 7 5" xfId="39430" xr:uid="{00000000-0005-0000-0000-000048A60000}"/>
    <cellStyle name="Wrap Bold 2 3 7 7 5 2" xfId="39431" xr:uid="{00000000-0005-0000-0000-000049A60000}"/>
    <cellStyle name="Wrap Bold 2 3 7 7 6" xfId="39432" xr:uid="{00000000-0005-0000-0000-00004AA60000}"/>
    <cellStyle name="Wrap Bold 2 3 7 7 6 2" xfId="39433" xr:uid="{00000000-0005-0000-0000-00004BA60000}"/>
    <cellStyle name="Wrap Bold 2 3 7 7 7" xfId="39434" xr:uid="{00000000-0005-0000-0000-00004CA60000}"/>
    <cellStyle name="Wrap Bold 2 3 7 7 7 2" xfId="39435" xr:uid="{00000000-0005-0000-0000-00004DA60000}"/>
    <cellStyle name="Wrap Bold 2 3 7 7 8" xfId="39436" xr:uid="{00000000-0005-0000-0000-00004EA60000}"/>
    <cellStyle name="Wrap Bold 2 3 7 7 8 2" xfId="39437" xr:uid="{00000000-0005-0000-0000-00004FA60000}"/>
    <cellStyle name="Wrap Bold 2 3 7 7 9" xfId="39438" xr:uid="{00000000-0005-0000-0000-000050A60000}"/>
    <cellStyle name="Wrap Bold 2 3 7 7 9 2" xfId="39439" xr:uid="{00000000-0005-0000-0000-000051A60000}"/>
    <cellStyle name="Wrap Bold 2 3 7 8" xfId="39440" xr:uid="{00000000-0005-0000-0000-000052A60000}"/>
    <cellStyle name="Wrap Bold 2 3 7 8 10" xfId="39441" xr:uid="{00000000-0005-0000-0000-000053A60000}"/>
    <cellStyle name="Wrap Bold 2 3 7 8 2" xfId="39442" xr:uid="{00000000-0005-0000-0000-000054A60000}"/>
    <cellStyle name="Wrap Bold 2 3 7 8 2 2" xfId="39443" xr:uid="{00000000-0005-0000-0000-000055A60000}"/>
    <cellStyle name="Wrap Bold 2 3 7 8 3" xfId="39444" xr:uid="{00000000-0005-0000-0000-000056A60000}"/>
    <cellStyle name="Wrap Bold 2 3 7 8 3 2" xfId="39445" xr:uid="{00000000-0005-0000-0000-000057A60000}"/>
    <cellStyle name="Wrap Bold 2 3 7 8 4" xfId="39446" xr:uid="{00000000-0005-0000-0000-000058A60000}"/>
    <cellStyle name="Wrap Bold 2 3 7 8 4 2" xfId="39447" xr:uid="{00000000-0005-0000-0000-000059A60000}"/>
    <cellStyle name="Wrap Bold 2 3 7 8 5" xfId="39448" xr:uid="{00000000-0005-0000-0000-00005AA60000}"/>
    <cellStyle name="Wrap Bold 2 3 7 8 5 2" xfId="39449" xr:uid="{00000000-0005-0000-0000-00005BA60000}"/>
    <cellStyle name="Wrap Bold 2 3 7 8 6" xfId="39450" xr:uid="{00000000-0005-0000-0000-00005CA60000}"/>
    <cellStyle name="Wrap Bold 2 3 7 8 6 2" xfId="39451" xr:uid="{00000000-0005-0000-0000-00005DA60000}"/>
    <cellStyle name="Wrap Bold 2 3 7 8 7" xfId="39452" xr:uid="{00000000-0005-0000-0000-00005EA60000}"/>
    <cellStyle name="Wrap Bold 2 3 7 8 7 2" xfId="39453" xr:uid="{00000000-0005-0000-0000-00005FA60000}"/>
    <cellStyle name="Wrap Bold 2 3 7 8 8" xfId="39454" xr:uid="{00000000-0005-0000-0000-000060A60000}"/>
    <cellStyle name="Wrap Bold 2 3 7 8 8 2" xfId="39455" xr:uid="{00000000-0005-0000-0000-000061A60000}"/>
    <cellStyle name="Wrap Bold 2 3 7 8 9" xfId="39456" xr:uid="{00000000-0005-0000-0000-000062A60000}"/>
    <cellStyle name="Wrap Bold 2 3 7 8 9 2" xfId="39457" xr:uid="{00000000-0005-0000-0000-000063A60000}"/>
    <cellStyle name="Wrap Bold 2 3 7 9" xfId="39458" xr:uid="{00000000-0005-0000-0000-000064A60000}"/>
    <cellStyle name="Wrap Bold 2 3 7 9 10" xfId="39459" xr:uid="{00000000-0005-0000-0000-000065A60000}"/>
    <cellStyle name="Wrap Bold 2 3 7 9 2" xfId="39460" xr:uid="{00000000-0005-0000-0000-000066A60000}"/>
    <cellStyle name="Wrap Bold 2 3 7 9 2 2" xfId="39461" xr:uid="{00000000-0005-0000-0000-000067A60000}"/>
    <cellStyle name="Wrap Bold 2 3 7 9 3" xfId="39462" xr:uid="{00000000-0005-0000-0000-000068A60000}"/>
    <cellStyle name="Wrap Bold 2 3 7 9 3 2" xfId="39463" xr:uid="{00000000-0005-0000-0000-000069A60000}"/>
    <cellStyle name="Wrap Bold 2 3 7 9 4" xfId="39464" xr:uid="{00000000-0005-0000-0000-00006AA60000}"/>
    <cellStyle name="Wrap Bold 2 3 7 9 4 2" xfId="39465" xr:uid="{00000000-0005-0000-0000-00006BA60000}"/>
    <cellStyle name="Wrap Bold 2 3 7 9 5" xfId="39466" xr:uid="{00000000-0005-0000-0000-00006CA60000}"/>
    <cellStyle name="Wrap Bold 2 3 7 9 5 2" xfId="39467" xr:uid="{00000000-0005-0000-0000-00006DA60000}"/>
    <cellStyle name="Wrap Bold 2 3 7 9 6" xfId="39468" xr:uid="{00000000-0005-0000-0000-00006EA60000}"/>
    <cellStyle name="Wrap Bold 2 3 7 9 6 2" xfId="39469" xr:uid="{00000000-0005-0000-0000-00006FA60000}"/>
    <cellStyle name="Wrap Bold 2 3 7 9 7" xfId="39470" xr:uid="{00000000-0005-0000-0000-000070A60000}"/>
    <cellStyle name="Wrap Bold 2 3 7 9 7 2" xfId="39471" xr:uid="{00000000-0005-0000-0000-000071A60000}"/>
    <cellStyle name="Wrap Bold 2 3 7 9 8" xfId="39472" xr:uid="{00000000-0005-0000-0000-000072A60000}"/>
    <cellStyle name="Wrap Bold 2 3 7 9 8 2" xfId="39473" xr:uid="{00000000-0005-0000-0000-000073A60000}"/>
    <cellStyle name="Wrap Bold 2 3 7 9 9" xfId="39474" xr:uid="{00000000-0005-0000-0000-000074A60000}"/>
    <cellStyle name="Wrap Bold 2 3 7 9 9 2" xfId="39475" xr:uid="{00000000-0005-0000-0000-000075A60000}"/>
    <cellStyle name="Wrap Bold 2 3 8" xfId="39476" xr:uid="{00000000-0005-0000-0000-000076A60000}"/>
    <cellStyle name="Wrap Bold 2 3 8 10" xfId="39477" xr:uid="{00000000-0005-0000-0000-000077A60000}"/>
    <cellStyle name="Wrap Bold 2 3 8 10 2" xfId="39478" xr:uid="{00000000-0005-0000-0000-000078A60000}"/>
    <cellStyle name="Wrap Bold 2 3 8 10 2 2" xfId="39479" xr:uid="{00000000-0005-0000-0000-000079A60000}"/>
    <cellStyle name="Wrap Bold 2 3 8 10 3" xfId="39480" xr:uid="{00000000-0005-0000-0000-00007AA60000}"/>
    <cellStyle name="Wrap Bold 2 3 8 10 3 2" xfId="39481" xr:uid="{00000000-0005-0000-0000-00007BA60000}"/>
    <cellStyle name="Wrap Bold 2 3 8 10 4" xfId="39482" xr:uid="{00000000-0005-0000-0000-00007CA60000}"/>
    <cellStyle name="Wrap Bold 2 3 8 10 4 2" xfId="39483" xr:uid="{00000000-0005-0000-0000-00007DA60000}"/>
    <cellStyle name="Wrap Bold 2 3 8 10 5" xfId="39484" xr:uid="{00000000-0005-0000-0000-00007EA60000}"/>
    <cellStyle name="Wrap Bold 2 3 8 10 5 2" xfId="39485" xr:uid="{00000000-0005-0000-0000-00007FA60000}"/>
    <cellStyle name="Wrap Bold 2 3 8 10 6" xfId="39486" xr:uid="{00000000-0005-0000-0000-000080A60000}"/>
    <cellStyle name="Wrap Bold 2 3 8 10 6 2" xfId="39487" xr:uid="{00000000-0005-0000-0000-000081A60000}"/>
    <cellStyle name="Wrap Bold 2 3 8 10 7" xfId="39488" xr:uid="{00000000-0005-0000-0000-000082A60000}"/>
    <cellStyle name="Wrap Bold 2 3 8 10 7 2" xfId="39489" xr:uid="{00000000-0005-0000-0000-000083A60000}"/>
    <cellStyle name="Wrap Bold 2 3 8 10 8" xfId="39490" xr:uid="{00000000-0005-0000-0000-000084A60000}"/>
    <cellStyle name="Wrap Bold 2 3 8 10 8 2" xfId="39491" xr:uid="{00000000-0005-0000-0000-000085A60000}"/>
    <cellStyle name="Wrap Bold 2 3 8 10 9" xfId="39492" xr:uid="{00000000-0005-0000-0000-000086A60000}"/>
    <cellStyle name="Wrap Bold 2 3 8 11" xfId="39493" xr:uid="{00000000-0005-0000-0000-000087A60000}"/>
    <cellStyle name="Wrap Bold 2 3 8 11 2" xfId="39494" xr:uid="{00000000-0005-0000-0000-000088A60000}"/>
    <cellStyle name="Wrap Bold 2 3 8 12" xfId="39495" xr:uid="{00000000-0005-0000-0000-000089A60000}"/>
    <cellStyle name="Wrap Bold 2 3 8 12 2" xfId="39496" xr:uid="{00000000-0005-0000-0000-00008AA60000}"/>
    <cellStyle name="Wrap Bold 2 3 8 13" xfId="39497" xr:uid="{00000000-0005-0000-0000-00008BA60000}"/>
    <cellStyle name="Wrap Bold 2 3 8 13 2" xfId="39498" xr:uid="{00000000-0005-0000-0000-00008CA60000}"/>
    <cellStyle name="Wrap Bold 2 3 8 14" xfId="39499" xr:uid="{00000000-0005-0000-0000-00008DA60000}"/>
    <cellStyle name="Wrap Bold 2 3 8 14 2" xfId="39500" xr:uid="{00000000-0005-0000-0000-00008EA60000}"/>
    <cellStyle name="Wrap Bold 2 3 8 15" xfId="39501" xr:uid="{00000000-0005-0000-0000-00008FA60000}"/>
    <cellStyle name="Wrap Bold 2 3 8 15 2" xfId="39502" xr:uid="{00000000-0005-0000-0000-000090A60000}"/>
    <cellStyle name="Wrap Bold 2 3 8 16" xfId="39503" xr:uid="{00000000-0005-0000-0000-000091A60000}"/>
    <cellStyle name="Wrap Bold 2 3 8 16 2" xfId="39504" xr:uid="{00000000-0005-0000-0000-000092A60000}"/>
    <cellStyle name="Wrap Bold 2 3 8 17" xfId="39505" xr:uid="{00000000-0005-0000-0000-000093A60000}"/>
    <cellStyle name="Wrap Bold 2 3 8 17 2" xfId="39506" xr:uid="{00000000-0005-0000-0000-000094A60000}"/>
    <cellStyle name="Wrap Bold 2 3 8 18" xfId="39507" xr:uid="{00000000-0005-0000-0000-000095A60000}"/>
    <cellStyle name="Wrap Bold 2 3 8 2" xfId="39508" xr:uid="{00000000-0005-0000-0000-000096A60000}"/>
    <cellStyle name="Wrap Bold 2 3 8 2 10" xfId="39509" xr:uid="{00000000-0005-0000-0000-000097A60000}"/>
    <cellStyle name="Wrap Bold 2 3 8 2 2" xfId="39510" xr:uid="{00000000-0005-0000-0000-000098A60000}"/>
    <cellStyle name="Wrap Bold 2 3 8 2 2 2" xfId="39511" xr:uid="{00000000-0005-0000-0000-000099A60000}"/>
    <cellStyle name="Wrap Bold 2 3 8 2 3" xfId="39512" xr:uid="{00000000-0005-0000-0000-00009AA60000}"/>
    <cellStyle name="Wrap Bold 2 3 8 2 3 2" xfId="39513" xr:uid="{00000000-0005-0000-0000-00009BA60000}"/>
    <cellStyle name="Wrap Bold 2 3 8 2 4" xfId="39514" xr:uid="{00000000-0005-0000-0000-00009CA60000}"/>
    <cellStyle name="Wrap Bold 2 3 8 2 4 2" xfId="39515" xr:uid="{00000000-0005-0000-0000-00009DA60000}"/>
    <cellStyle name="Wrap Bold 2 3 8 2 5" xfId="39516" xr:uid="{00000000-0005-0000-0000-00009EA60000}"/>
    <cellStyle name="Wrap Bold 2 3 8 2 5 2" xfId="39517" xr:uid="{00000000-0005-0000-0000-00009FA60000}"/>
    <cellStyle name="Wrap Bold 2 3 8 2 6" xfId="39518" xr:uid="{00000000-0005-0000-0000-0000A0A60000}"/>
    <cellStyle name="Wrap Bold 2 3 8 2 6 2" xfId="39519" xr:uid="{00000000-0005-0000-0000-0000A1A60000}"/>
    <cellStyle name="Wrap Bold 2 3 8 2 7" xfId="39520" xr:uid="{00000000-0005-0000-0000-0000A2A60000}"/>
    <cellStyle name="Wrap Bold 2 3 8 2 7 2" xfId="39521" xr:uid="{00000000-0005-0000-0000-0000A3A60000}"/>
    <cellStyle name="Wrap Bold 2 3 8 2 8" xfId="39522" xr:uid="{00000000-0005-0000-0000-0000A4A60000}"/>
    <cellStyle name="Wrap Bold 2 3 8 2 8 2" xfId="39523" xr:uid="{00000000-0005-0000-0000-0000A5A60000}"/>
    <cellStyle name="Wrap Bold 2 3 8 2 9" xfId="39524" xr:uid="{00000000-0005-0000-0000-0000A6A60000}"/>
    <cellStyle name="Wrap Bold 2 3 8 2 9 2" xfId="39525" xr:uid="{00000000-0005-0000-0000-0000A7A60000}"/>
    <cellStyle name="Wrap Bold 2 3 8 3" xfId="39526" xr:uid="{00000000-0005-0000-0000-0000A8A60000}"/>
    <cellStyle name="Wrap Bold 2 3 8 3 10" xfId="39527" xr:uid="{00000000-0005-0000-0000-0000A9A60000}"/>
    <cellStyle name="Wrap Bold 2 3 8 3 2" xfId="39528" xr:uid="{00000000-0005-0000-0000-0000AAA60000}"/>
    <cellStyle name="Wrap Bold 2 3 8 3 2 2" xfId="39529" xr:uid="{00000000-0005-0000-0000-0000ABA60000}"/>
    <cellStyle name="Wrap Bold 2 3 8 3 3" xfId="39530" xr:uid="{00000000-0005-0000-0000-0000ACA60000}"/>
    <cellStyle name="Wrap Bold 2 3 8 3 3 2" xfId="39531" xr:uid="{00000000-0005-0000-0000-0000ADA60000}"/>
    <cellStyle name="Wrap Bold 2 3 8 3 4" xfId="39532" xr:uid="{00000000-0005-0000-0000-0000AEA60000}"/>
    <cellStyle name="Wrap Bold 2 3 8 3 4 2" xfId="39533" xr:uid="{00000000-0005-0000-0000-0000AFA60000}"/>
    <cellStyle name="Wrap Bold 2 3 8 3 5" xfId="39534" xr:uid="{00000000-0005-0000-0000-0000B0A60000}"/>
    <cellStyle name="Wrap Bold 2 3 8 3 5 2" xfId="39535" xr:uid="{00000000-0005-0000-0000-0000B1A60000}"/>
    <cellStyle name="Wrap Bold 2 3 8 3 6" xfId="39536" xr:uid="{00000000-0005-0000-0000-0000B2A60000}"/>
    <cellStyle name="Wrap Bold 2 3 8 3 6 2" xfId="39537" xr:uid="{00000000-0005-0000-0000-0000B3A60000}"/>
    <cellStyle name="Wrap Bold 2 3 8 3 7" xfId="39538" xr:uid="{00000000-0005-0000-0000-0000B4A60000}"/>
    <cellStyle name="Wrap Bold 2 3 8 3 7 2" xfId="39539" xr:uid="{00000000-0005-0000-0000-0000B5A60000}"/>
    <cellStyle name="Wrap Bold 2 3 8 3 8" xfId="39540" xr:uid="{00000000-0005-0000-0000-0000B6A60000}"/>
    <cellStyle name="Wrap Bold 2 3 8 3 8 2" xfId="39541" xr:uid="{00000000-0005-0000-0000-0000B7A60000}"/>
    <cellStyle name="Wrap Bold 2 3 8 3 9" xfId="39542" xr:uid="{00000000-0005-0000-0000-0000B8A60000}"/>
    <cellStyle name="Wrap Bold 2 3 8 3 9 2" xfId="39543" xr:uid="{00000000-0005-0000-0000-0000B9A60000}"/>
    <cellStyle name="Wrap Bold 2 3 8 4" xfId="39544" xr:uid="{00000000-0005-0000-0000-0000BAA60000}"/>
    <cellStyle name="Wrap Bold 2 3 8 4 10" xfId="39545" xr:uid="{00000000-0005-0000-0000-0000BBA60000}"/>
    <cellStyle name="Wrap Bold 2 3 8 4 2" xfId="39546" xr:uid="{00000000-0005-0000-0000-0000BCA60000}"/>
    <cellStyle name="Wrap Bold 2 3 8 4 2 2" xfId="39547" xr:uid="{00000000-0005-0000-0000-0000BDA60000}"/>
    <cellStyle name="Wrap Bold 2 3 8 4 3" xfId="39548" xr:uid="{00000000-0005-0000-0000-0000BEA60000}"/>
    <cellStyle name="Wrap Bold 2 3 8 4 3 2" xfId="39549" xr:uid="{00000000-0005-0000-0000-0000BFA60000}"/>
    <cellStyle name="Wrap Bold 2 3 8 4 4" xfId="39550" xr:uid="{00000000-0005-0000-0000-0000C0A60000}"/>
    <cellStyle name="Wrap Bold 2 3 8 4 4 2" xfId="39551" xr:uid="{00000000-0005-0000-0000-0000C1A60000}"/>
    <cellStyle name="Wrap Bold 2 3 8 4 5" xfId="39552" xr:uid="{00000000-0005-0000-0000-0000C2A60000}"/>
    <cellStyle name="Wrap Bold 2 3 8 4 5 2" xfId="39553" xr:uid="{00000000-0005-0000-0000-0000C3A60000}"/>
    <cellStyle name="Wrap Bold 2 3 8 4 6" xfId="39554" xr:uid="{00000000-0005-0000-0000-0000C4A60000}"/>
    <cellStyle name="Wrap Bold 2 3 8 4 6 2" xfId="39555" xr:uid="{00000000-0005-0000-0000-0000C5A60000}"/>
    <cellStyle name="Wrap Bold 2 3 8 4 7" xfId="39556" xr:uid="{00000000-0005-0000-0000-0000C6A60000}"/>
    <cellStyle name="Wrap Bold 2 3 8 4 7 2" xfId="39557" xr:uid="{00000000-0005-0000-0000-0000C7A60000}"/>
    <cellStyle name="Wrap Bold 2 3 8 4 8" xfId="39558" xr:uid="{00000000-0005-0000-0000-0000C8A60000}"/>
    <cellStyle name="Wrap Bold 2 3 8 4 8 2" xfId="39559" xr:uid="{00000000-0005-0000-0000-0000C9A60000}"/>
    <cellStyle name="Wrap Bold 2 3 8 4 9" xfId="39560" xr:uid="{00000000-0005-0000-0000-0000CAA60000}"/>
    <cellStyle name="Wrap Bold 2 3 8 4 9 2" xfId="39561" xr:uid="{00000000-0005-0000-0000-0000CBA60000}"/>
    <cellStyle name="Wrap Bold 2 3 8 5" xfId="39562" xr:uid="{00000000-0005-0000-0000-0000CCA60000}"/>
    <cellStyle name="Wrap Bold 2 3 8 5 10" xfId="39563" xr:uid="{00000000-0005-0000-0000-0000CDA60000}"/>
    <cellStyle name="Wrap Bold 2 3 8 5 2" xfId="39564" xr:uid="{00000000-0005-0000-0000-0000CEA60000}"/>
    <cellStyle name="Wrap Bold 2 3 8 5 2 2" xfId="39565" xr:uid="{00000000-0005-0000-0000-0000CFA60000}"/>
    <cellStyle name="Wrap Bold 2 3 8 5 3" xfId="39566" xr:uid="{00000000-0005-0000-0000-0000D0A60000}"/>
    <cellStyle name="Wrap Bold 2 3 8 5 3 2" xfId="39567" xr:uid="{00000000-0005-0000-0000-0000D1A60000}"/>
    <cellStyle name="Wrap Bold 2 3 8 5 4" xfId="39568" xr:uid="{00000000-0005-0000-0000-0000D2A60000}"/>
    <cellStyle name="Wrap Bold 2 3 8 5 4 2" xfId="39569" xr:uid="{00000000-0005-0000-0000-0000D3A60000}"/>
    <cellStyle name="Wrap Bold 2 3 8 5 5" xfId="39570" xr:uid="{00000000-0005-0000-0000-0000D4A60000}"/>
    <cellStyle name="Wrap Bold 2 3 8 5 5 2" xfId="39571" xr:uid="{00000000-0005-0000-0000-0000D5A60000}"/>
    <cellStyle name="Wrap Bold 2 3 8 5 6" xfId="39572" xr:uid="{00000000-0005-0000-0000-0000D6A60000}"/>
    <cellStyle name="Wrap Bold 2 3 8 5 6 2" xfId="39573" xr:uid="{00000000-0005-0000-0000-0000D7A60000}"/>
    <cellStyle name="Wrap Bold 2 3 8 5 7" xfId="39574" xr:uid="{00000000-0005-0000-0000-0000D8A60000}"/>
    <cellStyle name="Wrap Bold 2 3 8 5 7 2" xfId="39575" xr:uid="{00000000-0005-0000-0000-0000D9A60000}"/>
    <cellStyle name="Wrap Bold 2 3 8 5 8" xfId="39576" xr:uid="{00000000-0005-0000-0000-0000DAA60000}"/>
    <cellStyle name="Wrap Bold 2 3 8 5 8 2" xfId="39577" xr:uid="{00000000-0005-0000-0000-0000DBA60000}"/>
    <cellStyle name="Wrap Bold 2 3 8 5 9" xfId="39578" xr:uid="{00000000-0005-0000-0000-0000DCA60000}"/>
    <cellStyle name="Wrap Bold 2 3 8 5 9 2" xfId="39579" xr:uid="{00000000-0005-0000-0000-0000DDA60000}"/>
    <cellStyle name="Wrap Bold 2 3 8 6" xfId="39580" xr:uid="{00000000-0005-0000-0000-0000DEA60000}"/>
    <cellStyle name="Wrap Bold 2 3 8 6 10" xfId="39581" xr:uid="{00000000-0005-0000-0000-0000DFA60000}"/>
    <cellStyle name="Wrap Bold 2 3 8 6 2" xfId="39582" xr:uid="{00000000-0005-0000-0000-0000E0A60000}"/>
    <cellStyle name="Wrap Bold 2 3 8 6 2 2" xfId="39583" xr:uid="{00000000-0005-0000-0000-0000E1A60000}"/>
    <cellStyle name="Wrap Bold 2 3 8 6 3" xfId="39584" xr:uid="{00000000-0005-0000-0000-0000E2A60000}"/>
    <cellStyle name="Wrap Bold 2 3 8 6 3 2" xfId="39585" xr:uid="{00000000-0005-0000-0000-0000E3A60000}"/>
    <cellStyle name="Wrap Bold 2 3 8 6 4" xfId="39586" xr:uid="{00000000-0005-0000-0000-0000E4A60000}"/>
    <cellStyle name="Wrap Bold 2 3 8 6 4 2" xfId="39587" xr:uid="{00000000-0005-0000-0000-0000E5A60000}"/>
    <cellStyle name="Wrap Bold 2 3 8 6 5" xfId="39588" xr:uid="{00000000-0005-0000-0000-0000E6A60000}"/>
    <cellStyle name="Wrap Bold 2 3 8 6 5 2" xfId="39589" xr:uid="{00000000-0005-0000-0000-0000E7A60000}"/>
    <cellStyle name="Wrap Bold 2 3 8 6 6" xfId="39590" xr:uid="{00000000-0005-0000-0000-0000E8A60000}"/>
    <cellStyle name="Wrap Bold 2 3 8 6 6 2" xfId="39591" xr:uid="{00000000-0005-0000-0000-0000E9A60000}"/>
    <cellStyle name="Wrap Bold 2 3 8 6 7" xfId="39592" xr:uid="{00000000-0005-0000-0000-0000EAA60000}"/>
    <cellStyle name="Wrap Bold 2 3 8 6 7 2" xfId="39593" xr:uid="{00000000-0005-0000-0000-0000EBA60000}"/>
    <cellStyle name="Wrap Bold 2 3 8 6 8" xfId="39594" xr:uid="{00000000-0005-0000-0000-0000ECA60000}"/>
    <cellStyle name="Wrap Bold 2 3 8 6 8 2" xfId="39595" xr:uid="{00000000-0005-0000-0000-0000EDA60000}"/>
    <cellStyle name="Wrap Bold 2 3 8 6 9" xfId="39596" xr:uid="{00000000-0005-0000-0000-0000EEA60000}"/>
    <cellStyle name="Wrap Bold 2 3 8 6 9 2" xfId="39597" xr:uid="{00000000-0005-0000-0000-0000EFA60000}"/>
    <cellStyle name="Wrap Bold 2 3 8 7" xfId="39598" xr:uid="{00000000-0005-0000-0000-0000F0A60000}"/>
    <cellStyle name="Wrap Bold 2 3 8 7 10" xfId="39599" xr:uid="{00000000-0005-0000-0000-0000F1A60000}"/>
    <cellStyle name="Wrap Bold 2 3 8 7 2" xfId="39600" xr:uid="{00000000-0005-0000-0000-0000F2A60000}"/>
    <cellStyle name="Wrap Bold 2 3 8 7 2 2" xfId="39601" xr:uid="{00000000-0005-0000-0000-0000F3A60000}"/>
    <cellStyle name="Wrap Bold 2 3 8 7 3" xfId="39602" xr:uid="{00000000-0005-0000-0000-0000F4A60000}"/>
    <cellStyle name="Wrap Bold 2 3 8 7 3 2" xfId="39603" xr:uid="{00000000-0005-0000-0000-0000F5A60000}"/>
    <cellStyle name="Wrap Bold 2 3 8 7 4" xfId="39604" xr:uid="{00000000-0005-0000-0000-0000F6A60000}"/>
    <cellStyle name="Wrap Bold 2 3 8 7 4 2" xfId="39605" xr:uid="{00000000-0005-0000-0000-0000F7A60000}"/>
    <cellStyle name="Wrap Bold 2 3 8 7 5" xfId="39606" xr:uid="{00000000-0005-0000-0000-0000F8A60000}"/>
    <cellStyle name="Wrap Bold 2 3 8 7 5 2" xfId="39607" xr:uid="{00000000-0005-0000-0000-0000F9A60000}"/>
    <cellStyle name="Wrap Bold 2 3 8 7 6" xfId="39608" xr:uid="{00000000-0005-0000-0000-0000FAA60000}"/>
    <cellStyle name="Wrap Bold 2 3 8 7 6 2" xfId="39609" xr:uid="{00000000-0005-0000-0000-0000FBA60000}"/>
    <cellStyle name="Wrap Bold 2 3 8 7 7" xfId="39610" xr:uid="{00000000-0005-0000-0000-0000FCA60000}"/>
    <cellStyle name="Wrap Bold 2 3 8 7 7 2" xfId="39611" xr:uid="{00000000-0005-0000-0000-0000FDA60000}"/>
    <cellStyle name="Wrap Bold 2 3 8 7 8" xfId="39612" xr:uid="{00000000-0005-0000-0000-0000FEA60000}"/>
    <cellStyle name="Wrap Bold 2 3 8 7 8 2" xfId="39613" xr:uid="{00000000-0005-0000-0000-0000FFA60000}"/>
    <cellStyle name="Wrap Bold 2 3 8 7 9" xfId="39614" xr:uid="{00000000-0005-0000-0000-000000A70000}"/>
    <cellStyle name="Wrap Bold 2 3 8 7 9 2" xfId="39615" xr:uid="{00000000-0005-0000-0000-000001A70000}"/>
    <cellStyle name="Wrap Bold 2 3 8 8" xfId="39616" xr:uid="{00000000-0005-0000-0000-000002A70000}"/>
    <cellStyle name="Wrap Bold 2 3 8 8 10" xfId="39617" xr:uid="{00000000-0005-0000-0000-000003A70000}"/>
    <cellStyle name="Wrap Bold 2 3 8 8 2" xfId="39618" xr:uid="{00000000-0005-0000-0000-000004A70000}"/>
    <cellStyle name="Wrap Bold 2 3 8 8 2 2" xfId="39619" xr:uid="{00000000-0005-0000-0000-000005A70000}"/>
    <cellStyle name="Wrap Bold 2 3 8 8 3" xfId="39620" xr:uid="{00000000-0005-0000-0000-000006A70000}"/>
    <cellStyle name="Wrap Bold 2 3 8 8 3 2" xfId="39621" xr:uid="{00000000-0005-0000-0000-000007A70000}"/>
    <cellStyle name="Wrap Bold 2 3 8 8 4" xfId="39622" xr:uid="{00000000-0005-0000-0000-000008A70000}"/>
    <cellStyle name="Wrap Bold 2 3 8 8 4 2" xfId="39623" xr:uid="{00000000-0005-0000-0000-000009A70000}"/>
    <cellStyle name="Wrap Bold 2 3 8 8 5" xfId="39624" xr:uid="{00000000-0005-0000-0000-00000AA70000}"/>
    <cellStyle name="Wrap Bold 2 3 8 8 5 2" xfId="39625" xr:uid="{00000000-0005-0000-0000-00000BA70000}"/>
    <cellStyle name="Wrap Bold 2 3 8 8 6" xfId="39626" xr:uid="{00000000-0005-0000-0000-00000CA70000}"/>
    <cellStyle name="Wrap Bold 2 3 8 8 6 2" xfId="39627" xr:uid="{00000000-0005-0000-0000-00000DA70000}"/>
    <cellStyle name="Wrap Bold 2 3 8 8 7" xfId="39628" xr:uid="{00000000-0005-0000-0000-00000EA70000}"/>
    <cellStyle name="Wrap Bold 2 3 8 8 7 2" xfId="39629" xr:uid="{00000000-0005-0000-0000-00000FA70000}"/>
    <cellStyle name="Wrap Bold 2 3 8 8 8" xfId="39630" xr:uid="{00000000-0005-0000-0000-000010A70000}"/>
    <cellStyle name="Wrap Bold 2 3 8 8 8 2" xfId="39631" xr:uid="{00000000-0005-0000-0000-000011A70000}"/>
    <cellStyle name="Wrap Bold 2 3 8 8 9" xfId="39632" xr:uid="{00000000-0005-0000-0000-000012A70000}"/>
    <cellStyle name="Wrap Bold 2 3 8 8 9 2" xfId="39633" xr:uid="{00000000-0005-0000-0000-000013A70000}"/>
    <cellStyle name="Wrap Bold 2 3 8 9" xfId="39634" xr:uid="{00000000-0005-0000-0000-000014A70000}"/>
    <cellStyle name="Wrap Bold 2 3 8 9 10" xfId="39635" xr:uid="{00000000-0005-0000-0000-000015A70000}"/>
    <cellStyle name="Wrap Bold 2 3 8 9 2" xfId="39636" xr:uid="{00000000-0005-0000-0000-000016A70000}"/>
    <cellStyle name="Wrap Bold 2 3 8 9 2 2" xfId="39637" xr:uid="{00000000-0005-0000-0000-000017A70000}"/>
    <cellStyle name="Wrap Bold 2 3 8 9 3" xfId="39638" xr:uid="{00000000-0005-0000-0000-000018A70000}"/>
    <cellStyle name="Wrap Bold 2 3 8 9 3 2" xfId="39639" xr:uid="{00000000-0005-0000-0000-000019A70000}"/>
    <cellStyle name="Wrap Bold 2 3 8 9 4" xfId="39640" xr:uid="{00000000-0005-0000-0000-00001AA70000}"/>
    <cellStyle name="Wrap Bold 2 3 8 9 4 2" xfId="39641" xr:uid="{00000000-0005-0000-0000-00001BA70000}"/>
    <cellStyle name="Wrap Bold 2 3 8 9 5" xfId="39642" xr:uid="{00000000-0005-0000-0000-00001CA70000}"/>
    <cellStyle name="Wrap Bold 2 3 8 9 5 2" xfId="39643" xr:uid="{00000000-0005-0000-0000-00001DA70000}"/>
    <cellStyle name="Wrap Bold 2 3 8 9 6" xfId="39644" xr:uid="{00000000-0005-0000-0000-00001EA70000}"/>
    <cellStyle name="Wrap Bold 2 3 8 9 6 2" xfId="39645" xr:uid="{00000000-0005-0000-0000-00001FA70000}"/>
    <cellStyle name="Wrap Bold 2 3 8 9 7" xfId="39646" xr:uid="{00000000-0005-0000-0000-000020A70000}"/>
    <cellStyle name="Wrap Bold 2 3 8 9 7 2" xfId="39647" xr:uid="{00000000-0005-0000-0000-000021A70000}"/>
    <cellStyle name="Wrap Bold 2 3 8 9 8" xfId="39648" xr:uid="{00000000-0005-0000-0000-000022A70000}"/>
    <cellStyle name="Wrap Bold 2 3 8 9 8 2" xfId="39649" xr:uid="{00000000-0005-0000-0000-000023A70000}"/>
    <cellStyle name="Wrap Bold 2 3 8 9 9" xfId="39650" xr:uid="{00000000-0005-0000-0000-000024A70000}"/>
    <cellStyle name="Wrap Bold 2 3 8 9 9 2" xfId="39651" xr:uid="{00000000-0005-0000-0000-000025A70000}"/>
    <cellStyle name="Wrap Bold 2 4" xfId="39652" xr:uid="{00000000-0005-0000-0000-000026A70000}"/>
    <cellStyle name="Wrap Bold 2 4 10" xfId="39653" xr:uid="{00000000-0005-0000-0000-000027A70000}"/>
    <cellStyle name="Wrap Bold 2 4 10 10" xfId="39654" xr:uid="{00000000-0005-0000-0000-000028A70000}"/>
    <cellStyle name="Wrap Bold 2 4 10 2" xfId="39655" xr:uid="{00000000-0005-0000-0000-000029A70000}"/>
    <cellStyle name="Wrap Bold 2 4 10 2 2" xfId="39656" xr:uid="{00000000-0005-0000-0000-00002AA70000}"/>
    <cellStyle name="Wrap Bold 2 4 10 3" xfId="39657" xr:uid="{00000000-0005-0000-0000-00002BA70000}"/>
    <cellStyle name="Wrap Bold 2 4 10 3 2" xfId="39658" xr:uid="{00000000-0005-0000-0000-00002CA70000}"/>
    <cellStyle name="Wrap Bold 2 4 10 4" xfId="39659" xr:uid="{00000000-0005-0000-0000-00002DA70000}"/>
    <cellStyle name="Wrap Bold 2 4 10 4 2" xfId="39660" xr:uid="{00000000-0005-0000-0000-00002EA70000}"/>
    <cellStyle name="Wrap Bold 2 4 10 5" xfId="39661" xr:uid="{00000000-0005-0000-0000-00002FA70000}"/>
    <cellStyle name="Wrap Bold 2 4 10 5 2" xfId="39662" xr:uid="{00000000-0005-0000-0000-000030A70000}"/>
    <cellStyle name="Wrap Bold 2 4 10 6" xfId="39663" xr:uid="{00000000-0005-0000-0000-000031A70000}"/>
    <cellStyle name="Wrap Bold 2 4 10 6 2" xfId="39664" xr:uid="{00000000-0005-0000-0000-000032A70000}"/>
    <cellStyle name="Wrap Bold 2 4 10 7" xfId="39665" xr:uid="{00000000-0005-0000-0000-000033A70000}"/>
    <cellStyle name="Wrap Bold 2 4 10 7 2" xfId="39666" xr:uid="{00000000-0005-0000-0000-000034A70000}"/>
    <cellStyle name="Wrap Bold 2 4 10 8" xfId="39667" xr:uid="{00000000-0005-0000-0000-000035A70000}"/>
    <cellStyle name="Wrap Bold 2 4 10 8 2" xfId="39668" xr:uid="{00000000-0005-0000-0000-000036A70000}"/>
    <cellStyle name="Wrap Bold 2 4 10 9" xfId="39669" xr:uid="{00000000-0005-0000-0000-000037A70000}"/>
    <cellStyle name="Wrap Bold 2 4 10 9 2" xfId="39670" xr:uid="{00000000-0005-0000-0000-000038A70000}"/>
    <cellStyle name="Wrap Bold 2 4 11" xfId="39671" xr:uid="{00000000-0005-0000-0000-000039A70000}"/>
    <cellStyle name="Wrap Bold 2 4 11 2" xfId="39672" xr:uid="{00000000-0005-0000-0000-00003AA70000}"/>
    <cellStyle name="Wrap Bold 2 4 11 2 2" xfId="39673" xr:uid="{00000000-0005-0000-0000-00003BA70000}"/>
    <cellStyle name="Wrap Bold 2 4 11 3" xfId="39674" xr:uid="{00000000-0005-0000-0000-00003CA70000}"/>
    <cellStyle name="Wrap Bold 2 4 11 3 2" xfId="39675" xr:uid="{00000000-0005-0000-0000-00003DA70000}"/>
    <cellStyle name="Wrap Bold 2 4 11 4" xfId="39676" xr:uid="{00000000-0005-0000-0000-00003EA70000}"/>
    <cellStyle name="Wrap Bold 2 4 11 4 2" xfId="39677" xr:uid="{00000000-0005-0000-0000-00003FA70000}"/>
    <cellStyle name="Wrap Bold 2 4 11 5" xfId="39678" xr:uid="{00000000-0005-0000-0000-000040A70000}"/>
    <cellStyle name="Wrap Bold 2 4 11 5 2" xfId="39679" xr:uid="{00000000-0005-0000-0000-000041A70000}"/>
    <cellStyle name="Wrap Bold 2 4 11 6" xfId="39680" xr:uid="{00000000-0005-0000-0000-000042A70000}"/>
    <cellStyle name="Wrap Bold 2 4 11 6 2" xfId="39681" xr:uid="{00000000-0005-0000-0000-000043A70000}"/>
    <cellStyle name="Wrap Bold 2 4 11 7" xfId="39682" xr:uid="{00000000-0005-0000-0000-000044A70000}"/>
    <cellStyle name="Wrap Bold 2 4 11 7 2" xfId="39683" xr:uid="{00000000-0005-0000-0000-000045A70000}"/>
    <cellStyle name="Wrap Bold 2 4 11 8" xfId="39684" xr:uid="{00000000-0005-0000-0000-000046A70000}"/>
    <cellStyle name="Wrap Bold 2 4 11 8 2" xfId="39685" xr:uid="{00000000-0005-0000-0000-000047A70000}"/>
    <cellStyle name="Wrap Bold 2 4 11 9" xfId="39686" xr:uid="{00000000-0005-0000-0000-000048A70000}"/>
    <cellStyle name="Wrap Bold 2 4 2" xfId="39687" xr:uid="{00000000-0005-0000-0000-000049A70000}"/>
    <cellStyle name="Wrap Bold 2 4 2 10" xfId="39688" xr:uid="{00000000-0005-0000-0000-00004AA70000}"/>
    <cellStyle name="Wrap Bold 2 4 2 2" xfId="39689" xr:uid="{00000000-0005-0000-0000-00004BA70000}"/>
    <cellStyle name="Wrap Bold 2 4 2 2 2" xfId="39690" xr:uid="{00000000-0005-0000-0000-00004CA70000}"/>
    <cellStyle name="Wrap Bold 2 4 2 3" xfId="39691" xr:uid="{00000000-0005-0000-0000-00004DA70000}"/>
    <cellStyle name="Wrap Bold 2 4 2 3 2" xfId="39692" xr:uid="{00000000-0005-0000-0000-00004EA70000}"/>
    <cellStyle name="Wrap Bold 2 4 2 4" xfId="39693" xr:uid="{00000000-0005-0000-0000-00004FA70000}"/>
    <cellStyle name="Wrap Bold 2 4 2 4 2" xfId="39694" xr:uid="{00000000-0005-0000-0000-000050A70000}"/>
    <cellStyle name="Wrap Bold 2 4 2 5" xfId="39695" xr:uid="{00000000-0005-0000-0000-000051A70000}"/>
    <cellStyle name="Wrap Bold 2 4 2 5 2" xfId="39696" xr:uid="{00000000-0005-0000-0000-000052A70000}"/>
    <cellStyle name="Wrap Bold 2 4 2 6" xfId="39697" xr:uid="{00000000-0005-0000-0000-000053A70000}"/>
    <cellStyle name="Wrap Bold 2 4 2 6 2" xfId="39698" xr:uid="{00000000-0005-0000-0000-000054A70000}"/>
    <cellStyle name="Wrap Bold 2 4 2 7" xfId="39699" xr:uid="{00000000-0005-0000-0000-000055A70000}"/>
    <cellStyle name="Wrap Bold 2 4 2 7 2" xfId="39700" xr:uid="{00000000-0005-0000-0000-000056A70000}"/>
    <cellStyle name="Wrap Bold 2 4 2 8" xfId="39701" xr:uid="{00000000-0005-0000-0000-000057A70000}"/>
    <cellStyle name="Wrap Bold 2 4 2 8 2" xfId="39702" xr:uid="{00000000-0005-0000-0000-000058A70000}"/>
    <cellStyle name="Wrap Bold 2 4 2 9" xfId="39703" xr:uid="{00000000-0005-0000-0000-000059A70000}"/>
    <cellStyle name="Wrap Bold 2 4 2 9 2" xfId="39704" xr:uid="{00000000-0005-0000-0000-00005AA70000}"/>
    <cellStyle name="Wrap Bold 2 4 3" xfId="39705" xr:uid="{00000000-0005-0000-0000-00005BA70000}"/>
    <cellStyle name="Wrap Bold 2 4 3 10" xfId="39706" xr:uid="{00000000-0005-0000-0000-00005CA70000}"/>
    <cellStyle name="Wrap Bold 2 4 3 2" xfId="39707" xr:uid="{00000000-0005-0000-0000-00005DA70000}"/>
    <cellStyle name="Wrap Bold 2 4 3 2 2" xfId="39708" xr:uid="{00000000-0005-0000-0000-00005EA70000}"/>
    <cellStyle name="Wrap Bold 2 4 3 3" xfId="39709" xr:uid="{00000000-0005-0000-0000-00005FA70000}"/>
    <cellStyle name="Wrap Bold 2 4 3 3 2" xfId="39710" xr:uid="{00000000-0005-0000-0000-000060A70000}"/>
    <cellStyle name="Wrap Bold 2 4 3 4" xfId="39711" xr:uid="{00000000-0005-0000-0000-000061A70000}"/>
    <cellStyle name="Wrap Bold 2 4 3 4 2" xfId="39712" xr:uid="{00000000-0005-0000-0000-000062A70000}"/>
    <cellStyle name="Wrap Bold 2 4 3 5" xfId="39713" xr:uid="{00000000-0005-0000-0000-000063A70000}"/>
    <cellStyle name="Wrap Bold 2 4 3 5 2" xfId="39714" xr:uid="{00000000-0005-0000-0000-000064A70000}"/>
    <cellStyle name="Wrap Bold 2 4 3 6" xfId="39715" xr:uid="{00000000-0005-0000-0000-000065A70000}"/>
    <cellStyle name="Wrap Bold 2 4 3 6 2" xfId="39716" xr:uid="{00000000-0005-0000-0000-000066A70000}"/>
    <cellStyle name="Wrap Bold 2 4 3 7" xfId="39717" xr:uid="{00000000-0005-0000-0000-000067A70000}"/>
    <cellStyle name="Wrap Bold 2 4 3 7 2" xfId="39718" xr:uid="{00000000-0005-0000-0000-000068A70000}"/>
    <cellStyle name="Wrap Bold 2 4 3 8" xfId="39719" xr:uid="{00000000-0005-0000-0000-000069A70000}"/>
    <cellStyle name="Wrap Bold 2 4 3 8 2" xfId="39720" xr:uid="{00000000-0005-0000-0000-00006AA70000}"/>
    <cellStyle name="Wrap Bold 2 4 3 9" xfId="39721" xr:uid="{00000000-0005-0000-0000-00006BA70000}"/>
    <cellStyle name="Wrap Bold 2 4 3 9 2" xfId="39722" xr:uid="{00000000-0005-0000-0000-00006CA70000}"/>
    <cellStyle name="Wrap Bold 2 4 4" xfId="39723" xr:uid="{00000000-0005-0000-0000-00006DA70000}"/>
    <cellStyle name="Wrap Bold 2 4 4 10" xfId="39724" xr:uid="{00000000-0005-0000-0000-00006EA70000}"/>
    <cellStyle name="Wrap Bold 2 4 4 2" xfId="39725" xr:uid="{00000000-0005-0000-0000-00006FA70000}"/>
    <cellStyle name="Wrap Bold 2 4 4 2 2" xfId="39726" xr:uid="{00000000-0005-0000-0000-000070A70000}"/>
    <cellStyle name="Wrap Bold 2 4 4 3" xfId="39727" xr:uid="{00000000-0005-0000-0000-000071A70000}"/>
    <cellStyle name="Wrap Bold 2 4 4 3 2" xfId="39728" xr:uid="{00000000-0005-0000-0000-000072A70000}"/>
    <cellStyle name="Wrap Bold 2 4 4 4" xfId="39729" xr:uid="{00000000-0005-0000-0000-000073A70000}"/>
    <cellStyle name="Wrap Bold 2 4 4 4 2" xfId="39730" xr:uid="{00000000-0005-0000-0000-000074A70000}"/>
    <cellStyle name="Wrap Bold 2 4 4 5" xfId="39731" xr:uid="{00000000-0005-0000-0000-000075A70000}"/>
    <cellStyle name="Wrap Bold 2 4 4 5 2" xfId="39732" xr:uid="{00000000-0005-0000-0000-000076A70000}"/>
    <cellStyle name="Wrap Bold 2 4 4 6" xfId="39733" xr:uid="{00000000-0005-0000-0000-000077A70000}"/>
    <cellStyle name="Wrap Bold 2 4 4 6 2" xfId="39734" xr:uid="{00000000-0005-0000-0000-000078A70000}"/>
    <cellStyle name="Wrap Bold 2 4 4 7" xfId="39735" xr:uid="{00000000-0005-0000-0000-000079A70000}"/>
    <cellStyle name="Wrap Bold 2 4 4 7 2" xfId="39736" xr:uid="{00000000-0005-0000-0000-00007AA70000}"/>
    <cellStyle name="Wrap Bold 2 4 4 8" xfId="39737" xr:uid="{00000000-0005-0000-0000-00007BA70000}"/>
    <cellStyle name="Wrap Bold 2 4 4 8 2" xfId="39738" xr:uid="{00000000-0005-0000-0000-00007CA70000}"/>
    <cellStyle name="Wrap Bold 2 4 4 9" xfId="39739" xr:uid="{00000000-0005-0000-0000-00007DA70000}"/>
    <cellStyle name="Wrap Bold 2 4 4 9 2" xfId="39740" xr:uid="{00000000-0005-0000-0000-00007EA70000}"/>
    <cellStyle name="Wrap Bold 2 4 5" xfId="39741" xr:uid="{00000000-0005-0000-0000-00007FA70000}"/>
    <cellStyle name="Wrap Bold 2 4 5 10" xfId="39742" xr:uid="{00000000-0005-0000-0000-000080A70000}"/>
    <cellStyle name="Wrap Bold 2 4 5 2" xfId="39743" xr:uid="{00000000-0005-0000-0000-000081A70000}"/>
    <cellStyle name="Wrap Bold 2 4 5 2 2" xfId="39744" xr:uid="{00000000-0005-0000-0000-000082A70000}"/>
    <cellStyle name="Wrap Bold 2 4 5 3" xfId="39745" xr:uid="{00000000-0005-0000-0000-000083A70000}"/>
    <cellStyle name="Wrap Bold 2 4 5 3 2" xfId="39746" xr:uid="{00000000-0005-0000-0000-000084A70000}"/>
    <cellStyle name="Wrap Bold 2 4 5 4" xfId="39747" xr:uid="{00000000-0005-0000-0000-000085A70000}"/>
    <cellStyle name="Wrap Bold 2 4 5 4 2" xfId="39748" xr:uid="{00000000-0005-0000-0000-000086A70000}"/>
    <cellStyle name="Wrap Bold 2 4 5 5" xfId="39749" xr:uid="{00000000-0005-0000-0000-000087A70000}"/>
    <cellStyle name="Wrap Bold 2 4 5 5 2" xfId="39750" xr:uid="{00000000-0005-0000-0000-000088A70000}"/>
    <cellStyle name="Wrap Bold 2 4 5 6" xfId="39751" xr:uid="{00000000-0005-0000-0000-000089A70000}"/>
    <cellStyle name="Wrap Bold 2 4 5 6 2" xfId="39752" xr:uid="{00000000-0005-0000-0000-00008AA70000}"/>
    <cellStyle name="Wrap Bold 2 4 5 7" xfId="39753" xr:uid="{00000000-0005-0000-0000-00008BA70000}"/>
    <cellStyle name="Wrap Bold 2 4 5 7 2" xfId="39754" xr:uid="{00000000-0005-0000-0000-00008CA70000}"/>
    <cellStyle name="Wrap Bold 2 4 5 8" xfId="39755" xr:uid="{00000000-0005-0000-0000-00008DA70000}"/>
    <cellStyle name="Wrap Bold 2 4 5 8 2" xfId="39756" xr:uid="{00000000-0005-0000-0000-00008EA70000}"/>
    <cellStyle name="Wrap Bold 2 4 5 9" xfId="39757" xr:uid="{00000000-0005-0000-0000-00008FA70000}"/>
    <cellStyle name="Wrap Bold 2 4 5 9 2" xfId="39758" xr:uid="{00000000-0005-0000-0000-000090A70000}"/>
    <cellStyle name="Wrap Bold 2 4 6" xfId="39759" xr:uid="{00000000-0005-0000-0000-000091A70000}"/>
    <cellStyle name="Wrap Bold 2 4 6 10" xfId="39760" xr:uid="{00000000-0005-0000-0000-000092A70000}"/>
    <cellStyle name="Wrap Bold 2 4 6 2" xfId="39761" xr:uid="{00000000-0005-0000-0000-000093A70000}"/>
    <cellStyle name="Wrap Bold 2 4 6 2 2" xfId="39762" xr:uid="{00000000-0005-0000-0000-000094A70000}"/>
    <cellStyle name="Wrap Bold 2 4 6 3" xfId="39763" xr:uid="{00000000-0005-0000-0000-000095A70000}"/>
    <cellStyle name="Wrap Bold 2 4 6 3 2" xfId="39764" xr:uid="{00000000-0005-0000-0000-000096A70000}"/>
    <cellStyle name="Wrap Bold 2 4 6 4" xfId="39765" xr:uid="{00000000-0005-0000-0000-000097A70000}"/>
    <cellStyle name="Wrap Bold 2 4 6 4 2" xfId="39766" xr:uid="{00000000-0005-0000-0000-000098A70000}"/>
    <cellStyle name="Wrap Bold 2 4 6 5" xfId="39767" xr:uid="{00000000-0005-0000-0000-000099A70000}"/>
    <cellStyle name="Wrap Bold 2 4 6 5 2" xfId="39768" xr:uid="{00000000-0005-0000-0000-00009AA70000}"/>
    <cellStyle name="Wrap Bold 2 4 6 6" xfId="39769" xr:uid="{00000000-0005-0000-0000-00009BA70000}"/>
    <cellStyle name="Wrap Bold 2 4 6 6 2" xfId="39770" xr:uid="{00000000-0005-0000-0000-00009CA70000}"/>
    <cellStyle name="Wrap Bold 2 4 6 7" xfId="39771" xr:uid="{00000000-0005-0000-0000-00009DA70000}"/>
    <cellStyle name="Wrap Bold 2 4 6 7 2" xfId="39772" xr:uid="{00000000-0005-0000-0000-00009EA70000}"/>
    <cellStyle name="Wrap Bold 2 4 6 8" xfId="39773" xr:uid="{00000000-0005-0000-0000-00009FA70000}"/>
    <cellStyle name="Wrap Bold 2 4 6 8 2" xfId="39774" xr:uid="{00000000-0005-0000-0000-0000A0A70000}"/>
    <cellStyle name="Wrap Bold 2 4 6 9" xfId="39775" xr:uid="{00000000-0005-0000-0000-0000A1A70000}"/>
    <cellStyle name="Wrap Bold 2 4 6 9 2" xfId="39776" xr:uid="{00000000-0005-0000-0000-0000A2A70000}"/>
    <cellStyle name="Wrap Bold 2 4 7" xfId="39777" xr:uid="{00000000-0005-0000-0000-0000A3A70000}"/>
    <cellStyle name="Wrap Bold 2 4 7 10" xfId="39778" xr:uid="{00000000-0005-0000-0000-0000A4A70000}"/>
    <cellStyle name="Wrap Bold 2 4 7 2" xfId="39779" xr:uid="{00000000-0005-0000-0000-0000A5A70000}"/>
    <cellStyle name="Wrap Bold 2 4 7 2 2" xfId="39780" xr:uid="{00000000-0005-0000-0000-0000A6A70000}"/>
    <cellStyle name="Wrap Bold 2 4 7 3" xfId="39781" xr:uid="{00000000-0005-0000-0000-0000A7A70000}"/>
    <cellStyle name="Wrap Bold 2 4 7 3 2" xfId="39782" xr:uid="{00000000-0005-0000-0000-0000A8A70000}"/>
    <cellStyle name="Wrap Bold 2 4 7 4" xfId="39783" xr:uid="{00000000-0005-0000-0000-0000A9A70000}"/>
    <cellStyle name="Wrap Bold 2 4 7 4 2" xfId="39784" xr:uid="{00000000-0005-0000-0000-0000AAA70000}"/>
    <cellStyle name="Wrap Bold 2 4 7 5" xfId="39785" xr:uid="{00000000-0005-0000-0000-0000ABA70000}"/>
    <cellStyle name="Wrap Bold 2 4 7 5 2" xfId="39786" xr:uid="{00000000-0005-0000-0000-0000ACA70000}"/>
    <cellStyle name="Wrap Bold 2 4 7 6" xfId="39787" xr:uid="{00000000-0005-0000-0000-0000ADA70000}"/>
    <cellStyle name="Wrap Bold 2 4 7 6 2" xfId="39788" xr:uid="{00000000-0005-0000-0000-0000AEA70000}"/>
    <cellStyle name="Wrap Bold 2 4 7 7" xfId="39789" xr:uid="{00000000-0005-0000-0000-0000AFA70000}"/>
    <cellStyle name="Wrap Bold 2 4 7 7 2" xfId="39790" xr:uid="{00000000-0005-0000-0000-0000B0A70000}"/>
    <cellStyle name="Wrap Bold 2 4 7 8" xfId="39791" xr:uid="{00000000-0005-0000-0000-0000B1A70000}"/>
    <cellStyle name="Wrap Bold 2 4 7 8 2" xfId="39792" xr:uid="{00000000-0005-0000-0000-0000B2A70000}"/>
    <cellStyle name="Wrap Bold 2 4 7 9" xfId="39793" xr:uid="{00000000-0005-0000-0000-0000B3A70000}"/>
    <cellStyle name="Wrap Bold 2 4 7 9 2" xfId="39794" xr:uid="{00000000-0005-0000-0000-0000B4A70000}"/>
    <cellStyle name="Wrap Bold 2 4 8" xfId="39795" xr:uid="{00000000-0005-0000-0000-0000B5A70000}"/>
    <cellStyle name="Wrap Bold 2 4 8 10" xfId="39796" xr:uid="{00000000-0005-0000-0000-0000B6A70000}"/>
    <cellStyle name="Wrap Bold 2 4 8 2" xfId="39797" xr:uid="{00000000-0005-0000-0000-0000B7A70000}"/>
    <cellStyle name="Wrap Bold 2 4 8 2 2" xfId="39798" xr:uid="{00000000-0005-0000-0000-0000B8A70000}"/>
    <cellStyle name="Wrap Bold 2 4 8 3" xfId="39799" xr:uid="{00000000-0005-0000-0000-0000B9A70000}"/>
    <cellStyle name="Wrap Bold 2 4 8 3 2" xfId="39800" xr:uid="{00000000-0005-0000-0000-0000BAA70000}"/>
    <cellStyle name="Wrap Bold 2 4 8 4" xfId="39801" xr:uid="{00000000-0005-0000-0000-0000BBA70000}"/>
    <cellStyle name="Wrap Bold 2 4 8 4 2" xfId="39802" xr:uid="{00000000-0005-0000-0000-0000BCA70000}"/>
    <cellStyle name="Wrap Bold 2 4 8 5" xfId="39803" xr:uid="{00000000-0005-0000-0000-0000BDA70000}"/>
    <cellStyle name="Wrap Bold 2 4 8 5 2" xfId="39804" xr:uid="{00000000-0005-0000-0000-0000BEA70000}"/>
    <cellStyle name="Wrap Bold 2 4 8 6" xfId="39805" xr:uid="{00000000-0005-0000-0000-0000BFA70000}"/>
    <cellStyle name="Wrap Bold 2 4 8 6 2" xfId="39806" xr:uid="{00000000-0005-0000-0000-0000C0A70000}"/>
    <cellStyle name="Wrap Bold 2 4 8 7" xfId="39807" xr:uid="{00000000-0005-0000-0000-0000C1A70000}"/>
    <cellStyle name="Wrap Bold 2 4 8 7 2" xfId="39808" xr:uid="{00000000-0005-0000-0000-0000C2A70000}"/>
    <cellStyle name="Wrap Bold 2 4 8 8" xfId="39809" xr:uid="{00000000-0005-0000-0000-0000C3A70000}"/>
    <cellStyle name="Wrap Bold 2 4 8 8 2" xfId="39810" xr:uid="{00000000-0005-0000-0000-0000C4A70000}"/>
    <cellStyle name="Wrap Bold 2 4 8 9" xfId="39811" xr:uid="{00000000-0005-0000-0000-0000C5A70000}"/>
    <cellStyle name="Wrap Bold 2 4 8 9 2" xfId="39812" xr:uid="{00000000-0005-0000-0000-0000C6A70000}"/>
    <cellStyle name="Wrap Bold 2 4 9" xfId="39813" xr:uid="{00000000-0005-0000-0000-0000C7A70000}"/>
    <cellStyle name="Wrap Bold 2 4 9 10" xfId="39814" xr:uid="{00000000-0005-0000-0000-0000C8A70000}"/>
    <cellStyle name="Wrap Bold 2 4 9 2" xfId="39815" xr:uid="{00000000-0005-0000-0000-0000C9A70000}"/>
    <cellStyle name="Wrap Bold 2 4 9 2 2" xfId="39816" xr:uid="{00000000-0005-0000-0000-0000CAA70000}"/>
    <cellStyle name="Wrap Bold 2 4 9 3" xfId="39817" xr:uid="{00000000-0005-0000-0000-0000CBA70000}"/>
    <cellStyle name="Wrap Bold 2 4 9 3 2" xfId="39818" xr:uid="{00000000-0005-0000-0000-0000CCA70000}"/>
    <cellStyle name="Wrap Bold 2 4 9 4" xfId="39819" xr:uid="{00000000-0005-0000-0000-0000CDA70000}"/>
    <cellStyle name="Wrap Bold 2 4 9 4 2" xfId="39820" xr:uid="{00000000-0005-0000-0000-0000CEA70000}"/>
    <cellStyle name="Wrap Bold 2 4 9 5" xfId="39821" xr:uid="{00000000-0005-0000-0000-0000CFA70000}"/>
    <cellStyle name="Wrap Bold 2 4 9 5 2" xfId="39822" xr:uid="{00000000-0005-0000-0000-0000D0A70000}"/>
    <cellStyle name="Wrap Bold 2 4 9 6" xfId="39823" xr:uid="{00000000-0005-0000-0000-0000D1A70000}"/>
    <cellStyle name="Wrap Bold 2 4 9 6 2" xfId="39824" xr:uid="{00000000-0005-0000-0000-0000D2A70000}"/>
    <cellStyle name="Wrap Bold 2 4 9 7" xfId="39825" xr:uid="{00000000-0005-0000-0000-0000D3A70000}"/>
    <cellStyle name="Wrap Bold 2 4 9 7 2" xfId="39826" xr:uid="{00000000-0005-0000-0000-0000D4A70000}"/>
    <cellStyle name="Wrap Bold 2 4 9 8" xfId="39827" xr:uid="{00000000-0005-0000-0000-0000D5A70000}"/>
    <cellStyle name="Wrap Bold 2 4 9 8 2" xfId="39828" xr:uid="{00000000-0005-0000-0000-0000D6A70000}"/>
    <cellStyle name="Wrap Bold 2 4 9 9" xfId="39829" xr:uid="{00000000-0005-0000-0000-0000D7A70000}"/>
    <cellStyle name="Wrap Bold 2 4 9 9 2" xfId="39830" xr:uid="{00000000-0005-0000-0000-0000D8A70000}"/>
    <cellStyle name="Wrap Bold 2 5" xfId="39831" xr:uid="{00000000-0005-0000-0000-0000D9A70000}"/>
    <cellStyle name="Wrap Bold 2 5 10" xfId="39832" xr:uid="{00000000-0005-0000-0000-0000DAA70000}"/>
    <cellStyle name="Wrap Bold 2 5 10 10" xfId="39833" xr:uid="{00000000-0005-0000-0000-0000DBA70000}"/>
    <cellStyle name="Wrap Bold 2 5 10 2" xfId="39834" xr:uid="{00000000-0005-0000-0000-0000DCA70000}"/>
    <cellStyle name="Wrap Bold 2 5 10 2 2" xfId="39835" xr:uid="{00000000-0005-0000-0000-0000DDA70000}"/>
    <cellStyle name="Wrap Bold 2 5 10 3" xfId="39836" xr:uid="{00000000-0005-0000-0000-0000DEA70000}"/>
    <cellStyle name="Wrap Bold 2 5 10 3 2" xfId="39837" xr:uid="{00000000-0005-0000-0000-0000DFA70000}"/>
    <cellStyle name="Wrap Bold 2 5 10 4" xfId="39838" xr:uid="{00000000-0005-0000-0000-0000E0A70000}"/>
    <cellStyle name="Wrap Bold 2 5 10 4 2" xfId="39839" xr:uid="{00000000-0005-0000-0000-0000E1A70000}"/>
    <cellStyle name="Wrap Bold 2 5 10 5" xfId="39840" xr:uid="{00000000-0005-0000-0000-0000E2A70000}"/>
    <cellStyle name="Wrap Bold 2 5 10 5 2" xfId="39841" xr:uid="{00000000-0005-0000-0000-0000E3A70000}"/>
    <cellStyle name="Wrap Bold 2 5 10 6" xfId="39842" xr:uid="{00000000-0005-0000-0000-0000E4A70000}"/>
    <cellStyle name="Wrap Bold 2 5 10 6 2" xfId="39843" xr:uid="{00000000-0005-0000-0000-0000E5A70000}"/>
    <cellStyle name="Wrap Bold 2 5 10 7" xfId="39844" xr:uid="{00000000-0005-0000-0000-0000E6A70000}"/>
    <cellStyle name="Wrap Bold 2 5 10 7 2" xfId="39845" xr:uid="{00000000-0005-0000-0000-0000E7A70000}"/>
    <cellStyle name="Wrap Bold 2 5 10 8" xfId="39846" xr:uid="{00000000-0005-0000-0000-0000E8A70000}"/>
    <cellStyle name="Wrap Bold 2 5 10 8 2" xfId="39847" xr:uid="{00000000-0005-0000-0000-0000E9A70000}"/>
    <cellStyle name="Wrap Bold 2 5 10 9" xfId="39848" xr:uid="{00000000-0005-0000-0000-0000EAA70000}"/>
    <cellStyle name="Wrap Bold 2 5 10 9 2" xfId="39849" xr:uid="{00000000-0005-0000-0000-0000EBA70000}"/>
    <cellStyle name="Wrap Bold 2 5 11" xfId="39850" xr:uid="{00000000-0005-0000-0000-0000ECA70000}"/>
    <cellStyle name="Wrap Bold 2 5 11 2" xfId="39851" xr:uid="{00000000-0005-0000-0000-0000EDA70000}"/>
    <cellStyle name="Wrap Bold 2 5 11 2 2" xfId="39852" xr:uid="{00000000-0005-0000-0000-0000EEA70000}"/>
    <cellStyle name="Wrap Bold 2 5 11 3" xfId="39853" xr:uid="{00000000-0005-0000-0000-0000EFA70000}"/>
    <cellStyle name="Wrap Bold 2 5 11 3 2" xfId="39854" xr:uid="{00000000-0005-0000-0000-0000F0A70000}"/>
    <cellStyle name="Wrap Bold 2 5 11 4" xfId="39855" xr:uid="{00000000-0005-0000-0000-0000F1A70000}"/>
    <cellStyle name="Wrap Bold 2 5 11 4 2" xfId="39856" xr:uid="{00000000-0005-0000-0000-0000F2A70000}"/>
    <cellStyle name="Wrap Bold 2 5 11 5" xfId="39857" xr:uid="{00000000-0005-0000-0000-0000F3A70000}"/>
    <cellStyle name="Wrap Bold 2 5 11 5 2" xfId="39858" xr:uid="{00000000-0005-0000-0000-0000F4A70000}"/>
    <cellStyle name="Wrap Bold 2 5 11 6" xfId="39859" xr:uid="{00000000-0005-0000-0000-0000F5A70000}"/>
    <cellStyle name="Wrap Bold 2 5 11 6 2" xfId="39860" xr:uid="{00000000-0005-0000-0000-0000F6A70000}"/>
    <cellStyle name="Wrap Bold 2 5 11 7" xfId="39861" xr:uid="{00000000-0005-0000-0000-0000F7A70000}"/>
    <cellStyle name="Wrap Bold 2 5 11 7 2" xfId="39862" xr:uid="{00000000-0005-0000-0000-0000F8A70000}"/>
    <cellStyle name="Wrap Bold 2 5 11 8" xfId="39863" xr:uid="{00000000-0005-0000-0000-0000F9A70000}"/>
    <cellStyle name="Wrap Bold 2 5 11 8 2" xfId="39864" xr:uid="{00000000-0005-0000-0000-0000FAA70000}"/>
    <cellStyle name="Wrap Bold 2 5 11 9" xfId="39865" xr:uid="{00000000-0005-0000-0000-0000FBA70000}"/>
    <cellStyle name="Wrap Bold 2 5 2" xfId="39866" xr:uid="{00000000-0005-0000-0000-0000FCA70000}"/>
    <cellStyle name="Wrap Bold 2 5 2 10" xfId="39867" xr:uid="{00000000-0005-0000-0000-0000FDA70000}"/>
    <cellStyle name="Wrap Bold 2 5 2 2" xfId="39868" xr:uid="{00000000-0005-0000-0000-0000FEA70000}"/>
    <cellStyle name="Wrap Bold 2 5 2 2 2" xfId="39869" xr:uid="{00000000-0005-0000-0000-0000FFA70000}"/>
    <cellStyle name="Wrap Bold 2 5 2 3" xfId="39870" xr:uid="{00000000-0005-0000-0000-000000A80000}"/>
    <cellStyle name="Wrap Bold 2 5 2 3 2" xfId="39871" xr:uid="{00000000-0005-0000-0000-000001A80000}"/>
    <cellStyle name="Wrap Bold 2 5 2 4" xfId="39872" xr:uid="{00000000-0005-0000-0000-000002A80000}"/>
    <cellStyle name="Wrap Bold 2 5 2 4 2" xfId="39873" xr:uid="{00000000-0005-0000-0000-000003A80000}"/>
    <cellStyle name="Wrap Bold 2 5 2 5" xfId="39874" xr:uid="{00000000-0005-0000-0000-000004A80000}"/>
    <cellStyle name="Wrap Bold 2 5 2 5 2" xfId="39875" xr:uid="{00000000-0005-0000-0000-000005A80000}"/>
    <cellStyle name="Wrap Bold 2 5 2 6" xfId="39876" xr:uid="{00000000-0005-0000-0000-000006A80000}"/>
    <cellStyle name="Wrap Bold 2 5 2 6 2" xfId="39877" xr:uid="{00000000-0005-0000-0000-000007A80000}"/>
    <cellStyle name="Wrap Bold 2 5 2 7" xfId="39878" xr:uid="{00000000-0005-0000-0000-000008A80000}"/>
    <cellStyle name="Wrap Bold 2 5 2 7 2" xfId="39879" xr:uid="{00000000-0005-0000-0000-000009A80000}"/>
    <cellStyle name="Wrap Bold 2 5 2 8" xfId="39880" xr:uid="{00000000-0005-0000-0000-00000AA80000}"/>
    <cellStyle name="Wrap Bold 2 5 2 8 2" xfId="39881" xr:uid="{00000000-0005-0000-0000-00000BA80000}"/>
    <cellStyle name="Wrap Bold 2 5 2 9" xfId="39882" xr:uid="{00000000-0005-0000-0000-00000CA80000}"/>
    <cellStyle name="Wrap Bold 2 5 2 9 2" xfId="39883" xr:uid="{00000000-0005-0000-0000-00000DA80000}"/>
    <cellStyle name="Wrap Bold 2 5 3" xfId="39884" xr:uid="{00000000-0005-0000-0000-00000EA80000}"/>
    <cellStyle name="Wrap Bold 2 5 3 10" xfId="39885" xr:uid="{00000000-0005-0000-0000-00000FA80000}"/>
    <cellStyle name="Wrap Bold 2 5 3 2" xfId="39886" xr:uid="{00000000-0005-0000-0000-000010A80000}"/>
    <cellStyle name="Wrap Bold 2 5 3 2 2" xfId="39887" xr:uid="{00000000-0005-0000-0000-000011A80000}"/>
    <cellStyle name="Wrap Bold 2 5 3 3" xfId="39888" xr:uid="{00000000-0005-0000-0000-000012A80000}"/>
    <cellStyle name="Wrap Bold 2 5 3 3 2" xfId="39889" xr:uid="{00000000-0005-0000-0000-000013A80000}"/>
    <cellStyle name="Wrap Bold 2 5 3 4" xfId="39890" xr:uid="{00000000-0005-0000-0000-000014A80000}"/>
    <cellStyle name="Wrap Bold 2 5 3 4 2" xfId="39891" xr:uid="{00000000-0005-0000-0000-000015A80000}"/>
    <cellStyle name="Wrap Bold 2 5 3 5" xfId="39892" xr:uid="{00000000-0005-0000-0000-000016A80000}"/>
    <cellStyle name="Wrap Bold 2 5 3 5 2" xfId="39893" xr:uid="{00000000-0005-0000-0000-000017A80000}"/>
    <cellStyle name="Wrap Bold 2 5 3 6" xfId="39894" xr:uid="{00000000-0005-0000-0000-000018A80000}"/>
    <cellStyle name="Wrap Bold 2 5 3 6 2" xfId="39895" xr:uid="{00000000-0005-0000-0000-000019A80000}"/>
    <cellStyle name="Wrap Bold 2 5 3 7" xfId="39896" xr:uid="{00000000-0005-0000-0000-00001AA80000}"/>
    <cellStyle name="Wrap Bold 2 5 3 7 2" xfId="39897" xr:uid="{00000000-0005-0000-0000-00001BA80000}"/>
    <cellStyle name="Wrap Bold 2 5 3 8" xfId="39898" xr:uid="{00000000-0005-0000-0000-00001CA80000}"/>
    <cellStyle name="Wrap Bold 2 5 3 8 2" xfId="39899" xr:uid="{00000000-0005-0000-0000-00001DA80000}"/>
    <cellStyle name="Wrap Bold 2 5 3 9" xfId="39900" xr:uid="{00000000-0005-0000-0000-00001EA80000}"/>
    <cellStyle name="Wrap Bold 2 5 3 9 2" xfId="39901" xr:uid="{00000000-0005-0000-0000-00001FA80000}"/>
    <cellStyle name="Wrap Bold 2 5 4" xfId="39902" xr:uid="{00000000-0005-0000-0000-000020A80000}"/>
    <cellStyle name="Wrap Bold 2 5 4 10" xfId="39903" xr:uid="{00000000-0005-0000-0000-000021A80000}"/>
    <cellStyle name="Wrap Bold 2 5 4 2" xfId="39904" xr:uid="{00000000-0005-0000-0000-000022A80000}"/>
    <cellStyle name="Wrap Bold 2 5 4 2 2" xfId="39905" xr:uid="{00000000-0005-0000-0000-000023A80000}"/>
    <cellStyle name="Wrap Bold 2 5 4 3" xfId="39906" xr:uid="{00000000-0005-0000-0000-000024A80000}"/>
    <cellStyle name="Wrap Bold 2 5 4 3 2" xfId="39907" xr:uid="{00000000-0005-0000-0000-000025A80000}"/>
    <cellStyle name="Wrap Bold 2 5 4 4" xfId="39908" xr:uid="{00000000-0005-0000-0000-000026A80000}"/>
    <cellStyle name="Wrap Bold 2 5 4 4 2" xfId="39909" xr:uid="{00000000-0005-0000-0000-000027A80000}"/>
    <cellStyle name="Wrap Bold 2 5 4 5" xfId="39910" xr:uid="{00000000-0005-0000-0000-000028A80000}"/>
    <cellStyle name="Wrap Bold 2 5 4 5 2" xfId="39911" xr:uid="{00000000-0005-0000-0000-000029A80000}"/>
    <cellStyle name="Wrap Bold 2 5 4 6" xfId="39912" xr:uid="{00000000-0005-0000-0000-00002AA80000}"/>
    <cellStyle name="Wrap Bold 2 5 4 6 2" xfId="39913" xr:uid="{00000000-0005-0000-0000-00002BA80000}"/>
    <cellStyle name="Wrap Bold 2 5 4 7" xfId="39914" xr:uid="{00000000-0005-0000-0000-00002CA80000}"/>
    <cellStyle name="Wrap Bold 2 5 4 7 2" xfId="39915" xr:uid="{00000000-0005-0000-0000-00002DA80000}"/>
    <cellStyle name="Wrap Bold 2 5 4 8" xfId="39916" xr:uid="{00000000-0005-0000-0000-00002EA80000}"/>
    <cellStyle name="Wrap Bold 2 5 4 8 2" xfId="39917" xr:uid="{00000000-0005-0000-0000-00002FA80000}"/>
    <cellStyle name="Wrap Bold 2 5 4 9" xfId="39918" xr:uid="{00000000-0005-0000-0000-000030A80000}"/>
    <cellStyle name="Wrap Bold 2 5 4 9 2" xfId="39919" xr:uid="{00000000-0005-0000-0000-000031A80000}"/>
    <cellStyle name="Wrap Bold 2 5 5" xfId="39920" xr:uid="{00000000-0005-0000-0000-000032A80000}"/>
    <cellStyle name="Wrap Bold 2 5 5 10" xfId="39921" xr:uid="{00000000-0005-0000-0000-000033A80000}"/>
    <cellStyle name="Wrap Bold 2 5 5 2" xfId="39922" xr:uid="{00000000-0005-0000-0000-000034A80000}"/>
    <cellStyle name="Wrap Bold 2 5 5 2 2" xfId="39923" xr:uid="{00000000-0005-0000-0000-000035A80000}"/>
    <cellStyle name="Wrap Bold 2 5 5 3" xfId="39924" xr:uid="{00000000-0005-0000-0000-000036A80000}"/>
    <cellStyle name="Wrap Bold 2 5 5 3 2" xfId="39925" xr:uid="{00000000-0005-0000-0000-000037A80000}"/>
    <cellStyle name="Wrap Bold 2 5 5 4" xfId="39926" xr:uid="{00000000-0005-0000-0000-000038A80000}"/>
    <cellStyle name="Wrap Bold 2 5 5 4 2" xfId="39927" xr:uid="{00000000-0005-0000-0000-000039A80000}"/>
    <cellStyle name="Wrap Bold 2 5 5 5" xfId="39928" xr:uid="{00000000-0005-0000-0000-00003AA80000}"/>
    <cellStyle name="Wrap Bold 2 5 5 5 2" xfId="39929" xr:uid="{00000000-0005-0000-0000-00003BA80000}"/>
    <cellStyle name="Wrap Bold 2 5 5 6" xfId="39930" xr:uid="{00000000-0005-0000-0000-00003CA80000}"/>
    <cellStyle name="Wrap Bold 2 5 5 6 2" xfId="39931" xr:uid="{00000000-0005-0000-0000-00003DA80000}"/>
    <cellStyle name="Wrap Bold 2 5 5 7" xfId="39932" xr:uid="{00000000-0005-0000-0000-00003EA80000}"/>
    <cellStyle name="Wrap Bold 2 5 5 7 2" xfId="39933" xr:uid="{00000000-0005-0000-0000-00003FA80000}"/>
    <cellStyle name="Wrap Bold 2 5 5 8" xfId="39934" xr:uid="{00000000-0005-0000-0000-000040A80000}"/>
    <cellStyle name="Wrap Bold 2 5 5 8 2" xfId="39935" xr:uid="{00000000-0005-0000-0000-000041A80000}"/>
    <cellStyle name="Wrap Bold 2 5 5 9" xfId="39936" xr:uid="{00000000-0005-0000-0000-000042A80000}"/>
    <cellStyle name="Wrap Bold 2 5 5 9 2" xfId="39937" xr:uid="{00000000-0005-0000-0000-000043A80000}"/>
    <cellStyle name="Wrap Bold 2 5 6" xfId="39938" xr:uid="{00000000-0005-0000-0000-000044A80000}"/>
    <cellStyle name="Wrap Bold 2 5 6 10" xfId="39939" xr:uid="{00000000-0005-0000-0000-000045A80000}"/>
    <cellStyle name="Wrap Bold 2 5 6 2" xfId="39940" xr:uid="{00000000-0005-0000-0000-000046A80000}"/>
    <cellStyle name="Wrap Bold 2 5 6 2 2" xfId="39941" xr:uid="{00000000-0005-0000-0000-000047A80000}"/>
    <cellStyle name="Wrap Bold 2 5 6 3" xfId="39942" xr:uid="{00000000-0005-0000-0000-000048A80000}"/>
    <cellStyle name="Wrap Bold 2 5 6 3 2" xfId="39943" xr:uid="{00000000-0005-0000-0000-000049A80000}"/>
    <cellStyle name="Wrap Bold 2 5 6 4" xfId="39944" xr:uid="{00000000-0005-0000-0000-00004AA80000}"/>
    <cellStyle name="Wrap Bold 2 5 6 4 2" xfId="39945" xr:uid="{00000000-0005-0000-0000-00004BA80000}"/>
    <cellStyle name="Wrap Bold 2 5 6 5" xfId="39946" xr:uid="{00000000-0005-0000-0000-00004CA80000}"/>
    <cellStyle name="Wrap Bold 2 5 6 5 2" xfId="39947" xr:uid="{00000000-0005-0000-0000-00004DA80000}"/>
    <cellStyle name="Wrap Bold 2 5 6 6" xfId="39948" xr:uid="{00000000-0005-0000-0000-00004EA80000}"/>
    <cellStyle name="Wrap Bold 2 5 6 6 2" xfId="39949" xr:uid="{00000000-0005-0000-0000-00004FA80000}"/>
    <cellStyle name="Wrap Bold 2 5 6 7" xfId="39950" xr:uid="{00000000-0005-0000-0000-000050A80000}"/>
    <cellStyle name="Wrap Bold 2 5 6 7 2" xfId="39951" xr:uid="{00000000-0005-0000-0000-000051A80000}"/>
    <cellStyle name="Wrap Bold 2 5 6 8" xfId="39952" xr:uid="{00000000-0005-0000-0000-000052A80000}"/>
    <cellStyle name="Wrap Bold 2 5 6 8 2" xfId="39953" xr:uid="{00000000-0005-0000-0000-000053A80000}"/>
    <cellStyle name="Wrap Bold 2 5 6 9" xfId="39954" xr:uid="{00000000-0005-0000-0000-000054A80000}"/>
    <cellStyle name="Wrap Bold 2 5 6 9 2" xfId="39955" xr:uid="{00000000-0005-0000-0000-000055A80000}"/>
    <cellStyle name="Wrap Bold 2 5 7" xfId="39956" xr:uid="{00000000-0005-0000-0000-000056A80000}"/>
    <cellStyle name="Wrap Bold 2 5 7 10" xfId="39957" xr:uid="{00000000-0005-0000-0000-000057A80000}"/>
    <cellStyle name="Wrap Bold 2 5 7 2" xfId="39958" xr:uid="{00000000-0005-0000-0000-000058A80000}"/>
    <cellStyle name="Wrap Bold 2 5 7 2 2" xfId="39959" xr:uid="{00000000-0005-0000-0000-000059A80000}"/>
    <cellStyle name="Wrap Bold 2 5 7 3" xfId="39960" xr:uid="{00000000-0005-0000-0000-00005AA80000}"/>
    <cellStyle name="Wrap Bold 2 5 7 3 2" xfId="39961" xr:uid="{00000000-0005-0000-0000-00005BA80000}"/>
    <cellStyle name="Wrap Bold 2 5 7 4" xfId="39962" xr:uid="{00000000-0005-0000-0000-00005CA80000}"/>
    <cellStyle name="Wrap Bold 2 5 7 4 2" xfId="39963" xr:uid="{00000000-0005-0000-0000-00005DA80000}"/>
    <cellStyle name="Wrap Bold 2 5 7 5" xfId="39964" xr:uid="{00000000-0005-0000-0000-00005EA80000}"/>
    <cellStyle name="Wrap Bold 2 5 7 5 2" xfId="39965" xr:uid="{00000000-0005-0000-0000-00005FA80000}"/>
    <cellStyle name="Wrap Bold 2 5 7 6" xfId="39966" xr:uid="{00000000-0005-0000-0000-000060A80000}"/>
    <cellStyle name="Wrap Bold 2 5 7 6 2" xfId="39967" xr:uid="{00000000-0005-0000-0000-000061A80000}"/>
    <cellStyle name="Wrap Bold 2 5 7 7" xfId="39968" xr:uid="{00000000-0005-0000-0000-000062A80000}"/>
    <cellStyle name="Wrap Bold 2 5 7 7 2" xfId="39969" xr:uid="{00000000-0005-0000-0000-000063A80000}"/>
    <cellStyle name="Wrap Bold 2 5 7 8" xfId="39970" xr:uid="{00000000-0005-0000-0000-000064A80000}"/>
    <cellStyle name="Wrap Bold 2 5 7 8 2" xfId="39971" xr:uid="{00000000-0005-0000-0000-000065A80000}"/>
    <cellStyle name="Wrap Bold 2 5 7 9" xfId="39972" xr:uid="{00000000-0005-0000-0000-000066A80000}"/>
    <cellStyle name="Wrap Bold 2 5 7 9 2" xfId="39973" xr:uid="{00000000-0005-0000-0000-000067A80000}"/>
    <cellStyle name="Wrap Bold 2 5 8" xfId="39974" xr:uid="{00000000-0005-0000-0000-000068A80000}"/>
    <cellStyle name="Wrap Bold 2 5 8 10" xfId="39975" xr:uid="{00000000-0005-0000-0000-000069A80000}"/>
    <cellStyle name="Wrap Bold 2 5 8 2" xfId="39976" xr:uid="{00000000-0005-0000-0000-00006AA80000}"/>
    <cellStyle name="Wrap Bold 2 5 8 2 2" xfId="39977" xr:uid="{00000000-0005-0000-0000-00006BA80000}"/>
    <cellStyle name="Wrap Bold 2 5 8 3" xfId="39978" xr:uid="{00000000-0005-0000-0000-00006CA80000}"/>
    <cellStyle name="Wrap Bold 2 5 8 3 2" xfId="39979" xr:uid="{00000000-0005-0000-0000-00006DA80000}"/>
    <cellStyle name="Wrap Bold 2 5 8 4" xfId="39980" xr:uid="{00000000-0005-0000-0000-00006EA80000}"/>
    <cellStyle name="Wrap Bold 2 5 8 4 2" xfId="39981" xr:uid="{00000000-0005-0000-0000-00006FA80000}"/>
    <cellStyle name="Wrap Bold 2 5 8 5" xfId="39982" xr:uid="{00000000-0005-0000-0000-000070A80000}"/>
    <cellStyle name="Wrap Bold 2 5 8 5 2" xfId="39983" xr:uid="{00000000-0005-0000-0000-000071A80000}"/>
    <cellStyle name="Wrap Bold 2 5 8 6" xfId="39984" xr:uid="{00000000-0005-0000-0000-000072A80000}"/>
    <cellStyle name="Wrap Bold 2 5 8 6 2" xfId="39985" xr:uid="{00000000-0005-0000-0000-000073A80000}"/>
    <cellStyle name="Wrap Bold 2 5 8 7" xfId="39986" xr:uid="{00000000-0005-0000-0000-000074A80000}"/>
    <cellStyle name="Wrap Bold 2 5 8 7 2" xfId="39987" xr:uid="{00000000-0005-0000-0000-000075A80000}"/>
    <cellStyle name="Wrap Bold 2 5 8 8" xfId="39988" xr:uid="{00000000-0005-0000-0000-000076A80000}"/>
    <cellStyle name="Wrap Bold 2 5 8 8 2" xfId="39989" xr:uid="{00000000-0005-0000-0000-000077A80000}"/>
    <cellStyle name="Wrap Bold 2 5 8 9" xfId="39990" xr:uid="{00000000-0005-0000-0000-000078A80000}"/>
    <cellStyle name="Wrap Bold 2 5 8 9 2" xfId="39991" xr:uid="{00000000-0005-0000-0000-000079A80000}"/>
    <cellStyle name="Wrap Bold 2 5 9" xfId="39992" xr:uid="{00000000-0005-0000-0000-00007AA80000}"/>
    <cellStyle name="Wrap Bold 2 5 9 10" xfId="39993" xr:uid="{00000000-0005-0000-0000-00007BA80000}"/>
    <cellStyle name="Wrap Bold 2 5 9 2" xfId="39994" xr:uid="{00000000-0005-0000-0000-00007CA80000}"/>
    <cellStyle name="Wrap Bold 2 5 9 2 2" xfId="39995" xr:uid="{00000000-0005-0000-0000-00007DA80000}"/>
    <cellStyle name="Wrap Bold 2 5 9 3" xfId="39996" xr:uid="{00000000-0005-0000-0000-00007EA80000}"/>
    <cellStyle name="Wrap Bold 2 5 9 3 2" xfId="39997" xr:uid="{00000000-0005-0000-0000-00007FA80000}"/>
    <cellStyle name="Wrap Bold 2 5 9 4" xfId="39998" xr:uid="{00000000-0005-0000-0000-000080A80000}"/>
    <cellStyle name="Wrap Bold 2 5 9 4 2" xfId="39999" xr:uid="{00000000-0005-0000-0000-000081A80000}"/>
    <cellStyle name="Wrap Bold 2 5 9 5" xfId="40000" xr:uid="{00000000-0005-0000-0000-000082A80000}"/>
    <cellStyle name="Wrap Bold 2 5 9 5 2" xfId="40001" xr:uid="{00000000-0005-0000-0000-000083A80000}"/>
    <cellStyle name="Wrap Bold 2 5 9 6" xfId="40002" xr:uid="{00000000-0005-0000-0000-000084A80000}"/>
    <cellStyle name="Wrap Bold 2 5 9 6 2" xfId="40003" xr:uid="{00000000-0005-0000-0000-000085A80000}"/>
    <cellStyle name="Wrap Bold 2 5 9 7" xfId="40004" xr:uid="{00000000-0005-0000-0000-000086A80000}"/>
    <cellStyle name="Wrap Bold 2 5 9 7 2" xfId="40005" xr:uid="{00000000-0005-0000-0000-000087A80000}"/>
    <cellStyle name="Wrap Bold 2 5 9 8" xfId="40006" xr:uid="{00000000-0005-0000-0000-000088A80000}"/>
    <cellStyle name="Wrap Bold 2 5 9 8 2" xfId="40007" xr:uid="{00000000-0005-0000-0000-000089A80000}"/>
    <cellStyle name="Wrap Bold 2 5 9 9" xfId="40008" xr:uid="{00000000-0005-0000-0000-00008AA80000}"/>
    <cellStyle name="Wrap Bold 2 5 9 9 2" xfId="40009" xr:uid="{00000000-0005-0000-0000-00008BA80000}"/>
    <cellStyle name="Wrap Bold 2 6" xfId="40010" xr:uid="{00000000-0005-0000-0000-00008CA80000}"/>
    <cellStyle name="Wrap Bold 2 6 10" xfId="40011" xr:uid="{00000000-0005-0000-0000-00008DA80000}"/>
    <cellStyle name="Wrap Bold 2 6 10 2" xfId="40012" xr:uid="{00000000-0005-0000-0000-00008EA80000}"/>
    <cellStyle name="Wrap Bold 2 6 10 2 2" xfId="40013" xr:uid="{00000000-0005-0000-0000-00008FA80000}"/>
    <cellStyle name="Wrap Bold 2 6 10 3" xfId="40014" xr:uid="{00000000-0005-0000-0000-000090A80000}"/>
    <cellStyle name="Wrap Bold 2 6 10 3 2" xfId="40015" xr:uid="{00000000-0005-0000-0000-000091A80000}"/>
    <cellStyle name="Wrap Bold 2 6 10 4" xfId="40016" xr:uid="{00000000-0005-0000-0000-000092A80000}"/>
    <cellStyle name="Wrap Bold 2 6 10 4 2" xfId="40017" xr:uid="{00000000-0005-0000-0000-000093A80000}"/>
    <cellStyle name="Wrap Bold 2 6 10 5" xfId="40018" xr:uid="{00000000-0005-0000-0000-000094A80000}"/>
    <cellStyle name="Wrap Bold 2 6 10 5 2" xfId="40019" xr:uid="{00000000-0005-0000-0000-000095A80000}"/>
    <cellStyle name="Wrap Bold 2 6 10 6" xfId="40020" xr:uid="{00000000-0005-0000-0000-000096A80000}"/>
    <cellStyle name="Wrap Bold 2 6 10 6 2" xfId="40021" xr:uid="{00000000-0005-0000-0000-000097A80000}"/>
    <cellStyle name="Wrap Bold 2 6 10 7" xfId="40022" xr:uid="{00000000-0005-0000-0000-000098A80000}"/>
    <cellStyle name="Wrap Bold 2 6 10 7 2" xfId="40023" xr:uid="{00000000-0005-0000-0000-000099A80000}"/>
    <cellStyle name="Wrap Bold 2 6 10 8" xfId="40024" xr:uid="{00000000-0005-0000-0000-00009AA80000}"/>
    <cellStyle name="Wrap Bold 2 6 10 8 2" xfId="40025" xr:uid="{00000000-0005-0000-0000-00009BA80000}"/>
    <cellStyle name="Wrap Bold 2 6 10 9" xfId="40026" xr:uid="{00000000-0005-0000-0000-00009CA80000}"/>
    <cellStyle name="Wrap Bold 2 6 11" xfId="40027" xr:uid="{00000000-0005-0000-0000-00009DA80000}"/>
    <cellStyle name="Wrap Bold 2 6 11 2" xfId="40028" xr:uid="{00000000-0005-0000-0000-00009EA80000}"/>
    <cellStyle name="Wrap Bold 2 6 12" xfId="40029" xr:uid="{00000000-0005-0000-0000-00009FA80000}"/>
    <cellStyle name="Wrap Bold 2 6 12 2" xfId="40030" xr:uid="{00000000-0005-0000-0000-0000A0A80000}"/>
    <cellStyle name="Wrap Bold 2 6 13" xfId="40031" xr:uid="{00000000-0005-0000-0000-0000A1A80000}"/>
    <cellStyle name="Wrap Bold 2 6 13 2" xfId="40032" xr:uid="{00000000-0005-0000-0000-0000A2A80000}"/>
    <cellStyle name="Wrap Bold 2 6 14" xfId="40033" xr:uid="{00000000-0005-0000-0000-0000A3A80000}"/>
    <cellStyle name="Wrap Bold 2 6 14 2" xfId="40034" xr:uid="{00000000-0005-0000-0000-0000A4A80000}"/>
    <cellStyle name="Wrap Bold 2 6 15" xfId="40035" xr:uid="{00000000-0005-0000-0000-0000A5A80000}"/>
    <cellStyle name="Wrap Bold 2 6 15 2" xfId="40036" xr:uid="{00000000-0005-0000-0000-0000A6A80000}"/>
    <cellStyle name="Wrap Bold 2 6 16" xfId="40037" xr:uid="{00000000-0005-0000-0000-0000A7A80000}"/>
    <cellStyle name="Wrap Bold 2 6 16 2" xfId="40038" xr:uid="{00000000-0005-0000-0000-0000A8A80000}"/>
    <cellStyle name="Wrap Bold 2 6 17" xfId="40039" xr:uid="{00000000-0005-0000-0000-0000A9A80000}"/>
    <cellStyle name="Wrap Bold 2 6 17 2" xfId="40040" xr:uid="{00000000-0005-0000-0000-0000AAA80000}"/>
    <cellStyle name="Wrap Bold 2 6 18" xfId="40041" xr:uid="{00000000-0005-0000-0000-0000ABA80000}"/>
    <cellStyle name="Wrap Bold 2 6 2" xfId="40042" xr:uid="{00000000-0005-0000-0000-0000ACA80000}"/>
    <cellStyle name="Wrap Bold 2 6 2 10" xfId="40043" xr:uid="{00000000-0005-0000-0000-0000ADA80000}"/>
    <cellStyle name="Wrap Bold 2 6 2 2" xfId="40044" xr:uid="{00000000-0005-0000-0000-0000AEA80000}"/>
    <cellStyle name="Wrap Bold 2 6 2 2 2" xfId="40045" xr:uid="{00000000-0005-0000-0000-0000AFA80000}"/>
    <cellStyle name="Wrap Bold 2 6 2 3" xfId="40046" xr:uid="{00000000-0005-0000-0000-0000B0A80000}"/>
    <cellStyle name="Wrap Bold 2 6 2 3 2" xfId="40047" xr:uid="{00000000-0005-0000-0000-0000B1A80000}"/>
    <cellStyle name="Wrap Bold 2 6 2 4" xfId="40048" xr:uid="{00000000-0005-0000-0000-0000B2A80000}"/>
    <cellStyle name="Wrap Bold 2 6 2 4 2" xfId="40049" xr:uid="{00000000-0005-0000-0000-0000B3A80000}"/>
    <cellStyle name="Wrap Bold 2 6 2 5" xfId="40050" xr:uid="{00000000-0005-0000-0000-0000B4A80000}"/>
    <cellStyle name="Wrap Bold 2 6 2 5 2" xfId="40051" xr:uid="{00000000-0005-0000-0000-0000B5A80000}"/>
    <cellStyle name="Wrap Bold 2 6 2 6" xfId="40052" xr:uid="{00000000-0005-0000-0000-0000B6A80000}"/>
    <cellStyle name="Wrap Bold 2 6 2 6 2" xfId="40053" xr:uid="{00000000-0005-0000-0000-0000B7A80000}"/>
    <cellStyle name="Wrap Bold 2 6 2 7" xfId="40054" xr:uid="{00000000-0005-0000-0000-0000B8A80000}"/>
    <cellStyle name="Wrap Bold 2 6 2 7 2" xfId="40055" xr:uid="{00000000-0005-0000-0000-0000B9A80000}"/>
    <cellStyle name="Wrap Bold 2 6 2 8" xfId="40056" xr:uid="{00000000-0005-0000-0000-0000BAA80000}"/>
    <cellStyle name="Wrap Bold 2 6 2 8 2" xfId="40057" xr:uid="{00000000-0005-0000-0000-0000BBA80000}"/>
    <cellStyle name="Wrap Bold 2 6 2 9" xfId="40058" xr:uid="{00000000-0005-0000-0000-0000BCA80000}"/>
    <cellStyle name="Wrap Bold 2 6 2 9 2" xfId="40059" xr:uid="{00000000-0005-0000-0000-0000BDA80000}"/>
    <cellStyle name="Wrap Bold 2 6 3" xfId="40060" xr:uid="{00000000-0005-0000-0000-0000BEA80000}"/>
    <cellStyle name="Wrap Bold 2 6 3 10" xfId="40061" xr:uid="{00000000-0005-0000-0000-0000BFA80000}"/>
    <cellStyle name="Wrap Bold 2 6 3 2" xfId="40062" xr:uid="{00000000-0005-0000-0000-0000C0A80000}"/>
    <cellStyle name="Wrap Bold 2 6 3 2 2" xfId="40063" xr:uid="{00000000-0005-0000-0000-0000C1A80000}"/>
    <cellStyle name="Wrap Bold 2 6 3 3" xfId="40064" xr:uid="{00000000-0005-0000-0000-0000C2A80000}"/>
    <cellStyle name="Wrap Bold 2 6 3 3 2" xfId="40065" xr:uid="{00000000-0005-0000-0000-0000C3A80000}"/>
    <cellStyle name="Wrap Bold 2 6 3 4" xfId="40066" xr:uid="{00000000-0005-0000-0000-0000C4A80000}"/>
    <cellStyle name="Wrap Bold 2 6 3 4 2" xfId="40067" xr:uid="{00000000-0005-0000-0000-0000C5A80000}"/>
    <cellStyle name="Wrap Bold 2 6 3 5" xfId="40068" xr:uid="{00000000-0005-0000-0000-0000C6A80000}"/>
    <cellStyle name="Wrap Bold 2 6 3 5 2" xfId="40069" xr:uid="{00000000-0005-0000-0000-0000C7A80000}"/>
    <cellStyle name="Wrap Bold 2 6 3 6" xfId="40070" xr:uid="{00000000-0005-0000-0000-0000C8A80000}"/>
    <cellStyle name="Wrap Bold 2 6 3 6 2" xfId="40071" xr:uid="{00000000-0005-0000-0000-0000C9A80000}"/>
    <cellStyle name="Wrap Bold 2 6 3 7" xfId="40072" xr:uid="{00000000-0005-0000-0000-0000CAA80000}"/>
    <cellStyle name="Wrap Bold 2 6 3 7 2" xfId="40073" xr:uid="{00000000-0005-0000-0000-0000CBA80000}"/>
    <cellStyle name="Wrap Bold 2 6 3 8" xfId="40074" xr:uid="{00000000-0005-0000-0000-0000CCA80000}"/>
    <cellStyle name="Wrap Bold 2 6 3 8 2" xfId="40075" xr:uid="{00000000-0005-0000-0000-0000CDA80000}"/>
    <cellStyle name="Wrap Bold 2 6 3 9" xfId="40076" xr:uid="{00000000-0005-0000-0000-0000CEA80000}"/>
    <cellStyle name="Wrap Bold 2 6 3 9 2" xfId="40077" xr:uid="{00000000-0005-0000-0000-0000CFA80000}"/>
    <cellStyle name="Wrap Bold 2 6 4" xfId="40078" xr:uid="{00000000-0005-0000-0000-0000D0A80000}"/>
    <cellStyle name="Wrap Bold 2 6 4 10" xfId="40079" xr:uid="{00000000-0005-0000-0000-0000D1A80000}"/>
    <cellStyle name="Wrap Bold 2 6 4 2" xfId="40080" xr:uid="{00000000-0005-0000-0000-0000D2A80000}"/>
    <cellStyle name="Wrap Bold 2 6 4 2 2" xfId="40081" xr:uid="{00000000-0005-0000-0000-0000D3A80000}"/>
    <cellStyle name="Wrap Bold 2 6 4 3" xfId="40082" xr:uid="{00000000-0005-0000-0000-0000D4A80000}"/>
    <cellStyle name="Wrap Bold 2 6 4 3 2" xfId="40083" xr:uid="{00000000-0005-0000-0000-0000D5A80000}"/>
    <cellStyle name="Wrap Bold 2 6 4 4" xfId="40084" xr:uid="{00000000-0005-0000-0000-0000D6A80000}"/>
    <cellStyle name="Wrap Bold 2 6 4 4 2" xfId="40085" xr:uid="{00000000-0005-0000-0000-0000D7A80000}"/>
    <cellStyle name="Wrap Bold 2 6 4 5" xfId="40086" xr:uid="{00000000-0005-0000-0000-0000D8A80000}"/>
    <cellStyle name="Wrap Bold 2 6 4 5 2" xfId="40087" xr:uid="{00000000-0005-0000-0000-0000D9A80000}"/>
    <cellStyle name="Wrap Bold 2 6 4 6" xfId="40088" xr:uid="{00000000-0005-0000-0000-0000DAA80000}"/>
    <cellStyle name="Wrap Bold 2 6 4 6 2" xfId="40089" xr:uid="{00000000-0005-0000-0000-0000DBA80000}"/>
    <cellStyle name="Wrap Bold 2 6 4 7" xfId="40090" xr:uid="{00000000-0005-0000-0000-0000DCA80000}"/>
    <cellStyle name="Wrap Bold 2 6 4 7 2" xfId="40091" xr:uid="{00000000-0005-0000-0000-0000DDA80000}"/>
    <cellStyle name="Wrap Bold 2 6 4 8" xfId="40092" xr:uid="{00000000-0005-0000-0000-0000DEA80000}"/>
    <cellStyle name="Wrap Bold 2 6 4 8 2" xfId="40093" xr:uid="{00000000-0005-0000-0000-0000DFA80000}"/>
    <cellStyle name="Wrap Bold 2 6 4 9" xfId="40094" xr:uid="{00000000-0005-0000-0000-0000E0A80000}"/>
    <cellStyle name="Wrap Bold 2 6 4 9 2" xfId="40095" xr:uid="{00000000-0005-0000-0000-0000E1A80000}"/>
    <cellStyle name="Wrap Bold 2 6 5" xfId="40096" xr:uid="{00000000-0005-0000-0000-0000E2A80000}"/>
    <cellStyle name="Wrap Bold 2 6 5 10" xfId="40097" xr:uid="{00000000-0005-0000-0000-0000E3A80000}"/>
    <cellStyle name="Wrap Bold 2 6 5 2" xfId="40098" xr:uid="{00000000-0005-0000-0000-0000E4A80000}"/>
    <cellStyle name="Wrap Bold 2 6 5 2 2" xfId="40099" xr:uid="{00000000-0005-0000-0000-0000E5A80000}"/>
    <cellStyle name="Wrap Bold 2 6 5 3" xfId="40100" xr:uid="{00000000-0005-0000-0000-0000E6A80000}"/>
    <cellStyle name="Wrap Bold 2 6 5 3 2" xfId="40101" xr:uid="{00000000-0005-0000-0000-0000E7A80000}"/>
    <cellStyle name="Wrap Bold 2 6 5 4" xfId="40102" xr:uid="{00000000-0005-0000-0000-0000E8A80000}"/>
    <cellStyle name="Wrap Bold 2 6 5 4 2" xfId="40103" xr:uid="{00000000-0005-0000-0000-0000E9A80000}"/>
    <cellStyle name="Wrap Bold 2 6 5 5" xfId="40104" xr:uid="{00000000-0005-0000-0000-0000EAA80000}"/>
    <cellStyle name="Wrap Bold 2 6 5 5 2" xfId="40105" xr:uid="{00000000-0005-0000-0000-0000EBA80000}"/>
    <cellStyle name="Wrap Bold 2 6 5 6" xfId="40106" xr:uid="{00000000-0005-0000-0000-0000ECA80000}"/>
    <cellStyle name="Wrap Bold 2 6 5 6 2" xfId="40107" xr:uid="{00000000-0005-0000-0000-0000EDA80000}"/>
    <cellStyle name="Wrap Bold 2 6 5 7" xfId="40108" xr:uid="{00000000-0005-0000-0000-0000EEA80000}"/>
    <cellStyle name="Wrap Bold 2 6 5 7 2" xfId="40109" xr:uid="{00000000-0005-0000-0000-0000EFA80000}"/>
    <cellStyle name="Wrap Bold 2 6 5 8" xfId="40110" xr:uid="{00000000-0005-0000-0000-0000F0A80000}"/>
    <cellStyle name="Wrap Bold 2 6 5 8 2" xfId="40111" xr:uid="{00000000-0005-0000-0000-0000F1A80000}"/>
    <cellStyle name="Wrap Bold 2 6 5 9" xfId="40112" xr:uid="{00000000-0005-0000-0000-0000F2A80000}"/>
    <cellStyle name="Wrap Bold 2 6 5 9 2" xfId="40113" xr:uid="{00000000-0005-0000-0000-0000F3A80000}"/>
    <cellStyle name="Wrap Bold 2 6 6" xfId="40114" xr:uid="{00000000-0005-0000-0000-0000F4A80000}"/>
    <cellStyle name="Wrap Bold 2 6 6 10" xfId="40115" xr:uid="{00000000-0005-0000-0000-0000F5A80000}"/>
    <cellStyle name="Wrap Bold 2 6 6 2" xfId="40116" xr:uid="{00000000-0005-0000-0000-0000F6A80000}"/>
    <cellStyle name="Wrap Bold 2 6 6 2 2" xfId="40117" xr:uid="{00000000-0005-0000-0000-0000F7A80000}"/>
    <cellStyle name="Wrap Bold 2 6 6 3" xfId="40118" xr:uid="{00000000-0005-0000-0000-0000F8A80000}"/>
    <cellStyle name="Wrap Bold 2 6 6 3 2" xfId="40119" xr:uid="{00000000-0005-0000-0000-0000F9A80000}"/>
    <cellStyle name="Wrap Bold 2 6 6 4" xfId="40120" xr:uid="{00000000-0005-0000-0000-0000FAA80000}"/>
    <cellStyle name="Wrap Bold 2 6 6 4 2" xfId="40121" xr:uid="{00000000-0005-0000-0000-0000FBA80000}"/>
    <cellStyle name="Wrap Bold 2 6 6 5" xfId="40122" xr:uid="{00000000-0005-0000-0000-0000FCA80000}"/>
    <cellStyle name="Wrap Bold 2 6 6 5 2" xfId="40123" xr:uid="{00000000-0005-0000-0000-0000FDA80000}"/>
    <cellStyle name="Wrap Bold 2 6 6 6" xfId="40124" xr:uid="{00000000-0005-0000-0000-0000FEA80000}"/>
    <cellStyle name="Wrap Bold 2 6 6 6 2" xfId="40125" xr:uid="{00000000-0005-0000-0000-0000FFA80000}"/>
    <cellStyle name="Wrap Bold 2 6 6 7" xfId="40126" xr:uid="{00000000-0005-0000-0000-000000A90000}"/>
    <cellStyle name="Wrap Bold 2 6 6 7 2" xfId="40127" xr:uid="{00000000-0005-0000-0000-000001A90000}"/>
    <cellStyle name="Wrap Bold 2 6 6 8" xfId="40128" xr:uid="{00000000-0005-0000-0000-000002A90000}"/>
    <cellStyle name="Wrap Bold 2 6 6 8 2" xfId="40129" xr:uid="{00000000-0005-0000-0000-000003A90000}"/>
    <cellStyle name="Wrap Bold 2 6 6 9" xfId="40130" xr:uid="{00000000-0005-0000-0000-000004A90000}"/>
    <cellStyle name="Wrap Bold 2 6 6 9 2" xfId="40131" xr:uid="{00000000-0005-0000-0000-000005A90000}"/>
    <cellStyle name="Wrap Bold 2 6 7" xfId="40132" xr:uid="{00000000-0005-0000-0000-000006A90000}"/>
    <cellStyle name="Wrap Bold 2 6 7 10" xfId="40133" xr:uid="{00000000-0005-0000-0000-000007A90000}"/>
    <cellStyle name="Wrap Bold 2 6 7 2" xfId="40134" xr:uid="{00000000-0005-0000-0000-000008A90000}"/>
    <cellStyle name="Wrap Bold 2 6 7 2 2" xfId="40135" xr:uid="{00000000-0005-0000-0000-000009A90000}"/>
    <cellStyle name="Wrap Bold 2 6 7 3" xfId="40136" xr:uid="{00000000-0005-0000-0000-00000AA90000}"/>
    <cellStyle name="Wrap Bold 2 6 7 3 2" xfId="40137" xr:uid="{00000000-0005-0000-0000-00000BA90000}"/>
    <cellStyle name="Wrap Bold 2 6 7 4" xfId="40138" xr:uid="{00000000-0005-0000-0000-00000CA90000}"/>
    <cellStyle name="Wrap Bold 2 6 7 4 2" xfId="40139" xr:uid="{00000000-0005-0000-0000-00000DA90000}"/>
    <cellStyle name="Wrap Bold 2 6 7 5" xfId="40140" xr:uid="{00000000-0005-0000-0000-00000EA90000}"/>
    <cellStyle name="Wrap Bold 2 6 7 5 2" xfId="40141" xr:uid="{00000000-0005-0000-0000-00000FA90000}"/>
    <cellStyle name="Wrap Bold 2 6 7 6" xfId="40142" xr:uid="{00000000-0005-0000-0000-000010A90000}"/>
    <cellStyle name="Wrap Bold 2 6 7 6 2" xfId="40143" xr:uid="{00000000-0005-0000-0000-000011A90000}"/>
    <cellStyle name="Wrap Bold 2 6 7 7" xfId="40144" xr:uid="{00000000-0005-0000-0000-000012A90000}"/>
    <cellStyle name="Wrap Bold 2 6 7 7 2" xfId="40145" xr:uid="{00000000-0005-0000-0000-000013A90000}"/>
    <cellStyle name="Wrap Bold 2 6 7 8" xfId="40146" xr:uid="{00000000-0005-0000-0000-000014A90000}"/>
    <cellStyle name="Wrap Bold 2 6 7 8 2" xfId="40147" xr:uid="{00000000-0005-0000-0000-000015A90000}"/>
    <cellStyle name="Wrap Bold 2 6 7 9" xfId="40148" xr:uid="{00000000-0005-0000-0000-000016A90000}"/>
    <cellStyle name="Wrap Bold 2 6 7 9 2" xfId="40149" xr:uid="{00000000-0005-0000-0000-000017A90000}"/>
    <cellStyle name="Wrap Bold 2 6 8" xfId="40150" xr:uid="{00000000-0005-0000-0000-000018A90000}"/>
    <cellStyle name="Wrap Bold 2 6 8 10" xfId="40151" xr:uid="{00000000-0005-0000-0000-000019A90000}"/>
    <cellStyle name="Wrap Bold 2 6 8 2" xfId="40152" xr:uid="{00000000-0005-0000-0000-00001AA90000}"/>
    <cellStyle name="Wrap Bold 2 6 8 2 2" xfId="40153" xr:uid="{00000000-0005-0000-0000-00001BA90000}"/>
    <cellStyle name="Wrap Bold 2 6 8 3" xfId="40154" xr:uid="{00000000-0005-0000-0000-00001CA90000}"/>
    <cellStyle name="Wrap Bold 2 6 8 3 2" xfId="40155" xr:uid="{00000000-0005-0000-0000-00001DA90000}"/>
    <cellStyle name="Wrap Bold 2 6 8 4" xfId="40156" xr:uid="{00000000-0005-0000-0000-00001EA90000}"/>
    <cellStyle name="Wrap Bold 2 6 8 4 2" xfId="40157" xr:uid="{00000000-0005-0000-0000-00001FA90000}"/>
    <cellStyle name="Wrap Bold 2 6 8 5" xfId="40158" xr:uid="{00000000-0005-0000-0000-000020A90000}"/>
    <cellStyle name="Wrap Bold 2 6 8 5 2" xfId="40159" xr:uid="{00000000-0005-0000-0000-000021A90000}"/>
    <cellStyle name="Wrap Bold 2 6 8 6" xfId="40160" xr:uid="{00000000-0005-0000-0000-000022A90000}"/>
    <cellStyle name="Wrap Bold 2 6 8 6 2" xfId="40161" xr:uid="{00000000-0005-0000-0000-000023A90000}"/>
    <cellStyle name="Wrap Bold 2 6 8 7" xfId="40162" xr:uid="{00000000-0005-0000-0000-000024A90000}"/>
    <cellStyle name="Wrap Bold 2 6 8 7 2" xfId="40163" xr:uid="{00000000-0005-0000-0000-000025A90000}"/>
    <cellStyle name="Wrap Bold 2 6 8 8" xfId="40164" xr:uid="{00000000-0005-0000-0000-000026A90000}"/>
    <cellStyle name="Wrap Bold 2 6 8 8 2" xfId="40165" xr:uid="{00000000-0005-0000-0000-000027A90000}"/>
    <cellStyle name="Wrap Bold 2 6 8 9" xfId="40166" xr:uid="{00000000-0005-0000-0000-000028A90000}"/>
    <cellStyle name="Wrap Bold 2 6 8 9 2" xfId="40167" xr:uid="{00000000-0005-0000-0000-000029A90000}"/>
    <cellStyle name="Wrap Bold 2 6 9" xfId="40168" xr:uid="{00000000-0005-0000-0000-00002AA90000}"/>
    <cellStyle name="Wrap Bold 2 6 9 10" xfId="40169" xr:uid="{00000000-0005-0000-0000-00002BA90000}"/>
    <cellStyle name="Wrap Bold 2 6 9 2" xfId="40170" xr:uid="{00000000-0005-0000-0000-00002CA90000}"/>
    <cellStyle name="Wrap Bold 2 6 9 2 2" xfId="40171" xr:uid="{00000000-0005-0000-0000-00002DA90000}"/>
    <cellStyle name="Wrap Bold 2 6 9 3" xfId="40172" xr:uid="{00000000-0005-0000-0000-00002EA90000}"/>
    <cellStyle name="Wrap Bold 2 6 9 3 2" xfId="40173" xr:uid="{00000000-0005-0000-0000-00002FA90000}"/>
    <cellStyle name="Wrap Bold 2 6 9 4" xfId="40174" xr:uid="{00000000-0005-0000-0000-000030A90000}"/>
    <cellStyle name="Wrap Bold 2 6 9 4 2" xfId="40175" xr:uid="{00000000-0005-0000-0000-000031A90000}"/>
    <cellStyle name="Wrap Bold 2 6 9 5" xfId="40176" xr:uid="{00000000-0005-0000-0000-000032A90000}"/>
    <cellStyle name="Wrap Bold 2 6 9 5 2" xfId="40177" xr:uid="{00000000-0005-0000-0000-000033A90000}"/>
    <cellStyle name="Wrap Bold 2 6 9 6" xfId="40178" xr:uid="{00000000-0005-0000-0000-000034A90000}"/>
    <cellStyle name="Wrap Bold 2 6 9 6 2" xfId="40179" xr:uid="{00000000-0005-0000-0000-000035A90000}"/>
    <cellStyle name="Wrap Bold 2 6 9 7" xfId="40180" xr:uid="{00000000-0005-0000-0000-000036A90000}"/>
    <cellStyle name="Wrap Bold 2 6 9 7 2" xfId="40181" xr:uid="{00000000-0005-0000-0000-000037A90000}"/>
    <cellStyle name="Wrap Bold 2 6 9 8" xfId="40182" xr:uid="{00000000-0005-0000-0000-000038A90000}"/>
    <cellStyle name="Wrap Bold 2 6 9 8 2" xfId="40183" xr:uid="{00000000-0005-0000-0000-000039A90000}"/>
    <cellStyle name="Wrap Bold 2 6 9 9" xfId="40184" xr:uid="{00000000-0005-0000-0000-00003AA90000}"/>
    <cellStyle name="Wrap Bold 2 6 9 9 2" xfId="40185" xr:uid="{00000000-0005-0000-0000-00003BA90000}"/>
    <cellStyle name="Wrap Bold 2 7" xfId="40186" xr:uid="{00000000-0005-0000-0000-00003CA90000}"/>
    <cellStyle name="Wrap Bold 2 7 10" xfId="40187" xr:uid="{00000000-0005-0000-0000-00003DA90000}"/>
    <cellStyle name="Wrap Bold 2 7 10 2" xfId="40188" xr:uid="{00000000-0005-0000-0000-00003EA90000}"/>
    <cellStyle name="Wrap Bold 2 7 10 2 2" xfId="40189" xr:uid="{00000000-0005-0000-0000-00003FA90000}"/>
    <cellStyle name="Wrap Bold 2 7 10 3" xfId="40190" xr:uid="{00000000-0005-0000-0000-000040A90000}"/>
    <cellStyle name="Wrap Bold 2 7 10 3 2" xfId="40191" xr:uid="{00000000-0005-0000-0000-000041A90000}"/>
    <cellStyle name="Wrap Bold 2 7 10 4" xfId="40192" xr:uid="{00000000-0005-0000-0000-000042A90000}"/>
    <cellStyle name="Wrap Bold 2 7 10 4 2" xfId="40193" xr:uid="{00000000-0005-0000-0000-000043A90000}"/>
    <cellStyle name="Wrap Bold 2 7 10 5" xfId="40194" xr:uid="{00000000-0005-0000-0000-000044A90000}"/>
    <cellStyle name="Wrap Bold 2 7 10 5 2" xfId="40195" xr:uid="{00000000-0005-0000-0000-000045A90000}"/>
    <cellStyle name="Wrap Bold 2 7 10 6" xfId="40196" xr:uid="{00000000-0005-0000-0000-000046A90000}"/>
    <cellStyle name="Wrap Bold 2 7 10 6 2" xfId="40197" xr:uid="{00000000-0005-0000-0000-000047A90000}"/>
    <cellStyle name="Wrap Bold 2 7 10 7" xfId="40198" xr:uid="{00000000-0005-0000-0000-000048A90000}"/>
    <cellStyle name="Wrap Bold 2 7 10 7 2" xfId="40199" xr:uid="{00000000-0005-0000-0000-000049A90000}"/>
    <cellStyle name="Wrap Bold 2 7 10 8" xfId="40200" xr:uid="{00000000-0005-0000-0000-00004AA90000}"/>
    <cellStyle name="Wrap Bold 2 7 10 8 2" xfId="40201" xr:uid="{00000000-0005-0000-0000-00004BA90000}"/>
    <cellStyle name="Wrap Bold 2 7 10 9" xfId="40202" xr:uid="{00000000-0005-0000-0000-00004CA90000}"/>
    <cellStyle name="Wrap Bold 2 7 11" xfId="40203" xr:uid="{00000000-0005-0000-0000-00004DA90000}"/>
    <cellStyle name="Wrap Bold 2 7 11 2" xfId="40204" xr:uid="{00000000-0005-0000-0000-00004EA90000}"/>
    <cellStyle name="Wrap Bold 2 7 12" xfId="40205" xr:uid="{00000000-0005-0000-0000-00004FA90000}"/>
    <cellStyle name="Wrap Bold 2 7 12 2" xfId="40206" xr:uid="{00000000-0005-0000-0000-000050A90000}"/>
    <cellStyle name="Wrap Bold 2 7 13" xfId="40207" xr:uid="{00000000-0005-0000-0000-000051A90000}"/>
    <cellStyle name="Wrap Bold 2 7 13 2" xfId="40208" xr:uid="{00000000-0005-0000-0000-000052A90000}"/>
    <cellStyle name="Wrap Bold 2 7 14" xfId="40209" xr:uid="{00000000-0005-0000-0000-000053A90000}"/>
    <cellStyle name="Wrap Bold 2 7 14 2" xfId="40210" xr:uid="{00000000-0005-0000-0000-000054A90000}"/>
    <cellStyle name="Wrap Bold 2 7 15" xfId="40211" xr:uid="{00000000-0005-0000-0000-000055A90000}"/>
    <cellStyle name="Wrap Bold 2 7 15 2" xfId="40212" xr:uid="{00000000-0005-0000-0000-000056A90000}"/>
    <cellStyle name="Wrap Bold 2 7 16" xfId="40213" xr:uid="{00000000-0005-0000-0000-000057A90000}"/>
    <cellStyle name="Wrap Bold 2 7 16 2" xfId="40214" xr:uid="{00000000-0005-0000-0000-000058A90000}"/>
    <cellStyle name="Wrap Bold 2 7 17" xfId="40215" xr:uid="{00000000-0005-0000-0000-000059A90000}"/>
    <cellStyle name="Wrap Bold 2 7 17 2" xfId="40216" xr:uid="{00000000-0005-0000-0000-00005AA90000}"/>
    <cellStyle name="Wrap Bold 2 7 18" xfId="40217" xr:uid="{00000000-0005-0000-0000-00005BA90000}"/>
    <cellStyle name="Wrap Bold 2 7 2" xfId="40218" xr:uid="{00000000-0005-0000-0000-00005CA90000}"/>
    <cellStyle name="Wrap Bold 2 7 2 10" xfId="40219" xr:uid="{00000000-0005-0000-0000-00005DA90000}"/>
    <cellStyle name="Wrap Bold 2 7 2 2" xfId="40220" xr:uid="{00000000-0005-0000-0000-00005EA90000}"/>
    <cellStyle name="Wrap Bold 2 7 2 2 2" xfId="40221" xr:uid="{00000000-0005-0000-0000-00005FA90000}"/>
    <cellStyle name="Wrap Bold 2 7 2 3" xfId="40222" xr:uid="{00000000-0005-0000-0000-000060A90000}"/>
    <cellStyle name="Wrap Bold 2 7 2 3 2" xfId="40223" xr:uid="{00000000-0005-0000-0000-000061A90000}"/>
    <cellStyle name="Wrap Bold 2 7 2 4" xfId="40224" xr:uid="{00000000-0005-0000-0000-000062A90000}"/>
    <cellStyle name="Wrap Bold 2 7 2 4 2" xfId="40225" xr:uid="{00000000-0005-0000-0000-000063A90000}"/>
    <cellStyle name="Wrap Bold 2 7 2 5" xfId="40226" xr:uid="{00000000-0005-0000-0000-000064A90000}"/>
    <cellStyle name="Wrap Bold 2 7 2 5 2" xfId="40227" xr:uid="{00000000-0005-0000-0000-000065A90000}"/>
    <cellStyle name="Wrap Bold 2 7 2 6" xfId="40228" xr:uid="{00000000-0005-0000-0000-000066A90000}"/>
    <cellStyle name="Wrap Bold 2 7 2 6 2" xfId="40229" xr:uid="{00000000-0005-0000-0000-000067A90000}"/>
    <cellStyle name="Wrap Bold 2 7 2 7" xfId="40230" xr:uid="{00000000-0005-0000-0000-000068A90000}"/>
    <cellStyle name="Wrap Bold 2 7 2 7 2" xfId="40231" xr:uid="{00000000-0005-0000-0000-000069A90000}"/>
    <cellStyle name="Wrap Bold 2 7 2 8" xfId="40232" xr:uid="{00000000-0005-0000-0000-00006AA90000}"/>
    <cellStyle name="Wrap Bold 2 7 2 8 2" xfId="40233" xr:uid="{00000000-0005-0000-0000-00006BA90000}"/>
    <cellStyle name="Wrap Bold 2 7 2 9" xfId="40234" xr:uid="{00000000-0005-0000-0000-00006CA90000}"/>
    <cellStyle name="Wrap Bold 2 7 2 9 2" xfId="40235" xr:uid="{00000000-0005-0000-0000-00006DA90000}"/>
    <cellStyle name="Wrap Bold 2 7 3" xfId="40236" xr:uid="{00000000-0005-0000-0000-00006EA90000}"/>
    <cellStyle name="Wrap Bold 2 7 3 10" xfId="40237" xr:uid="{00000000-0005-0000-0000-00006FA90000}"/>
    <cellStyle name="Wrap Bold 2 7 3 2" xfId="40238" xr:uid="{00000000-0005-0000-0000-000070A90000}"/>
    <cellStyle name="Wrap Bold 2 7 3 2 2" xfId="40239" xr:uid="{00000000-0005-0000-0000-000071A90000}"/>
    <cellStyle name="Wrap Bold 2 7 3 3" xfId="40240" xr:uid="{00000000-0005-0000-0000-000072A90000}"/>
    <cellStyle name="Wrap Bold 2 7 3 3 2" xfId="40241" xr:uid="{00000000-0005-0000-0000-000073A90000}"/>
    <cellStyle name="Wrap Bold 2 7 3 4" xfId="40242" xr:uid="{00000000-0005-0000-0000-000074A90000}"/>
    <cellStyle name="Wrap Bold 2 7 3 4 2" xfId="40243" xr:uid="{00000000-0005-0000-0000-000075A90000}"/>
    <cellStyle name="Wrap Bold 2 7 3 5" xfId="40244" xr:uid="{00000000-0005-0000-0000-000076A90000}"/>
    <cellStyle name="Wrap Bold 2 7 3 5 2" xfId="40245" xr:uid="{00000000-0005-0000-0000-000077A90000}"/>
    <cellStyle name="Wrap Bold 2 7 3 6" xfId="40246" xr:uid="{00000000-0005-0000-0000-000078A90000}"/>
    <cellStyle name="Wrap Bold 2 7 3 6 2" xfId="40247" xr:uid="{00000000-0005-0000-0000-000079A90000}"/>
    <cellStyle name="Wrap Bold 2 7 3 7" xfId="40248" xr:uid="{00000000-0005-0000-0000-00007AA90000}"/>
    <cellStyle name="Wrap Bold 2 7 3 7 2" xfId="40249" xr:uid="{00000000-0005-0000-0000-00007BA90000}"/>
    <cellStyle name="Wrap Bold 2 7 3 8" xfId="40250" xr:uid="{00000000-0005-0000-0000-00007CA90000}"/>
    <cellStyle name="Wrap Bold 2 7 3 8 2" xfId="40251" xr:uid="{00000000-0005-0000-0000-00007DA90000}"/>
    <cellStyle name="Wrap Bold 2 7 3 9" xfId="40252" xr:uid="{00000000-0005-0000-0000-00007EA90000}"/>
    <cellStyle name="Wrap Bold 2 7 3 9 2" xfId="40253" xr:uid="{00000000-0005-0000-0000-00007FA90000}"/>
    <cellStyle name="Wrap Bold 2 7 4" xfId="40254" xr:uid="{00000000-0005-0000-0000-000080A90000}"/>
    <cellStyle name="Wrap Bold 2 7 4 10" xfId="40255" xr:uid="{00000000-0005-0000-0000-000081A90000}"/>
    <cellStyle name="Wrap Bold 2 7 4 2" xfId="40256" xr:uid="{00000000-0005-0000-0000-000082A90000}"/>
    <cellStyle name="Wrap Bold 2 7 4 2 2" xfId="40257" xr:uid="{00000000-0005-0000-0000-000083A90000}"/>
    <cellStyle name="Wrap Bold 2 7 4 3" xfId="40258" xr:uid="{00000000-0005-0000-0000-000084A90000}"/>
    <cellStyle name="Wrap Bold 2 7 4 3 2" xfId="40259" xr:uid="{00000000-0005-0000-0000-000085A90000}"/>
    <cellStyle name="Wrap Bold 2 7 4 4" xfId="40260" xr:uid="{00000000-0005-0000-0000-000086A90000}"/>
    <cellStyle name="Wrap Bold 2 7 4 4 2" xfId="40261" xr:uid="{00000000-0005-0000-0000-000087A90000}"/>
    <cellStyle name="Wrap Bold 2 7 4 5" xfId="40262" xr:uid="{00000000-0005-0000-0000-000088A90000}"/>
    <cellStyle name="Wrap Bold 2 7 4 5 2" xfId="40263" xr:uid="{00000000-0005-0000-0000-000089A90000}"/>
    <cellStyle name="Wrap Bold 2 7 4 6" xfId="40264" xr:uid="{00000000-0005-0000-0000-00008AA90000}"/>
    <cellStyle name="Wrap Bold 2 7 4 6 2" xfId="40265" xr:uid="{00000000-0005-0000-0000-00008BA90000}"/>
    <cellStyle name="Wrap Bold 2 7 4 7" xfId="40266" xr:uid="{00000000-0005-0000-0000-00008CA90000}"/>
    <cellStyle name="Wrap Bold 2 7 4 7 2" xfId="40267" xr:uid="{00000000-0005-0000-0000-00008DA90000}"/>
    <cellStyle name="Wrap Bold 2 7 4 8" xfId="40268" xr:uid="{00000000-0005-0000-0000-00008EA90000}"/>
    <cellStyle name="Wrap Bold 2 7 4 8 2" xfId="40269" xr:uid="{00000000-0005-0000-0000-00008FA90000}"/>
    <cellStyle name="Wrap Bold 2 7 4 9" xfId="40270" xr:uid="{00000000-0005-0000-0000-000090A90000}"/>
    <cellStyle name="Wrap Bold 2 7 4 9 2" xfId="40271" xr:uid="{00000000-0005-0000-0000-000091A90000}"/>
    <cellStyle name="Wrap Bold 2 7 5" xfId="40272" xr:uid="{00000000-0005-0000-0000-000092A90000}"/>
    <cellStyle name="Wrap Bold 2 7 5 10" xfId="40273" xr:uid="{00000000-0005-0000-0000-000093A90000}"/>
    <cellStyle name="Wrap Bold 2 7 5 2" xfId="40274" xr:uid="{00000000-0005-0000-0000-000094A90000}"/>
    <cellStyle name="Wrap Bold 2 7 5 2 2" xfId="40275" xr:uid="{00000000-0005-0000-0000-000095A90000}"/>
    <cellStyle name="Wrap Bold 2 7 5 3" xfId="40276" xr:uid="{00000000-0005-0000-0000-000096A90000}"/>
    <cellStyle name="Wrap Bold 2 7 5 3 2" xfId="40277" xr:uid="{00000000-0005-0000-0000-000097A90000}"/>
    <cellStyle name="Wrap Bold 2 7 5 4" xfId="40278" xr:uid="{00000000-0005-0000-0000-000098A90000}"/>
    <cellStyle name="Wrap Bold 2 7 5 4 2" xfId="40279" xr:uid="{00000000-0005-0000-0000-000099A90000}"/>
    <cellStyle name="Wrap Bold 2 7 5 5" xfId="40280" xr:uid="{00000000-0005-0000-0000-00009AA90000}"/>
    <cellStyle name="Wrap Bold 2 7 5 5 2" xfId="40281" xr:uid="{00000000-0005-0000-0000-00009BA90000}"/>
    <cellStyle name="Wrap Bold 2 7 5 6" xfId="40282" xr:uid="{00000000-0005-0000-0000-00009CA90000}"/>
    <cellStyle name="Wrap Bold 2 7 5 6 2" xfId="40283" xr:uid="{00000000-0005-0000-0000-00009DA90000}"/>
    <cellStyle name="Wrap Bold 2 7 5 7" xfId="40284" xr:uid="{00000000-0005-0000-0000-00009EA90000}"/>
    <cellStyle name="Wrap Bold 2 7 5 7 2" xfId="40285" xr:uid="{00000000-0005-0000-0000-00009FA90000}"/>
    <cellStyle name="Wrap Bold 2 7 5 8" xfId="40286" xr:uid="{00000000-0005-0000-0000-0000A0A90000}"/>
    <cellStyle name="Wrap Bold 2 7 5 8 2" xfId="40287" xr:uid="{00000000-0005-0000-0000-0000A1A90000}"/>
    <cellStyle name="Wrap Bold 2 7 5 9" xfId="40288" xr:uid="{00000000-0005-0000-0000-0000A2A90000}"/>
    <cellStyle name="Wrap Bold 2 7 5 9 2" xfId="40289" xr:uid="{00000000-0005-0000-0000-0000A3A90000}"/>
    <cellStyle name="Wrap Bold 2 7 6" xfId="40290" xr:uid="{00000000-0005-0000-0000-0000A4A90000}"/>
    <cellStyle name="Wrap Bold 2 7 6 10" xfId="40291" xr:uid="{00000000-0005-0000-0000-0000A5A90000}"/>
    <cellStyle name="Wrap Bold 2 7 6 2" xfId="40292" xr:uid="{00000000-0005-0000-0000-0000A6A90000}"/>
    <cellStyle name="Wrap Bold 2 7 6 2 2" xfId="40293" xr:uid="{00000000-0005-0000-0000-0000A7A90000}"/>
    <cellStyle name="Wrap Bold 2 7 6 3" xfId="40294" xr:uid="{00000000-0005-0000-0000-0000A8A90000}"/>
    <cellStyle name="Wrap Bold 2 7 6 3 2" xfId="40295" xr:uid="{00000000-0005-0000-0000-0000A9A90000}"/>
    <cellStyle name="Wrap Bold 2 7 6 4" xfId="40296" xr:uid="{00000000-0005-0000-0000-0000AAA90000}"/>
    <cellStyle name="Wrap Bold 2 7 6 4 2" xfId="40297" xr:uid="{00000000-0005-0000-0000-0000ABA90000}"/>
    <cellStyle name="Wrap Bold 2 7 6 5" xfId="40298" xr:uid="{00000000-0005-0000-0000-0000ACA90000}"/>
    <cellStyle name="Wrap Bold 2 7 6 5 2" xfId="40299" xr:uid="{00000000-0005-0000-0000-0000ADA90000}"/>
    <cellStyle name="Wrap Bold 2 7 6 6" xfId="40300" xr:uid="{00000000-0005-0000-0000-0000AEA90000}"/>
    <cellStyle name="Wrap Bold 2 7 6 6 2" xfId="40301" xr:uid="{00000000-0005-0000-0000-0000AFA90000}"/>
    <cellStyle name="Wrap Bold 2 7 6 7" xfId="40302" xr:uid="{00000000-0005-0000-0000-0000B0A90000}"/>
    <cellStyle name="Wrap Bold 2 7 6 7 2" xfId="40303" xr:uid="{00000000-0005-0000-0000-0000B1A90000}"/>
    <cellStyle name="Wrap Bold 2 7 6 8" xfId="40304" xr:uid="{00000000-0005-0000-0000-0000B2A90000}"/>
    <cellStyle name="Wrap Bold 2 7 6 8 2" xfId="40305" xr:uid="{00000000-0005-0000-0000-0000B3A90000}"/>
    <cellStyle name="Wrap Bold 2 7 6 9" xfId="40306" xr:uid="{00000000-0005-0000-0000-0000B4A90000}"/>
    <cellStyle name="Wrap Bold 2 7 6 9 2" xfId="40307" xr:uid="{00000000-0005-0000-0000-0000B5A90000}"/>
    <cellStyle name="Wrap Bold 2 7 7" xfId="40308" xr:uid="{00000000-0005-0000-0000-0000B6A90000}"/>
    <cellStyle name="Wrap Bold 2 7 7 10" xfId="40309" xr:uid="{00000000-0005-0000-0000-0000B7A90000}"/>
    <cellStyle name="Wrap Bold 2 7 7 2" xfId="40310" xr:uid="{00000000-0005-0000-0000-0000B8A90000}"/>
    <cellStyle name="Wrap Bold 2 7 7 2 2" xfId="40311" xr:uid="{00000000-0005-0000-0000-0000B9A90000}"/>
    <cellStyle name="Wrap Bold 2 7 7 3" xfId="40312" xr:uid="{00000000-0005-0000-0000-0000BAA90000}"/>
    <cellStyle name="Wrap Bold 2 7 7 3 2" xfId="40313" xr:uid="{00000000-0005-0000-0000-0000BBA90000}"/>
    <cellStyle name="Wrap Bold 2 7 7 4" xfId="40314" xr:uid="{00000000-0005-0000-0000-0000BCA90000}"/>
    <cellStyle name="Wrap Bold 2 7 7 4 2" xfId="40315" xr:uid="{00000000-0005-0000-0000-0000BDA90000}"/>
    <cellStyle name="Wrap Bold 2 7 7 5" xfId="40316" xr:uid="{00000000-0005-0000-0000-0000BEA90000}"/>
    <cellStyle name="Wrap Bold 2 7 7 5 2" xfId="40317" xr:uid="{00000000-0005-0000-0000-0000BFA90000}"/>
    <cellStyle name="Wrap Bold 2 7 7 6" xfId="40318" xr:uid="{00000000-0005-0000-0000-0000C0A90000}"/>
    <cellStyle name="Wrap Bold 2 7 7 6 2" xfId="40319" xr:uid="{00000000-0005-0000-0000-0000C1A90000}"/>
    <cellStyle name="Wrap Bold 2 7 7 7" xfId="40320" xr:uid="{00000000-0005-0000-0000-0000C2A90000}"/>
    <cellStyle name="Wrap Bold 2 7 7 7 2" xfId="40321" xr:uid="{00000000-0005-0000-0000-0000C3A90000}"/>
    <cellStyle name="Wrap Bold 2 7 7 8" xfId="40322" xr:uid="{00000000-0005-0000-0000-0000C4A90000}"/>
    <cellStyle name="Wrap Bold 2 7 7 8 2" xfId="40323" xr:uid="{00000000-0005-0000-0000-0000C5A90000}"/>
    <cellStyle name="Wrap Bold 2 7 7 9" xfId="40324" xr:uid="{00000000-0005-0000-0000-0000C6A90000}"/>
    <cellStyle name="Wrap Bold 2 7 7 9 2" xfId="40325" xr:uid="{00000000-0005-0000-0000-0000C7A90000}"/>
    <cellStyle name="Wrap Bold 2 7 8" xfId="40326" xr:uid="{00000000-0005-0000-0000-0000C8A90000}"/>
    <cellStyle name="Wrap Bold 2 7 8 10" xfId="40327" xr:uid="{00000000-0005-0000-0000-0000C9A90000}"/>
    <cellStyle name="Wrap Bold 2 7 8 2" xfId="40328" xr:uid="{00000000-0005-0000-0000-0000CAA90000}"/>
    <cellStyle name="Wrap Bold 2 7 8 2 2" xfId="40329" xr:uid="{00000000-0005-0000-0000-0000CBA90000}"/>
    <cellStyle name="Wrap Bold 2 7 8 3" xfId="40330" xr:uid="{00000000-0005-0000-0000-0000CCA90000}"/>
    <cellStyle name="Wrap Bold 2 7 8 3 2" xfId="40331" xr:uid="{00000000-0005-0000-0000-0000CDA90000}"/>
    <cellStyle name="Wrap Bold 2 7 8 4" xfId="40332" xr:uid="{00000000-0005-0000-0000-0000CEA90000}"/>
    <cellStyle name="Wrap Bold 2 7 8 4 2" xfId="40333" xr:uid="{00000000-0005-0000-0000-0000CFA90000}"/>
    <cellStyle name="Wrap Bold 2 7 8 5" xfId="40334" xr:uid="{00000000-0005-0000-0000-0000D0A90000}"/>
    <cellStyle name="Wrap Bold 2 7 8 5 2" xfId="40335" xr:uid="{00000000-0005-0000-0000-0000D1A90000}"/>
    <cellStyle name="Wrap Bold 2 7 8 6" xfId="40336" xr:uid="{00000000-0005-0000-0000-0000D2A90000}"/>
    <cellStyle name="Wrap Bold 2 7 8 6 2" xfId="40337" xr:uid="{00000000-0005-0000-0000-0000D3A90000}"/>
    <cellStyle name="Wrap Bold 2 7 8 7" xfId="40338" xr:uid="{00000000-0005-0000-0000-0000D4A90000}"/>
    <cellStyle name="Wrap Bold 2 7 8 7 2" xfId="40339" xr:uid="{00000000-0005-0000-0000-0000D5A90000}"/>
    <cellStyle name="Wrap Bold 2 7 8 8" xfId="40340" xr:uid="{00000000-0005-0000-0000-0000D6A90000}"/>
    <cellStyle name="Wrap Bold 2 7 8 8 2" xfId="40341" xr:uid="{00000000-0005-0000-0000-0000D7A90000}"/>
    <cellStyle name="Wrap Bold 2 7 8 9" xfId="40342" xr:uid="{00000000-0005-0000-0000-0000D8A90000}"/>
    <cellStyle name="Wrap Bold 2 7 8 9 2" xfId="40343" xr:uid="{00000000-0005-0000-0000-0000D9A90000}"/>
    <cellStyle name="Wrap Bold 2 7 9" xfId="40344" xr:uid="{00000000-0005-0000-0000-0000DAA90000}"/>
    <cellStyle name="Wrap Bold 2 7 9 10" xfId="40345" xr:uid="{00000000-0005-0000-0000-0000DBA90000}"/>
    <cellStyle name="Wrap Bold 2 7 9 2" xfId="40346" xr:uid="{00000000-0005-0000-0000-0000DCA90000}"/>
    <cellStyle name="Wrap Bold 2 7 9 2 2" xfId="40347" xr:uid="{00000000-0005-0000-0000-0000DDA90000}"/>
    <cellStyle name="Wrap Bold 2 7 9 3" xfId="40348" xr:uid="{00000000-0005-0000-0000-0000DEA90000}"/>
    <cellStyle name="Wrap Bold 2 7 9 3 2" xfId="40349" xr:uid="{00000000-0005-0000-0000-0000DFA90000}"/>
    <cellStyle name="Wrap Bold 2 7 9 4" xfId="40350" xr:uid="{00000000-0005-0000-0000-0000E0A90000}"/>
    <cellStyle name="Wrap Bold 2 7 9 4 2" xfId="40351" xr:uid="{00000000-0005-0000-0000-0000E1A90000}"/>
    <cellStyle name="Wrap Bold 2 7 9 5" xfId="40352" xr:uid="{00000000-0005-0000-0000-0000E2A90000}"/>
    <cellStyle name="Wrap Bold 2 7 9 5 2" xfId="40353" xr:uid="{00000000-0005-0000-0000-0000E3A90000}"/>
    <cellStyle name="Wrap Bold 2 7 9 6" xfId="40354" xr:uid="{00000000-0005-0000-0000-0000E4A90000}"/>
    <cellStyle name="Wrap Bold 2 7 9 6 2" xfId="40355" xr:uid="{00000000-0005-0000-0000-0000E5A90000}"/>
    <cellStyle name="Wrap Bold 2 7 9 7" xfId="40356" xr:uid="{00000000-0005-0000-0000-0000E6A90000}"/>
    <cellStyle name="Wrap Bold 2 7 9 7 2" xfId="40357" xr:uid="{00000000-0005-0000-0000-0000E7A90000}"/>
    <cellStyle name="Wrap Bold 2 7 9 8" xfId="40358" xr:uid="{00000000-0005-0000-0000-0000E8A90000}"/>
    <cellStyle name="Wrap Bold 2 7 9 8 2" xfId="40359" xr:uid="{00000000-0005-0000-0000-0000E9A90000}"/>
    <cellStyle name="Wrap Bold 2 7 9 9" xfId="40360" xr:uid="{00000000-0005-0000-0000-0000EAA90000}"/>
    <cellStyle name="Wrap Bold 2 7 9 9 2" xfId="40361" xr:uid="{00000000-0005-0000-0000-0000EBA90000}"/>
    <cellStyle name="Wrap Bold 2 8" xfId="40362" xr:uid="{00000000-0005-0000-0000-0000ECA90000}"/>
    <cellStyle name="Wrap Bold 2 8 10" xfId="40363" xr:uid="{00000000-0005-0000-0000-0000EDA90000}"/>
    <cellStyle name="Wrap Bold 2 8 10 2" xfId="40364" xr:uid="{00000000-0005-0000-0000-0000EEA90000}"/>
    <cellStyle name="Wrap Bold 2 8 10 2 2" xfId="40365" xr:uid="{00000000-0005-0000-0000-0000EFA90000}"/>
    <cellStyle name="Wrap Bold 2 8 10 3" xfId="40366" xr:uid="{00000000-0005-0000-0000-0000F0A90000}"/>
    <cellStyle name="Wrap Bold 2 8 10 3 2" xfId="40367" xr:uid="{00000000-0005-0000-0000-0000F1A90000}"/>
    <cellStyle name="Wrap Bold 2 8 10 4" xfId="40368" xr:uid="{00000000-0005-0000-0000-0000F2A90000}"/>
    <cellStyle name="Wrap Bold 2 8 10 4 2" xfId="40369" xr:uid="{00000000-0005-0000-0000-0000F3A90000}"/>
    <cellStyle name="Wrap Bold 2 8 10 5" xfId="40370" xr:uid="{00000000-0005-0000-0000-0000F4A90000}"/>
    <cellStyle name="Wrap Bold 2 8 10 5 2" xfId="40371" xr:uid="{00000000-0005-0000-0000-0000F5A90000}"/>
    <cellStyle name="Wrap Bold 2 8 10 6" xfId="40372" xr:uid="{00000000-0005-0000-0000-0000F6A90000}"/>
    <cellStyle name="Wrap Bold 2 8 10 6 2" xfId="40373" xr:uid="{00000000-0005-0000-0000-0000F7A90000}"/>
    <cellStyle name="Wrap Bold 2 8 10 7" xfId="40374" xr:uid="{00000000-0005-0000-0000-0000F8A90000}"/>
    <cellStyle name="Wrap Bold 2 8 10 7 2" xfId="40375" xr:uid="{00000000-0005-0000-0000-0000F9A90000}"/>
    <cellStyle name="Wrap Bold 2 8 10 8" xfId="40376" xr:uid="{00000000-0005-0000-0000-0000FAA90000}"/>
    <cellStyle name="Wrap Bold 2 8 10 8 2" xfId="40377" xr:uid="{00000000-0005-0000-0000-0000FBA90000}"/>
    <cellStyle name="Wrap Bold 2 8 10 9" xfId="40378" xr:uid="{00000000-0005-0000-0000-0000FCA90000}"/>
    <cellStyle name="Wrap Bold 2 8 11" xfId="40379" xr:uid="{00000000-0005-0000-0000-0000FDA90000}"/>
    <cellStyle name="Wrap Bold 2 8 11 2" xfId="40380" xr:uid="{00000000-0005-0000-0000-0000FEA90000}"/>
    <cellStyle name="Wrap Bold 2 8 12" xfId="40381" xr:uid="{00000000-0005-0000-0000-0000FFA90000}"/>
    <cellStyle name="Wrap Bold 2 8 12 2" xfId="40382" xr:uid="{00000000-0005-0000-0000-000000AA0000}"/>
    <cellStyle name="Wrap Bold 2 8 13" xfId="40383" xr:uid="{00000000-0005-0000-0000-000001AA0000}"/>
    <cellStyle name="Wrap Bold 2 8 13 2" xfId="40384" xr:uid="{00000000-0005-0000-0000-000002AA0000}"/>
    <cellStyle name="Wrap Bold 2 8 14" xfId="40385" xr:uid="{00000000-0005-0000-0000-000003AA0000}"/>
    <cellStyle name="Wrap Bold 2 8 14 2" xfId="40386" xr:uid="{00000000-0005-0000-0000-000004AA0000}"/>
    <cellStyle name="Wrap Bold 2 8 15" xfId="40387" xr:uid="{00000000-0005-0000-0000-000005AA0000}"/>
    <cellStyle name="Wrap Bold 2 8 15 2" xfId="40388" xr:uid="{00000000-0005-0000-0000-000006AA0000}"/>
    <cellStyle name="Wrap Bold 2 8 16" xfId="40389" xr:uid="{00000000-0005-0000-0000-000007AA0000}"/>
    <cellStyle name="Wrap Bold 2 8 16 2" xfId="40390" xr:uid="{00000000-0005-0000-0000-000008AA0000}"/>
    <cellStyle name="Wrap Bold 2 8 17" xfId="40391" xr:uid="{00000000-0005-0000-0000-000009AA0000}"/>
    <cellStyle name="Wrap Bold 2 8 17 2" xfId="40392" xr:uid="{00000000-0005-0000-0000-00000AAA0000}"/>
    <cellStyle name="Wrap Bold 2 8 18" xfId="40393" xr:uid="{00000000-0005-0000-0000-00000BAA0000}"/>
    <cellStyle name="Wrap Bold 2 8 2" xfId="40394" xr:uid="{00000000-0005-0000-0000-00000CAA0000}"/>
    <cellStyle name="Wrap Bold 2 8 2 10" xfId="40395" xr:uid="{00000000-0005-0000-0000-00000DAA0000}"/>
    <cellStyle name="Wrap Bold 2 8 2 2" xfId="40396" xr:uid="{00000000-0005-0000-0000-00000EAA0000}"/>
    <cellStyle name="Wrap Bold 2 8 2 2 2" xfId="40397" xr:uid="{00000000-0005-0000-0000-00000FAA0000}"/>
    <cellStyle name="Wrap Bold 2 8 2 3" xfId="40398" xr:uid="{00000000-0005-0000-0000-000010AA0000}"/>
    <cellStyle name="Wrap Bold 2 8 2 3 2" xfId="40399" xr:uid="{00000000-0005-0000-0000-000011AA0000}"/>
    <cellStyle name="Wrap Bold 2 8 2 4" xfId="40400" xr:uid="{00000000-0005-0000-0000-000012AA0000}"/>
    <cellStyle name="Wrap Bold 2 8 2 4 2" xfId="40401" xr:uid="{00000000-0005-0000-0000-000013AA0000}"/>
    <cellStyle name="Wrap Bold 2 8 2 5" xfId="40402" xr:uid="{00000000-0005-0000-0000-000014AA0000}"/>
    <cellStyle name="Wrap Bold 2 8 2 5 2" xfId="40403" xr:uid="{00000000-0005-0000-0000-000015AA0000}"/>
    <cellStyle name="Wrap Bold 2 8 2 6" xfId="40404" xr:uid="{00000000-0005-0000-0000-000016AA0000}"/>
    <cellStyle name="Wrap Bold 2 8 2 6 2" xfId="40405" xr:uid="{00000000-0005-0000-0000-000017AA0000}"/>
    <cellStyle name="Wrap Bold 2 8 2 7" xfId="40406" xr:uid="{00000000-0005-0000-0000-000018AA0000}"/>
    <cellStyle name="Wrap Bold 2 8 2 7 2" xfId="40407" xr:uid="{00000000-0005-0000-0000-000019AA0000}"/>
    <cellStyle name="Wrap Bold 2 8 2 8" xfId="40408" xr:uid="{00000000-0005-0000-0000-00001AAA0000}"/>
    <cellStyle name="Wrap Bold 2 8 2 8 2" xfId="40409" xr:uid="{00000000-0005-0000-0000-00001BAA0000}"/>
    <cellStyle name="Wrap Bold 2 8 2 9" xfId="40410" xr:uid="{00000000-0005-0000-0000-00001CAA0000}"/>
    <cellStyle name="Wrap Bold 2 8 2 9 2" xfId="40411" xr:uid="{00000000-0005-0000-0000-00001DAA0000}"/>
    <cellStyle name="Wrap Bold 2 8 3" xfId="40412" xr:uid="{00000000-0005-0000-0000-00001EAA0000}"/>
    <cellStyle name="Wrap Bold 2 8 3 10" xfId="40413" xr:uid="{00000000-0005-0000-0000-00001FAA0000}"/>
    <cellStyle name="Wrap Bold 2 8 3 2" xfId="40414" xr:uid="{00000000-0005-0000-0000-000020AA0000}"/>
    <cellStyle name="Wrap Bold 2 8 3 2 2" xfId="40415" xr:uid="{00000000-0005-0000-0000-000021AA0000}"/>
    <cellStyle name="Wrap Bold 2 8 3 3" xfId="40416" xr:uid="{00000000-0005-0000-0000-000022AA0000}"/>
    <cellStyle name="Wrap Bold 2 8 3 3 2" xfId="40417" xr:uid="{00000000-0005-0000-0000-000023AA0000}"/>
    <cellStyle name="Wrap Bold 2 8 3 4" xfId="40418" xr:uid="{00000000-0005-0000-0000-000024AA0000}"/>
    <cellStyle name="Wrap Bold 2 8 3 4 2" xfId="40419" xr:uid="{00000000-0005-0000-0000-000025AA0000}"/>
    <cellStyle name="Wrap Bold 2 8 3 5" xfId="40420" xr:uid="{00000000-0005-0000-0000-000026AA0000}"/>
    <cellStyle name="Wrap Bold 2 8 3 5 2" xfId="40421" xr:uid="{00000000-0005-0000-0000-000027AA0000}"/>
    <cellStyle name="Wrap Bold 2 8 3 6" xfId="40422" xr:uid="{00000000-0005-0000-0000-000028AA0000}"/>
    <cellStyle name="Wrap Bold 2 8 3 6 2" xfId="40423" xr:uid="{00000000-0005-0000-0000-000029AA0000}"/>
    <cellStyle name="Wrap Bold 2 8 3 7" xfId="40424" xr:uid="{00000000-0005-0000-0000-00002AAA0000}"/>
    <cellStyle name="Wrap Bold 2 8 3 7 2" xfId="40425" xr:uid="{00000000-0005-0000-0000-00002BAA0000}"/>
    <cellStyle name="Wrap Bold 2 8 3 8" xfId="40426" xr:uid="{00000000-0005-0000-0000-00002CAA0000}"/>
    <cellStyle name="Wrap Bold 2 8 3 8 2" xfId="40427" xr:uid="{00000000-0005-0000-0000-00002DAA0000}"/>
    <cellStyle name="Wrap Bold 2 8 3 9" xfId="40428" xr:uid="{00000000-0005-0000-0000-00002EAA0000}"/>
    <cellStyle name="Wrap Bold 2 8 3 9 2" xfId="40429" xr:uid="{00000000-0005-0000-0000-00002FAA0000}"/>
    <cellStyle name="Wrap Bold 2 8 4" xfId="40430" xr:uid="{00000000-0005-0000-0000-000030AA0000}"/>
    <cellStyle name="Wrap Bold 2 8 4 10" xfId="40431" xr:uid="{00000000-0005-0000-0000-000031AA0000}"/>
    <cellStyle name="Wrap Bold 2 8 4 2" xfId="40432" xr:uid="{00000000-0005-0000-0000-000032AA0000}"/>
    <cellStyle name="Wrap Bold 2 8 4 2 2" xfId="40433" xr:uid="{00000000-0005-0000-0000-000033AA0000}"/>
    <cellStyle name="Wrap Bold 2 8 4 3" xfId="40434" xr:uid="{00000000-0005-0000-0000-000034AA0000}"/>
    <cellStyle name="Wrap Bold 2 8 4 3 2" xfId="40435" xr:uid="{00000000-0005-0000-0000-000035AA0000}"/>
    <cellStyle name="Wrap Bold 2 8 4 4" xfId="40436" xr:uid="{00000000-0005-0000-0000-000036AA0000}"/>
    <cellStyle name="Wrap Bold 2 8 4 4 2" xfId="40437" xr:uid="{00000000-0005-0000-0000-000037AA0000}"/>
    <cellStyle name="Wrap Bold 2 8 4 5" xfId="40438" xr:uid="{00000000-0005-0000-0000-000038AA0000}"/>
    <cellStyle name="Wrap Bold 2 8 4 5 2" xfId="40439" xr:uid="{00000000-0005-0000-0000-000039AA0000}"/>
    <cellStyle name="Wrap Bold 2 8 4 6" xfId="40440" xr:uid="{00000000-0005-0000-0000-00003AAA0000}"/>
    <cellStyle name="Wrap Bold 2 8 4 6 2" xfId="40441" xr:uid="{00000000-0005-0000-0000-00003BAA0000}"/>
    <cellStyle name="Wrap Bold 2 8 4 7" xfId="40442" xr:uid="{00000000-0005-0000-0000-00003CAA0000}"/>
    <cellStyle name="Wrap Bold 2 8 4 7 2" xfId="40443" xr:uid="{00000000-0005-0000-0000-00003DAA0000}"/>
    <cellStyle name="Wrap Bold 2 8 4 8" xfId="40444" xr:uid="{00000000-0005-0000-0000-00003EAA0000}"/>
    <cellStyle name="Wrap Bold 2 8 4 8 2" xfId="40445" xr:uid="{00000000-0005-0000-0000-00003FAA0000}"/>
    <cellStyle name="Wrap Bold 2 8 4 9" xfId="40446" xr:uid="{00000000-0005-0000-0000-000040AA0000}"/>
    <cellStyle name="Wrap Bold 2 8 4 9 2" xfId="40447" xr:uid="{00000000-0005-0000-0000-000041AA0000}"/>
    <cellStyle name="Wrap Bold 2 8 5" xfId="40448" xr:uid="{00000000-0005-0000-0000-000042AA0000}"/>
    <cellStyle name="Wrap Bold 2 8 5 10" xfId="40449" xr:uid="{00000000-0005-0000-0000-000043AA0000}"/>
    <cellStyle name="Wrap Bold 2 8 5 2" xfId="40450" xr:uid="{00000000-0005-0000-0000-000044AA0000}"/>
    <cellStyle name="Wrap Bold 2 8 5 2 2" xfId="40451" xr:uid="{00000000-0005-0000-0000-000045AA0000}"/>
    <cellStyle name="Wrap Bold 2 8 5 3" xfId="40452" xr:uid="{00000000-0005-0000-0000-000046AA0000}"/>
    <cellStyle name="Wrap Bold 2 8 5 3 2" xfId="40453" xr:uid="{00000000-0005-0000-0000-000047AA0000}"/>
    <cellStyle name="Wrap Bold 2 8 5 4" xfId="40454" xr:uid="{00000000-0005-0000-0000-000048AA0000}"/>
    <cellStyle name="Wrap Bold 2 8 5 4 2" xfId="40455" xr:uid="{00000000-0005-0000-0000-000049AA0000}"/>
    <cellStyle name="Wrap Bold 2 8 5 5" xfId="40456" xr:uid="{00000000-0005-0000-0000-00004AAA0000}"/>
    <cellStyle name="Wrap Bold 2 8 5 5 2" xfId="40457" xr:uid="{00000000-0005-0000-0000-00004BAA0000}"/>
    <cellStyle name="Wrap Bold 2 8 5 6" xfId="40458" xr:uid="{00000000-0005-0000-0000-00004CAA0000}"/>
    <cellStyle name="Wrap Bold 2 8 5 6 2" xfId="40459" xr:uid="{00000000-0005-0000-0000-00004DAA0000}"/>
    <cellStyle name="Wrap Bold 2 8 5 7" xfId="40460" xr:uid="{00000000-0005-0000-0000-00004EAA0000}"/>
    <cellStyle name="Wrap Bold 2 8 5 7 2" xfId="40461" xr:uid="{00000000-0005-0000-0000-00004FAA0000}"/>
    <cellStyle name="Wrap Bold 2 8 5 8" xfId="40462" xr:uid="{00000000-0005-0000-0000-000050AA0000}"/>
    <cellStyle name="Wrap Bold 2 8 5 8 2" xfId="40463" xr:uid="{00000000-0005-0000-0000-000051AA0000}"/>
    <cellStyle name="Wrap Bold 2 8 5 9" xfId="40464" xr:uid="{00000000-0005-0000-0000-000052AA0000}"/>
    <cellStyle name="Wrap Bold 2 8 5 9 2" xfId="40465" xr:uid="{00000000-0005-0000-0000-000053AA0000}"/>
    <cellStyle name="Wrap Bold 2 8 6" xfId="40466" xr:uid="{00000000-0005-0000-0000-000054AA0000}"/>
    <cellStyle name="Wrap Bold 2 8 6 10" xfId="40467" xr:uid="{00000000-0005-0000-0000-000055AA0000}"/>
    <cellStyle name="Wrap Bold 2 8 6 2" xfId="40468" xr:uid="{00000000-0005-0000-0000-000056AA0000}"/>
    <cellStyle name="Wrap Bold 2 8 6 2 2" xfId="40469" xr:uid="{00000000-0005-0000-0000-000057AA0000}"/>
    <cellStyle name="Wrap Bold 2 8 6 3" xfId="40470" xr:uid="{00000000-0005-0000-0000-000058AA0000}"/>
    <cellStyle name="Wrap Bold 2 8 6 3 2" xfId="40471" xr:uid="{00000000-0005-0000-0000-000059AA0000}"/>
    <cellStyle name="Wrap Bold 2 8 6 4" xfId="40472" xr:uid="{00000000-0005-0000-0000-00005AAA0000}"/>
    <cellStyle name="Wrap Bold 2 8 6 4 2" xfId="40473" xr:uid="{00000000-0005-0000-0000-00005BAA0000}"/>
    <cellStyle name="Wrap Bold 2 8 6 5" xfId="40474" xr:uid="{00000000-0005-0000-0000-00005CAA0000}"/>
    <cellStyle name="Wrap Bold 2 8 6 5 2" xfId="40475" xr:uid="{00000000-0005-0000-0000-00005DAA0000}"/>
    <cellStyle name="Wrap Bold 2 8 6 6" xfId="40476" xr:uid="{00000000-0005-0000-0000-00005EAA0000}"/>
    <cellStyle name="Wrap Bold 2 8 6 6 2" xfId="40477" xr:uid="{00000000-0005-0000-0000-00005FAA0000}"/>
    <cellStyle name="Wrap Bold 2 8 6 7" xfId="40478" xr:uid="{00000000-0005-0000-0000-000060AA0000}"/>
    <cellStyle name="Wrap Bold 2 8 6 7 2" xfId="40479" xr:uid="{00000000-0005-0000-0000-000061AA0000}"/>
    <cellStyle name="Wrap Bold 2 8 6 8" xfId="40480" xr:uid="{00000000-0005-0000-0000-000062AA0000}"/>
    <cellStyle name="Wrap Bold 2 8 6 8 2" xfId="40481" xr:uid="{00000000-0005-0000-0000-000063AA0000}"/>
    <cellStyle name="Wrap Bold 2 8 6 9" xfId="40482" xr:uid="{00000000-0005-0000-0000-000064AA0000}"/>
    <cellStyle name="Wrap Bold 2 8 6 9 2" xfId="40483" xr:uid="{00000000-0005-0000-0000-000065AA0000}"/>
    <cellStyle name="Wrap Bold 2 8 7" xfId="40484" xr:uid="{00000000-0005-0000-0000-000066AA0000}"/>
    <cellStyle name="Wrap Bold 2 8 7 10" xfId="40485" xr:uid="{00000000-0005-0000-0000-000067AA0000}"/>
    <cellStyle name="Wrap Bold 2 8 7 2" xfId="40486" xr:uid="{00000000-0005-0000-0000-000068AA0000}"/>
    <cellStyle name="Wrap Bold 2 8 7 2 2" xfId="40487" xr:uid="{00000000-0005-0000-0000-000069AA0000}"/>
    <cellStyle name="Wrap Bold 2 8 7 3" xfId="40488" xr:uid="{00000000-0005-0000-0000-00006AAA0000}"/>
    <cellStyle name="Wrap Bold 2 8 7 3 2" xfId="40489" xr:uid="{00000000-0005-0000-0000-00006BAA0000}"/>
    <cellStyle name="Wrap Bold 2 8 7 4" xfId="40490" xr:uid="{00000000-0005-0000-0000-00006CAA0000}"/>
    <cellStyle name="Wrap Bold 2 8 7 4 2" xfId="40491" xr:uid="{00000000-0005-0000-0000-00006DAA0000}"/>
    <cellStyle name="Wrap Bold 2 8 7 5" xfId="40492" xr:uid="{00000000-0005-0000-0000-00006EAA0000}"/>
    <cellStyle name="Wrap Bold 2 8 7 5 2" xfId="40493" xr:uid="{00000000-0005-0000-0000-00006FAA0000}"/>
    <cellStyle name="Wrap Bold 2 8 7 6" xfId="40494" xr:uid="{00000000-0005-0000-0000-000070AA0000}"/>
    <cellStyle name="Wrap Bold 2 8 7 6 2" xfId="40495" xr:uid="{00000000-0005-0000-0000-000071AA0000}"/>
    <cellStyle name="Wrap Bold 2 8 7 7" xfId="40496" xr:uid="{00000000-0005-0000-0000-000072AA0000}"/>
    <cellStyle name="Wrap Bold 2 8 7 7 2" xfId="40497" xr:uid="{00000000-0005-0000-0000-000073AA0000}"/>
    <cellStyle name="Wrap Bold 2 8 7 8" xfId="40498" xr:uid="{00000000-0005-0000-0000-000074AA0000}"/>
    <cellStyle name="Wrap Bold 2 8 7 8 2" xfId="40499" xr:uid="{00000000-0005-0000-0000-000075AA0000}"/>
    <cellStyle name="Wrap Bold 2 8 7 9" xfId="40500" xr:uid="{00000000-0005-0000-0000-000076AA0000}"/>
    <cellStyle name="Wrap Bold 2 8 7 9 2" xfId="40501" xr:uid="{00000000-0005-0000-0000-000077AA0000}"/>
    <cellStyle name="Wrap Bold 2 8 8" xfId="40502" xr:uid="{00000000-0005-0000-0000-000078AA0000}"/>
    <cellStyle name="Wrap Bold 2 8 8 10" xfId="40503" xr:uid="{00000000-0005-0000-0000-000079AA0000}"/>
    <cellStyle name="Wrap Bold 2 8 8 2" xfId="40504" xr:uid="{00000000-0005-0000-0000-00007AAA0000}"/>
    <cellStyle name="Wrap Bold 2 8 8 2 2" xfId="40505" xr:uid="{00000000-0005-0000-0000-00007BAA0000}"/>
    <cellStyle name="Wrap Bold 2 8 8 3" xfId="40506" xr:uid="{00000000-0005-0000-0000-00007CAA0000}"/>
    <cellStyle name="Wrap Bold 2 8 8 3 2" xfId="40507" xr:uid="{00000000-0005-0000-0000-00007DAA0000}"/>
    <cellStyle name="Wrap Bold 2 8 8 4" xfId="40508" xr:uid="{00000000-0005-0000-0000-00007EAA0000}"/>
    <cellStyle name="Wrap Bold 2 8 8 4 2" xfId="40509" xr:uid="{00000000-0005-0000-0000-00007FAA0000}"/>
    <cellStyle name="Wrap Bold 2 8 8 5" xfId="40510" xr:uid="{00000000-0005-0000-0000-000080AA0000}"/>
    <cellStyle name="Wrap Bold 2 8 8 5 2" xfId="40511" xr:uid="{00000000-0005-0000-0000-000081AA0000}"/>
    <cellStyle name="Wrap Bold 2 8 8 6" xfId="40512" xr:uid="{00000000-0005-0000-0000-000082AA0000}"/>
    <cellStyle name="Wrap Bold 2 8 8 6 2" xfId="40513" xr:uid="{00000000-0005-0000-0000-000083AA0000}"/>
    <cellStyle name="Wrap Bold 2 8 8 7" xfId="40514" xr:uid="{00000000-0005-0000-0000-000084AA0000}"/>
    <cellStyle name="Wrap Bold 2 8 8 7 2" xfId="40515" xr:uid="{00000000-0005-0000-0000-000085AA0000}"/>
    <cellStyle name="Wrap Bold 2 8 8 8" xfId="40516" xr:uid="{00000000-0005-0000-0000-000086AA0000}"/>
    <cellStyle name="Wrap Bold 2 8 8 8 2" xfId="40517" xr:uid="{00000000-0005-0000-0000-000087AA0000}"/>
    <cellStyle name="Wrap Bold 2 8 8 9" xfId="40518" xr:uid="{00000000-0005-0000-0000-000088AA0000}"/>
    <cellStyle name="Wrap Bold 2 8 8 9 2" xfId="40519" xr:uid="{00000000-0005-0000-0000-000089AA0000}"/>
    <cellStyle name="Wrap Bold 2 8 9" xfId="40520" xr:uid="{00000000-0005-0000-0000-00008AAA0000}"/>
    <cellStyle name="Wrap Bold 2 8 9 10" xfId="40521" xr:uid="{00000000-0005-0000-0000-00008BAA0000}"/>
    <cellStyle name="Wrap Bold 2 8 9 2" xfId="40522" xr:uid="{00000000-0005-0000-0000-00008CAA0000}"/>
    <cellStyle name="Wrap Bold 2 8 9 2 2" xfId="40523" xr:uid="{00000000-0005-0000-0000-00008DAA0000}"/>
    <cellStyle name="Wrap Bold 2 8 9 3" xfId="40524" xr:uid="{00000000-0005-0000-0000-00008EAA0000}"/>
    <cellStyle name="Wrap Bold 2 8 9 3 2" xfId="40525" xr:uid="{00000000-0005-0000-0000-00008FAA0000}"/>
    <cellStyle name="Wrap Bold 2 8 9 4" xfId="40526" xr:uid="{00000000-0005-0000-0000-000090AA0000}"/>
    <cellStyle name="Wrap Bold 2 8 9 4 2" xfId="40527" xr:uid="{00000000-0005-0000-0000-000091AA0000}"/>
    <cellStyle name="Wrap Bold 2 8 9 5" xfId="40528" xr:uid="{00000000-0005-0000-0000-000092AA0000}"/>
    <cellStyle name="Wrap Bold 2 8 9 5 2" xfId="40529" xr:uid="{00000000-0005-0000-0000-000093AA0000}"/>
    <cellStyle name="Wrap Bold 2 8 9 6" xfId="40530" xr:uid="{00000000-0005-0000-0000-000094AA0000}"/>
    <cellStyle name="Wrap Bold 2 8 9 6 2" xfId="40531" xr:uid="{00000000-0005-0000-0000-000095AA0000}"/>
    <cellStyle name="Wrap Bold 2 8 9 7" xfId="40532" xr:uid="{00000000-0005-0000-0000-000096AA0000}"/>
    <cellStyle name="Wrap Bold 2 8 9 7 2" xfId="40533" xr:uid="{00000000-0005-0000-0000-000097AA0000}"/>
    <cellStyle name="Wrap Bold 2 8 9 8" xfId="40534" xr:uid="{00000000-0005-0000-0000-000098AA0000}"/>
    <cellStyle name="Wrap Bold 2 8 9 8 2" xfId="40535" xr:uid="{00000000-0005-0000-0000-000099AA0000}"/>
    <cellStyle name="Wrap Bold 2 8 9 9" xfId="40536" xr:uid="{00000000-0005-0000-0000-00009AAA0000}"/>
    <cellStyle name="Wrap Bold 2 8 9 9 2" xfId="40537" xr:uid="{00000000-0005-0000-0000-00009BAA0000}"/>
    <cellStyle name="Wrap Bold 2 9" xfId="40538" xr:uid="{00000000-0005-0000-0000-00009CAA0000}"/>
    <cellStyle name="Wrap Bold 2 9 10" xfId="40539" xr:uid="{00000000-0005-0000-0000-00009DAA0000}"/>
    <cellStyle name="Wrap Bold 2 9 10 2" xfId="40540" xr:uid="{00000000-0005-0000-0000-00009EAA0000}"/>
    <cellStyle name="Wrap Bold 2 9 10 2 2" xfId="40541" xr:uid="{00000000-0005-0000-0000-00009FAA0000}"/>
    <cellStyle name="Wrap Bold 2 9 10 3" xfId="40542" xr:uid="{00000000-0005-0000-0000-0000A0AA0000}"/>
    <cellStyle name="Wrap Bold 2 9 10 3 2" xfId="40543" xr:uid="{00000000-0005-0000-0000-0000A1AA0000}"/>
    <cellStyle name="Wrap Bold 2 9 10 4" xfId="40544" xr:uid="{00000000-0005-0000-0000-0000A2AA0000}"/>
    <cellStyle name="Wrap Bold 2 9 10 4 2" xfId="40545" xr:uid="{00000000-0005-0000-0000-0000A3AA0000}"/>
    <cellStyle name="Wrap Bold 2 9 10 5" xfId="40546" xr:uid="{00000000-0005-0000-0000-0000A4AA0000}"/>
    <cellStyle name="Wrap Bold 2 9 10 5 2" xfId="40547" xr:uid="{00000000-0005-0000-0000-0000A5AA0000}"/>
    <cellStyle name="Wrap Bold 2 9 10 6" xfId="40548" xr:uid="{00000000-0005-0000-0000-0000A6AA0000}"/>
    <cellStyle name="Wrap Bold 2 9 10 6 2" xfId="40549" xr:uid="{00000000-0005-0000-0000-0000A7AA0000}"/>
    <cellStyle name="Wrap Bold 2 9 10 7" xfId="40550" xr:uid="{00000000-0005-0000-0000-0000A8AA0000}"/>
    <cellStyle name="Wrap Bold 2 9 10 7 2" xfId="40551" xr:uid="{00000000-0005-0000-0000-0000A9AA0000}"/>
    <cellStyle name="Wrap Bold 2 9 10 8" xfId="40552" xr:uid="{00000000-0005-0000-0000-0000AAAA0000}"/>
    <cellStyle name="Wrap Bold 2 9 10 8 2" xfId="40553" xr:uid="{00000000-0005-0000-0000-0000ABAA0000}"/>
    <cellStyle name="Wrap Bold 2 9 10 9" xfId="40554" xr:uid="{00000000-0005-0000-0000-0000ACAA0000}"/>
    <cellStyle name="Wrap Bold 2 9 11" xfId="40555" xr:uid="{00000000-0005-0000-0000-0000ADAA0000}"/>
    <cellStyle name="Wrap Bold 2 9 11 2" xfId="40556" xr:uid="{00000000-0005-0000-0000-0000AEAA0000}"/>
    <cellStyle name="Wrap Bold 2 9 12" xfId="40557" xr:uid="{00000000-0005-0000-0000-0000AFAA0000}"/>
    <cellStyle name="Wrap Bold 2 9 12 2" xfId="40558" xr:uid="{00000000-0005-0000-0000-0000B0AA0000}"/>
    <cellStyle name="Wrap Bold 2 9 13" xfId="40559" xr:uid="{00000000-0005-0000-0000-0000B1AA0000}"/>
    <cellStyle name="Wrap Bold 2 9 13 2" xfId="40560" xr:uid="{00000000-0005-0000-0000-0000B2AA0000}"/>
    <cellStyle name="Wrap Bold 2 9 14" xfId="40561" xr:uid="{00000000-0005-0000-0000-0000B3AA0000}"/>
    <cellStyle name="Wrap Bold 2 9 14 2" xfId="40562" xr:uid="{00000000-0005-0000-0000-0000B4AA0000}"/>
    <cellStyle name="Wrap Bold 2 9 15" xfId="40563" xr:uid="{00000000-0005-0000-0000-0000B5AA0000}"/>
    <cellStyle name="Wrap Bold 2 9 15 2" xfId="40564" xr:uid="{00000000-0005-0000-0000-0000B6AA0000}"/>
    <cellStyle name="Wrap Bold 2 9 16" xfId="40565" xr:uid="{00000000-0005-0000-0000-0000B7AA0000}"/>
    <cellStyle name="Wrap Bold 2 9 16 2" xfId="40566" xr:uid="{00000000-0005-0000-0000-0000B8AA0000}"/>
    <cellStyle name="Wrap Bold 2 9 17" xfId="40567" xr:uid="{00000000-0005-0000-0000-0000B9AA0000}"/>
    <cellStyle name="Wrap Bold 2 9 17 2" xfId="40568" xr:uid="{00000000-0005-0000-0000-0000BAAA0000}"/>
    <cellStyle name="Wrap Bold 2 9 18" xfId="40569" xr:uid="{00000000-0005-0000-0000-0000BBAA0000}"/>
    <cellStyle name="Wrap Bold 2 9 2" xfId="40570" xr:uid="{00000000-0005-0000-0000-0000BCAA0000}"/>
    <cellStyle name="Wrap Bold 2 9 2 10" xfId="40571" xr:uid="{00000000-0005-0000-0000-0000BDAA0000}"/>
    <cellStyle name="Wrap Bold 2 9 2 2" xfId="40572" xr:uid="{00000000-0005-0000-0000-0000BEAA0000}"/>
    <cellStyle name="Wrap Bold 2 9 2 2 2" xfId="40573" xr:uid="{00000000-0005-0000-0000-0000BFAA0000}"/>
    <cellStyle name="Wrap Bold 2 9 2 3" xfId="40574" xr:uid="{00000000-0005-0000-0000-0000C0AA0000}"/>
    <cellStyle name="Wrap Bold 2 9 2 3 2" xfId="40575" xr:uid="{00000000-0005-0000-0000-0000C1AA0000}"/>
    <cellStyle name="Wrap Bold 2 9 2 4" xfId="40576" xr:uid="{00000000-0005-0000-0000-0000C2AA0000}"/>
    <cellStyle name="Wrap Bold 2 9 2 4 2" xfId="40577" xr:uid="{00000000-0005-0000-0000-0000C3AA0000}"/>
    <cellStyle name="Wrap Bold 2 9 2 5" xfId="40578" xr:uid="{00000000-0005-0000-0000-0000C4AA0000}"/>
    <cellStyle name="Wrap Bold 2 9 2 5 2" xfId="40579" xr:uid="{00000000-0005-0000-0000-0000C5AA0000}"/>
    <cellStyle name="Wrap Bold 2 9 2 6" xfId="40580" xr:uid="{00000000-0005-0000-0000-0000C6AA0000}"/>
    <cellStyle name="Wrap Bold 2 9 2 6 2" xfId="40581" xr:uid="{00000000-0005-0000-0000-0000C7AA0000}"/>
    <cellStyle name="Wrap Bold 2 9 2 7" xfId="40582" xr:uid="{00000000-0005-0000-0000-0000C8AA0000}"/>
    <cellStyle name="Wrap Bold 2 9 2 7 2" xfId="40583" xr:uid="{00000000-0005-0000-0000-0000C9AA0000}"/>
    <cellStyle name="Wrap Bold 2 9 2 8" xfId="40584" xr:uid="{00000000-0005-0000-0000-0000CAAA0000}"/>
    <cellStyle name="Wrap Bold 2 9 2 8 2" xfId="40585" xr:uid="{00000000-0005-0000-0000-0000CBAA0000}"/>
    <cellStyle name="Wrap Bold 2 9 2 9" xfId="40586" xr:uid="{00000000-0005-0000-0000-0000CCAA0000}"/>
    <cellStyle name="Wrap Bold 2 9 2 9 2" xfId="40587" xr:uid="{00000000-0005-0000-0000-0000CDAA0000}"/>
    <cellStyle name="Wrap Bold 2 9 3" xfId="40588" xr:uid="{00000000-0005-0000-0000-0000CEAA0000}"/>
    <cellStyle name="Wrap Bold 2 9 3 10" xfId="40589" xr:uid="{00000000-0005-0000-0000-0000CFAA0000}"/>
    <cellStyle name="Wrap Bold 2 9 3 2" xfId="40590" xr:uid="{00000000-0005-0000-0000-0000D0AA0000}"/>
    <cellStyle name="Wrap Bold 2 9 3 2 2" xfId="40591" xr:uid="{00000000-0005-0000-0000-0000D1AA0000}"/>
    <cellStyle name="Wrap Bold 2 9 3 3" xfId="40592" xr:uid="{00000000-0005-0000-0000-0000D2AA0000}"/>
    <cellStyle name="Wrap Bold 2 9 3 3 2" xfId="40593" xr:uid="{00000000-0005-0000-0000-0000D3AA0000}"/>
    <cellStyle name="Wrap Bold 2 9 3 4" xfId="40594" xr:uid="{00000000-0005-0000-0000-0000D4AA0000}"/>
    <cellStyle name="Wrap Bold 2 9 3 4 2" xfId="40595" xr:uid="{00000000-0005-0000-0000-0000D5AA0000}"/>
    <cellStyle name="Wrap Bold 2 9 3 5" xfId="40596" xr:uid="{00000000-0005-0000-0000-0000D6AA0000}"/>
    <cellStyle name="Wrap Bold 2 9 3 5 2" xfId="40597" xr:uid="{00000000-0005-0000-0000-0000D7AA0000}"/>
    <cellStyle name="Wrap Bold 2 9 3 6" xfId="40598" xr:uid="{00000000-0005-0000-0000-0000D8AA0000}"/>
    <cellStyle name="Wrap Bold 2 9 3 6 2" xfId="40599" xr:uid="{00000000-0005-0000-0000-0000D9AA0000}"/>
    <cellStyle name="Wrap Bold 2 9 3 7" xfId="40600" xr:uid="{00000000-0005-0000-0000-0000DAAA0000}"/>
    <cellStyle name="Wrap Bold 2 9 3 7 2" xfId="40601" xr:uid="{00000000-0005-0000-0000-0000DBAA0000}"/>
    <cellStyle name="Wrap Bold 2 9 3 8" xfId="40602" xr:uid="{00000000-0005-0000-0000-0000DCAA0000}"/>
    <cellStyle name="Wrap Bold 2 9 3 8 2" xfId="40603" xr:uid="{00000000-0005-0000-0000-0000DDAA0000}"/>
    <cellStyle name="Wrap Bold 2 9 3 9" xfId="40604" xr:uid="{00000000-0005-0000-0000-0000DEAA0000}"/>
    <cellStyle name="Wrap Bold 2 9 3 9 2" xfId="40605" xr:uid="{00000000-0005-0000-0000-0000DFAA0000}"/>
    <cellStyle name="Wrap Bold 2 9 4" xfId="40606" xr:uid="{00000000-0005-0000-0000-0000E0AA0000}"/>
    <cellStyle name="Wrap Bold 2 9 4 10" xfId="40607" xr:uid="{00000000-0005-0000-0000-0000E1AA0000}"/>
    <cellStyle name="Wrap Bold 2 9 4 2" xfId="40608" xr:uid="{00000000-0005-0000-0000-0000E2AA0000}"/>
    <cellStyle name="Wrap Bold 2 9 4 2 2" xfId="40609" xr:uid="{00000000-0005-0000-0000-0000E3AA0000}"/>
    <cellStyle name="Wrap Bold 2 9 4 3" xfId="40610" xr:uid="{00000000-0005-0000-0000-0000E4AA0000}"/>
    <cellStyle name="Wrap Bold 2 9 4 3 2" xfId="40611" xr:uid="{00000000-0005-0000-0000-0000E5AA0000}"/>
    <cellStyle name="Wrap Bold 2 9 4 4" xfId="40612" xr:uid="{00000000-0005-0000-0000-0000E6AA0000}"/>
    <cellStyle name="Wrap Bold 2 9 4 4 2" xfId="40613" xr:uid="{00000000-0005-0000-0000-0000E7AA0000}"/>
    <cellStyle name="Wrap Bold 2 9 4 5" xfId="40614" xr:uid="{00000000-0005-0000-0000-0000E8AA0000}"/>
    <cellStyle name="Wrap Bold 2 9 4 5 2" xfId="40615" xr:uid="{00000000-0005-0000-0000-0000E9AA0000}"/>
    <cellStyle name="Wrap Bold 2 9 4 6" xfId="40616" xr:uid="{00000000-0005-0000-0000-0000EAAA0000}"/>
    <cellStyle name="Wrap Bold 2 9 4 6 2" xfId="40617" xr:uid="{00000000-0005-0000-0000-0000EBAA0000}"/>
    <cellStyle name="Wrap Bold 2 9 4 7" xfId="40618" xr:uid="{00000000-0005-0000-0000-0000ECAA0000}"/>
    <cellStyle name="Wrap Bold 2 9 4 7 2" xfId="40619" xr:uid="{00000000-0005-0000-0000-0000EDAA0000}"/>
    <cellStyle name="Wrap Bold 2 9 4 8" xfId="40620" xr:uid="{00000000-0005-0000-0000-0000EEAA0000}"/>
    <cellStyle name="Wrap Bold 2 9 4 8 2" xfId="40621" xr:uid="{00000000-0005-0000-0000-0000EFAA0000}"/>
    <cellStyle name="Wrap Bold 2 9 4 9" xfId="40622" xr:uid="{00000000-0005-0000-0000-0000F0AA0000}"/>
    <cellStyle name="Wrap Bold 2 9 4 9 2" xfId="40623" xr:uid="{00000000-0005-0000-0000-0000F1AA0000}"/>
    <cellStyle name="Wrap Bold 2 9 5" xfId="40624" xr:uid="{00000000-0005-0000-0000-0000F2AA0000}"/>
    <cellStyle name="Wrap Bold 2 9 5 10" xfId="40625" xr:uid="{00000000-0005-0000-0000-0000F3AA0000}"/>
    <cellStyle name="Wrap Bold 2 9 5 2" xfId="40626" xr:uid="{00000000-0005-0000-0000-0000F4AA0000}"/>
    <cellStyle name="Wrap Bold 2 9 5 2 2" xfId="40627" xr:uid="{00000000-0005-0000-0000-0000F5AA0000}"/>
    <cellStyle name="Wrap Bold 2 9 5 3" xfId="40628" xr:uid="{00000000-0005-0000-0000-0000F6AA0000}"/>
    <cellStyle name="Wrap Bold 2 9 5 3 2" xfId="40629" xr:uid="{00000000-0005-0000-0000-0000F7AA0000}"/>
    <cellStyle name="Wrap Bold 2 9 5 4" xfId="40630" xr:uid="{00000000-0005-0000-0000-0000F8AA0000}"/>
    <cellStyle name="Wrap Bold 2 9 5 4 2" xfId="40631" xr:uid="{00000000-0005-0000-0000-0000F9AA0000}"/>
    <cellStyle name="Wrap Bold 2 9 5 5" xfId="40632" xr:uid="{00000000-0005-0000-0000-0000FAAA0000}"/>
    <cellStyle name="Wrap Bold 2 9 5 5 2" xfId="40633" xr:uid="{00000000-0005-0000-0000-0000FBAA0000}"/>
    <cellStyle name="Wrap Bold 2 9 5 6" xfId="40634" xr:uid="{00000000-0005-0000-0000-0000FCAA0000}"/>
    <cellStyle name="Wrap Bold 2 9 5 6 2" xfId="40635" xr:uid="{00000000-0005-0000-0000-0000FDAA0000}"/>
    <cellStyle name="Wrap Bold 2 9 5 7" xfId="40636" xr:uid="{00000000-0005-0000-0000-0000FEAA0000}"/>
    <cellStyle name="Wrap Bold 2 9 5 7 2" xfId="40637" xr:uid="{00000000-0005-0000-0000-0000FFAA0000}"/>
    <cellStyle name="Wrap Bold 2 9 5 8" xfId="40638" xr:uid="{00000000-0005-0000-0000-000000AB0000}"/>
    <cellStyle name="Wrap Bold 2 9 5 8 2" xfId="40639" xr:uid="{00000000-0005-0000-0000-000001AB0000}"/>
    <cellStyle name="Wrap Bold 2 9 5 9" xfId="40640" xr:uid="{00000000-0005-0000-0000-000002AB0000}"/>
    <cellStyle name="Wrap Bold 2 9 5 9 2" xfId="40641" xr:uid="{00000000-0005-0000-0000-000003AB0000}"/>
    <cellStyle name="Wrap Bold 2 9 6" xfId="40642" xr:uid="{00000000-0005-0000-0000-000004AB0000}"/>
    <cellStyle name="Wrap Bold 2 9 6 10" xfId="40643" xr:uid="{00000000-0005-0000-0000-000005AB0000}"/>
    <cellStyle name="Wrap Bold 2 9 6 2" xfId="40644" xr:uid="{00000000-0005-0000-0000-000006AB0000}"/>
    <cellStyle name="Wrap Bold 2 9 6 2 2" xfId="40645" xr:uid="{00000000-0005-0000-0000-000007AB0000}"/>
    <cellStyle name="Wrap Bold 2 9 6 3" xfId="40646" xr:uid="{00000000-0005-0000-0000-000008AB0000}"/>
    <cellStyle name="Wrap Bold 2 9 6 3 2" xfId="40647" xr:uid="{00000000-0005-0000-0000-000009AB0000}"/>
    <cellStyle name="Wrap Bold 2 9 6 4" xfId="40648" xr:uid="{00000000-0005-0000-0000-00000AAB0000}"/>
    <cellStyle name="Wrap Bold 2 9 6 4 2" xfId="40649" xr:uid="{00000000-0005-0000-0000-00000BAB0000}"/>
    <cellStyle name="Wrap Bold 2 9 6 5" xfId="40650" xr:uid="{00000000-0005-0000-0000-00000CAB0000}"/>
    <cellStyle name="Wrap Bold 2 9 6 5 2" xfId="40651" xr:uid="{00000000-0005-0000-0000-00000DAB0000}"/>
    <cellStyle name="Wrap Bold 2 9 6 6" xfId="40652" xr:uid="{00000000-0005-0000-0000-00000EAB0000}"/>
    <cellStyle name="Wrap Bold 2 9 6 6 2" xfId="40653" xr:uid="{00000000-0005-0000-0000-00000FAB0000}"/>
    <cellStyle name="Wrap Bold 2 9 6 7" xfId="40654" xr:uid="{00000000-0005-0000-0000-000010AB0000}"/>
    <cellStyle name="Wrap Bold 2 9 6 7 2" xfId="40655" xr:uid="{00000000-0005-0000-0000-000011AB0000}"/>
    <cellStyle name="Wrap Bold 2 9 6 8" xfId="40656" xr:uid="{00000000-0005-0000-0000-000012AB0000}"/>
    <cellStyle name="Wrap Bold 2 9 6 8 2" xfId="40657" xr:uid="{00000000-0005-0000-0000-000013AB0000}"/>
    <cellStyle name="Wrap Bold 2 9 6 9" xfId="40658" xr:uid="{00000000-0005-0000-0000-000014AB0000}"/>
    <cellStyle name="Wrap Bold 2 9 6 9 2" xfId="40659" xr:uid="{00000000-0005-0000-0000-000015AB0000}"/>
    <cellStyle name="Wrap Bold 2 9 7" xfId="40660" xr:uid="{00000000-0005-0000-0000-000016AB0000}"/>
    <cellStyle name="Wrap Bold 2 9 7 10" xfId="40661" xr:uid="{00000000-0005-0000-0000-000017AB0000}"/>
    <cellStyle name="Wrap Bold 2 9 7 2" xfId="40662" xr:uid="{00000000-0005-0000-0000-000018AB0000}"/>
    <cellStyle name="Wrap Bold 2 9 7 2 2" xfId="40663" xr:uid="{00000000-0005-0000-0000-000019AB0000}"/>
    <cellStyle name="Wrap Bold 2 9 7 3" xfId="40664" xr:uid="{00000000-0005-0000-0000-00001AAB0000}"/>
    <cellStyle name="Wrap Bold 2 9 7 3 2" xfId="40665" xr:uid="{00000000-0005-0000-0000-00001BAB0000}"/>
    <cellStyle name="Wrap Bold 2 9 7 4" xfId="40666" xr:uid="{00000000-0005-0000-0000-00001CAB0000}"/>
    <cellStyle name="Wrap Bold 2 9 7 4 2" xfId="40667" xr:uid="{00000000-0005-0000-0000-00001DAB0000}"/>
    <cellStyle name="Wrap Bold 2 9 7 5" xfId="40668" xr:uid="{00000000-0005-0000-0000-00001EAB0000}"/>
    <cellStyle name="Wrap Bold 2 9 7 5 2" xfId="40669" xr:uid="{00000000-0005-0000-0000-00001FAB0000}"/>
    <cellStyle name="Wrap Bold 2 9 7 6" xfId="40670" xr:uid="{00000000-0005-0000-0000-000020AB0000}"/>
    <cellStyle name="Wrap Bold 2 9 7 6 2" xfId="40671" xr:uid="{00000000-0005-0000-0000-000021AB0000}"/>
    <cellStyle name="Wrap Bold 2 9 7 7" xfId="40672" xr:uid="{00000000-0005-0000-0000-000022AB0000}"/>
    <cellStyle name="Wrap Bold 2 9 7 7 2" xfId="40673" xr:uid="{00000000-0005-0000-0000-000023AB0000}"/>
    <cellStyle name="Wrap Bold 2 9 7 8" xfId="40674" xr:uid="{00000000-0005-0000-0000-000024AB0000}"/>
    <cellStyle name="Wrap Bold 2 9 7 8 2" xfId="40675" xr:uid="{00000000-0005-0000-0000-000025AB0000}"/>
    <cellStyle name="Wrap Bold 2 9 7 9" xfId="40676" xr:uid="{00000000-0005-0000-0000-000026AB0000}"/>
    <cellStyle name="Wrap Bold 2 9 7 9 2" xfId="40677" xr:uid="{00000000-0005-0000-0000-000027AB0000}"/>
    <cellStyle name="Wrap Bold 2 9 8" xfId="40678" xr:uid="{00000000-0005-0000-0000-000028AB0000}"/>
    <cellStyle name="Wrap Bold 2 9 8 10" xfId="40679" xr:uid="{00000000-0005-0000-0000-000029AB0000}"/>
    <cellStyle name="Wrap Bold 2 9 8 2" xfId="40680" xr:uid="{00000000-0005-0000-0000-00002AAB0000}"/>
    <cellStyle name="Wrap Bold 2 9 8 2 2" xfId="40681" xr:uid="{00000000-0005-0000-0000-00002BAB0000}"/>
    <cellStyle name="Wrap Bold 2 9 8 3" xfId="40682" xr:uid="{00000000-0005-0000-0000-00002CAB0000}"/>
    <cellStyle name="Wrap Bold 2 9 8 3 2" xfId="40683" xr:uid="{00000000-0005-0000-0000-00002DAB0000}"/>
    <cellStyle name="Wrap Bold 2 9 8 4" xfId="40684" xr:uid="{00000000-0005-0000-0000-00002EAB0000}"/>
    <cellStyle name="Wrap Bold 2 9 8 4 2" xfId="40685" xr:uid="{00000000-0005-0000-0000-00002FAB0000}"/>
    <cellStyle name="Wrap Bold 2 9 8 5" xfId="40686" xr:uid="{00000000-0005-0000-0000-000030AB0000}"/>
    <cellStyle name="Wrap Bold 2 9 8 5 2" xfId="40687" xr:uid="{00000000-0005-0000-0000-000031AB0000}"/>
    <cellStyle name="Wrap Bold 2 9 8 6" xfId="40688" xr:uid="{00000000-0005-0000-0000-000032AB0000}"/>
    <cellStyle name="Wrap Bold 2 9 8 6 2" xfId="40689" xr:uid="{00000000-0005-0000-0000-000033AB0000}"/>
    <cellStyle name="Wrap Bold 2 9 8 7" xfId="40690" xr:uid="{00000000-0005-0000-0000-000034AB0000}"/>
    <cellStyle name="Wrap Bold 2 9 8 7 2" xfId="40691" xr:uid="{00000000-0005-0000-0000-000035AB0000}"/>
    <cellStyle name="Wrap Bold 2 9 8 8" xfId="40692" xr:uid="{00000000-0005-0000-0000-000036AB0000}"/>
    <cellStyle name="Wrap Bold 2 9 8 8 2" xfId="40693" xr:uid="{00000000-0005-0000-0000-000037AB0000}"/>
    <cellStyle name="Wrap Bold 2 9 8 9" xfId="40694" xr:uid="{00000000-0005-0000-0000-000038AB0000}"/>
    <cellStyle name="Wrap Bold 2 9 8 9 2" xfId="40695" xr:uid="{00000000-0005-0000-0000-000039AB0000}"/>
    <cellStyle name="Wrap Bold 2 9 9" xfId="40696" xr:uid="{00000000-0005-0000-0000-00003AAB0000}"/>
    <cellStyle name="Wrap Bold 2 9 9 10" xfId="40697" xr:uid="{00000000-0005-0000-0000-00003BAB0000}"/>
    <cellStyle name="Wrap Bold 2 9 9 2" xfId="40698" xr:uid="{00000000-0005-0000-0000-00003CAB0000}"/>
    <cellStyle name="Wrap Bold 2 9 9 2 2" xfId="40699" xr:uid="{00000000-0005-0000-0000-00003DAB0000}"/>
    <cellStyle name="Wrap Bold 2 9 9 3" xfId="40700" xr:uid="{00000000-0005-0000-0000-00003EAB0000}"/>
    <cellStyle name="Wrap Bold 2 9 9 3 2" xfId="40701" xr:uid="{00000000-0005-0000-0000-00003FAB0000}"/>
    <cellStyle name="Wrap Bold 2 9 9 4" xfId="40702" xr:uid="{00000000-0005-0000-0000-000040AB0000}"/>
    <cellStyle name="Wrap Bold 2 9 9 4 2" xfId="40703" xr:uid="{00000000-0005-0000-0000-000041AB0000}"/>
    <cellStyle name="Wrap Bold 2 9 9 5" xfId="40704" xr:uid="{00000000-0005-0000-0000-000042AB0000}"/>
    <cellStyle name="Wrap Bold 2 9 9 5 2" xfId="40705" xr:uid="{00000000-0005-0000-0000-000043AB0000}"/>
    <cellStyle name="Wrap Bold 2 9 9 6" xfId="40706" xr:uid="{00000000-0005-0000-0000-000044AB0000}"/>
    <cellStyle name="Wrap Bold 2 9 9 6 2" xfId="40707" xr:uid="{00000000-0005-0000-0000-000045AB0000}"/>
    <cellStyle name="Wrap Bold 2 9 9 7" xfId="40708" xr:uid="{00000000-0005-0000-0000-000046AB0000}"/>
    <cellStyle name="Wrap Bold 2 9 9 7 2" xfId="40709" xr:uid="{00000000-0005-0000-0000-000047AB0000}"/>
    <cellStyle name="Wrap Bold 2 9 9 8" xfId="40710" xr:uid="{00000000-0005-0000-0000-000048AB0000}"/>
    <cellStyle name="Wrap Bold 2 9 9 8 2" xfId="40711" xr:uid="{00000000-0005-0000-0000-000049AB0000}"/>
    <cellStyle name="Wrap Bold 2 9 9 9" xfId="40712" xr:uid="{00000000-0005-0000-0000-00004AAB0000}"/>
    <cellStyle name="Wrap Bold 2 9 9 9 2" xfId="40713" xr:uid="{00000000-0005-0000-0000-00004BAB0000}"/>
    <cellStyle name="Wrap Title" xfId="127" xr:uid="{00000000-0005-0000-0000-00004CAB0000}"/>
    <cellStyle name="Wrap_NTS99-~11" xfId="128" xr:uid="{00000000-0005-0000-0000-00004DAB0000}"/>
  </cellStyles>
  <dxfs count="0"/>
  <tableStyles count="0" defaultTableStyle="TableStyleMedium2" defaultPivotStyle="PivotStyleLight16"/>
  <colors>
    <mruColors>
      <color rgb="FF0000FF"/>
      <color rgb="FF024D76"/>
      <color rgb="FF44546A"/>
      <color rgb="FF44546C"/>
      <color rgb="FF0F243E"/>
      <color rgb="FF0099FF"/>
      <color rgb="FF01426A"/>
      <color rgb="FFFC6AF9"/>
      <color rgb="FF074F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Cumulative</a:t>
            </a:r>
            <a:r>
              <a:rPr lang="en-US" b="1" baseline="0"/>
              <a:t> Benefits and Costs</a:t>
            </a:r>
          </a:p>
          <a:p>
            <a:pPr>
              <a:defRPr/>
            </a:pPr>
            <a:r>
              <a:rPr lang="en-US" b="1" baseline="0"/>
              <a:t>(Discounted)</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Results!$B$69</c:f>
              <c:strCache>
                <c:ptCount val="1"/>
                <c:pt idx="0">
                  <c:v>Cumulative Benefits</c:v>
                </c:pt>
              </c:strCache>
            </c:strRef>
          </c:tx>
          <c:spPr>
            <a:ln w="28575" cap="rnd">
              <a:solidFill>
                <a:schemeClr val="accent1"/>
              </a:solidFill>
              <a:round/>
            </a:ln>
            <a:effectLst/>
          </c:spPr>
          <c:marker>
            <c:symbol val="none"/>
          </c:marker>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Results!$D$69:$AE$69</c:f>
              <c:numCache>
                <c:formatCode>"$"#,##0.0,," M";\-"$"#,##0.0,," M";"$"\ \-</c:formatCode>
                <c:ptCount val="28"/>
                <c:pt idx="0">
                  <c:v>0</c:v>
                </c:pt>
                <c:pt idx="1">
                  <c:v>0</c:v>
                </c:pt>
                <c:pt idx="2">
                  <c:v>0</c:v>
                </c:pt>
                <c:pt idx="3">
                  <c:v>0</c:v>
                </c:pt>
                <c:pt idx="4">
                  <c:v>0</c:v>
                </c:pt>
                <c:pt idx="5">
                  <c:v>0</c:v>
                </c:pt>
                <c:pt idx="6">
                  <c:v>0</c:v>
                </c:pt>
                <c:pt idx="7">
                  <c:v>0</c:v>
                </c:pt>
                <c:pt idx="8">
                  <c:v>1108202.7956046378</c:v>
                </c:pt>
                <c:pt idx="9">
                  <c:v>2183144.5712076598</c:v>
                </c:pt>
                <c:pt idx="10">
                  <c:v>72960702.050912619</c:v>
                </c:pt>
                <c:pt idx="11">
                  <c:v>141615879.45340317</c:v>
                </c:pt>
                <c:pt idx="12">
                  <c:v>227966051.97125232</c:v>
                </c:pt>
                <c:pt idx="13">
                  <c:v>311286983.32222521</c:v>
                </c:pt>
                <c:pt idx="14">
                  <c:v>392649357.47607738</c:v>
                </c:pt>
                <c:pt idx="15">
                  <c:v>471693302.43870866</c:v>
                </c:pt>
                <c:pt idx="16">
                  <c:v>548104660.91981101</c:v>
                </c:pt>
                <c:pt idx="17">
                  <c:v>622693129.51424527</c:v>
                </c:pt>
                <c:pt idx="18">
                  <c:v>694811965.99651384</c:v>
                </c:pt>
                <c:pt idx="19">
                  <c:v>764506820.85782003</c:v>
                </c:pt>
                <c:pt idx="20">
                  <c:v>832540773.99314821</c:v>
                </c:pt>
                <c:pt idx="21">
                  <c:v>898616596.82958305</c:v>
                </c:pt>
                <c:pt idx="22">
                  <c:v>962481448.35761952</c:v>
                </c:pt>
                <c:pt idx="23">
                  <c:v>1024816531.6826015</c:v>
                </c:pt>
                <c:pt idx="24">
                  <c:v>1085391788.2054343</c:v>
                </c:pt>
                <c:pt idx="25">
                  <c:v>1143955131.2760582</c:v>
                </c:pt>
                <c:pt idx="26">
                  <c:v>1201135458.0091584</c:v>
                </c:pt>
                <c:pt idx="27">
                  <c:v>1256682098.5206122</c:v>
                </c:pt>
              </c:numCache>
            </c:numRef>
          </c:val>
          <c:smooth val="0"/>
          <c:extLst>
            <c:ext xmlns:c16="http://schemas.microsoft.com/office/drawing/2014/chart" uri="{C3380CC4-5D6E-409C-BE32-E72D297353CC}">
              <c16:uniqueId val="{00000000-663E-4D79-8CCE-C9A401B187F5}"/>
            </c:ext>
          </c:extLst>
        </c:ser>
        <c:ser>
          <c:idx val="1"/>
          <c:order val="1"/>
          <c:tx>
            <c:strRef>
              <c:f>Results!$B$70</c:f>
              <c:strCache>
                <c:ptCount val="1"/>
                <c:pt idx="0">
                  <c:v>Cumulative Costs</c:v>
                </c:pt>
              </c:strCache>
            </c:strRef>
          </c:tx>
          <c:spPr>
            <a:ln w="28575" cap="rnd">
              <a:solidFill>
                <a:schemeClr val="accent2"/>
              </a:solidFill>
              <a:round/>
            </a:ln>
            <a:effectLst/>
          </c:spPr>
          <c:marker>
            <c:symbol val="none"/>
          </c:marker>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Results!$D$70:$AE$70</c:f>
              <c:numCache>
                <c:formatCode>"$"#,##0.0,," M";\-"$"#,##0.0,," M";"$"\ \-</c:formatCode>
                <c:ptCount val="28"/>
                <c:pt idx="0">
                  <c:v>0</c:v>
                </c:pt>
                <c:pt idx="1">
                  <c:v>0</c:v>
                </c:pt>
                <c:pt idx="2">
                  <c:v>0</c:v>
                </c:pt>
                <c:pt idx="3">
                  <c:v>-2212767.3113361816</c:v>
                </c:pt>
                <c:pt idx="4">
                  <c:v>-6161837.9736626353</c:v>
                </c:pt>
                <c:pt idx="5">
                  <c:v>-34155641.307211071</c:v>
                </c:pt>
                <c:pt idx="6">
                  <c:v>-122411377.56374612</c:v>
                </c:pt>
                <c:pt idx="7">
                  <c:v>-143811895.56969547</c:v>
                </c:pt>
                <c:pt idx="8">
                  <c:v>-143811895.56969547</c:v>
                </c:pt>
                <c:pt idx="9">
                  <c:v>-143811895.56969547</c:v>
                </c:pt>
                <c:pt idx="10">
                  <c:v>-143811895.56969547</c:v>
                </c:pt>
                <c:pt idx="11">
                  <c:v>-143811895.56969547</c:v>
                </c:pt>
                <c:pt idx="12">
                  <c:v>-143811895.56969547</c:v>
                </c:pt>
                <c:pt idx="13">
                  <c:v>-143811895.56969547</c:v>
                </c:pt>
                <c:pt idx="14">
                  <c:v>-143811895.56969547</c:v>
                </c:pt>
                <c:pt idx="15">
                  <c:v>-143811895.56969547</c:v>
                </c:pt>
                <c:pt idx="16">
                  <c:v>-143811895.56969547</c:v>
                </c:pt>
                <c:pt idx="17">
                  <c:v>-143811895.56969547</c:v>
                </c:pt>
                <c:pt idx="18">
                  <c:v>-143811895.56969547</c:v>
                </c:pt>
                <c:pt idx="19">
                  <c:v>-143811895.56969547</c:v>
                </c:pt>
                <c:pt idx="20">
                  <c:v>-143811895.56969547</c:v>
                </c:pt>
                <c:pt idx="21">
                  <c:v>-143811895.56969547</c:v>
                </c:pt>
                <c:pt idx="22">
                  <c:v>-143811895.56969547</c:v>
                </c:pt>
                <c:pt idx="23">
                  <c:v>-143811895.56969547</c:v>
                </c:pt>
                <c:pt idx="24">
                  <c:v>-143811895.56969547</c:v>
                </c:pt>
                <c:pt idx="25">
                  <c:v>-143811895.56969547</c:v>
                </c:pt>
                <c:pt idx="26">
                  <c:v>-143811895.56969547</c:v>
                </c:pt>
                <c:pt idx="27">
                  <c:v>-143811895.56969547</c:v>
                </c:pt>
              </c:numCache>
            </c:numRef>
          </c:val>
          <c:smooth val="0"/>
          <c:extLst>
            <c:ext xmlns:c16="http://schemas.microsoft.com/office/drawing/2014/chart" uri="{C3380CC4-5D6E-409C-BE32-E72D297353CC}">
              <c16:uniqueId val="{00000001-663E-4D79-8CCE-C9A401B187F5}"/>
            </c:ext>
          </c:extLst>
        </c:ser>
        <c:dLbls>
          <c:showLegendKey val="0"/>
          <c:showVal val="0"/>
          <c:showCatName val="0"/>
          <c:showSerName val="0"/>
          <c:showPercent val="0"/>
          <c:showBubbleSize val="0"/>
        </c:dLbls>
        <c:smooth val="0"/>
        <c:axId val="2125669135"/>
        <c:axId val="2125668175"/>
      </c:lineChart>
      <c:catAx>
        <c:axId val="2125669135"/>
        <c:scaling>
          <c:orientation val="minMax"/>
        </c:scaling>
        <c:delete val="0"/>
        <c:axPos val="b"/>
        <c:numFmt formatCode="General" sourceLinked="1"/>
        <c:majorTickMark val="cross"/>
        <c:minorTickMark val="none"/>
        <c:tickLblPos val="low"/>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125668175"/>
        <c:crosses val="autoZero"/>
        <c:auto val="1"/>
        <c:lblAlgn val="ctr"/>
        <c:lblOffset val="100"/>
        <c:noMultiLvlLbl val="0"/>
      </c:catAx>
      <c:valAx>
        <c:axId val="212566817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 M&quot;;\-&quot;$&quot;#,##0.0,,&quot; M&quot;;&quot;$&quot;0.0" sourceLinked="0"/>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1256691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Results!$B$55</c:f>
              <c:strCache>
                <c:ptCount val="1"/>
                <c:pt idx="0">
                  <c:v>Shipper Cost Efficiencies</c:v>
                </c:pt>
              </c:strCache>
            </c:strRef>
          </c:tx>
          <c:spPr>
            <a:solidFill>
              <a:schemeClr val="accent1"/>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Results!$D$55:$AE$55</c:f>
              <c:numCache>
                <c:formatCode>"$"#,##0.0,," M";\-"$"#,##0.0,," M";"$"\ \-</c:formatCode>
                <c:ptCount val="28"/>
                <c:pt idx="0">
                  <c:v>0</c:v>
                </c:pt>
                <c:pt idx="1">
                  <c:v>0</c:v>
                </c:pt>
                <c:pt idx="2">
                  <c:v>0</c:v>
                </c:pt>
                <c:pt idx="3">
                  <c:v>0</c:v>
                </c:pt>
                <c:pt idx="4">
                  <c:v>0</c:v>
                </c:pt>
                <c:pt idx="5">
                  <c:v>0</c:v>
                </c:pt>
                <c:pt idx="6">
                  <c:v>0</c:v>
                </c:pt>
                <c:pt idx="7">
                  <c:v>0</c:v>
                </c:pt>
                <c:pt idx="8">
                  <c:v>1134821.3750194211</c:v>
                </c:pt>
                <c:pt idx="9">
                  <c:v>1100699.6847908581</c:v>
                </c:pt>
                <c:pt idx="10">
                  <c:v>60548396.128858842</c:v>
                </c:pt>
                <c:pt idx="11">
                  <c:v>58727833.296662316</c:v>
                </c:pt>
                <c:pt idx="12">
                  <c:v>73800957.067607462</c:v>
                </c:pt>
                <c:pt idx="13">
                  <c:v>71581917.621345758</c:v>
                </c:pt>
                <c:pt idx="14">
                  <c:v>69429600.020703986</c:v>
                </c:pt>
                <c:pt idx="15">
                  <c:v>67341998.080217257</c:v>
                </c:pt>
                <c:pt idx="16">
                  <c:v>65317165.936195195</c:v>
                </c:pt>
                <c:pt idx="17">
                  <c:v>63353216.232972994</c:v>
                </c:pt>
                <c:pt idx="18">
                  <c:v>61448318.363698393</c:v>
                </c:pt>
                <c:pt idx="19">
                  <c:v>59600696.764013998</c:v>
                </c:pt>
                <c:pt idx="20">
                  <c:v>57808629.257045522</c:v>
                </c:pt>
                <c:pt idx="21">
                  <c:v>56070445.448152818</c:v>
                </c:pt>
                <c:pt idx="22">
                  <c:v>54384525.16794645</c:v>
                </c:pt>
                <c:pt idx="23">
                  <c:v>52749296.962120704</c:v>
                </c:pt>
                <c:pt idx="24">
                  <c:v>51163236.626693256</c:v>
                </c:pt>
                <c:pt idx="25">
                  <c:v>49624865.787287347</c:v>
                </c:pt>
                <c:pt idx="26">
                  <c:v>48132750.521132283</c:v>
                </c:pt>
                <c:pt idx="27">
                  <c:v>46685500.020496853</c:v>
                </c:pt>
              </c:numCache>
            </c:numRef>
          </c:val>
          <c:extLst>
            <c:ext xmlns:c16="http://schemas.microsoft.com/office/drawing/2014/chart" uri="{C3380CC4-5D6E-409C-BE32-E72D297353CC}">
              <c16:uniqueId val="{00000000-6935-4BC4-B6AF-E4F347F61A06}"/>
            </c:ext>
          </c:extLst>
        </c:ser>
        <c:ser>
          <c:idx val="1"/>
          <c:order val="1"/>
          <c:tx>
            <c:strRef>
              <c:f>Results!$B$56</c:f>
              <c:strCache>
                <c:ptCount val="1"/>
                <c:pt idx="0">
                  <c:v>Avoided Emissions: CO2</c:v>
                </c:pt>
              </c:strCache>
            </c:strRef>
          </c:tx>
          <c:spPr>
            <a:solidFill>
              <a:schemeClr val="accent2"/>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Results!$D$56:$AE$56</c:f>
              <c:numCache>
                <c:formatCode>"$"#,##0.0,," M";\-"$"#,##0.0,," M";"$"\ \-</c:formatCode>
                <c:ptCount val="28"/>
                <c:pt idx="0">
                  <c:v>0</c:v>
                </c:pt>
                <c:pt idx="1">
                  <c:v>0</c:v>
                </c:pt>
                <c:pt idx="2">
                  <c:v>0</c:v>
                </c:pt>
                <c:pt idx="3">
                  <c:v>0</c:v>
                </c:pt>
                <c:pt idx="4">
                  <c:v>0</c:v>
                </c:pt>
                <c:pt idx="5">
                  <c:v>0</c:v>
                </c:pt>
                <c:pt idx="6">
                  <c:v>0</c:v>
                </c:pt>
                <c:pt idx="7">
                  <c:v>0</c:v>
                </c:pt>
                <c:pt idx="8">
                  <c:v>57352.069954734594</c:v>
                </c:pt>
                <c:pt idx="9">
                  <c:v>57130.434809245009</c:v>
                </c:pt>
                <c:pt idx="10">
                  <c:v>3202211.321196449</c:v>
                </c:pt>
                <c:pt idx="11">
                  <c:v>3187927.246519173</c:v>
                </c:pt>
                <c:pt idx="12">
                  <c:v>4095505.2196919085</c:v>
                </c:pt>
                <c:pt idx="13">
                  <c:v>4060059.2008709623</c:v>
                </c:pt>
                <c:pt idx="14">
                  <c:v>4035687.0689077023</c:v>
                </c:pt>
                <c:pt idx="15">
                  <c:v>4024676.3880662736</c:v>
                </c:pt>
                <c:pt idx="16">
                  <c:v>3984993.8042126587</c:v>
                </c:pt>
                <c:pt idx="17">
                  <c:v>3958744.3431660994</c:v>
                </c:pt>
                <c:pt idx="18">
                  <c:v>3945133.2428236543</c:v>
                </c:pt>
                <c:pt idx="19">
                  <c:v>3917539.3439569585</c:v>
                </c:pt>
                <c:pt idx="20">
                  <c:v>3902128.7493952219</c:v>
                </c:pt>
                <c:pt idx="21">
                  <c:v>3873338.9306025542</c:v>
                </c:pt>
                <c:pt idx="22">
                  <c:v>3856293.5548565062</c:v>
                </c:pt>
                <c:pt idx="23">
                  <c:v>3826446.6512890281</c:v>
                </c:pt>
                <c:pt idx="24">
                  <c:v>3809851.5922064111</c:v>
                </c:pt>
                <c:pt idx="25">
                  <c:v>3792436.1753287669</c:v>
                </c:pt>
                <c:pt idx="26">
                  <c:v>3774238.9518111083</c:v>
                </c:pt>
                <c:pt idx="27">
                  <c:v>3744284.6744157821</c:v>
                </c:pt>
              </c:numCache>
            </c:numRef>
          </c:val>
          <c:extLst>
            <c:ext xmlns:c16="http://schemas.microsoft.com/office/drawing/2014/chart" uri="{C3380CC4-5D6E-409C-BE32-E72D297353CC}">
              <c16:uniqueId val="{00000001-6935-4BC4-B6AF-E4F347F61A06}"/>
            </c:ext>
          </c:extLst>
        </c:ser>
        <c:ser>
          <c:idx val="2"/>
          <c:order val="2"/>
          <c:tx>
            <c:strRef>
              <c:f>Results!$B$57</c:f>
              <c:strCache>
                <c:ptCount val="1"/>
                <c:pt idx="0">
                  <c:v>Avoided Emissions: non-CO2</c:v>
                </c:pt>
              </c:strCache>
            </c:strRef>
          </c:tx>
          <c:spPr>
            <a:solidFill>
              <a:schemeClr val="accent3">
                <a:lumMod val="60000"/>
                <a:lumOff val="40000"/>
              </a:schemeClr>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Results!$D$57:$AE$57</c:f>
              <c:numCache>
                <c:formatCode>"$"#,##0.0,," M";\-"$"#,##0.0,," M";"$"\ \-</c:formatCode>
                <c:ptCount val="28"/>
                <c:pt idx="0">
                  <c:v>0</c:v>
                </c:pt>
                <c:pt idx="1">
                  <c:v>0</c:v>
                </c:pt>
                <c:pt idx="2">
                  <c:v>0</c:v>
                </c:pt>
                <c:pt idx="3">
                  <c:v>0</c:v>
                </c:pt>
                <c:pt idx="4">
                  <c:v>0</c:v>
                </c:pt>
                <c:pt idx="5">
                  <c:v>0</c:v>
                </c:pt>
                <c:pt idx="6">
                  <c:v>0</c:v>
                </c:pt>
                <c:pt idx="7">
                  <c:v>0</c:v>
                </c:pt>
                <c:pt idx="8">
                  <c:v>11355.383820703266</c:v>
                </c:pt>
                <c:pt idx="9">
                  <c:v>9464.651497410372</c:v>
                </c:pt>
                <c:pt idx="10">
                  <c:v>456680.25651083409</c:v>
                </c:pt>
                <c:pt idx="11">
                  <c:v>379471.26447917533</c:v>
                </c:pt>
                <c:pt idx="12">
                  <c:v>395326.30201024946</c:v>
                </c:pt>
                <c:pt idx="13">
                  <c:v>270937.02072740364</c:v>
                </c:pt>
                <c:pt idx="14">
                  <c:v>306295.5468219996</c:v>
                </c:pt>
                <c:pt idx="15">
                  <c:v>308969.4034168268</c:v>
                </c:pt>
                <c:pt idx="16">
                  <c:v>338461.03798251483</c:v>
                </c:pt>
                <c:pt idx="17">
                  <c:v>338229.61601019889</c:v>
                </c:pt>
                <c:pt idx="18">
                  <c:v>357240.43081121653</c:v>
                </c:pt>
                <c:pt idx="19">
                  <c:v>340968.5879436938</c:v>
                </c:pt>
                <c:pt idx="20">
                  <c:v>325352.29187964491</c:v>
                </c:pt>
                <c:pt idx="21">
                  <c:v>310366.83181427582</c:v>
                </c:pt>
                <c:pt idx="22">
                  <c:v>295988.39028091525</c:v>
                </c:pt>
                <c:pt idx="23">
                  <c:v>282194.01176992414</c:v>
                </c:pt>
                <c:pt idx="24">
                  <c:v>273709.0317846011</c:v>
                </c:pt>
                <c:pt idx="25">
                  <c:v>265479.17728865333</c:v>
                </c:pt>
                <c:pt idx="26">
                  <c:v>257496.77719559008</c:v>
                </c:pt>
                <c:pt idx="27">
                  <c:v>249754.3910723475</c:v>
                </c:pt>
              </c:numCache>
            </c:numRef>
          </c:val>
          <c:extLst>
            <c:ext xmlns:c16="http://schemas.microsoft.com/office/drawing/2014/chart" uri="{C3380CC4-5D6E-409C-BE32-E72D297353CC}">
              <c16:uniqueId val="{00000002-6935-4BC4-B6AF-E4F347F61A06}"/>
            </c:ext>
          </c:extLst>
        </c:ser>
        <c:ser>
          <c:idx val="3"/>
          <c:order val="3"/>
          <c:tx>
            <c:strRef>
              <c:f>Results!$B$58</c:f>
              <c:strCache>
                <c:ptCount val="1"/>
                <c:pt idx="0">
                  <c:v>Improved Safety and Avoided Accident Costs</c:v>
                </c:pt>
              </c:strCache>
            </c:strRef>
          </c:tx>
          <c:spPr>
            <a:solidFill>
              <a:schemeClr val="accent4"/>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Results!$D$58:$AE$58</c:f>
              <c:numCache>
                <c:formatCode>"$"#,##0.0,," M";\-"$"#,##0.0,," M";"$"\ \-</c:formatCode>
                <c:ptCount val="28"/>
                <c:pt idx="0">
                  <c:v>0</c:v>
                </c:pt>
                <c:pt idx="1">
                  <c:v>0</c:v>
                </c:pt>
                <c:pt idx="2">
                  <c:v>0</c:v>
                </c:pt>
                <c:pt idx="3">
                  <c:v>0</c:v>
                </c:pt>
                <c:pt idx="4">
                  <c:v>0</c:v>
                </c:pt>
                <c:pt idx="5">
                  <c:v>0</c:v>
                </c:pt>
                <c:pt idx="6">
                  <c:v>0</c:v>
                </c:pt>
                <c:pt idx="7">
                  <c:v>0</c:v>
                </c:pt>
                <c:pt idx="8">
                  <c:v>93672.744735078479</c:v>
                </c:pt>
                <c:pt idx="9">
                  <c:v>90856.202458854023</c:v>
                </c:pt>
                <c:pt idx="10">
                  <c:v>4997909.4327510865</c:v>
                </c:pt>
                <c:pt idx="11">
                  <c:v>4847632.8154714741</c:v>
                </c:pt>
                <c:pt idx="12">
                  <c:v>6091829.3969218815</c:v>
                </c:pt>
                <c:pt idx="13">
                  <c:v>5908660.9087506123</c:v>
                </c:pt>
                <c:pt idx="14">
                  <c:v>5730999.9114942877</c:v>
                </c:pt>
                <c:pt idx="15">
                  <c:v>5558680.8064930057</c:v>
                </c:pt>
                <c:pt idx="16">
                  <c:v>5391542.9742900142</c:v>
                </c:pt>
                <c:pt idx="17">
                  <c:v>5229430.6249175696</c:v>
                </c:pt>
                <c:pt idx="18">
                  <c:v>5072192.6526843552</c:v>
                </c:pt>
                <c:pt idx="19">
                  <c:v>4919682.4953291565</c:v>
                </c:pt>
                <c:pt idx="20">
                  <c:v>4771757.9974094573</c:v>
                </c:pt>
                <c:pt idx="21">
                  <c:v>4628281.2777977334</c:v>
                </c:pt>
                <c:pt idx="22">
                  <c:v>4489118.6011617174</c:v>
                </c:pt>
                <c:pt idx="23">
                  <c:v>4354140.2533091372</c:v>
                </c:pt>
                <c:pt idx="24">
                  <c:v>4223220.4202804426</c:v>
                </c:pt>
                <c:pt idx="25">
                  <c:v>4096237.071077052</c:v>
                </c:pt>
                <c:pt idx="26">
                  <c:v>3973071.8439156706</c:v>
                </c:pt>
                <c:pt idx="27">
                  <c:v>3853609.9359026835</c:v>
                </c:pt>
              </c:numCache>
            </c:numRef>
          </c:val>
          <c:extLst>
            <c:ext xmlns:c16="http://schemas.microsoft.com/office/drawing/2014/chart" uri="{C3380CC4-5D6E-409C-BE32-E72D297353CC}">
              <c16:uniqueId val="{00000003-6935-4BC4-B6AF-E4F347F61A06}"/>
            </c:ext>
          </c:extLst>
        </c:ser>
        <c:ser>
          <c:idx val="4"/>
          <c:order val="4"/>
          <c:tx>
            <c:strRef>
              <c:f>Results!$B$59</c:f>
              <c:strCache>
                <c:ptCount val="1"/>
                <c:pt idx="0">
                  <c:v>Avoided Roadway Congestion Costs</c:v>
                </c:pt>
              </c:strCache>
            </c:strRef>
          </c:tx>
          <c:spPr>
            <a:solidFill>
              <a:schemeClr val="accent5"/>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Results!$D$59:$AE$59</c:f>
              <c:numCache>
                <c:formatCode>"$"#,##0.0,," M";\-"$"#,##0.0,," M";"$"\ \-</c:formatCode>
                <c:ptCount val="28"/>
                <c:pt idx="0">
                  <c:v>0</c:v>
                </c:pt>
                <c:pt idx="1">
                  <c:v>0</c:v>
                </c:pt>
                <c:pt idx="2">
                  <c:v>0</c:v>
                </c:pt>
                <c:pt idx="3">
                  <c:v>0</c:v>
                </c:pt>
                <c:pt idx="4">
                  <c:v>0</c:v>
                </c:pt>
                <c:pt idx="5">
                  <c:v>0</c:v>
                </c:pt>
                <c:pt idx="6">
                  <c:v>0</c:v>
                </c:pt>
                <c:pt idx="7">
                  <c:v>0</c:v>
                </c:pt>
                <c:pt idx="8">
                  <c:v>9145.8645256718646</c:v>
                </c:pt>
                <c:pt idx="9">
                  <c:v>8870.8676291676693</c:v>
                </c:pt>
                <c:pt idx="10">
                  <c:v>487977.61518353433</c:v>
                </c:pt>
                <c:pt idx="11">
                  <c:v>473305.15536715195</c:v>
                </c:pt>
                <c:pt idx="12">
                  <c:v>594783.96341779747</c:v>
                </c:pt>
                <c:pt idx="13">
                  <c:v>576900.06151095754</c:v>
                </c:pt>
                <c:pt idx="14">
                  <c:v>559553.89089326665</c:v>
                </c:pt>
                <c:pt idx="15">
                  <c:v>542729.28311665112</c:v>
                </c:pt>
                <c:pt idx="16">
                  <c:v>526410.55588423938</c:v>
                </c:pt>
                <c:pt idx="17">
                  <c:v>510582.49843282189</c:v>
                </c:pt>
                <c:pt idx="18">
                  <c:v>495230.35735482222</c:v>
                </c:pt>
                <c:pt idx="19">
                  <c:v>480339.82284657832</c:v>
                </c:pt>
                <c:pt idx="20">
                  <c:v>465897.0153701051</c:v>
                </c:pt>
                <c:pt idx="21">
                  <c:v>451888.4727159118</c:v>
                </c:pt>
                <c:pt idx="22">
                  <c:v>438301.13745481271</c:v>
                </c:pt>
                <c:pt idx="23">
                  <c:v>425122.34476703458</c:v>
                </c:pt>
                <c:pt idx="24">
                  <c:v>412339.81063727901</c:v>
                </c:pt>
                <c:pt idx="25">
                  <c:v>399941.6204047323</c:v>
                </c:pt>
                <c:pt idx="26">
                  <c:v>387916.21765735443</c:v>
                </c:pt>
                <c:pt idx="27">
                  <c:v>376252.39346009155</c:v>
                </c:pt>
              </c:numCache>
            </c:numRef>
          </c:val>
          <c:extLst>
            <c:ext xmlns:c16="http://schemas.microsoft.com/office/drawing/2014/chart" uri="{C3380CC4-5D6E-409C-BE32-E72D297353CC}">
              <c16:uniqueId val="{00000004-6935-4BC4-B6AF-E4F347F61A06}"/>
            </c:ext>
          </c:extLst>
        </c:ser>
        <c:ser>
          <c:idx val="5"/>
          <c:order val="5"/>
          <c:tx>
            <c:strRef>
              <c:f>Results!$B$60</c:f>
              <c:strCache>
                <c:ptCount val="1"/>
                <c:pt idx="0">
                  <c:v>Avoided Fuel Consumed from Freight Transportation</c:v>
                </c:pt>
              </c:strCache>
            </c:strRef>
          </c:tx>
          <c:spPr>
            <a:solidFill>
              <a:schemeClr val="accent6"/>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Results!$D$60:$AE$60</c:f>
              <c:numCache>
                <c:formatCode>"$"#,##0.0,," M";\-"$"#,##0.0,," M";"$"\ \-</c:formatCode>
                <c:ptCount val="28"/>
                <c:pt idx="0">
                  <c:v>0</c:v>
                </c:pt>
                <c:pt idx="1">
                  <c:v>0</c:v>
                </c:pt>
                <c:pt idx="2">
                  <c:v>0</c:v>
                </c:pt>
                <c:pt idx="3">
                  <c:v>0</c:v>
                </c:pt>
                <c:pt idx="4">
                  <c:v>0</c:v>
                </c:pt>
                <c:pt idx="5">
                  <c:v>0</c:v>
                </c:pt>
                <c:pt idx="6">
                  <c:v>0</c:v>
                </c:pt>
                <c:pt idx="7">
                  <c:v>0</c:v>
                </c:pt>
                <c:pt idx="8">
                  <c:v>13245.902655869355</c:v>
                </c:pt>
                <c:pt idx="9">
                  <c:v>12954.41075777842</c:v>
                </c:pt>
                <c:pt idx="10">
                  <c:v>717503.23037040618</c:v>
                </c:pt>
                <c:pt idx="11">
                  <c:v>700492.13154395635</c:v>
                </c:pt>
                <c:pt idx="12">
                  <c:v>883270.60688485217</c:v>
                </c:pt>
                <c:pt idx="13">
                  <c:v>865427.69159536075</c:v>
                </c:pt>
                <c:pt idx="14">
                  <c:v>840672.44281966158</c:v>
                </c:pt>
                <c:pt idx="15">
                  <c:v>821143.88957419153</c:v>
                </c:pt>
                <c:pt idx="16">
                  <c:v>800746.41311003058</c:v>
                </c:pt>
                <c:pt idx="17">
                  <c:v>778920.53181115829</c:v>
                </c:pt>
                <c:pt idx="18">
                  <c:v>757838.79658931168</c:v>
                </c:pt>
                <c:pt idx="19">
                  <c:v>741057.35356727254</c:v>
                </c:pt>
                <c:pt idx="20">
                  <c:v>719845.19801071531</c:v>
                </c:pt>
                <c:pt idx="21">
                  <c:v>702372.26699314348</c:v>
                </c:pt>
                <c:pt idx="22">
                  <c:v>679323.40935549396</c:v>
                </c:pt>
                <c:pt idx="23">
                  <c:v>661071.2070673561</c:v>
                </c:pt>
                <c:pt idx="24">
                  <c:v>657194.00276447914</c:v>
                </c:pt>
                <c:pt idx="25">
                  <c:v>638690.6397057944</c:v>
                </c:pt>
                <c:pt idx="26">
                  <c:v>621262.25348319672</c:v>
                </c:pt>
                <c:pt idx="27">
                  <c:v>604658.91385124775</c:v>
                </c:pt>
              </c:numCache>
            </c:numRef>
          </c:val>
          <c:extLst>
            <c:ext xmlns:c16="http://schemas.microsoft.com/office/drawing/2014/chart" uri="{C3380CC4-5D6E-409C-BE32-E72D297353CC}">
              <c16:uniqueId val="{00000005-6935-4BC4-B6AF-E4F347F61A06}"/>
            </c:ext>
          </c:extLst>
        </c:ser>
        <c:ser>
          <c:idx val="6"/>
          <c:order val="6"/>
          <c:tx>
            <c:strRef>
              <c:f>Results!$B$61</c:f>
              <c:strCache>
                <c:ptCount val="1"/>
                <c:pt idx="0">
                  <c:v>Avoided Pavement Maintenance Costs</c:v>
                </c:pt>
              </c:strCache>
            </c:strRef>
          </c:tx>
          <c:spPr>
            <a:solidFill>
              <a:schemeClr val="accent1">
                <a:lumMod val="60000"/>
              </a:schemeClr>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Results!$D$61:$AE$61</c:f>
              <c:numCache>
                <c:formatCode>"$"#,##0.0,," M";\-"$"#,##0.0,," M";"$"\ \-</c:formatCode>
                <c:ptCount val="28"/>
                <c:pt idx="0">
                  <c:v>0</c:v>
                </c:pt>
                <c:pt idx="1">
                  <c:v>0</c:v>
                </c:pt>
                <c:pt idx="2">
                  <c:v>0</c:v>
                </c:pt>
                <c:pt idx="3">
                  <c:v>0</c:v>
                </c:pt>
                <c:pt idx="4">
                  <c:v>0</c:v>
                </c:pt>
                <c:pt idx="5">
                  <c:v>0</c:v>
                </c:pt>
                <c:pt idx="6">
                  <c:v>0</c:v>
                </c:pt>
                <c:pt idx="7">
                  <c:v>0</c:v>
                </c:pt>
                <c:pt idx="8">
                  <c:v>10793.805073600119</c:v>
                </c:pt>
                <c:pt idx="9">
                  <c:v>10469.258073326982</c:v>
                </c:pt>
                <c:pt idx="10">
                  <c:v>575903.48553565994</c:v>
                </c:pt>
                <c:pt idx="11">
                  <c:v>558587.27985999931</c:v>
                </c:pt>
                <c:pt idx="12">
                  <c:v>701954.65327685454</c:v>
                </c:pt>
                <c:pt idx="13">
                  <c:v>680848.35429374781</c:v>
                </c:pt>
                <c:pt idx="14">
                  <c:v>660376.67729752557</c:v>
                </c:pt>
                <c:pt idx="15">
                  <c:v>640520.5405407619</c:v>
                </c:pt>
                <c:pt idx="16">
                  <c:v>621261.43602401728</c:v>
                </c:pt>
                <c:pt idx="17">
                  <c:v>602581.41224443936</c:v>
                </c:pt>
                <c:pt idx="18">
                  <c:v>584463.05746308388</c:v>
                </c:pt>
                <c:pt idx="19">
                  <c:v>566889.48347534786</c:v>
                </c:pt>
                <c:pt idx="20">
                  <c:v>549844.30986939638</c:v>
                </c:pt>
                <c:pt idx="21">
                  <c:v>533311.64875790174</c:v>
                </c:pt>
                <c:pt idx="22">
                  <c:v>517276.08996886713</c:v>
                </c:pt>
                <c:pt idx="23">
                  <c:v>501722.68668173335</c:v>
                </c:pt>
                <c:pt idx="24">
                  <c:v>486636.94149537658</c:v>
                </c:pt>
                <c:pt idx="25">
                  <c:v>472004.792915011</c:v>
                </c:pt>
                <c:pt idx="26">
                  <c:v>457812.60224540357</c:v>
                </c:pt>
                <c:pt idx="27">
                  <c:v>444047.14087818039</c:v>
                </c:pt>
              </c:numCache>
            </c:numRef>
          </c:val>
          <c:extLst>
            <c:ext xmlns:c16="http://schemas.microsoft.com/office/drawing/2014/chart" uri="{C3380CC4-5D6E-409C-BE32-E72D297353CC}">
              <c16:uniqueId val="{00000006-6935-4BC4-B6AF-E4F347F61A06}"/>
            </c:ext>
          </c:extLst>
        </c:ser>
        <c:ser>
          <c:idx val="7"/>
          <c:order val="7"/>
          <c:tx>
            <c:strRef>
              <c:f>Results!$B$62</c:f>
              <c:strCache>
                <c:ptCount val="1"/>
                <c:pt idx="0">
                  <c:v>Residual Value of Capital Assets</c:v>
                </c:pt>
              </c:strCache>
            </c:strRef>
          </c:tx>
          <c:spPr>
            <a:solidFill>
              <a:schemeClr val="accent2">
                <a:lumMod val="60000"/>
              </a:schemeClr>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Results!$D$62:$AE$62</c:f>
              <c:numCache>
                <c:formatCode>"$"#,##0.0,," M";\-"$"#,##0.0,," M";"$"\ \-</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07-6935-4BC4-B6AF-E4F347F61A06}"/>
            </c:ext>
          </c:extLst>
        </c:ser>
        <c:ser>
          <c:idx val="8"/>
          <c:order val="8"/>
          <c:tx>
            <c:strRef>
              <c:f>Results!$B$63</c:f>
              <c:strCache>
                <c:ptCount val="1"/>
                <c:pt idx="0">
                  <c:v>O&amp;M Costs (disbenefit)</c:v>
                </c:pt>
              </c:strCache>
            </c:strRef>
          </c:tx>
          <c:spPr>
            <a:solidFill>
              <a:srgbClr val="002060"/>
            </a:solidFill>
            <a:ln>
              <a:solidFill>
                <a:schemeClr val="tx1">
                  <a:lumMod val="75000"/>
                  <a:lumOff val="25000"/>
                </a:schemeClr>
              </a:solidFill>
            </a:ln>
            <a:effectLst/>
          </c:spPr>
          <c:invertIfNegative val="0"/>
          <c:cat>
            <c:numRef>
              <c:f>Results!$D$54:$AE$54</c:f>
              <c:numCache>
                <c:formatCode>General</c:formatCode>
                <c:ptCount val="2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numCache>
            </c:numRef>
          </c:cat>
          <c:val>
            <c:numRef>
              <c:f>Results!$D$63:$AE$63</c:f>
              <c:numCache>
                <c:formatCode>"$"#,##0.0,," M";\-"$"#,##0.0,," M";"$"\ \-</c:formatCode>
                <c:ptCount val="28"/>
                <c:pt idx="0">
                  <c:v>0</c:v>
                </c:pt>
                <c:pt idx="1">
                  <c:v>0</c:v>
                </c:pt>
                <c:pt idx="2">
                  <c:v>0</c:v>
                </c:pt>
                <c:pt idx="3">
                  <c:v>0</c:v>
                </c:pt>
                <c:pt idx="4">
                  <c:v>0</c:v>
                </c:pt>
                <c:pt idx="5">
                  <c:v>0</c:v>
                </c:pt>
                <c:pt idx="6">
                  <c:v>0</c:v>
                </c:pt>
                <c:pt idx="7">
                  <c:v>0</c:v>
                </c:pt>
                <c:pt idx="8">
                  <c:v>-222184.35018044061</c:v>
                </c:pt>
                <c:pt idx="9">
                  <c:v>-215503.73441361845</c:v>
                </c:pt>
                <c:pt idx="10">
                  <c:v>-209023.99070186081</c:v>
                </c:pt>
                <c:pt idx="11">
                  <c:v>-220071.78741270892</c:v>
                </c:pt>
                <c:pt idx="12">
                  <c:v>-213454.69196189032</c:v>
                </c:pt>
                <c:pt idx="13">
                  <c:v>-623819.50812189619</c:v>
                </c:pt>
                <c:pt idx="14">
                  <c:v>-200811.40508625467</c:v>
                </c:pt>
                <c:pt idx="15">
                  <c:v>-194773.42879365149</c:v>
                </c:pt>
                <c:pt idx="16">
                  <c:v>-569223.67659626692</c:v>
                </c:pt>
                <c:pt idx="17">
                  <c:v>-183236.66512097008</c:v>
                </c:pt>
                <c:pt idx="18">
                  <c:v>-541580.41915630409</c:v>
                </c:pt>
                <c:pt idx="19">
                  <c:v>-872318.98982676526</c:v>
                </c:pt>
                <c:pt idx="20">
                  <c:v>-509501.68365189712</c:v>
                </c:pt>
                <c:pt idx="21">
                  <c:v>-494182.04039951222</c:v>
                </c:pt>
                <c:pt idx="22">
                  <c:v>-795974.82298823306</c:v>
                </c:pt>
                <c:pt idx="23">
                  <c:v>-464910.79202295496</c:v>
                </c:pt>
                <c:pt idx="24">
                  <c:v>-450931.9030290544</c:v>
                </c:pt>
                <c:pt idx="25">
                  <c:v>-726312.19338349078</c:v>
                </c:pt>
                <c:pt idx="26">
                  <c:v>-424222.43434053974</c:v>
                </c:pt>
                <c:pt idx="27">
                  <c:v>-411466.95862321992</c:v>
                </c:pt>
              </c:numCache>
            </c:numRef>
          </c:val>
          <c:extLst>
            <c:ext xmlns:c16="http://schemas.microsoft.com/office/drawing/2014/chart" uri="{C3380CC4-5D6E-409C-BE32-E72D297353CC}">
              <c16:uniqueId val="{00000008-6935-4BC4-B6AF-E4F347F61A06}"/>
            </c:ext>
          </c:extLst>
        </c:ser>
        <c:dLbls>
          <c:showLegendKey val="0"/>
          <c:showVal val="0"/>
          <c:showCatName val="0"/>
          <c:showSerName val="0"/>
          <c:showPercent val="0"/>
          <c:showBubbleSize val="0"/>
        </c:dLbls>
        <c:gapWidth val="150"/>
        <c:overlap val="100"/>
        <c:axId val="2076713711"/>
        <c:axId val="2076714191"/>
      </c:barChart>
      <c:catAx>
        <c:axId val="2076713711"/>
        <c:scaling>
          <c:orientation val="minMax"/>
        </c:scaling>
        <c:delete val="0"/>
        <c:axPos val="b"/>
        <c:numFmt formatCode="General" sourceLinked="1"/>
        <c:majorTickMark val="cross"/>
        <c:minorTickMark val="none"/>
        <c:tickLblPos val="low"/>
        <c:spPr>
          <a:noFill/>
          <a:ln w="9525" cap="flat" cmpd="sng" algn="ctr">
            <a:solidFill>
              <a:schemeClr val="tx2"/>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76714191"/>
        <c:crosses val="autoZero"/>
        <c:auto val="1"/>
        <c:lblAlgn val="ctr"/>
        <c:lblOffset val="100"/>
        <c:noMultiLvlLbl val="0"/>
      </c:catAx>
      <c:valAx>
        <c:axId val="207671419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 M&quot;;\-&quot;$&quot;#,##0.0,,&quot; M&quot;;&quot;$&quot;0.0" sourceLinked="0"/>
        <c:majorTickMark val="out"/>
        <c:minorTickMark val="none"/>
        <c:tickLblPos val="nextTo"/>
        <c:spPr>
          <a:noFill/>
          <a:ln>
            <a:solidFill>
              <a:schemeClr val="tx2"/>
            </a:solid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76713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 (g/veh-hr)</a:t>
            </a:r>
          </a:p>
        </c:rich>
      </c:tx>
      <c:overlay val="0"/>
    </c:title>
    <c:autoTitleDeleted val="0"/>
    <c:plotArea>
      <c:layout/>
      <c:scatterChart>
        <c:scatterStyle val="lineMarker"/>
        <c:varyColors val="0"/>
        <c:ser>
          <c:idx val="0"/>
          <c:order val="0"/>
          <c:tx>
            <c:v>CO</c:v>
          </c:tx>
          <c:spPr>
            <a:ln w="28575">
              <a:noFill/>
            </a:ln>
          </c:spPr>
          <c:xVal>
            <c:numLit>
              <c:formatCode>General</c:formatCode>
              <c:ptCount val="2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numLit>
          </c:xVal>
          <c:yVal>
            <c:numLit>
              <c:formatCode>General</c:formatCode>
              <c:ptCount val="26"/>
              <c:pt idx="0">
                <c:v>18.791840593749999</c:v>
              </c:pt>
              <c:pt idx="1">
                <c:v>16.70783896875</c:v>
              </c:pt>
              <c:pt idx="2">
                <c:v>14.524071093749999</c:v>
              </c:pt>
              <c:pt idx="3">
                <c:v>13.149935875000001</c:v>
              </c:pt>
              <c:pt idx="4">
                <c:v>11.959315193749999</c:v>
              </c:pt>
              <c:pt idx="5">
                <c:v>10.994056165624999</c:v>
              </c:pt>
              <c:pt idx="6">
                <c:v>10.092665378125002</c:v>
              </c:pt>
              <c:pt idx="7">
                <c:v>9.3239720531250008</c:v>
              </c:pt>
              <c:pt idx="8">
                <c:v>8.6116490250000002</c:v>
              </c:pt>
              <c:pt idx="9">
                <c:v>7.9501571374999997</c:v>
              </c:pt>
              <c:pt idx="10">
                <c:v>7.2914922281250005</c:v>
              </c:pt>
              <c:pt idx="11">
                <c:v>6.6954902843749995</c:v>
              </c:pt>
              <c:pt idx="12">
                <c:v>6.1439889437499993</c:v>
              </c:pt>
              <c:pt idx="13">
                <c:v>5.6225385562499994</c:v>
              </c:pt>
              <c:pt idx="14">
                <c:v>5.1523312374999994</c:v>
              </c:pt>
              <c:pt idx="15">
                <c:v>4.7428906937499997</c:v>
              </c:pt>
              <c:pt idx="16">
                <c:v>4.4100473937500002</c:v>
              </c:pt>
              <c:pt idx="17">
                <c:v>4.1095580968750003</c:v>
              </c:pt>
              <c:pt idx="18">
                <c:v>3.8537244749999999</c:v>
              </c:pt>
              <c:pt idx="19">
                <c:v>3.6370189906250001</c:v>
              </c:pt>
              <c:pt idx="20">
                <c:v>3.4588767218749998</c:v>
              </c:pt>
              <c:pt idx="21">
                <c:v>3.3158016218750004</c:v>
              </c:pt>
              <c:pt idx="22">
                <c:v>3.1908961593750003</c:v>
              </c:pt>
              <c:pt idx="23">
                <c:v>3.0890128984374998</c:v>
              </c:pt>
              <c:pt idx="24">
                <c:v>3.004322625625</c:v>
              </c:pt>
              <c:pt idx="25">
                <c:v>2.9353498378124998</c:v>
              </c:pt>
            </c:numLit>
          </c:yVal>
          <c:smooth val="0"/>
          <c:extLst>
            <c:ext xmlns:c16="http://schemas.microsoft.com/office/drawing/2014/chart" uri="{C3380CC4-5D6E-409C-BE32-E72D297353CC}">
              <c16:uniqueId val="{00000000-95F2-4789-852F-55ADA254A0A1}"/>
            </c:ext>
          </c:extLst>
        </c:ser>
        <c:dLbls>
          <c:showLegendKey val="0"/>
          <c:showVal val="0"/>
          <c:showCatName val="0"/>
          <c:showSerName val="0"/>
          <c:showPercent val="0"/>
          <c:showBubbleSize val="0"/>
        </c:dLbls>
        <c:axId val="1049181032"/>
        <c:axId val="1049186520"/>
      </c:scatterChart>
      <c:valAx>
        <c:axId val="1049181032"/>
        <c:scaling>
          <c:orientation val="minMax"/>
        </c:scaling>
        <c:delete val="0"/>
        <c:axPos val="b"/>
        <c:numFmt formatCode="General" sourceLinked="1"/>
        <c:majorTickMark val="out"/>
        <c:minorTickMark val="none"/>
        <c:tickLblPos val="nextTo"/>
        <c:crossAx val="1049186520"/>
        <c:crosses val="autoZero"/>
        <c:crossBetween val="midCat"/>
      </c:valAx>
      <c:valAx>
        <c:axId val="1049186520"/>
        <c:scaling>
          <c:orientation val="minMax"/>
        </c:scaling>
        <c:delete val="0"/>
        <c:axPos val="l"/>
        <c:majorGridlines/>
        <c:numFmt formatCode="General" sourceLinked="1"/>
        <c:majorTickMark val="out"/>
        <c:minorTickMark val="none"/>
        <c:tickLblPos val="nextTo"/>
        <c:crossAx val="10491810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NOx </a:t>
            </a:r>
            <a:r>
              <a:rPr lang="en-US" sz="1800" b="1" i="0" baseline="0">
                <a:effectLst/>
              </a:rPr>
              <a:t>(g/veh-hr)</a:t>
            </a:r>
            <a:endParaRPr lang="en-US"/>
          </a:p>
        </c:rich>
      </c:tx>
      <c:overlay val="0"/>
    </c:title>
    <c:autoTitleDeleted val="0"/>
    <c:plotArea>
      <c:layout/>
      <c:scatterChart>
        <c:scatterStyle val="lineMarker"/>
        <c:varyColors val="0"/>
        <c:ser>
          <c:idx val="0"/>
          <c:order val="0"/>
          <c:tx>
            <c:v>Nox</c:v>
          </c:tx>
          <c:spPr>
            <a:ln w="28575">
              <a:noFill/>
            </a:ln>
          </c:spPr>
          <c:xVal>
            <c:numLit>
              <c:formatCode>General</c:formatCode>
              <c:ptCount val="2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numLit>
          </c:xVal>
          <c:yVal>
            <c:numLit>
              <c:formatCode>General</c:formatCode>
              <c:ptCount val="26"/>
              <c:pt idx="0">
                <c:v>4.5554842062500001</c:v>
              </c:pt>
              <c:pt idx="1">
                <c:v>4.1043599156250004</c:v>
              </c:pt>
              <c:pt idx="2">
                <c:v>3.4778576656249998</c:v>
              </c:pt>
              <c:pt idx="3">
                <c:v>3.0664332906250005</c:v>
              </c:pt>
              <c:pt idx="4">
                <c:v>2.7086886709375002</c:v>
              </c:pt>
              <c:pt idx="5">
                <c:v>2.3970119690625</c:v>
              </c:pt>
              <c:pt idx="6">
                <c:v>2.1335932759375003</c:v>
              </c:pt>
              <c:pt idx="7">
                <c:v>1.9099245065625001</c:v>
              </c:pt>
              <c:pt idx="8">
                <c:v>1.7184007640624999</c:v>
              </c:pt>
              <c:pt idx="9">
                <c:v>1.5489045765625</c:v>
              </c:pt>
              <c:pt idx="10">
                <c:v>1.4038208140624999</c:v>
              </c:pt>
              <c:pt idx="11">
                <c:v>1.2754494103125</c:v>
              </c:pt>
              <c:pt idx="12">
                <c:v>1.1618773681249999</c:v>
              </c:pt>
              <c:pt idx="13">
                <c:v>1.06064622875</c:v>
              </c:pt>
              <c:pt idx="14">
                <c:v>0.97783449999999994</c:v>
              </c:pt>
              <c:pt idx="15">
                <c:v>0.91273962218750004</c:v>
              </c:pt>
              <c:pt idx="16">
                <c:v>0.85768858437499995</c:v>
              </c:pt>
              <c:pt idx="17">
                <c:v>0.8119282846875</c:v>
              </c:pt>
              <c:pt idx="18">
                <c:v>0.77569245593750002</c:v>
              </c:pt>
              <c:pt idx="19">
                <c:v>0.75322646125000003</c:v>
              </c:pt>
              <c:pt idx="20">
                <c:v>0.73553527906250005</c:v>
              </c:pt>
              <c:pt idx="21">
                <c:v>0.72224678718750002</c:v>
              </c:pt>
              <c:pt idx="22">
                <c:v>0.71197466624999994</c:v>
              </c:pt>
              <c:pt idx="23">
                <c:v>0.70705801499999998</c:v>
              </c:pt>
              <c:pt idx="24">
                <c:v>0.70391669437499993</c:v>
              </c:pt>
              <c:pt idx="25">
                <c:v>0.70308883124999999</c:v>
              </c:pt>
            </c:numLit>
          </c:yVal>
          <c:smooth val="0"/>
          <c:extLst>
            <c:ext xmlns:c16="http://schemas.microsoft.com/office/drawing/2014/chart" uri="{C3380CC4-5D6E-409C-BE32-E72D297353CC}">
              <c16:uniqueId val="{00000000-55E3-44AD-8472-AA52C427ADC8}"/>
            </c:ext>
          </c:extLst>
        </c:ser>
        <c:dLbls>
          <c:showLegendKey val="0"/>
          <c:showVal val="0"/>
          <c:showCatName val="0"/>
          <c:showSerName val="0"/>
          <c:showPercent val="0"/>
          <c:showBubbleSize val="0"/>
        </c:dLbls>
        <c:axId val="1049185736"/>
        <c:axId val="1049177112"/>
      </c:scatterChart>
      <c:valAx>
        <c:axId val="1049185736"/>
        <c:scaling>
          <c:orientation val="minMax"/>
        </c:scaling>
        <c:delete val="0"/>
        <c:axPos val="b"/>
        <c:numFmt formatCode="General" sourceLinked="1"/>
        <c:majorTickMark val="out"/>
        <c:minorTickMark val="none"/>
        <c:tickLblPos val="nextTo"/>
        <c:crossAx val="1049177112"/>
        <c:crosses val="autoZero"/>
        <c:crossBetween val="midCat"/>
      </c:valAx>
      <c:valAx>
        <c:axId val="1049177112"/>
        <c:scaling>
          <c:orientation val="minMax"/>
        </c:scaling>
        <c:delete val="0"/>
        <c:axPos val="l"/>
        <c:majorGridlines/>
        <c:numFmt formatCode="General" sourceLinked="1"/>
        <c:majorTickMark val="out"/>
        <c:minorTickMark val="none"/>
        <c:tickLblPos val="nextTo"/>
        <c:crossAx val="104918573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 (g/veh-hr)</a:t>
            </a:r>
          </a:p>
        </c:rich>
      </c:tx>
      <c:overlay val="0"/>
    </c:title>
    <c:autoTitleDeleted val="0"/>
    <c:plotArea>
      <c:layout/>
      <c:scatterChart>
        <c:scatterStyle val="lineMarker"/>
        <c:varyColors val="0"/>
        <c:ser>
          <c:idx val="0"/>
          <c:order val="0"/>
          <c:tx>
            <c:v>CO</c:v>
          </c:tx>
          <c:spPr>
            <a:ln w="28575">
              <a:noFill/>
            </a:ln>
          </c:spPr>
          <c:xVal>
            <c:numLit>
              <c:formatCode>General</c:formatCode>
              <c:ptCount val="2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numLit>
          </c:xVal>
          <c:yVal>
            <c:numLit>
              <c:formatCode>General</c:formatCode>
              <c:ptCount val="26"/>
              <c:pt idx="0">
                <c:v>18.791840593749999</c:v>
              </c:pt>
              <c:pt idx="1">
                <c:v>16.70783896875</c:v>
              </c:pt>
              <c:pt idx="2">
                <c:v>14.524071093749999</c:v>
              </c:pt>
              <c:pt idx="3">
                <c:v>13.149935875000001</c:v>
              </c:pt>
              <c:pt idx="4">
                <c:v>11.959315193749999</c:v>
              </c:pt>
              <c:pt idx="5">
                <c:v>10.994056165624999</c:v>
              </c:pt>
              <c:pt idx="6">
                <c:v>10.092665378125002</c:v>
              </c:pt>
              <c:pt idx="7">
                <c:v>9.3239720531250008</c:v>
              </c:pt>
              <c:pt idx="8">
                <c:v>8.6116490250000002</c:v>
              </c:pt>
              <c:pt idx="9">
                <c:v>7.9501571374999997</c:v>
              </c:pt>
              <c:pt idx="10">
                <c:v>7.2914922281250005</c:v>
              </c:pt>
              <c:pt idx="11">
                <c:v>6.6954902843749995</c:v>
              </c:pt>
              <c:pt idx="12">
                <c:v>6.1439889437499993</c:v>
              </c:pt>
              <c:pt idx="13">
                <c:v>5.6225385562499994</c:v>
              </c:pt>
              <c:pt idx="14">
                <c:v>5.1523312374999994</c:v>
              </c:pt>
              <c:pt idx="15">
                <c:v>4.7428906937499997</c:v>
              </c:pt>
              <c:pt idx="16">
                <c:v>4.4100473937500002</c:v>
              </c:pt>
              <c:pt idx="17">
                <c:v>4.1095580968750003</c:v>
              </c:pt>
              <c:pt idx="18">
                <c:v>3.8537244749999999</c:v>
              </c:pt>
              <c:pt idx="19">
                <c:v>3.6370189906250001</c:v>
              </c:pt>
              <c:pt idx="20">
                <c:v>3.4588767218749998</c:v>
              </c:pt>
              <c:pt idx="21">
                <c:v>3.3158016218750004</c:v>
              </c:pt>
              <c:pt idx="22">
                <c:v>3.1908961593750003</c:v>
              </c:pt>
              <c:pt idx="23">
                <c:v>3.0890128984374998</c:v>
              </c:pt>
              <c:pt idx="24">
                <c:v>3.004322625625</c:v>
              </c:pt>
              <c:pt idx="25">
                <c:v>2.9353498378124998</c:v>
              </c:pt>
            </c:numLit>
          </c:yVal>
          <c:smooth val="0"/>
          <c:extLst>
            <c:ext xmlns:c16="http://schemas.microsoft.com/office/drawing/2014/chart" uri="{C3380CC4-5D6E-409C-BE32-E72D297353CC}">
              <c16:uniqueId val="{00000000-1C50-4F33-BCBC-65411C672FDE}"/>
            </c:ext>
          </c:extLst>
        </c:ser>
        <c:dLbls>
          <c:showLegendKey val="0"/>
          <c:showVal val="0"/>
          <c:showCatName val="0"/>
          <c:showSerName val="0"/>
          <c:showPercent val="0"/>
          <c:showBubbleSize val="0"/>
        </c:dLbls>
        <c:axId val="1049184168"/>
        <c:axId val="1049184560"/>
      </c:scatterChart>
      <c:valAx>
        <c:axId val="1049184168"/>
        <c:scaling>
          <c:orientation val="minMax"/>
        </c:scaling>
        <c:delete val="0"/>
        <c:axPos val="b"/>
        <c:numFmt formatCode="General" sourceLinked="1"/>
        <c:majorTickMark val="out"/>
        <c:minorTickMark val="none"/>
        <c:tickLblPos val="nextTo"/>
        <c:crossAx val="1049184560"/>
        <c:crosses val="autoZero"/>
        <c:crossBetween val="midCat"/>
      </c:valAx>
      <c:valAx>
        <c:axId val="1049184560"/>
        <c:scaling>
          <c:orientation val="minMax"/>
        </c:scaling>
        <c:delete val="0"/>
        <c:axPos val="l"/>
        <c:majorGridlines/>
        <c:numFmt formatCode="General" sourceLinked="1"/>
        <c:majorTickMark val="out"/>
        <c:minorTickMark val="none"/>
        <c:tickLblPos val="nextTo"/>
        <c:crossAx val="104918416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NOx </a:t>
            </a:r>
            <a:r>
              <a:rPr lang="en-US" sz="1800" b="1" i="0" baseline="0">
                <a:effectLst/>
              </a:rPr>
              <a:t>(g/veh-hr)</a:t>
            </a:r>
            <a:endParaRPr lang="en-US"/>
          </a:p>
        </c:rich>
      </c:tx>
      <c:overlay val="0"/>
    </c:title>
    <c:autoTitleDeleted val="0"/>
    <c:plotArea>
      <c:layout/>
      <c:scatterChart>
        <c:scatterStyle val="lineMarker"/>
        <c:varyColors val="0"/>
        <c:ser>
          <c:idx val="0"/>
          <c:order val="0"/>
          <c:tx>
            <c:v>Nox</c:v>
          </c:tx>
          <c:spPr>
            <a:ln w="28575">
              <a:noFill/>
            </a:ln>
          </c:spPr>
          <c:xVal>
            <c:numLit>
              <c:formatCode>General</c:formatCode>
              <c:ptCount val="2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numLit>
          </c:xVal>
          <c:yVal>
            <c:numLit>
              <c:formatCode>General</c:formatCode>
              <c:ptCount val="26"/>
              <c:pt idx="0">
                <c:v>4.5554842062500001</c:v>
              </c:pt>
              <c:pt idx="1">
                <c:v>4.1043599156250004</c:v>
              </c:pt>
              <c:pt idx="2">
                <c:v>3.4778576656249998</c:v>
              </c:pt>
              <c:pt idx="3">
                <c:v>3.0664332906250005</c:v>
              </c:pt>
              <c:pt idx="4">
                <c:v>2.7086886709375002</c:v>
              </c:pt>
              <c:pt idx="5">
                <c:v>2.3970119690625</c:v>
              </c:pt>
              <c:pt idx="6">
                <c:v>2.1335932759375003</c:v>
              </c:pt>
              <c:pt idx="7">
                <c:v>1.9099245065625001</c:v>
              </c:pt>
              <c:pt idx="8">
                <c:v>1.7184007640624999</c:v>
              </c:pt>
              <c:pt idx="9">
                <c:v>1.5489045765625</c:v>
              </c:pt>
              <c:pt idx="10">
                <c:v>1.4038208140624999</c:v>
              </c:pt>
              <c:pt idx="11">
                <c:v>1.2754494103125</c:v>
              </c:pt>
              <c:pt idx="12">
                <c:v>1.1618773681249999</c:v>
              </c:pt>
              <c:pt idx="13">
                <c:v>1.06064622875</c:v>
              </c:pt>
              <c:pt idx="14">
                <c:v>0.97783449999999994</c:v>
              </c:pt>
              <c:pt idx="15">
                <c:v>0.91273962218750004</c:v>
              </c:pt>
              <c:pt idx="16">
                <c:v>0.85768858437499995</c:v>
              </c:pt>
              <c:pt idx="17">
                <c:v>0.8119282846875</c:v>
              </c:pt>
              <c:pt idx="18">
                <c:v>0.77569245593750002</c:v>
              </c:pt>
              <c:pt idx="19">
                <c:v>0.75322646125000003</c:v>
              </c:pt>
              <c:pt idx="20">
                <c:v>0.73553527906250005</c:v>
              </c:pt>
              <c:pt idx="21">
                <c:v>0.72224678718750002</c:v>
              </c:pt>
              <c:pt idx="22">
                <c:v>0.71197466624999994</c:v>
              </c:pt>
              <c:pt idx="23">
                <c:v>0.70705801499999998</c:v>
              </c:pt>
              <c:pt idx="24">
                <c:v>0.70391669437499993</c:v>
              </c:pt>
              <c:pt idx="25">
                <c:v>0.70308883124999999</c:v>
              </c:pt>
            </c:numLit>
          </c:yVal>
          <c:smooth val="0"/>
          <c:extLst>
            <c:ext xmlns:c16="http://schemas.microsoft.com/office/drawing/2014/chart" uri="{C3380CC4-5D6E-409C-BE32-E72D297353CC}">
              <c16:uniqueId val="{00000000-888E-4B7C-83B3-135F83D9F9E9}"/>
            </c:ext>
          </c:extLst>
        </c:ser>
        <c:dLbls>
          <c:showLegendKey val="0"/>
          <c:showVal val="0"/>
          <c:showCatName val="0"/>
          <c:showSerName val="0"/>
          <c:showPercent val="0"/>
          <c:showBubbleSize val="0"/>
        </c:dLbls>
        <c:axId val="1049181424"/>
        <c:axId val="1049187696"/>
      </c:scatterChart>
      <c:valAx>
        <c:axId val="1049181424"/>
        <c:scaling>
          <c:orientation val="minMax"/>
        </c:scaling>
        <c:delete val="0"/>
        <c:axPos val="b"/>
        <c:numFmt formatCode="General" sourceLinked="1"/>
        <c:majorTickMark val="out"/>
        <c:minorTickMark val="none"/>
        <c:tickLblPos val="nextTo"/>
        <c:crossAx val="1049187696"/>
        <c:crosses val="autoZero"/>
        <c:crossBetween val="midCat"/>
      </c:valAx>
      <c:valAx>
        <c:axId val="1049187696"/>
        <c:scaling>
          <c:orientation val="minMax"/>
        </c:scaling>
        <c:delete val="0"/>
        <c:axPos val="l"/>
        <c:majorGridlines/>
        <c:numFmt formatCode="General" sourceLinked="1"/>
        <c:majorTickMark val="out"/>
        <c:minorTickMark val="none"/>
        <c:tickLblPos val="nextTo"/>
        <c:crossAx val="104918142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tmp"/></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image" Target="../media/image5.emf"/></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381000</xdr:colOff>
      <xdr:row>7</xdr:row>
      <xdr:rowOff>123825</xdr:rowOff>
    </xdr:from>
    <xdr:to>
      <xdr:col>7</xdr:col>
      <xdr:colOff>31750</xdr:colOff>
      <xdr:row>10</xdr:row>
      <xdr:rowOff>116417</xdr:rowOff>
    </xdr:to>
    <xdr:sp macro="" textlink="">
      <xdr:nvSpPr>
        <xdr:cNvPr id="3" name="Freeform 2">
          <a:extLst>
            <a:ext uri="{FF2B5EF4-FFF2-40B4-BE49-F238E27FC236}">
              <a16:creationId xmlns:a16="http://schemas.microsoft.com/office/drawing/2014/main" id="{00000000-0008-0000-0000-000003000000}"/>
            </a:ext>
          </a:extLst>
        </xdr:cNvPr>
        <xdr:cNvSpPr>
          <a:spLocks noChangeAspect="1" noEditPoints="1"/>
        </xdr:cNvSpPr>
      </xdr:nvSpPr>
      <xdr:spPr bwMode="auto">
        <a:xfrm>
          <a:off x="4508500" y="1594908"/>
          <a:ext cx="1068917" cy="532342"/>
        </a:xfrm>
        <a:custGeom>
          <a:avLst/>
          <a:gdLst>
            <a:gd name="T0" fmla="*/ 693 w 1044"/>
            <a:gd name="T1" fmla="*/ 280 h 576"/>
            <a:gd name="T2" fmla="*/ 693 w 1044"/>
            <a:gd name="T3" fmla="*/ 280 h 576"/>
            <a:gd name="T4" fmla="*/ 413 w 1044"/>
            <a:gd name="T5" fmla="*/ 561 h 576"/>
            <a:gd name="T6" fmla="*/ 347 w 1044"/>
            <a:gd name="T7" fmla="*/ 561 h 576"/>
            <a:gd name="T8" fmla="*/ 347 w 1044"/>
            <a:gd name="T9" fmla="*/ 455 h 576"/>
            <a:gd name="T10" fmla="*/ 413 w 1044"/>
            <a:gd name="T11" fmla="*/ 455 h 576"/>
            <a:gd name="T12" fmla="*/ 588 w 1044"/>
            <a:gd name="T13" fmla="*/ 280 h 576"/>
            <a:gd name="T14" fmla="*/ 413 w 1044"/>
            <a:gd name="T15" fmla="*/ 105 h 576"/>
            <a:gd name="T16" fmla="*/ 347 w 1044"/>
            <a:gd name="T17" fmla="*/ 105 h 576"/>
            <a:gd name="T18" fmla="*/ 347 w 1044"/>
            <a:gd name="T19" fmla="*/ 0 h 576"/>
            <a:gd name="T20" fmla="*/ 413 w 1044"/>
            <a:gd name="T21" fmla="*/ 0 h 576"/>
            <a:gd name="T22" fmla="*/ 693 w 1044"/>
            <a:gd name="T23" fmla="*/ 280 h 576"/>
            <a:gd name="T24" fmla="*/ 693 w 1044"/>
            <a:gd name="T25" fmla="*/ 280 h 576"/>
            <a:gd name="T26" fmla="*/ 693 w 1044"/>
            <a:gd name="T27" fmla="*/ 280 h 576"/>
            <a:gd name="T28" fmla="*/ 693 w 1044"/>
            <a:gd name="T29" fmla="*/ 280 h 576"/>
            <a:gd name="T30" fmla="*/ 693 w 1044"/>
            <a:gd name="T31" fmla="*/ 101 h 576"/>
            <a:gd name="T32" fmla="*/ 820 w 1044"/>
            <a:gd name="T33" fmla="*/ 101 h 576"/>
            <a:gd name="T34" fmla="*/ 902 w 1044"/>
            <a:gd name="T35" fmla="*/ 127 h 576"/>
            <a:gd name="T36" fmla="*/ 928 w 1044"/>
            <a:gd name="T37" fmla="*/ 191 h 576"/>
            <a:gd name="T38" fmla="*/ 825 w 1044"/>
            <a:gd name="T39" fmla="*/ 281 h 576"/>
            <a:gd name="T40" fmla="*/ 793 w 1044"/>
            <a:gd name="T41" fmla="*/ 281 h 576"/>
            <a:gd name="T42" fmla="*/ 756 w 1044"/>
            <a:gd name="T43" fmla="*/ 361 h 576"/>
            <a:gd name="T44" fmla="*/ 963 w 1044"/>
            <a:gd name="T45" fmla="*/ 576 h 576"/>
            <a:gd name="T46" fmla="*/ 1044 w 1044"/>
            <a:gd name="T47" fmla="*/ 508 h 576"/>
            <a:gd name="T48" fmla="*/ 897 w 1044"/>
            <a:gd name="T49" fmla="*/ 360 h 576"/>
            <a:gd name="T50" fmla="*/ 1033 w 1044"/>
            <a:gd name="T51" fmla="*/ 193 h 576"/>
            <a:gd name="T52" fmla="*/ 975 w 1044"/>
            <a:gd name="T53" fmla="*/ 50 h 576"/>
            <a:gd name="T54" fmla="*/ 812 w 1044"/>
            <a:gd name="T55" fmla="*/ 0 h 576"/>
            <a:gd name="T56" fmla="*/ 693 w 1044"/>
            <a:gd name="T57" fmla="*/ 0 h 576"/>
            <a:gd name="T58" fmla="*/ 693 w 1044"/>
            <a:gd name="T59" fmla="*/ 101 h 576"/>
            <a:gd name="T60" fmla="*/ 350 w 1044"/>
            <a:gd name="T61" fmla="*/ 224 h 576"/>
            <a:gd name="T62" fmla="*/ 114 w 1044"/>
            <a:gd name="T63" fmla="*/ 224 h 576"/>
            <a:gd name="T64" fmla="*/ 114 w 1044"/>
            <a:gd name="T65" fmla="*/ 0 h 576"/>
            <a:gd name="T66" fmla="*/ 0 w 1044"/>
            <a:gd name="T67" fmla="*/ 0 h 576"/>
            <a:gd name="T68" fmla="*/ 0 w 1044"/>
            <a:gd name="T69" fmla="*/ 561 h 576"/>
            <a:gd name="T70" fmla="*/ 114 w 1044"/>
            <a:gd name="T71" fmla="*/ 561 h 576"/>
            <a:gd name="T72" fmla="*/ 114 w 1044"/>
            <a:gd name="T73" fmla="*/ 336 h 576"/>
            <a:gd name="T74" fmla="*/ 350 w 1044"/>
            <a:gd name="T75" fmla="*/ 336 h 576"/>
            <a:gd name="T76" fmla="*/ 350 w 1044"/>
            <a:gd name="T77" fmla="*/ 224 h 57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Lst>
          <a:rect l="0" t="0" r="r" b="b"/>
          <a:pathLst>
            <a:path w="1044" h="576">
              <a:moveTo>
                <a:pt x="693" y="280"/>
              </a:moveTo>
              <a:cubicBezTo>
                <a:pt x="693" y="280"/>
                <a:pt x="693" y="280"/>
                <a:pt x="693" y="280"/>
              </a:cubicBezTo>
              <a:cubicBezTo>
                <a:pt x="693" y="442"/>
                <a:pt x="575" y="561"/>
                <a:pt x="413" y="561"/>
              </a:cubicBezTo>
              <a:cubicBezTo>
                <a:pt x="347" y="561"/>
                <a:pt x="347" y="561"/>
                <a:pt x="347" y="561"/>
              </a:cubicBezTo>
              <a:cubicBezTo>
                <a:pt x="347" y="455"/>
                <a:pt x="347" y="455"/>
                <a:pt x="347" y="455"/>
              </a:cubicBezTo>
              <a:cubicBezTo>
                <a:pt x="413" y="455"/>
                <a:pt x="413" y="455"/>
                <a:pt x="413" y="455"/>
              </a:cubicBezTo>
              <a:cubicBezTo>
                <a:pt x="516" y="455"/>
                <a:pt x="588" y="383"/>
                <a:pt x="588" y="280"/>
              </a:cubicBezTo>
              <a:cubicBezTo>
                <a:pt x="588" y="177"/>
                <a:pt x="516" y="105"/>
                <a:pt x="413" y="105"/>
              </a:cubicBezTo>
              <a:cubicBezTo>
                <a:pt x="347" y="105"/>
                <a:pt x="347" y="105"/>
                <a:pt x="347" y="105"/>
              </a:cubicBezTo>
              <a:cubicBezTo>
                <a:pt x="347" y="0"/>
                <a:pt x="347" y="0"/>
                <a:pt x="347" y="0"/>
              </a:cubicBezTo>
              <a:cubicBezTo>
                <a:pt x="413" y="0"/>
                <a:pt x="413" y="0"/>
                <a:pt x="413" y="0"/>
              </a:cubicBezTo>
              <a:cubicBezTo>
                <a:pt x="575" y="0"/>
                <a:pt x="693" y="118"/>
                <a:pt x="693" y="280"/>
              </a:cubicBezTo>
              <a:cubicBezTo>
                <a:pt x="693" y="280"/>
                <a:pt x="693" y="280"/>
                <a:pt x="693" y="280"/>
              </a:cubicBezTo>
              <a:cubicBezTo>
                <a:pt x="693" y="280"/>
                <a:pt x="693" y="280"/>
                <a:pt x="693" y="280"/>
              </a:cubicBezTo>
              <a:cubicBezTo>
                <a:pt x="693" y="280"/>
                <a:pt x="693" y="280"/>
                <a:pt x="693" y="280"/>
              </a:cubicBezTo>
              <a:close/>
              <a:moveTo>
                <a:pt x="693" y="101"/>
              </a:moveTo>
              <a:cubicBezTo>
                <a:pt x="820" y="101"/>
                <a:pt x="820" y="101"/>
                <a:pt x="820" y="101"/>
              </a:cubicBezTo>
              <a:cubicBezTo>
                <a:pt x="858" y="101"/>
                <a:pt x="884" y="109"/>
                <a:pt x="902" y="127"/>
              </a:cubicBezTo>
              <a:cubicBezTo>
                <a:pt x="919" y="144"/>
                <a:pt x="928" y="166"/>
                <a:pt x="928" y="191"/>
              </a:cubicBezTo>
              <a:cubicBezTo>
                <a:pt x="928" y="247"/>
                <a:pt x="879" y="281"/>
                <a:pt x="825" y="281"/>
              </a:cubicBezTo>
              <a:cubicBezTo>
                <a:pt x="793" y="281"/>
                <a:pt x="793" y="281"/>
                <a:pt x="793" y="281"/>
              </a:cubicBezTo>
              <a:cubicBezTo>
                <a:pt x="756" y="361"/>
                <a:pt x="756" y="361"/>
                <a:pt x="756" y="361"/>
              </a:cubicBezTo>
              <a:cubicBezTo>
                <a:pt x="963" y="576"/>
                <a:pt x="963" y="576"/>
                <a:pt x="963" y="576"/>
              </a:cubicBezTo>
              <a:cubicBezTo>
                <a:pt x="1044" y="508"/>
                <a:pt x="1044" y="508"/>
                <a:pt x="1044" y="508"/>
              </a:cubicBezTo>
              <a:cubicBezTo>
                <a:pt x="897" y="360"/>
                <a:pt x="897" y="360"/>
                <a:pt x="897" y="360"/>
              </a:cubicBezTo>
              <a:cubicBezTo>
                <a:pt x="978" y="345"/>
                <a:pt x="1033" y="271"/>
                <a:pt x="1033" y="193"/>
              </a:cubicBezTo>
              <a:cubicBezTo>
                <a:pt x="1033" y="135"/>
                <a:pt x="1017" y="90"/>
                <a:pt x="975" y="50"/>
              </a:cubicBezTo>
              <a:cubicBezTo>
                <a:pt x="932" y="10"/>
                <a:pt x="884" y="0"/>
                <a:pt x="812" y="0"/>
              </a:cubicBezTo>
              <a:cubicBezTo>
                <a:pt x="693" y="0"/>
                <a:pt x="693" y="0"/>
                <a:pt x="693" y="0"/>
              </a:cubicBezTo>
              <a:lnTo>
                <a:pt x="693" y="101"/>
              </a:lnTo>
              <a:close/>
              <a:moveTo>
                <a:pt x="350" y="224"/>
              </a:moveTo>
              <a:cubicBezTo>
                <a:pt x="114" y="224"/>
                <a:pt x="114" y="224"/>
                <a:pt x="114" y="224"/>
              </a:cubicBezTo>
              <a:cubicBezTo>
                <a:pt x="114" y="0"/>
                <a:pt x="114" y="0"/>
                <a:pt x="114" y="0"/>
              </a:cubicBezTo>
              <a:cubicBezTo>
                <a:pt x="0" y="0"/>
                <a:pt x="0" y="0"/>
                <a:pt x="0" y="0"/>
              </a:cubicBezTo>
              <a:cubicBezTo>
                <a:pt x="0" y="561"/>
                <a:pt x="0" y="561"/>
                <a:pt x="0" y="561"/>
              </a:cubicBezTo>
              <a:cubicBezTo>
                <a:pt x="114" y="561"/>
                <a:pt x="114" y="561"/>
                <a:pt x="114" y="561"/>
              </a:cubicBezTo>
              <a:cubicBezTo>
                <a:pt x="114" y="336"/>
                <a:pt x="114" y="336"/>
                <a:pt x="114" y="336"/>
              </a:cubicBezTo>
              <a:cubicBezTo>
                <a:pt x="350" y="336"/>
                <a:pt x="350" y="336"/>
                <a:pt x="350" y="336"/>
              </a:cubicBezTo>
              <a:lnTo>
                <a:pt x="350" y="224"/>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a:ln>
              <a:noFill/>
            </a:ln>
            <a:solidFill>
              <a:sysClr val="windowText" lastClr="000000"/>
            </a:solidFill>
            <a:effectLst/>
            <a:uLnTx/>
            <a:uFillTx/>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176528</xdr:colOff>
      <xdr:row>2</xdr:row>
      <xdr:rowOff>118534</xdr:rowOff>
    </xdr:from>
    <xdr:to>
      <xdr:col>11</xdr:col>
      <xdr:colOff>110065</xdr:colOff>
      <xdr:row>33</xdr:row>
      <xdr:rowOff>55034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367030</xdr:colOff>
      <xdr:row>2</xdr:row>
      <xdr:rowOff>10583</xdr:rowOff>
    </xdr:from>
    <xdr:to>
      <xdr:col>20</xdr:col>
      <xdr:colOff>434340</xdr:colOff>
      <xdr:row>32</xdr:row>
      <xdr:rowOff>93132</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15</xdr:col>
      <xdr:colOff>221985</xdr:colOff>
      <xdr:row>4</xdr:row>
      <xdr:rowOff>16226</xdr:rowOff>
    </xdr:from>
    <xdr:to>
      <xdr:col>27</xdr:col>
      <xdr:colOff>377406</xdr:colOff>
      <xdr:row>30</xdr:row>
      <xdr:rowOff>128248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9238985" y="545393"/>
          <a:ext cx="8114088" cy="4698133"/>
        </a:xfrm>
        <a:prstGeom prst="rect">
          <a:avLst/>
        </a:prstGeom>
      </xdr:spPr>
    </xdr:pic>
    <xdr:clientData/>
  </xdr:twoCellAnchor>
  <xdr:twoCellAnchor editAs="oneCell">
    <xdr:from>
      <xdr:col>15</xdr:col>
      <xdr:colOff>91722</xdr:colOff>
      <xdr:row>33</xdr:row>
      <xdr:rowOff>166217</xdr:rowOff>
    </xdr:from>
    <xdr:to>
      <xdr:col>25</xdr:col>
      <xdr:colOff>477706</xdr:colOff>
      <xdr:row>58</xdr:row>
      <xdr:rowOff>20199</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8918222" y="5810661"/>
          <a:ext cx="7018206" cy="42637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809622</xdr:colOff>
      <xdr:row>18</xdr:row>
      <xdr:rowOff>166688</xdr:rowOff>
    </xdr:from>
    <xdr:to>
      <xdr:col>15</xdr:col>
      <xdr:colOff>488153</xdr:colOff>
      <xdr:row>45</xdr:row>
      <xdr:rowOff>40669</xdr:rowOff>
    </xdr:to>
    <xdr:pic>
      <xdr:nvPicPr>
        <xdr:cNvPr id="3" name="Picture 2">
          <a:extLst>
            <a:ext uri="{FF2B5EF4-FFF2-40B4-BE49-F238E27FC236}">
              <a16:creationId xmlns:a16="http://schemas.microsoft.com/office/drawing/2014/main" id="{D8C33A24-9B1F-5059-55E3-1F9CC5FA4E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70653" y="3536157"/>
          <a:ext cx="3464719" cy="4803168"/>
        </a:xfrm>
        <a:prstGeom prst="rect">
          <a:avLst/>
        </a:prstGeom>
      </xdr:spPr>
    </xdr:pic>
    <xdr:clientData/>
  </xdr:twoCellAnchor>
  <xdr:twoCellAnchor editAs="oneCell">
    <xdr:from>
      <xdr:col>10</xdr:col>
      <xdr:colOff>976313</xdr:colOff>
      <xdr:row>55</xdr:row>
      <xdr:rowOff>130968</xdr:rowOff>
    </xdr:from>
    <xdr:to>
      <xdr:col>17</xdr:col>
      <xdr:colOff>417590</xdr:colOff>
      <xdr:row>86</xdr:row>
      <xdr:rowOff>91254</xdr:rowOff>
    </xdr:to>
    <xdr:pic>
      <xdr:nvPicPr>
        <xdr:cNvPr id="4" name="Picture 3">
          <a:extLst>
            <a:ext uri="{FF2B5EF4-FFF2-40B4-BE49-F238E27FC236}">
              <a16:creationId xmlns:a16="http://schemas.microsoft.com/office/drawing/2014/main" id="{070A3945-EA4C-9C0B-EE7D-4315E1EE38A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584907" y="10215562"/>
          <a:ext cx="6239746" cy="54966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52</xdr:col>
      <xdr:colOff>314325</xdr:colOff>
      <xdr:row>3</xdr:row>
      <xdr:rowOff>104775</xdr:rowOff>
    </xdr:from>
    <xdr:to>
      <xdr:col>59</xdr:col>
      <xdr:colOff>409575</xdr:colOff>
      <xdr:row>17</xdr:row>
      <xdr:rowOff>180975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61</xdr:col>
      <xdr:colOff>47625</xdr:colOff>
      <xdr:row>3</xdr:row>
      <xdr:rowOff>114300</xdr:rowOff>
    </xdr:from>
    <xdr:to>
      <xdr:col>68</xdr:col>
      <xdr:colOff>352425</xdr:colOff>
      <xdr:row>18</xdr:row>
      <xdr:rowOff>0</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51</xdr:col>
      <xdr:colOff>314325</xdr:colOff>
      <xdr:row>3</xdr:row>
      <xdr:rowOff>104775</xdr:rowOff>
    </xdr:from>
    <xdr:to>
      <xdr:col>58</xdr:col>
      <xdr:colOff>409575</xdr:colOff>
      <xdr:row>17</xdr:row>
      <xdr:rowOff>180975</xdr:rowOff>
    </xdr:to>
    <xdr:graphicFrame macro="">
      <xdr:nvGraphicFramePr>
        <xdr:cNvPr id="6" name="Chart 5">
          <a:extLst>
            <a:ext uri="{FF2B5EF4-FFF2-40B4-BE49-F238E27FC236}">
              <a16:creationId xmlns:a16="http://schemas.microsoft.com/office/drawing/2014/main" id="{00000000-0008-0000-1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60</xdr:col>
      <xdr:colOff>47625</xdr:colOff>
      <xdr:row>3</xdr:row>
      <xdr:rowOff>114300</xdr:rowOff>
    </xdr:from>
    <xdr:to>
      <xdr:col>67</xdr:col>
      <xdr:colOff>352425</xdr:colOff>
      <xdr:row>18</xdr:row>
      <xdr:rowOff>0</xdr:rowOff>
    </xdr:to>
    <xdr:graphicFrame macro="">
      <xdr:nvGraphicFramePr>
        <xdr:cNvPr id="7" name="Chart 6">
          <a:extLst>
            <a:ext uri="{FF2B5EF4-FFF2-40B4-BE49-F238E27FC236}">
              <a16:creationId xmlns:a16="http://schemas.microsoft.com/office/drawing/2014/main" id="{00000000-0008-0000-1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375957</xdr:colOff>
      <xdr:row>14</xdr:row>
      <xdr:rowOff>17369</xdr:rowOff>
    </xdr:from>
    <xdr:to>
      <xdr:col>22</xdr:col>
      <xdr:colOff>472813</xdr:colOff>
      <xdr:row>29</xdr:row>
      <xdr:rowOff>76013</xdr:rowOff>
    </xdr:to>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027437" y="1937609"/>
          <a:ext cx="5479116" cy="314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34092</xdr:colOff>
      <xdr:row>4</xdr:row>
      <xdr:rowOff>13970</xdr:rowOff>
    </xdr:from>
    <xdr:to>
      <xdr:col>17</xdr:col>
      <xdr:colOff>331878</xdr:colOff>
      <xdr:row>39</xdr:row>
      <xdr:rowOff>37767</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stretch>
          <a:fillRect/>
        </a:stretch>
      </xdr:blipFill>
      <xdr:spPr>
        <a:xfrm>
          <a:off x="6803192" y="750570"/>
          <a:ext cx="4917411" cy="6246797"/>
        </a:xfrm>
        <a:prstGeom prst="rect">
          <a:avLst/>
        </a:prstGeom>
      </xdr:spPr>
    </xdr:pic>
    <xdr:clientData/>
  </xdr:twoCellAnchor>
  <xdr:twoCellAnchor editAs="oneCell">
    <xdr:from>
      <xdr:col>18</xdr:col>
      <xdr:colOff>226394</xdr:colOff>
      <xdr:row>4</xdr:row>
      <xdr:rowOff>7620</xdr:rowOff>
    </xdr:from>
    <xdr:to>
      <xdr:col>26</xdr:col>
      <xdr:colOff>126098</xdr:colOff>
      <xdr:row>36</xdr:row>
      <xdr:rowOff>6506</xdr:rowOff>
    </xdr:to>
    <xdr:pic>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2"/>
        <a:stretch>
          <a:fillRect/>
        </a:stretch>
      </xdr:blipFill>
      <xdr:spPr>
        <a:xfrm>
          <a:off x="12634294" y="718820"/>
          <a:ext cx="5179729" cy="568531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455083</xdr:colOff>
      <xdr:row>25</xdr:row>
      <xdr:rowOff>7621</xdr:rowOff>
    </xdr:from>
    <xdr:to>
      <xdr:col>8</xdr:col>
      <xdr:colOff>264583</xdr:colOff>
      <xdr:row>30</xdr:row>
      <xdr:rowOff>0</xdr:rowOff>
    </xdr:to>
    <xdr:sp macro="" textlink="">
      <xdr:nvSpPr>
        <xdr:cNvPr id="7" name="TextBox 6">
          <a:extLst>
            <a:ext uri="{FF2B5EF4-FFF2-40B4-BE49-F238E27FC236}">
              <a16:creationId xmlns:a16="http://schemas.microsoft.com/office/drawing/2014/main" id="{00000000-0008-0000-2000-000007000000}"/>
            </a:ext>
          </a:extLst>
        </xdr:cNvPr>
        <xdr:cNvSpPr txBox="1"/>
      </xdr:nvSpPr>
      <xdr:spPr>
        <a:xfrm>
          <a:off x="8530166" y="3330788"/>
          <a:ext cx="4000500" cy="6379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baseline="0">
              <a:solidFill>
                <a:sysClr val="windowText" lastClr="000000"/>
              </a:solidFill>
              <a:latin typeface="Arial" pitchFamily="34" charset="0"/>
              <a:ea typeface="+mn-ea"/>
              <a:cs typeface="Arial" pitchFamily="34" charset="0"/>
            </a:rPr>
            <a:t>* Surface figures apply to all combinations of in-vehicle and other transit time. Walk access, waiting, and transfer time in personal travel should be valued </a:t>
          </a:r>
          <a:r>
            <a:rPr lang="en-US" sz="900" b="1" baseline="0">
              <a:solidFill>
                <a:sysClr val="windowText" lastClr="000000"/>
              </a:solidFill>
              <a:latin typeface="Arial" pitchFamily="34" charset="0"/>
              <a:ea typeface="+mn-ea"/>
              <a:cs typeface="Arial" pitchFamily="34" charset="0"/>
            </a:rPr>
            <a:t>at $32.40 per hour </a:t>
          </a:r>
          <a:r>
            <a:rPr lang="en-US" sz="900" baseline="0">
              <a:solidFill>
                <a:sysClr val="windowText" lastClr="000000"/>
              </a:solidFill>
              <a:latin typeface="Arial" pitchFamily="34" charset="0"/>
              <a:ea typeface="+mn-ea"/>
              <a:cs typeface="Arial" pitchFamily="34" charset="0"/>
            </a:rPr>
            <a:t>for personal travel when actions affect only those elements of travel time. </a:t>
          </a:r>
        </a:p>
        <a:p>
          <a:endParaRPr lang="en-US" sz="900" baseline="0">
            <a:solidFill>
              <a:sysClr val="windowText" lastClr="000000"/>
            </a:solidFill>
            <a:latin typeface="Arial" pitchFamily="34" charset="0"/>
            <a:ea typeface="+mn-ea"/>
            <a:cs typeface="Arial" pitchFamily="34" charset="0"/>
          </a:endParaRPr>
        </a:p>
        <a:p>
          <a:r>
            <a:rPr lang="en-US" sz="900" baseline="0">
              <a:solidFill>
                <a:sysClr val="windowText" lastClr="000000"/>
              </a:solidFill>
              <a:latin typeface="Arial" pitchFamily="34" charset="0"/>
              <a:ea typeface="+mn-ea"/>
              <a:cs typeface="Arial" pitchFamily="34" charset="0"/>
            </a:rPr>
            <a:t>** These are weighted averages, using distributions of travel by trip purpose on various modes. Distribution for local travel by surface modes: 95.4% personal, 4.6% business. Distribution for intercity travel by conventional surface modes: 78.6% personal, 21.4% business. Distribution for intercity travel by air or high-speed rail: 59.6% personal, 40.4% business. Surface figures derived using annual person-miles of travel (PMT) data from the 2001 National Household Travel Survey. http://nhts.ornl.gov/. Air figures use person-trip data. </a:t>
          </a:r>
        </a:p>
        <a:p>
          <a:r>
            <a:rPr lang="en-US" sz="1100" baseline="0">
              <a:solidFill>
                <a:sysClr val="windowText" lastClr="000000"/>
              </a:solidFill>
              <a:latin typeface="Arial" pitchFamily="34" charset="0"/>
              <a:ea typeface="+mn-ea"/>
              <a:cs typeface="Arial" pitchFamily="34" charset="0"/>
            </a:rPr>
            <a:t>  </a:t>
          </a:r>
        </a:p>
        <a:p>
          <a:endParaRPr lang="en-US" sz="1100">
            <a:solidFill>
              <a:sysClr val="windowText" lastClr="000000"/>
            </a:solidFill>
            <a:latin typeface="Arial" pitchFamily="34" charset="0"/>
            <a:cs typeface="Arial"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Laber, Caitlin" id="{C772B9B7-720A-4926-AF97-7C833C5B688A}" userId="S::CLABER@hdrinc.com::6a260bfd-2bd2-4a38-8bec-ab1d01a0c0b0" providerId="AD"/>
  <person displayName="Alejandro" id="{48CA35CC-5547-4E04-86E4-AEA909944507}" userId="S::asolis@hdrinc.com::c85c0253-b517-48e6-bb00-63f502d8cbfe" providerId="AD"/>
</personList>
</file>

<file path=xl/theme/theme1.xml><?xml version="1.0" encoding="utf-8"?>
<a:theme xmlns:a="http://schemas.openxmlformats.org/drawingml/2006/main" name="HDR_WordTheme">
  <a:themeElements>
    <a:clrScheme name="HDR_WORD-BrandingBright">
      <a:dk1>
        <a:sysClr val="windowText" lastClr="000000"/>
      </a:dk1>
      <a:lt1>
        <a:sysClr val="window" lastClr="FFFFFF"/>
      </a:lt1>
      <a:dk2>
        <a:srgbClr val="54585A"/>
      </a:dk2>
      <a:lt2>
        <a:srgbClr val="A8A99E"/>
      </a:lt2>
      <a:accent1>
        <a:srgbClr val="4298B5"/>
      </a:accent1>
      <a:accent2>
        <a:srgbClr val="C8102E"/>
      </a:accent2>
      <a:accent3>
        <a:srgbClr val="CA005D"/>
      </a:accent3>
      <a:accent4>
        <a:srgbClr val="FF8200"/>
      </a:accent4>
      <a:accent5>
        <a:srgbClr val="FFC600"/>
      </a:accent5>
      <a:accent6>
        <a:srgbClr val="78BE20"/>
      </a:accent6>
      <a:hlink>
        <a:srgbClr val="00549F"/>
      </a:hlink>
      <a:folHlink>
        <a:srgbClr val="6B1F7C"/>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txDef>
      <a:spPr>
        <a:noFill/>
        <a:ln w="6350">
          <a:noFill/>
        </a:ln>
        <a:effectLst/>
      </a:spPr>
      <a:bodyPr wrap="square" rtlCol="0"/>
      <a:lstStyle/>
      <a:style>
        <a:lnRef idx="0">
          <a:schemeClr val="accent1"/>
        </a:lnRef>
        <a:fillRef idx="0">
          <a:schemeClr val="accent1"/>
        </a:fillRef>
        <a:effectRef idx="0">
          <a:schemeClr val="accent1"/>
        </a:effectRef>
        <a:fontRef idx="minor">
          <a:schemeClr val="dk1"/>
        </a:fontRef>
      </a:style>
    </a:tx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9" dT="2021-12-20T23:31:24.32" personId="{C772B9B7-720A-4926-AF97-7C833C5B688A}" id="{7431CFF5-42A1-48C0-9C88-7EF2D8559564}">
    <text>Hardcode values to match what is shown in the PDF (USDOT BCA Guidance)</text>
  </threadedComment>
</ThreadedComments>
</file>

<file path=xl/threadedComments/threadedComment2.xml><?xml version="1.0" encoding="utf-8"?>
<ThreadedComments xmlns="http://schemas.microsoft.com/office/spreadsheetml/2018/threadedcomments" xmlns:x="http://schemas.openxmlformats.org/spreadsheetml/2006/main">
  <threadedComment ref="C20" dT="2021-06-16T18:04:12.16" personId="{48CA35CC-5547-4E04-86E4-AEA909944507}" id="{74A420F8-5FD1-437A-B983-015D067731DC}">
    <text>Feb. 2021 USDOT guidance does not specify this value. Tony recommended using 2016 VOTT Guidance on shares and 2019 numbers to update these entries (see column with notes)</text>
  </threadedComment>
  <threadedComment ref="C21" dT="2021-06-16T18:04:39.26" personId="{48CA35CC-5547-4E04-86E4-AEA909944507}" id="{1B7BB5A0-E96C-49A8-86C1-C6BF5CCCF7FC}">
    <text>Feb. 2021 USDOT guidance does not specify this value. Tony recommended using 2016 VOTT Guidance on shares and 2019 numbers to update these entries (see column with notes)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5.bin"/><Relationship Id="rId1" Type="http://schemas.openxmlformats.org/officeDocument/2006/relationships/hyperlink" Target="https://www.epa.gov/moves"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transportation.gov/office-policy/transportation-policy/benefit-cost-analysis-guidance-discretionary-grant-programs-0" TargetMode="External"/><Relationship Id="rId7" Type="http://schemas.openxmlformats.org/officeDocument/2006/relationships/vmlDrawing" Target="../drawings/vmlDrawing1.vml"/><Relationship Id="rId2" Type="http://schemas.openxmlformats.org/officeDocument/2006/relationships/hyperlink" Target="https://www.nhtsa.gov/sites/nhtsa.dot.gov/files/documents/812429-hv_v2v_safetybenefits.pdf" TargetMode="External"/><Relationship Id="rId1" Type="http://schemas.openxmlformats.org/officeDocument/2006/relationships/hyperlink" Target="http://www.intrans.iastate.edu/reports/codes.pdf" TargetMode="External"/><Relationship Id="rId6" Type="http://schemas.openxmlformats.org/officeDocument/2006/relationships/drawing" Target="../drawings/drawing6.xml"/><Relationship Id="rId5" Type="http://schemas.openxmlformats.org/officeDocument/2006/relationships/printerSettings" Target="../printerSettings/printerSettings17.bin"/><Relationship Id="rId4" Type="http://schemas.openxmlformats.org/officeDocument/2006/relationships/hyperlink" Target="https://www.transportation.gov/office-policy/transportation-policy/revised-departmental-guidance-on-valuation-of-a-statistical-life-in-economic-analysis" TargetMode="External"/><Relationship Id="rId9" Type="http://schemas.microsoft.com/office/2017/10/relationships/threadedComment" Target="../threadedComments/threadedComment1.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3" Type="http://schemas.openxmlformats.org/officeDocument/2006/relationships/hyperlink" Target="https://www.whitehouse.gov/wp%02content/uploads/2021/02/TechnicalSuppor%20tDocument_SocialCostofCarbonMethane%20NitrousOxide.pdf" TargetMode="External"/><Relationship Id="rId2" Type="http://schemas.openxmlformats.org/officeDocument/2006/relationships/hyperlink" Target="https://www.epa.gov/energy/greenhouse-gases-equivalencies-calculator-calculations-and-references" TargetMode="External"/><Relationship Id="rId1" Type="http://schemas.openxmlformats.org/officeDocument/2006/relationships/hyperlink" Target="https://www.epa.gov/sites/default/files/2018-02/documents/sourceapportionmentbpttsd_2018.pdf" TargetMode="External"/><Relationship Id="rId4"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fhwa.dot.gov/policy/otps/costallocation.cfm" TargetMode="External"/><Relationship Id="rId1" Type="http://schemas.openxmlformats.org/officeDocument/2006/relationships/hyperlink" Target="https://www.fhwa.dot.gov/policy/otps/costallocation.cfm" TargetMode="Externa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0.bin"/><Relationship Id="rId7" Type="http://schemas.microsoft.com/office/2017/10/relationships/threadedComment" Target="../threadedComments/threadedComment2.xml"/><Relationship Id="rId2" Type="http://schemas.openxmlformats.org/officeDocument/2006/relationships/hyperlink" Target="https://www.transportation.gov/office-policy/transportation-policy/revised-departmental-guidance-valuation-travel-time-economic" TargetMode="External"/><Relationship Id="rId1" Type="http://schemas.openxmlformats.org/officeDocument/2006/relationships/hyperlink" Target="https://mobility.tamu.edu/ums/report/"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drawing" Target="../drawings/drawing8.xml"/></Relationships>
</file>

<file path=xl/worksheets/_rels/sheet25.xml.rels><?xml version="1.0" encoding="UTF-8" standalone="yes"?>
<Relationships xmlns="http://schemas.openxmlformats.org/package/2006/relationships"><Relationship Id="rId3" Type="http://schemas.openxmlformats.org/officeDocument/2006/relationships/hyperlink" Target="https://www.bls.gov/web/eci/eci-constant-real-dollar.pdf" TargetMode="External"/><Relationship Id="rId7" Type="http://schemas.openxmlformats.org/officeDocument/2006/relationships/comments" Target="../comments3.xml"/><Relationship Id="rId2" Type="http://schemas.openxmlformats.org/officeDocument/2006/relationships/hyperlink" Target="https://www.bls.gov/cpi/" TargetMode="External"/><Relationship Id="rId1" Type="http://schemas.openxmlformats.org/officeDocument/2006/relationships/hyperlink" Target="https://www.bls.gov/ppi/" TargetMode="External"/><Relationship Id="rId6" Type="http://schemas.openxmlformats.org/officeDocument/2006/relationships/vmlDrawing" Target="../drawings/vmlDrawing3.vml"/><Relationship Id="rId5" Type="http://schemas.openxmlformats.org/officeDocument/2006/relationships/printerSettings" Target="../printerSettings/printerSettings21.bin"/><Relationship Id="rId4" Type="http://schemas.openxmlformats.org/officeDocument/2006/relationships/hyperlink" Target="https://apps.bea.gov/iTable/?reqid=19&amp;step=3&amp;isuri=1&amp;1921=survey&amp;1903=13"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22.bin"/><Relationship Id="rId1" Type="http://schemas.openxmlformats.org/officeDocument/2006/relationships/hyperlink" Target="https://www.bts.gov/content/average-freight-revenue-ton-mile" TargetMode="External"/><Relationship Id="rId4" Type="http://schemas.openxmlformats.org/officeDocument/2006/relationships/comments" Target="../comments4.xml"/></Relationships>
</file>

<file path=xl/worksheets/_rels/sheet27.xml.rels><?xml version="1.0" encoding="UTF-8" standalone="yes"?>
<Relationships xmlns="http://schemas.openxmlformats.org/package/2006/relationships"><Relationship Id="rId1" Type="http://schemas.openxmlformats.org/officeDocument/2006/relationships/hyperlink" Target="http://www.eia.gov/forecasts/aeo/index.cf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M35"/>
  <sheetViews>
    <sheetView zoomScale="90" zoomScaleNormal="90" workbookViewId="0">
      <selection activeCell="M20" sqref="M20"/>
    </sheetView>
  </sheetViews>
  <sheetFormatPr defaultColWidth="0" defaultRowHeight="15" customHeight="1" zeroHeight="1"/>
  <cols>
    <col min="1" max="1" width="4.75" customWidth="1"/>
    <col min="2" max="2" width="13.125" customWidth="1"/>
    <col min="3" max="3" width="13.625" customWidth="1"/>
    <col min="4" max="4" width="10.625" customWidth="1"/>
    <col min="5" max="5" width="12" customWidth="1"/>
    <col min="6" max="8" width="9.25" customWidth="1"/>
    <col min="9" max="9" width="11.75" customWidth="1"/>
    <col min="10" max="10" width="12.375" customWidth="1"/>
    <col min="11" max="11" width="12.25" customWidth="1"/>
    <col min="12" max="12" width="8.375" customWidth="1"/>
    <col min="13" max="13" width="9.5" customWidth="1"/>
    <col min="14" max="16384" width="8.375" hidden="1"/>
  </cols>
  <sheetData>
    <row r="1" spans="1:13" ht="14.25">
      <c r="A1" s="61"/>
      <c r="B1" s="61"/>
      <c r="C1" s="61"/>
      <c r="D1" s="61"/>
      <c r="E1" s="61"/>
      <c r="F1" s="61"/>
      <c r="G1" s="61"/>
      <c r="H1" s="61"/>
      <c r="I1" s="61"/>
      <c r="J1" s="61"/>
      <c r="K1" s="61"/>
      <c r="L1" s="61"/>
      <c r="M1" s="61"/>
    </row>
    <row r="2" spans="1:13" ht="18">
      <c r="A2" s="61"/>
      <c r="B2" s="1240"/>
      <c r="C2" s="1241"/>
      <c r="D2" s="1241"/>
      <c r="E2" s="1241"/>
      <c r="F2" s="1241"/>
      <c r="G2" s="1241"/>
      <c r="H2" s="1241"/>
      <c r="I2" s="1241"/>
      <c r="J2" s="1241"/>
      <c r="K2" s="1241"/>
      <c r="L2" s="1241"/>
      <c r="M2" s="61"/>
    </row>
    <row r="3" spans="1:13" ht="14.25">
      <c r="A3" s="61"/>
      <c r="B3" s="61"/>
      <c r="C3" s="61"/>
      <c r="D3" s="61"/>
      <c r="E3" s="61"/>
      <c r="F3" s="61"/>
      <c r="G3" s="61"/>
      <c r="H3" s="61"/>
      <c r="I3" s="61"/>
      <c r="J3" s="61"/>
      <c r="K3" s="61"/>
      <c r="L3" s="61"/>
      <c r="M3" s="61"/>
    </row>
    <row r="4" spans="1:13" ht="18">
      <c r="A4" s="61"/>
      <c r="B4" s="1243" t="s">
        <v>0</v>
      </c>
      <c r="C4" s="1243"/>
      <c r="D4" s="1243"/>
      <c r="E4" s="1243"/>
      <c r="F4" s="1243"/>
      <c r="G4" s="1243"/>
      <c r="H4" s="1243"/>
      <c r="I4" s="1243"/>
      <c r="J4" s="1243"/>
      <c r="K4" s="1243"/>
      <c r="L4" s="1243"/>
      <c r="M4" s="61"/>
    </row>
    <row r="5" spans="1:13" ht="18">
      <c r="A5" s="61"/>
      <c r="B5" s="1244" t="s">
        <v>1</v>
      </c>
      <c r="C5" s="1244"/>
      <c r="D5" s="1244"/>
      <c r="E5" s="1244"/>
      <c r="F5" s="1244"/>
      <c r="G5" s="1244"/>
      <c r="H5" s="1244"/>
      <c r="I5" s="1244"/>
      <c r="J5" s="1244"/>
      <c r="K5" s="1244"/>
      <c r="L5" s="1244"/>
      <c r="M5" s="61"/>
    </row>
    <row r="6" spans="1:13" ht="18">
      <c r="A6" s="61"/>
      <c r="B6" s="1244">
        <v>45436</v>
      </c>
      <c r="C6" s="1244"/>
      <c r="D6" s="1244"/>
      <c r="E6" s="1244"/>
      <c r="F6" s="1244"/>
      <c r="G6" s="1244"/>
      <c r="H6" s="1244"/>
      <c r="I6" s="1244"/>
      <c r="J6" s="1244"/>
      <c r="K6" s="1244"/>
      <c r="L6" s="1244"/>
      <c r="M6" s="61"/>
    </row>
    <row r="7" spans="1:13" ht="14.25">
      <c r="A7" s="61"/>
      <c r="B7" s="61"/>
      <c r="C7" s="61"/>
      <c r="D7" s="61"/>
      <c r="E7" s="61"/>
      <c r="F7" s="61"/>
      <c r="G7" s="61"/>
      <c r="H7" s="61"/>
      <c r="I7" s="61"/>
      <c r="J7" s="61"/>
      <c r="K7" s="61"/>
      <c r="L7" s="61"/>
      <c r="M7" s="61"/>
    </row>
    <row r="8" spans="1:13" ht="14.25">
      <c r="A8" s="61"/>
      <c r="B8" s="61"/>
      <c r="C8" s="61"/>
      <c r="D8" s="61"/>
      <c r="E8" s="61"/>
      <c r="F8" s="61"/>
      <c r="G8" s="61"/>
      <c r="H8" s="61"/>
      <c r="I8" s="61"/>
      <c r="J8" s="61"/>
      <c r="K8" s="61"/>
      <c r="L8" s="61"/>
      <c r="M8" s="61"/>
    </row>
    <row r="9" spans="1:13" ht="14.25">
      <c r="A9" s="61"/>
      <c r="B9" s="61"/>
      <c r="C9" s="61"/>
      <c r="D9" s="61"/>
      <c r="E9" s="61"/>
      <c r="F9" s="61"/>
      <c r="G9" s="61"/>
      <c r="H9" s="61"/>
      <c r="I9" s="61"/>
      <c r="J9" s="61"/>
      <c r="K9" s="61"/>
      <c r="L9" s="61"/>
      <c r="M9" s="61"/>
    </row>
    <row r="10" spans="1:13" ht="14.25">
      <c r="A10" s="61"/>
      <c r="B10" s="61"/>
      <c r="C10" s="61"/>
      <c r="D10" s="61"/>
      <c r="E10" s="61"/>
      <c r="F10" s="61"/>
      <c r="G10" s="61"/>
      <c r="H10" s="61"/>
      <c r="I10" s="61"/>
      <c r="J10" s="61"/>
      <c r="K10" s="61"/>
      <c r="L10" s="61"/>
      <c r="M10" s="61"/>
    </row>
    <row r="11" spans="1:13" ht="14.25">
      <c r="A11" s="61"/>
      <c r="B11" s="61"/>
      <c r="C11" s="61"/>
      <c r="D11" s="61"/>
      <c r="E11" s="61"/>
      <c r="F11" s="61"/>
      <c r="G11" s="61"/>
      <c r="H11" s="61"/>
      <c r="I11" s="61"/>
      <c r="J11" s="61"/>
      <c r="K11" s="61"/>
      <c r="L11" s="61"/>
      <c r="M11" s="61"/>
    </row>
    <row r="12" spans="1:13" ht="14.25">
      <c r="A12" s="61"/>
      <c r="B12" s="61"/>
      <c r="C12" s="61"/>
      <c r="D12" s="61"/>
      <c r="E12" s="61"/>
      <c r="F12" s="61"/>
      <c r="G12" s="61"/>
      <c r="H12" s="61"/>
      <c r="I12" s="61"/>
      <c r="J12" s="61"/>
      <c r="K12" s="61"/>
      <c r="L12" s="61"/>
      <c r="M12" s="61"/>
    </row>
    <row r="13" spans="1:13" ht="15.75">
      <c r="A13" s="61"/>
      <c r="B13" s="1245" t="s">
        <v>2</v>
      </c>
      <c r="C13" s="1245"/>
      <c r="D13" s="61"/>
      <c r="E13" s="62" t="s">
        <v>3</v>
      </c>
      <c r="F13" s="61"/>
      <c r="G13" s="61"/>
      <c r="H13" s="61"/>
      <c r="I13" s="61"/>
      <c r="J13" s="61"/>
      <c r="K13" s="61"/>
      <c r="L13" s="61"/>
      <c r="M13" s="61"/>
    </row>
    <row r="14" spans="1:13" ht="15" customHeight="1">
      <c r="A14" s="61"/>
      <c r="B14" s="1242" t="str">
        <f>"The Model is provided to the "&amp;Client.Name&amp;" on the basis that it is strictly private and confidential. The Recipients agree to not disclose that information to any person or entity except with the prior written consent of HDR Inc. (HDR) or as required by law."</f>
        <v>The Model is provided to the DeltaLink Regional Rail Project on the basis that it is strictly private and confidential. The Recipients agree to not disclose that information to any person or entity except with the prior written consent of HDR Inc. (HDR) or as required by law.</v>
      </c>
      <c r="C14" s="1242"/>
      <c r="D14" s="1242"/>
      <c r="E14" s="1242"/>
      <c r="F14" s="1242"/>
      <c r="G14" s="1242"/>
      <c r="H14" s="1242"/>
      <c r="I14" s="1242"/>
      <c r="J14" s="1242"/>
      <c r="K14" s="1242"/>
      <c r="L14" s="1242"/>
      <c r="M14" s="61"/>
    </row>
    <row r="15" spans="1:13" ht="14.25">
      <c r="A15" s="61"/>
      <c r="B15" s="1242"/>
      <c r="C15" s="1242"/>
      <c r="D15" s="1242"/>
      <c r="E15" s="1242"/>
      <c r="F15" s="1242"/>
      <c r="G15" s="1242"/>
      <c r="H15" s="1242"/>
      <c r="I15" s="1242"/>
      <c r="J15" s="1242"/>
      <c r="K15" s="1242"/>
      <c r="L15" s="1242"/>
      <c r="M15" s="61"/>
    </row>
    <row r="16" spans="1:13" ht="14.25">
      <c r="A16" s="61"/>
      <c r="B16" s="1242"/>
      <c r="C16" s="1242"/>
      <c r="D16" s="1242"/>
      <c r="E16" s="1242"/>
      <c r="F16" s="1242"/>
      <c r="G16" s="1242"/>
      <c r="H16" s="1242"/>
      <c r="I16" s="1242"/>
      <c r="J16" s="1242"/>
      <c r="K16" s="1242"/>
      <c r="L16" s="1242"/>
      <c r="M16" s="61"/>
    </row>
    <row r="17" spans="1:13" ht="15" customHeight="1">
      <c r="A17" s="61"/>
      <c r="B17" s="1242" t="str">
        <f>"HDR retains all intellectual property with respect to this Model.  The Recipients agree to use this Model only for the purpose of performing analysis in support of their "&amp;Grant.Name&amp;". The Model must not be used for any other purpose. "</f>
        <v xml:space="preserve">HDR retains all intellectual property with respect to this Model.  The Recipients agree to use this Model only for the purpose of performing analysis in support of their Consolidate Rail Infrastructure and Safety Improvements (CRISI) Program . The Model must not be used for any other purpose. </v>
      </c>
      <c r="C17" s="1242"/>
      <c r="D17" s="1242"/>
      <c r="E17" s="1242"/>
      <c r="F17" s="1242"/>
      <c r="G17" s="1242"/>
      <c r="H17" s="1242"/>
      <c r="I17" s="1242"/>
      <c r="J17" s="1242"/>
      <c r="K17" s="1242"/>
      <c r="L17" s="1242"/>
      <c r="M17" s="61"/>
    </row>
    <row r="18" spans="1:13" ht="14.25">
      <c r="A18" s="61"/>
      <c r="B18" s="1242"/>
      <c r="C18" s="1242"/>
      <c r="D18" s="1242"/>
      <c r="E18" s="1242"/>
      <c r="F18" s="1242"/>
      <c r="G18" s="1242"/>
      <c r="H18" s="1242"/>
      <c r="I18" s="1242"/>
      <c r="J18" s="1242"/>
      <c r="K18" s="1242"/>
      <c r="L18" s="1242"/>
      <c r="M18" s="61"/>
    </row>
    <row r="19" spans="1:13" ht="14.25">
      <c r="A19" s="61"/>
      <c r="B19" s="1242"/>
      <c r="C19" s="1242"/>
      <c r="D19" s="1242"/>
      <c r="E19" s="1242"/>
      <c r="F19" s="1242"/>
      <c r="G19" s="1242"/>
      <c r="H19" s="1242"/>
      <c r="I19" s="1242"/>
      <c r="J19" s="1242"/>
      <c r="K19" s="1242"/>
      <c r="L19" s="1242"/>
      <c r="M19" s="61"/>
    </row>
    <row r="20" spans="1:13" ht="14.25">
      <c r="A20" s="61"/>
      <c r="B20" s="1242" t="s">
        <v>4</v>
      </c>
      <c r="C20" s="1242"/>
      <c r="D20" s="1242"/>
      <c r="E20" s="1242"/>
      <c r="F20" s="1242"/>
      <c r="G20" s="1242"/>
      <c r="H20" s="1242"/>
      <c r="I20" s="1242"/>
      <c r="J20" s="1242"/>
      <c r="K20" s="1242"/>
      <c r="L20" s="1242"/>
      <c r="M20" s="61"/>
    </row>
    <row r="21" spans="1:13" ht="14.25">
      <c r="A21" s="61"/>
      <c r="B21" s="1242"/>
      <c r="C21" s="1242"/>
      <c r="D21" s="1242"/>
      <c r="E21" s="1242"/>
      <c r="F21" s="1242"/>
      <c r="G21" s="1242"/>
      <c r="H21" s="1242"/>
      <c r="I21" s="1242"/>
      <c r="J21" s="1242"/>
      <c r="K21" s="1242"/>
      <c r="L21" s="1242"/>
      <c r="M21" s="61"/>
    </row>
    <row r="22" spans="1:13" ht="14.25">
      <c r="A22" s="61"/>
      <c r="B22" s="1242" t="s">
        <v>5</v>
      </c>
      <c r="C22" s="1242"/>
      <c r="D22" s="1242"/>
      <c r="E22" s="1242"/>
      <c r="F22" s="1242"/>
      <c r="G22" s="1242"/>
      <c r="H22" s="1242"/>
      <c r="I22" s="1242"/>
      <c r="J22" s="1242"/>
      <c r="K22" s="1242"/>
      <c r="L22" s="1242"/>
      <c r="M22" s="61"/>
    </row>
    <row r="23" spans="1:13" ht="14.25">
      <c r="A23" s="61"/>
      <c r="B23" s="1242"/>
      <c r="C23" s="1242"/>
      <c r="D23" s="1242"/>
      <c r="E23" s="1242"/>
      <c r="F23" s="1242"/>
      <c r="G23" s="1242"/>
      <c r="H23" s="1242"/>
      <c r="I23" s="1242"/>
      <c r="J23" s="1242"/>
      <c r="K23" s="1242"/>
      <c r="L23" s="1242"/>
      <c r="M23" s="61"/>
    </row>
    <row r="24" spans="1:13" ht="14.25">
      <c r="A24" s="61"/>
      <c r="B24" s="1242"/>
      <c r="C24" s="1242"/>
      <c r="D24" s="1242"/>
      <c r="E24" s="1242"/>
      <c r="F24" s="1242"/>
      <c r="G24" s="1242"/>
      <c r="H24" s="1242"/>
      <c r="I24" s="1242"/>
      <c r="J24" s="1242"/>
      <c r="K24" s="1242"/>
      <c r="L24" s="1242"/>
      <c r="M24" s="61"/>
    </row>
    <row r="25" spans="1:13" ht="14.25">
      <c r="A25" s="61"/>
      <c r="B25" s="1242"/>
      <c r="C25" s="1242"/>
      <c r="D25" s="1242"/>
      <c r="E25" s="1242"/>
      <c r="F25" s="1242"/>
      <c r="G25" s="1242"/>
      <c r="H25" s="1242"/>
      <c r="I25" s="1242"/>
      <c r="J25" s="1242"/>
      <c r="K25" s="1242"/>
      <c r="L25" s="1242"/>
      <c r="M25" s="61"/>
    </row>
    <row r="26" spans="1:13" ht="14.25">
      <c r="A26" s="61"/>
      <c r="B26" s="63"/>
      <c r="C26" s="63"/>
      <c r="D26" s="63"/>
      <c r="E26" s="63"/>
      <c r="F26" s="63"/>
      <c r="G26" s="63"/>
      <c r="H26" s="63"/>
      <c r="I26" s="63"/>
      <c r="J26" s="63"/>
      <c r="K26" s="63"/>
      <c r="L26" s="63"/>
      <c r="M26" s="61"/>
    </row>
    <row r="27" spans="1:13" ht="14.25" hidden="1">
      <c r="A27" s="61"/>
      <c r="B27" s="63"/>
      <c r="C27" s="63"/>
      <c r="D27" s="63"/>
      <c r="E27" s="63"/>
      <c r="F27" s="63"/>
      <c r="G27" s="63"/>
      <c r="H27" s="63"/>
      <c r="I27" s="63"/>
      <c r="J27" s="63"/>
      <c r="K27" s="63"/>
      <c r="L27" s="63"/>
      <c r="M27" s="61"/>
    </row>
    <row r="28" spans="1:13" ht="14.25" hidden="1"/>
    <row r="29" spans="1:13" ht="14.25" hidden="1"/>
    <row r="30" spans="1:13" ht="14.25" hidden="1"/>
    <row r="31" spans="1:13" ht="14.25" hidden="1"/>
    <row r="32" spans="1:13" ht="14.25" hidden="1"/>
    <row r="33" ht="14.25" hidden="1"/>
    <row r="34" ht="14.25" hidden="1"/>
    <row r="35" ht="14.25" hidden="1"/>
  </sheetData>
  <mergeCells count="9">
    <mergeCell ref="B2:L2"/>
    <mergeCell ref="B20:L21"/>
    <mergeCell ref="B22:L25"/>
    <mergeCell ref="B4:L4"/>
    <mergeCell ref="B6:L6"/>
    <mergeCell ref="B13:C13"/>
    <mergeCell ref="B14:L16"/>
    <mergeCell ref="B17:L19"/>
    <mergeCell ref="B5:L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57199-5DC8-4B82-A56E-CAD8F71BC098}">
  <sheetPr codeName="Sheet4">
    <tabColor theme="1"/>
  </sheetPr>
  <dimension ref="A1:D28"/>
  <sheetViews>
    <sheetView zoomScale="80" zoomScaleNormal="80" workbookViewId="0">
      <selection activeCell="B13" sqref="B13"/>
    </sheetView>
  </sheetViews>
  <sheetFormatPr defaultRowHeight="14.25"/>
  <cols>
    <col min="2" max="2" width="18.125" bestFit="1" customWidth="1"/>
    <col min="3" max="3" width="18.625" bestFit="1" customWidth="1"/>
    <col min="4" max="4" width="92.375" bestFit="1" customWidth="1"/>
  </cols>
  <sheetData>
    <row r="1" spans="1:4" s="587" customFormat="1" ht="15">
      <c r="A1" s="588" t="s">
        <v>6</v>
      </c>
    </row>
    <row r="3" spans="1:4" ht="15">
      <c r="B3" s="802" t="s">
        <v>7</v>
      </c>
      <c r="C3" s="802" t="s">
        <v>8</v>
      </c>
      <c r="D3" s="802" t="s">
        <v>9</v>
      </c>
    </row>
    <row r="4" spans="1:4">
      <c r="B4" s="813">
        <v>1</v>
      </c>
      <c r="C4" s="814" t="s">
        <v>2</v>
      </c>
      <c r="D4" s="569" t="s">
        <v>2</v>
      </c>
    </row>
    <row r="5" spans="1:4">
      <c r="B5" s="813">
        <v>2</v>
      </c>
      <c r="C5" s="814" t="s">
        <v>10</v>
      </c>
      <c r="D5" s="569" t="s">
        <v>6</v>
      </c>
    </row>
    <row r="6" spans="1:4">
      <c r="B6" s="820">
        <v>3</v>
      </c>
      <c r="C6" s="814" t="s">
        <v>11</v>
      </c>
      <c r="D6" s="569" t="s">
        <v>12</v>
      </c>
    </row>
    <row r="7" spans="1:4">
      <c r="B7" s="821">
        <v>4</v>
      </c>
      <c r="C7" s="814" t="s">
        <v>13</v>
      </c>
      <c r="D7" s="569" t="s">
        <v>14</v>
      </c>
    </row>
    <row r="8" spans="1:4">
      <c r="B8" s="821">
        <f>B7+1</f>
        <v>5</v>
      </c>
      <c r="C8" s="814" t="s">
        <v>15</v>
      </c>
      <c r="D8" s="569" t="s">
        <v>16</v>
      </c>
    </row>
    <row r="9" spans="1:4">
      <c r="B9" s="821">
        <f t="shared" ref="B9:B13" si="0">B8+1</f>
        <v>6</v>
      </c>
      <c r="C9" s="814" t="s">
        <v>17</v>
      </c>
      <c r="D9" s="569" t="s">
        <v>18</v>
      </c>
    </row>
    <row r="10" spans="1:4">
      <c r="B10" s="821">
        <f t="shared" si="0"/>
        <v>7</v>
      </c>
      <c r="C10" s="814" t="s">
        <v>19</v>
      </c>
      <c r="D10" s="569" t="s">
        <v>20</v>
      </c>
    </row>
    <row r="11" spans="1:4">
      <c r="B11" s="822">
        <f t="shared" si="0"/>
        <v>8</v>
      </c>
      <c r="C11" s="814" t="s">
        <v>21</v>
      </c>
      <c r="D11" s="569" t="s">
        <v>22</v>
      </c>
    </row>
    <row r="12" spans="1:4">
      <c r="B12" s="823">
        <f t="shared" si="0"/>
        <v>9</v>
      </c>
      <c r="C12" s="814" t="s">
        <v>23</v>
      </c>
      <c r="D12" s="569" t="s">
        <v>24</v>
      </c>
    </row>
    <row r="13" spans="1:4">
      <c r="B13" s="1118">
        <f t="shared" si="0"/>
        <v>10</v>
      </c>
      <c r="C13" s="814" t="s">
        <v>25</v>
      </c>
      <c r="D13" s="569" t="s">
        <v>26</v>
      </c>
    </row>
    <row r="14" spans="1:4">
      <c r="B14" s="824">
        <f>B13+1</f>
        <v>11</v>
      </c>
      <c r="C14" s="814" t="s">
        <v>27</v>
      </c>
      <c r="D14" s="569"/>
    </row>
    <row r="15" spans="1:4">
      <c r="B15" s="824">
        <f t="shared" ref="B15:B28" si="1">B14+1</f>
        <v>12</v>
      </c>
      <c r="C15" s="814" t="s">
        <v>28</v>
      </c>
      <c r="D15" s="569"/>
    </row>
    <row r="16" spans="1:4">
      <c r="B16" s="824">
        <f t="shared" si="1"/>
        <v>13</v>
      </c>
      <c r="C16" s="814" t="s">
        <v>29</v>
      </c>
      <c r="D16" s="569"/>
    </row>
    <row r="17" spans="2:4">
      <c r="B17" s="824">
        <f t="shared" si="1"/>
        <v>14</v>
      </c>
      <c r="C17" s="814" t="s">
        <v>30</v>
      </c>
      <c r="D17" s="569"/>
    </row>
    <row r="18" spans="2:4">
      <c r="B18" s="824">
        <f t="shared" si="1"/>
        <v>15</v>
      </c>
      <c r="C18" s="814" t="s">
        <v>31</v>
      </c>
      <c r="D18" s="569"/>
    </row>
    <row r="19" spans="2:4">
      <c r="B19" s="815">
        <f t="shared" si="1"/>
        <v>16</v>
      </c>
      <c r="C19" s="814" t="s">
        <v>32</v>
      </c>
      <c r="D19" s="569" t="s">
        <v>33</v>
      </c>
    </row>
    <row r="20" spans="2:4">
      <c r="B20" s="816">
        <f t="shared" si="1"/>
        <v>17</v>
      </c>
      <c r="C20" s="814" t="s">
        <v>34</v>
      </c>
      <c r="D20" s="569" t="s">
        <v>35</v>
      </c>
    </row>
    <row r="21" spans="2:4">
      <c r="B21" s="816">
        <f t="shared" si="1"/>
        <v>18</v>
      </c>
      <c r="C21" s="814" t="s">
        <v>36</v>
      </c>
      <c r="D21" s="569" t="s">
        <v>37</v>
      </c>
    </row>
    <row r="22" spans="2:4">
      <c r="B22" s="816">
        <f t="shared" si="1"/>
        <v>19</v>
      </c>
      <c r="C22" s="814" t="s">
        <v>38</v>
      </c>
      <c r="D22" s="569" t="s">
        <v>39</v>
      </c>
    </row>
    <row r="23" spans="2:4">
      <c r="B23" s="816">
        <f t="shared" si="1"/>
        <v>20</v>
      </c>
      <c r="C23" s="814" t="s">
        <v>40</v>
      </c>
      <c r="D23" s="569" t="s">
        <v>41</v>
      </c>
    </row>
    <row r="24" spans="2:4">
      <c r="B24" s="816">
        <f t="shared" si="1"/>
        <v>21</v>
      </c>
      <c r="C24" s="814" t="s">
        <v>42</v>
      </c>
      <c r="D24" s="569" t="s">
        <v>43</v>
      </c>
    </row>
    <row r="25" spans="2:4">
      <c r="B25" s="816">
        <f t="shared" si="1"/>
        <v>22</v>
      </c>
      <c r="C25" s="814" t="s">
        <v>44</v>
      </c>
      <c r="D25" s="569" t="s">
        <v>45</v>
      </c>
    </row>
    <row r="26" spans="2:4">
      <c r="B26" s="816">
        <f t="shared" si="1"/>
        <v>23</v>
      </c>
      <c r="C26" s="814" t="s">
        <v>46</v>
      </c>
      <c r="D26" s="569" t="s">
        <v>46</v>
      </c>
    </row>
    <row r="27" spans="2:4">
      <c r="B27" s="816">
        <f t="shared" si="1"/>
        <v>24</v>
      </c>
      <c r="C27" s="814" t="s">
        <v>47</v>
      </c>
      <c r="D27" s="569" t="s">
        <v>48</v>
      </c>
    </row>
    <row r="28" spans="2:4">
      <c r="B28" s="816">
        <f t="shared" si="1"/>
        <v>25</v>
      </c>
      <c r="C28" s="814" t="s">
        <v>49</v>
      </c>
      <c r="D28" s="569" t="s">
        <v>49</v>
      </c>
    </row>
  </sheetData>
  <hyperlinks>
    <hyperlink ref="C4" location="'Disclaimer'!A1 " tooltip="Go To Disclaimer worksheet." display="'Disclaimer'!A1 " xr:uid="{A899945D-3F3D-4B93-BD99-359F40885810}"/>
    <hyperlink ref="C5" location="'Contents'!A1 " tooltip="Go To Contents worksheet." display="'Contents'!A1 " xr:uid="{325E5F3C-A953-4DEC-9F9F-E86C02940008}"/>
    <hyperlink ref="C6" location="'Results'!A1 " tooltip="Go To Results worksheet." display="'Results'!A1 " xr:uid="{D5FEFBDA-0337-4C6D-9C42-E02E5A5D2DE3}"/>
    <hyperlink ref="C7" location="'ShipperData'!A1 " tooltip="Go To ShipperData worksheet." display="'ShipperData'!A1 " xr:uid="{4FAD9FBA-7D99-45CF-B5A2-B108CED7B9BA}"/>
    <hyperlink ref="C8" location="DiversionData!A1" tooltip="Go To DiversionData" display="DiversionData" xr:uid="{E9D5A696-21CB-4F42-A1E4-0BD8E12331E4}"/>
    <hyperlink ref="C9" location="'Total.CAGR'!A1 " tooltip="Go To Total.CAGR worksheet." display="'Total.CAGR'!A1 " xr:uid="{44AF0EB8-92E4-47D5-A1A1-4F7F9D4C51D3}"/>
    <hyperlink ref="C10" location="'Demand.Forecast'!A1 " tooltip="Go To Demand.Forecast worksheet." display="'Demand.Forecast'!A1 " xr:uid="{B756D0EA-35D8-4042-B794-9E0F0B8DF51F}"/>
    <hyperlink ref="C11" location="'Costs'!A1 " tooltip="Go To Costs worksheet." display="'Costs'!A1 " xr:uid="{2222E9E4-308D-43D5-A255-43A6BB064946}"/>
    <hyperlink ref="C12" location="'Inputs'!A1 " tooltip="Go To Inputs worksheet." display="'Inputs'!A1 " xr:uid="{79F42096-85C2-45D5-A730-A5C193849CDD}"/>
    <hyperlink ref="C19" location="'Reporting_Results'!A1 " tooltip="Go To Reporting_Results worksheet." display="'Reporting_Results'!A1 " xr:uid="{1E7C182F-C555-41A2-A374-DEEFE4720E1D}"/>
    <hyperlink ref="C20" location="'Truck Emissions'!A1 " tooltip="Go To Truck Emissions worksheet." display="'Truck Emissions'!A1 " xr:uid="{984A3B90-2841-4EF2-BE95-AD992FE99999}"/>
    <hyperlink ref="C21" location="'Rail Emissions'!A1 " tooltip="Go To Rail Emissions worksheet." display="'Rail Emissions'!A1 " xr:uid="{B31A1EC3-E4A8-43B0-9C50-E304A5010619}"/>
    <hyperlink ref="C22" location="'Accident Costs'!A1 " tooltip="Go To Accident Costs worksheet." display="'Accident Costs'!A1 " xr:uid="{FE087582-29D5-4728-BCDA-7270A970B6C8}"/>
    <hyperlink ref="C23" location="'Truck Accident Costs'!A1 " tooltip="Go To Truck Accident Costs worksheet." display="'Truck Accident Costs'!A1 " xr:uid="{E0A46875-EEC6-4E41-A69E-32F20F2C1ACE}"/>
    <hyperlink ref="C24" location="'Emission Costs'!A1 " tooltip="Go To Emission Costs worksheet." display="'Emission Costs'!A1 " xr:uid="{C3349DD7-1588-4633-A19C-C664DE54E494}"/>
    <hyperlink ref="C25" location="'Miscellaneous'!A1 " tooltip="Go To Miscellaneous worksheet." display="'Miscellaneous'!A1 " xr:uid="{631CBC42-C78B-47EA-8D6B-ED5D3DEDEE24}"/>
    <hyperlink ref="C26" location="'Value of Time'!A1 " tooltip="Go To Value of Time worksheet." display="'Value of Time'!A1 " xr:uid="{1391D537-C5EA-4ECB-93E6-33E0410028EC}"/>
    <hyperlink ref="C27" location="'Prices and ECI'!A1 " tooltip="Go To Prices and ECI worksheet." display="'Prices and ECI'!A1 " xr:uid="{7495AA2D-39E4-49D5-97A9-7C4B4365ACD0}"/>
    <hyperlink ref="C28" location="'Shipping Rates'!A1 " tooltip="Go To Shipping Rates worksheet." display="'Shipping Rates'!A1 " xr:uid="{42A4053C-D5D9-4223-905F-7AF0825EFB2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9">
    <tabColor rgb="FFC00000"/>
  </sheetPr>
  <dimension ref="A1:AO123"/>
  <sheetViews>
    <sheetView showGridLines="0" tabSelected="1" zoomScale="90" zoomScaleNormal="90" workbookViewId="0">
      <selection activeCell="D27" sqref="D27"/>
    </sheetView>
  </sheetViews>
  <sheetFormatPr defaultColWidth="9.25" defaultRowHeight="12.75"/>
  <cols>
    <col min="1" max="1" width="0.875" style="382" customWidth="1"/>
    <col min="2" max="2" width="39.625" style="387" customWidth="1"/>
    <col min="3" max="3" width="13.875" style="388" customWidth="1"/>
    <col min="4" max="4" width="13.875" style="386" customWidth="1"/>
    <col min="5" max="9" width="12.125" style="386" customWidth="1"/>
    <col min="10" max="10" width="13.125" style="386" customWidth="1"/>
    <col min="11" max="11" width="13.375" style="386" customWidth="1"/>
    <col min="12" max="28" width="12.125" style="386" customWidth="1"/>
    <col min="29" max="31" width="12.125" style="387" customWidth="1"/>
    <col min="32" max="16384" width="9.25" style="387"/>
  </cols>
  <sheetData>
    <row r="1" spans="1:19" ht="19.5">
      <c r="A1" s="447" t="s">
        <v>50</v>
      </c>
      <c r="B1" s="383"/>
      <c r="C1" s="384"/>
      <c r="D1" s="385"/>
      <c r="E1" s="385"/>
      <c r="F1" s="385"/>
    </row>
    <row r="2" spans="1:19">
      <c r="J2" s="389"/>
      <c r="K2" s="389"/>
      <c r="L2" s="389"/>
    </row>
    <row r="3" spans="1:19">
      <c r="B3" s="390" t="s">
        <v>51</v>
      </c>
    </row>
    <row r="4" spans="1:19">
      <c r="B4" s="837" t="s">
        <v>52</v>
      </c>
      <c r="C4" s="838" t="s">
        <v>53</v>
      </c>
      <c r="D4" s="839" t="s">
        <v>54</v>
      </c>
      <c r="E4" s="573"/>
    </row>
    <row r="5" spans="1:19">
      <c r="B5" s="392" t="s">
        <v>55</v>
      </c>
      <c r="C5" s="446"/>
      <c r="D5" s="441"/>
      <c r="E5" s="575"/>
      <c r="N5" s="391"/>
      <c r="O5" s="391"/>
    </row>
    <row r="6" spans="1:19">
      <c r="B6" s="393" t="s">
        <v>118</v>
      </c>
      <c r="C6" s="1071">
        <f>C36</f>
        <v>2935057890.189918</v>
      </c>
      <c r="D6" s="1072">
        <f>C55</f>
        <v>1466216985.3181121</v>
      </c>
      <c r="E6" s="579"/>
      <c r="F6" s="646"/>
      <c r="L6" s="394"/>
      <c r="M6" s="394"/>
      <c r="N6" s="394"/>
      <c r="O6" s="395"/>
      <c r="P6" s="395"/>
    </row>
    <row r="7" spans="1:19">
      <c r="B7" s="393" t="s">
        <v>56</v>
      </c>
      <c r="C7" s="1073">
        <f t="shared" ref="C7:C14" si="0">SUM(D37:AO37)</f>
        <v>147422763.6176087</v>
      </c>
      <c r="D7" s="1074">
        <f t="shared" ref="D7:D14" si="1">SUM(D56:AO56)</f>
        <v>94644307.980748206</v>
      </c>
      <c r="E7" s="579"/>
      <c r="F7" s="646"/>
      <c r="L7" s="394"/>
      <c r="M7" s="394"/>
      <c r="N7" s="394"/>
      <c r="O7" s="395"/>
      <c r="P7" s="395"/>
    </row>
    <row r="8" spans="1:19">
      <c r="B8" s="393" t="s">
        <v>57</v>
      </c>
      <c r="C8" s="1073">
        <f t="shared" si="0"/>
        <v>13602090.644015988</v>
      </c>
      <c r="D8" s="1074">
        <f t="shared" si="1"/>
        <v>7182871.2898530951</v>
      </c>
      <c r="E8" s="579"/>
      <c r="F8" s="646"/>
      <c r="L8" s="394"/>
      <c r="M8" s="394"/>
      <c r="N8" s="394"/>
      <c r="O8" s="395"/>
      <c r="P8" s="395"/>
    </row>
    <row r="9" spans="1:19">
      <c r="B9" s="393" t="s">
        <v>58</v>
      </c>
      <c r="C9" s="1073">
        <f t="shared" si="0"/>
        <v>242271545.62165201</v>
      </c>
      <c r="D9" s="1074">
        <f t="shared" si="1"/>
        <v>121027478.34617767</v>
      </c>
      <c r="E9" s="579"/>
      <c r="F9" s="647"/>
      <c r="L9" s="394"/>
      <c r="M9" s="394"/>
      <c r="N9" s="394"/>
      <c r="O9" s="395"/>
      <c r="P9" s="395"/>
      <c r="S9" s="396"/>
    </row>
    <row r="10" spans="1:19">
      <c r="B10" s="393" t="s">
        <v>59</v>
      </c>
      <c r="C10" s="1073">
        <f t="shared" si="0"/>
        <v>23654508.480000008</v>
      </c>
      <c r="D10" s="1074">
        <f t="shared" si="1"/>
        <v>11816680.764168212</v>
      </c>
      <c r="E10" s="579"/>
      <c r="F10" s="647"/>
      <c r="L10" s="394"/>
      <c r="M10" s="394"/>
      <c r="N10" s="394"/>
      <c r="O10" s="395"/>
      <c r="P10" s="395"/>
      <c r="S10" s="396"/>
    </row>
    <row r="11" spans="1:19">
      <c r="B11" s="393" t="s">
        <v>60</v>
      </c>
      <c r="C11" s="1073">
        <f>SUM(D41:AO41)</f>
        <v>37004163.892127968</v>
      </c>
      <c r="D11" s="1074">
        <f t="shared" si="1"/>
        <v>18355553.497071978</v>
      </c>
      <c r="E11" s="579"/>
      <c r="F11" s="647"/>
      <c r="L11" s="394"/>
      <c r="M11" s="394"/>
      <c r="N11" s="394"/>
      <c r="O11" s="395"/>
      <c r="P11" s="395"/>
      <c r="S11" s="396"/>
    </row>
    <row r="12" spans="1:19">
      <c r="B12" s="393" t="s">
        <v>61</v>
      </c>
      <c r="C12" s="1073">
        <f t="shared" si="0"/>
        <v>27916677.852407541</v>
      </c>
      <c r="D12" s="1074">
        <f t="shared" si="1"/>
        <v>13945860.276781578</v>
      </c>
      <c r="E12" s="579"/>
      <c r="F12" s="646"/>
      <c r="L12" s="394"/>
      <c r="M12" s="394"/>
      <c r="N12" s="394"/>
      <c r="O12" s="395"/>
      <c r="P12" s="395"/>
    </row>
    <row r="13" spans="1:19">
      <c r="B13" s="393" t="s">
        <v>62</v>
      </c>
      <c r="C13" s="1071">
        <f t="shared" si="0"/>
        <v>0</v>
      </c>
      <c r="D13" s="1072">
        <f t="shared" si="1"/>
        <v>0</v>
      </c>
      <c r="E13" s="579"/>
      <c r="F13" s="646"/>
      <c r="L13" s="394"/>
      <c r="M13" s="394"/>
      <c r="N13" s="394"/>
      <c r="O13" s="395"/>
      <c r="P13" s="395"/>
    </row>
    <row r="14" spans="1:19">
      <c r="B14" s="397" t="s">
        <v>63</v>
      </c>
      <c r="C14" s="1075">
        <f t="shared" si="0"/>
        <v>-27349735.384615373</v>
      </c>
      <c r="D14" s="1072">
        <f t="shared" si="1"/>
        <v>-12959617.392153509</v>
      </c>
      <c r="E14" s="579"/>
      <c r="F14" s="646"/>
      <c r="L14" s="394"/>
      <c r="M14" s="394"/>
      <c r="N14" s="394"/>
      <c r="O14" s="395"/>
      <c r="P14" s="395"/>
    </row>
    <row r="15" spans="1:19">
      <c r="B15" s="398" t="s">
        <v>64</v>
      </c>
      <c r="C15" s="1076">
        <f>SUM(C6:C14)</f>
        <v>3399579904.9131145</v>
      </c>
      <c r="D15" s="1077">
        <f>SUM(D6:D14)</f>
        <v>1720230120.0807593</v>
      </c>
      <c r="E15" s="577"/>
      <c r="L15" s="394"/>
      <c r="M15" s="394"/>
      <c r="N15" s="394"/>
      <c r="O15" s="395"/>
      <c r="P15" s="395"/>
    </row>
    <row r="16" spans="1:19">
      <c r="B16" s="392" t="s">
        <v>21</v>
      </c>
      <c r="C16" s="446"/>
      <c r="D16" s="441"/>
      <c r="E16" s="575"/>
      <c r="L16" s="394"/>
      <c r="M16" s="394"/>
      <c r="N16" s="394"/>
      <c r="O16" s="395"/>
      <c r="P16" s="395"/>
    </row>
    <row r="17" spans="2:16">
      <c r="B17" s="397" t="s">
        <v>65</v>
      </c>
      <c r="C17" s="1078">
        <f>SUM(D45:AO45)</f>
        <v>171993998</v>
      </c>
      <c r="D17" s="1079">
        <f>SUM(D64:AO64)</f>
        <v>143811895.56969547</v>
      </c>
      <c r="E17" s="576"/>
      <c r="L17" s="394"/>
      <c r="M17" s="394"/>
      <c r="N17" s="394"/>
      <c r="O17" s="395"/>
      <c r="P17" s="395"/>
    </row>
    <row r="18" spans="2:16">
      <c r="B18" s="399" t="s">
        <v>66</v>
      </c>
      <c r="C18" s="1080">
        <f>SUM(C17:C17)</f>
        <v>171993998</v>
      </c>
      <c r="D18" s="1081">
        <f>SUM(D17:D17)</f>
        <v>143811895.56969547</v>
      </c>
      <c r="E18" s="577"/>
      <c r="L18" s="394"/>
      <c r="M18" s="394"/>
      <c r="N18" s="394"/>
      <c r="O18" s="395"/>
      <c r="P18" s="395"/>
    </row>
    <row r="19" spans="2:16">
      <c r="B19" s="400" t="s">
        <v>67</v>
      </c>
      <c r="C19" s="1082">
        <f>C15-C18</f>
        <v>3227585906.9131145</v>
      </c>
      <c r="D19" s="1083">
        <f>D15-D18</f>
        <v>1576418224.5110638</v>
      </c>
      <c r="E19" s="577"/>
      <c r="L19" s="394"/>
      <c r="M19" s="394"/>
      <c r="N19" s="394"/>
      <c r="O19" s="395"/>
      <c r="P19" s="395"/>
    </row>
    <row r="20" spans="2:16">
      <c r="B20" s="584" t="s">
        <v>68</v>
      </c>
      <c r="C20" s="577"/>
      <c r="D20" s="577"/>
      <c r="E20" s="577"/>
      <c r="L20" s="394"/>
      <c r="M20" s="394"/>
      <c r="N20" s="394"/>
      <c r="O20" s="395"/>
      <c r="P20" s="395"/>
    </row>
    <row r="21" spans="2:16">
      <c r="B21" s="584"/>
      <c r="C21" s="386"/>
      <c r="E21" s="389"/>
    </row>
    <row r="22" spans="2:16">
      <c r="B22" s="584"/>
      <c r="C22" s="386"/>
      <c r="E22" s="389"/>
    </row>
    <row r="23" spans="2:16">
      <c r="B23" s="390" t="s">
        <v>51</v>
      </c>
      <c r="C23" s="389"/>
      <c r="D23" s="389"/>
      <c r="E23" s="389"/>
    </row>
    <row r="24" spans="2:16">
      <c r="B24" s="401" t="s">
        <v>69</v>
      </c>
      <c r="C24" s="445" t="s">
        <v>53</v>
      </c>
      <c r="D24" s="442" t="s">
        <v>70</v>
      </c>
      <c r="E24" s="574"/>
    </row>
    <row r="25" spans="2:16">
      <c r="B25" s="402" t="s">
        <v>71</v>
      </c>
      <c r="C25" s="1067">
        <f>C15</f>
        <v>3399579904.9131145</v>
      </c>
      <c r="D25" s="1068">
        <f>D15</f>
        <v>1720230120.0807593</v>
      </c>
      <c r="E25" s="578"/>
    </row>
    <row r="26" spans="2:16">
      <c r="B26" s="402" t="s">
        <v>65</v>
      </c>
      <c r="C26" s="1067">
        <f>C17</f>
        <v>171993998</v>
      </c>
      <c r="D26" s="1068">
        <f>D17</f>
        <v>143811895.56969547</v>
      </c>
      <c r="E26" s="578"/>
    </row>
    <row r="27" spans="2:16">
      <c r="B27" s="402" t="s">
        <v>67</v>
      </c>
      <c r="C27" s="1067">
        <f>C19</f>
        <v>3227585906.9131145</v>
      </c>
      <c r="D27" s="1068">
        <f>D19</f>
        <v>1576418224.5110638</v>
      </c>
      <c r="E27" s="578"/>
    </row>
    <row r="28" spans="2:16">
      <c r="B28" s="402" t="s">
        <v>72</v>
      </c>
      <c r="C28" s="444">
        <f>IFERROR(C27/C26,"-")</f>
        <v>18.765689177788136</v>
      </c>
      <c r="D28" s="443">
        <f>IFERROR(D27/D26,"-")</f>
        <v>10.961667797133549</v>
      </c>
      <c r="E28" s="579"/>
    </row>
    <row r="29" spans="2:16">
      <c r="B29" s="402" t="s">
        <v>73</v>
      </c>
      <c r="C29" s="1069">
        <f>IFERROR(C25/C26,"-")</f>
        <v>19.765689177788136</v>
      </c>
      <c r="D29" s="1070">
        <f>IFERROR(D25/D26,"-")</f>
        <v>11.961667797133549</v>
      </c>
      <c r="E29" s="580"/>
    </row>
    <row r="30" spans="2:16">
      <c r="B30" s="403" t="s">
        <v>74</v>
      </c>
      <c r="C30" s="1069">
        <v>9</v>
      </c>
      <c r="D30" s="1070">
        <v>10</v>
      </c>
      <c r="E30" s="581"/>
    </row>
    <row r="31" spans="2:16">
      <c r="B31" s="404" t="s">
        <v>75</v>
      </c>
      <c r="C31" s="1246">
        <f>IFERROR(IRR(D48:AE48),"-")</f>
        <v>0.28902121253154056</v>
      </c>
      <c r="D31" s="1247"/>
      <c r="E31" s="389"/>
    </row>
    <row r="32" spans="2:16">
      <c r="E32" s="391"/>
    </row>
    <row r="34" spans="1:41">
      <c r="B34" s="390" t="s">
        <v>76</v>
      </c>
      <c r="AC34" s="817"/>
    </row>
    <row r="35" spans="1:41">
      <c r="B35" s="401" t="s">
        <v>77</v>
      </c>
      <c r="C35" s="405" t="s">
        <v>78</v>
      </c>
      <c r="D35" s="431">
        <f>Base.Year</f>
        <v>2022</v>
      </c>
      <c r="E35" s="431">
        <f t="shared" ref="E35:T35" si="2">D35+1</f>
        <v>2023</v>
      </c>
      <c r="F35" s="431">
        <f t="shared" si="2"/>
        <v>2024</v>
      </c>
      <c r="G35" s="431">
        <f t="shared" si="2"/>
        <v>2025</v>
      </c>
      <c r="H35" s="431">
        <f t="shared" si="2"/>
        <v>2026</v>
      </c>
      <c r="I35" s="431">
        <f t="shared" si="2"/>
        <v>2027</v>
      </c>
      <c r="J35" s="431">
        <f t="shared" si="2"/>
        <v>2028</v>
      </c>
      <c r="K35" s="431">
        <f t="shared" si="2"/>
        <v>2029</v>
      </c>
      <c r="L35" s="431">
        <f t="shared" si="2"/>
        <v>2030</v>
      </c>
      <c r="M35" s="431">
        <f t="shared" si="2"/>
        <v>2031</v>
      </c>
      <c r="N35" s="431">
        <f t="shared" si="2"/>
        <v>2032</v>
      </c>
      <c r="O35" s="431">
        <f t="shared" si="2"/>
        <v>2033</v>
      </c>
      <c r="P35" s="431">
        <f t="shared" si="2"/>
        <v>2034</v>
      </c>
      <c r="Q35" s="431">
        <f t="shared" si="2"/>
        <v>2035</v>
      </c>
      <c r="R35" s="431">
        <f t="shared" si="2"/>
        <v>2036</v>
      </c>
      <c r="S35" s="431">
        <f t="shared" si="2"/>
        <v>2037</v>
      </c>
      <c r="T35" s="431">
        <f t="shared" si="2"/>
        <v>2038</v>
      </c>
      <c r="U35" s="431">
        <f t="shared" ref="U35" si="3">T35+1</f>
        <v>2039</v>
      </c>
      <c r="V35" s="431">
        <f t="shared" ref="V35" si="4">U35+1</f>
        <v>2040</v>
      </c>
      <c r="W35" s="431">
        <f t="shared" ref="W35" si="5">V35+1</f>
        <v>2041</v>
      </c>
      <c r="X35" s="431">
        <f t="shared" ref="X35" si="6">W35+1</f>
        <v>2042</v>
      </c>
      <c r="Y35" s="431">
        <f t="shared" ref="Y35" si="7">X35+1</f>
        <v>2043</v>
      </c>
      <c r="Z35" s="431">
        <f t="shared" ref="Z35" si="8">Y35+1</f>
        <v>2044</v>
      </c>
      <c r="AA35" s="431">
        <f t="shared" ref="AA35" si="9">Z35+1</f>
        <v>2045</v>
      </c>
      <c r="AB35" s="431">
        <f t="shared" ref="AB35" si="10">AA35+1</f>
        <v>2046</v>
      </c>
      <c r="AC35" s="431">
        <f t="shared" ref="AC35" si="11">AB35+1</f>
        <v>2047</v>
      </c>
      <c r="AD35" s="431">
        <f t="shared" ref="AD35" si="12">AC35+1</f>
        <v>2048</v>
      </c>
      <c r="AE35" s="1066">
        <f t="shared" ref="AE35" si="13">AD35+1</f>
        <v>2049</v>
      </c>
      <c r="AF35" s="1066">
        <f t="shared" ref="AF35" si="14">AE35+1</f>
        <v>2050</v>
      </c>
      <c r="AG35" s="1066">
        <f t="shared" ref="AG35" si="15">AF35+1</f>
        <v>2051</v>
      </c>
      <c r="AH35" s="1066">
        <f t="shared" ref="AH35" si="16">AG35+1</f>
        <v>2052</v>
      </c>
      <c r="AI35" s="1066">
        <f t="shared" ref="AI35" si="17">AH35+1</f>
        <v>2053</v>
      </c>
      <c r="AJ35" s="1066">
        <f t="shared" ref="AJ35" si="18">AI35+1</f>
        <v>2054</v>
      </c>
      <c r="AK35" s="1066">
        <f t="shared" ref="AK35" si="19">AJ35+1</f>
        <v>2055</v>
      </c>
      <c r="AL35" s="1066">
        <f t="shared" ref="AL35" si="20">AK35+1</f>
        <v>2056</v>
      </c>
      <c r="AM35" s="1066">
        <f t="shared" ref="AM35" si="21">AL35+1</f>
        <v>2057</v>
      </c>
      <c r="AN35" s="1066">
        <f t="shared" ref="AN35" si="22">AM35+1</f>
        <v>2058</v>
      </c>
      <c r="AO35" s="1066">
        <f t="shared" ref="AO35" si="23">AN35+1</f>
        <v>2059</v>
      </c>
    </row>
    <row r="36" spans="1:41" s="406" customFormat="1">
      <c r="A36" s="382"/>
      <c r="B36" s="397" t="str">
        <f>B6</f>
        <v>Shipper Cost Efficiencies</v>
      </c>
      <c r="C36" s="1078">
        <f>SUM(D36:AO36)</f>
        <v>2935057890.189918</v>
      </c>
      <c r="D36" s="1078">
        <f>SHIPPERS!D37</f>
        <v>0</v>
      </c>
      <c r="E36" s="1078">
        <f>SHIPPERS!E37</f>
        <v>0</v>
      </c>
      <c r="F36" s="1078">
        <f>SHIPPERS!F37</f>
        <v>0</v>
      </c>
      <c r="G36" s="1078">
        <f>SHIPPERS!G37</f>
        <v>0</v>
      </c>
      <c r="H36" s="1078">
        <f>SHIPPERS!H37</f>
        <v>0</v>
      </c>
      <c r="I36" s="1078">
        <f>SHIPPERS!I37</f>
        <v>0</v>
      </c>
      <c r="J36" s="1078">
        <f>SHIPPERS!J37</f>
        <v>0</v>
      </c>
      <c r="K36" s="1078">
        <f>SHIPPERS!K37</f>
        <v>0</v>
      </c>
      <c r="L36" s="1078">
        <f>SHIPPERS!L37</f>
        <v>1448761.2775735259</v>
      </c>
      <c r="M36" s="1078">
        <f>SHIPPERS!M37</f>
        <v>1448761.2775734663</v>
      </c>
      <c r="N36" s="1078">
        <f>SHIPPERS!N37</f>
        <v>82165461.028095841</v>
      </c>
      <c r="O36" s="1078">
        <f>SHIPPERS!O37</f>
        <v>82165461.028095841</v>
      </c>
      <c r="P36" s="1078">
        <f>SHIPPERS!P37</f>
        <v>106454978.67609912</v>
      </c>
      <c r="Q36" s="1078">
        <f>SHIPPERS!Q37</f>
        <v>106454978.67609912</v>
      </c>
      <c r="R36" s="1078">
        <f>SHIPPERS!R37</f>
        <v>106454978.67609918</v>
      </c>
      <c r="S36" s="1078">
        <f>SHIPPERS!S37</f>
        <v>106454978.67609918</v>
      </c>
      <c r="T36" s="1078">
        <f>SHIPPERS!T37</f>
        <v>106454978.67609918</v>
      </c>
      <c r="U36" s="1078">
        <f>SHIPPERS!U37</f>
        <v>106454978.67609912</v>
      </c>
      <c r="V36" s="1078">
        <f>SHIPPERS!V37</f>
        <v>106454978.67609918</v>
      </c>
      <c r="W36" s="1078">
        <f>SHIPPERS!W37</f>
        <v>106454978.67609924</v>
      </c>
      <c r="X36" s="1078">
        <f>SHIPPERS!X37</f>
        <v>106454978.67609912</v>
      </c>
      <c r="Y36" s="1078">
        <f>SHIPPERS!Y37</f>
        <v>106454978.67609918</v>
      </c>
      <c r="Z36" s="1078">
        <f>SHIPPERS!Z37</f>
        <v>106454978.67609912</v>
      </c>
      <c r="AA36" s="1078">
        <f>SHIPPERS!AA37</f>
        <v>106454978.67609912</v>
      </c>
      <c r="AB36" s="1078">
        <f>SHIPPERS!AB37</f>
        <v>106454978.67609918</v>
      </c>
      <c r="AC36" s="1078">
        <f>SHIPPERS!AC37</f>
        <v>106454978.67609918</v>
      </c>
      <c r="AD36" s="1078">
        <f>SHIPPERS!AD37</f>
        <v>106454978.67609924</v>
      </c>
      <c r="AE36" s="1078">
        <f>SHIPPERS!AE37</f>
        <v>106454978.67609918</v>
      </c>
      <c r="AF36" s="1078">
        <f>SHIPPERS!AF37</f>
        <v>106454978.67609912</v>
      </c>
      <c r="AG36" s="1078">
        <f>SHIPPERS!AG37</f>
        <v>106454978.67609918</v>
      </c>
      <c r="AH36" s="1078">
        <f>SHIPPERS!AH37</f>
        <v>106454978.67609912</v>
      </c>
      <c r="AI36" s="1078">
        <f>SHIPPERS!AI37</f>
        <v>106454978.67609918</v>
      </c>
      <c r="AJ36" s="1078">
        <f>SHIPPERS!AJ37</f>
        <v>106454978.67609912</v>
      </c>
      <c r="AK36" s="1078">
        <f>SHIPPERS!AK37</f>
        <v>106454978.67609912</v>
      </c>
      <c r="AL36" s="1078">
        <f>SHIPPERS!AL37</f>
        <v>106454978.67609912</v>
      </c>
      <c r="AM36" s="1078">
        <f>SHIPPERS!AM37</f>
        <v>106454978.67609918</v>
      </c>
      <c r="AN36" s="1078">
        <f>SHIPPERS!AN37</f>
        <v>106454978.67609918</v>
      </c>
      <c r="AO36" s="1078">
        <f>SHIPPERS!AO37</f>
        <v>106454978.67609924</v>
      </c>
    </row>
    <row r="37" spans="1:41" s="406" customFormat="1">
      <c r="A37" s="382"/>
      <c r="B37" s="397" t="str">
        <f>B7</f>
        <v>Avoided Emissions: CO2</v>
      </c>
      <c r="C37" s="1078">
        <f t="shared" ref="C37:C45" si="24">SUM(D37:AO37)</f>
        <v>147422763.6176087</v>
      </c>
      <c r="D37" s="1078">
        <f>EMISSIONS!D67</f>
        <v>0</v>
      </c>
      <c r="E37" s="1078">
        <f>EMISSIONS!E67</f>
        <v>0</v>
      </c>
      <c r="F37" s="1078">
        <f>EMISSIONS!F67</f>
        <v>0</v>
      </c>
      <c r="G37" s="1078">
        <f>EMISSIONS!G67</f>
        <v>0</v>
      </c>
      <c r="H37" s="1078">
        <f>EMISSIONS!H67</f>
        <v>0</v>
      </c>
      <c r="I37" s="1078">
        <f>EMISSIONS!I67</f>
        <v>0</v>
      </c>
      <c r="J37" s="1078">
        <f>EMISSIONS!J67</f>
        <v>0</v>
      </c>
      <c r="K37" s="1078">
        <f>EMISSIONS!K67</f>
        <v>0</v>
      </c>
      <c r="L37" s="1078">
        <f>EMISSIONS!L67</f>
        <v>67197.090782362968</v>
      </c>
      <c r="M37" s="1078">
        <f>EMISSIONS!M67</f>
        <v>68276.15808269009</v>
      </c>
      <c r="N37" s="1078">
        <f>EMISSIONS!N67</f>
        <v>3903477.7321825102</v>
      </c>
      <c r="O37" s="1078">
        <f>EMISSIONS!O67</f>
        <v>3963786.8353532441</v>
      </c>
      <c r="P37" s="1078">
        <f>EMISSIONS!P67</f>
        <v>5194090.8894623369</v>
      </c>
      <c r="Q37" s="1078">
        <f>EMISSIONS!Q67</f>
        <v>5252119.5022816174</v>
      </c>
      <c r="R37" s="1078">
        <f>EMISSIONS!R67</f>
        <v>5325003.3817911632</v>
      </c>
      <c r="S37" s="1078">
        <f>EMISSIONS!S67</f>
        <v>5416684.5226991139</v>
      </c>
      <c r="T37" s="1078">
        <f>EMISSIONS!T67</f>
        <v>5470542.5292977951</v>
      </c>
      <c r="U37" s="1078">
        <f>EMISSIONS!U67</f>
        <v>5543197.7972948812</v>
      </c>
      <c r="V37" s="1078">
        <f>EMISSIONS!V67</f>
        <v>5634621.7502512969</v>
      </c>
      <c r="W37" s="1078">
        <f>EMISSIONS!W67</f>
        <v>5707115.085093718</v>
      </c>
      <c r="X37" s="1078">
        <f>EMISSIONS!X67</f>
        <v>5798358.0539361015</v>
      </c>
      <c r="Y37" s="1078">
        <f>EMISSIONS!Y67</f>
        <v>5870689.4556238577</v>
      </c>
      <c r="Z37" s="1078">
        <f>EMISSIONS!Z67</f>
        <v>5961751.4403522089</v>
      </c>
      <c r="AA37" s="1078">
        <f>EMISSIONS!AA67</f>
        <v>6033920.9088853039</v>
      </c>
      <c r="AB37" s="1078">
        <f>EMISSIONS!AB67</f>
        <v>6127907.2158772871</v>
      </c>
      <c r="AC37" s="1078">
        <f>EMISSIONS!AC67</f>
        <v>6221893.5228692666</v>
      </c>
      <c r="AD37" s="1078">
        <f>EMISSIONS!AD67</f>
        <v>6315879.8298612535</v>
      </c>
      <c r="AE37" s="1078">
        <f>EMISSIONS!AE67</f>
        <v>6391068.8754548393</v>
      </c>
      <c r="AF37" s="1078">
        <f>EMISSIONS!AF67</f>
        <v>6485055.1824468188</v>
      </c>
      <c r="AG37" s="1078">
        <f>EMISSIONS!AG67</f>
        <v>6485055.1824468225</v>
      </c>
      <c r="AH37" s="1078">
        <f>EMISSIONS!AH67</f>
        <v>6485055.1824468225</v>
      </c>
      <c r="AI37" s="1078">
        <f>EMISSIONS!AI67</f>
        <v>6485055.1824468188</v>
      </c>
      <c r="AJ37" s="1078">
        <f>EMISSIONS!AJ67</f>
        <v>6485055.1824468225</v>
      </c>
      <c r="AK37" s="1078">
        <f>EMISSIONS!AK67</f>
        <v>6485055.18244683</v>
      </c>
      <c r="AL37" s="1078">
        <f>EMISSIONS!AL67</f>
        <v>6485055.1824468113</v>
      </c>
      <c r="AM37" s="1078">
        <f>EMISSIONS!AM67</f>
        <v>6485055.18244683</v>
      </c>
      <c r="AN37" s="1078">
        <f>EMISSIONS!AN67</f>
        <v>-2362630.2096993751</v>
      </c>
      <c r="AO37" s="1078">
        <f>EMISSIONS!AO67</f>
        <v>-2362630.2096993751</v>
      </c>
    </row>
    <row r="38" spans="1:41" s="406" customFormat="1">
      <c r="A38" s="382"/>
      <c r="B38" s="397" t="str">
        <f>B8</f>
        <v>Avoided Emissions: non-CO2</v>
      </c>
      <c r="C38" s="1078">
        <f t="shared" si="24"/>
        <v>13602090.644015988</v>
      </c>
      <c r="D38" s="1078">
        <f>EMISSIONS!D68</f>
        <v>0</v>
      </c>
      <c r="E38" s="1078">
        <f>EMISSIONS!E68</f>
        <v>0</v>
      </c>
      <c r="F38" s="1078">
        <f>EMISSIONS!F68</f>
        <v>0</v>
      </c>
      <c r="G38" s="1078">
        <f>EMISSIONS!G68</f>
        <v>0</v>
      </c>
      <c r="H38" s="1078">
        <f>EMISSIONS!H68</f>
        <v>0</v>
      </c>
      <c r="I38" s="1078">
        <f>EMISSIONS!I68</f>
        <v>0</v>
      </c>
      <c r="J38" s="1078">
        <f>EMISSIONS!J68</f>
        <v>0</v>
      </c>
      <c r="K38" s="1078">
        <f>EMISSIONS!K68</f>
        <v>0</v>
      </c>
      <c r="L38" s="1078">
        <f>EMISSIONS!L68</f>
        <v>14496.766392982565</v>
      </c>
      <c r="M38" s="1078">
        <f>EMISSIONS!M68</f>
        <v>12457.549306722358</v>
      </c>
      <c r="N38" s="1078">
        <f>EMISSIONS!N68</f>
        <v>619724.81878437754</v>
      </c>
      <c r="O38" s="1078">
        <f>EMISSIONS!O68</f>
        <v>530914.04267110862</v>
      </c>
      <c r="P38" s="1078">
        <f>EMISSIONS!P68</f>
        <v>570242.6462037554</v>
      </c>
      <c r="Q38" s="1078">
        <f>EMISSIONS!Q68</f>
        <v>402931.29497694131</v>
      </c>
      <c r="R38" s="1078">
        <f>EMISSIONS!R68</f>
        <v>469636.66643329011</v>
      </c>
      <c r="S38" s="1078">
        <f>EMISSIONS!S68</f>
        <v>488422.26530204061</v>
      </c>
      <c r="T38" s="1078">
        <f>EMISSIONS!T68</f>
        <v>551629.30088417511</v>
      </c>
      <c r="U38" s="1078">
        <f>EMISSIONS!U68</f>
        <v>568340.94148563547</v>
      </c>
      <c r="V38" s="1078">
        <f>EMISSIONS!V68</f>
        <v>618894.43774779374</v>
      </c>
      <c r="W38" s="1078">
        <f>EMISSIONS!W68</f>
        <v>609016.43318843981</v>
      </c>
      <c r="X38" s="1078">
        <f>EMISSIONS!X68</f>
        <v>599138.42862908449</v>
      </c>
      <c r="Y38" s="1078">
        <f>EMISSIONS!Y68</f>
        <v>589260.4240697301</v>
      </c>
      <c r="Z38" s="1078">
        <f>EMISSIONS!Z68</f>
        <v>579382.41951037571</v>
      </c>
      <c r="AA38" s="1078">
        <f>EMISSIONS!AA68</f>
        <v>569504.41495101945</v>
      </c>
      <c r="AB38" s="1078">
        <f>EMISSIONS!AB68</f>
        <v>569504.41495101852</v>
      </c>
      <c r="AC38" s="1078">
        <f>EMISSIONS!AC68</f>
        <v>569504.41495101945</v>
      </c>
      <c r="AD38" s="1078">
        <f>EMISSIONS!AD68</f>
        <v>569504.41495101945</v>
      </c>
      <c r="AE38" s="1078">
        <f>EMISSIONS!AE68</f>
        <v>569504.41495101992</v>
      </c>
      <c r="AF38" s="1078">
        <f>EMISSIONS!AF68</f>
        <v>569504.41495102085</v>
      </c>
      <c r="AG38" s="1078">
        <f>EMISSIONS!AG68</f>
        <v>569504.41495101992</v>
      </c>
      <c r="AH38" s="1078">
        <f>EMISSIONS!AH68</f>
        <v>569504.41495101992</v>
      </c>
      <c r="AI38" s="1078">
        <f>EMISSIONS!AI68</f>
        <v>569504.41495101992</v>
      </c>
      <c r="AJ38" s="1078">
        <f>EMISSIONS!AJ68</f>
        <v>569504.41495101992</v>
      </c>
      <c r="AK38" s="1078">
        <f>EMISSIONS!AK68</f>
        <v>569504.41495101852</v>
      </c>
      <c r="AL38" s="1078">
        <f>EMISSIONS!AL68</f>
        <v>569504.41495101945</v>
      </c>
      <c r="AM38" s="1078">
        <f>EMISSIONS!AM68</f>
        <v>569504.41495102085</v>
      </c>
      <c r="AN38" s="1078">
        <f>EMISSIONS!AN68</f>
        <v>-512977.5929668583</v>
      </c>
      <c r="AO38" s="1078">
        <f>EMISSIONS!AO68</f>
        <v>-512977.5929668583</v>
      </c>
    </row>
    <row r="39" spans="1:41" s="406" customFormat="1">
      <c r="A39" s="382"/>
      <c r="B39" s="397" t="str">
        <f>B9</f>
        <v>Improved Safety and Avoided Accident Costs</v>
      </c>
      <c r="C39" s="1078">
        <f t="shared" si="24"/>
        <v>242271545.62165201</v>
      </c>
      <c r="D39" s="1078">
        <f>SAFETY!D50</f>
        <v>0</v>
      </c>
      <c r="E39" s="1078">
        <f>SAFETY!E50</f>
        <v>0</v>
      </c>
      <c r="F39" s="1078">
        <f>SAFETY!F50</f>
        <v>0</v>
      </c>
      <c r="G39" s="1078">
        <f>SAFETY!G50</f>
        <v>0</v>
      </c>
      <c r="H39" s="1078">
        <f>SAFETY!H50</f>
        <v>0</v>
      </c>
      <c r="I39" s="1078">
        <f>SAFETY!I50</f>
        <v>0</v>
      </c>
      <c r="J39" s="1078">
        <f>SAFETY!J50</f>
        <v>0</v>
      </c>
      <c r="K39" s="1078">
        <f>SAFETY!K50</f>
        <v>0</v>
      </c>
      <c r="L39" s="1078">
        <f>SAFETY!L50</f>
        <v>119586.61365000159</v>
      </c>
      <c r="M39" s="1078">
        <f>SAFETY!M50</f>
        <v>119586.61365000159</v>
      </c>
      <c r="N39" s="1078">
        <f>SAFETY!N50</f>
        <v>6782269.3741500042</v>
      </c>
      <c r="O39" s="1078">
        <f>SAFETY!O50</f>
        <v>6782269.374150008</v>
      </c>
      <c r="P39" s="1078">
        <f>SAFETY!P50</f>
        <v>8787224.3710019998</v>
      </c>
      <c r="Q39" s="1078">
        <f>SAFETY!Q50</f>
        <v>8787224.3710019998</v>
      </c>
      <c r="R39" s="1078">
        <f>SAFETY!R50</f>
        <v>8787224.3710019961</v>
      </c>
      <c r="S39" s="1078">
        <f>SAFETY!S50</f>
        <v>8787224.3710019961</v>
      </c>
      <c r="T39" s="1078">
        <f>SAFETY!T50</f>
        <v>8787224.3710019961</v>
      </c>
      <c r="U39" s="1078">
        <f>SAFETY!U50</f>
        <v>8787224.3710019961</v>
      </c>
      <c r="V39" s="1078">
        <f>SAFETY!V50</f>
        <v>8787224.3710019961</v>
      </c>
      <c r="W39" s="1078">
        <f>SAFETY!W50</f>
        <v>8787224.3710020036</v>
      </c>
      <c r="X39" s="1078">
        <f>SAFETY!X50</f>
        <v>8787224.3710019924</v>
      </c>
      <c r="Y39" s="1078">
        <f>SAFETY!Y50</f>
        <v>8787224.3710020036</v>
      </c>
      <c r="Z39" s="1078">
        <f>SAFETY!Z50</f>
        <v>8787224.3710019961</v>
      </c>
      <c r="AA39" s="1078">
        <f>SAFETY!AA50</f>
        <v>8787224.3710020036</v>
      </c>
      <c r="AB39" s="1078">
        <f>SAFETY!AB50</f>
        <v>8787224.3710019998</v>
      </c>
      <c r="AC39" s="1078">
        <f>SAFETY!AC50</f>
        <v>8787224.3710019961</v>
      </c>
      <c r="AD39" s="1078">
        <f>SAFETY!AD50</f>
        <v>8787224.3710020036</v>
      </c>
      <c r="AE39" s="1078">
        <f>SAFETY!AE50</f>
        <v>8787224.3710019961</v>
      </c>
      <c r="AF39" s="1078">
        <f>SAFETY!AF50</f>
        <v>8787224.3710020036</v>
      </c>
      <c r="AG39" s="1078">
        <f>SAFETY!AG50</f>
        <v>8787224.3710020036</v>
      </c>
      <c r="AH39" s="1078">
        <f>SAFETY!AH50</f>
        <v>8787224.3710019961</v>
      </c>
      <c r="AI39" s="1078">
        <f>SAFETY!AI50</f>
        <v>8787224.3710020036</v>
      </c>
      <c r="AJ39" s="1078">
        <f>SAFETY!AJ50</f>
        <v>8787224.3710020036</v>
      </c>
      <c r="AK39" s="1078">
        <f>SAFETY!AK50</f>
        <v>8787224.3710019961</v>
      </c>
      <c r="AL39" s="1078">
        <f>SAFETY!AL50</f>
        <v>8787224.3710019961</v>
      </c>
      <c r="AM39" s="1078">
        <f>SAFETY!AM50</f>
        <v>8787224.3710020185</v>
      </c>
      <c r="AN39" s="1078">
        <f>SAFETY!AN50</f>
        <v>8787224.3710020036</v>
      </c>
      <c r="AO39" s="1078">
        <f>SAFETY!AO50</f>
        <v>8787224.371002011</v>
      </c>
    </row>
    <row r="40" spans="1:41" s="406" customFormat="1">
      <c r="A40" s="382"/>
      <c r="B40" s="397" t="str">
        <f t="shared" ref="B40:B41" si="25">B10</f>
        <v>Avoided Roadway Congestion Costs</v>
      </c>
      <c r="C40" s="1078">
        <f t="shared" si="24"/>
        <v>23654508.480000008</v>
      </c>
      <c r="D40" s="1078">
        <f>CONGESTION!D25</f>
        <v>0</v>
      </c>
      <c r="E40" s="1078">
        <f>CONGESTION!E25</f>
        <v>0</v>
      </c>
      <c r="F40" s="1078">
        <f>CONGESTION!F25</f>
        <v>0</v>
      </c>
      <c r="G40" s="1078">
        <f>CONGESTION!G25</f>
        <v>0</v>
      </c>
      <c r="H40" s="1078">
        <f>CONGESTION!H25</f>
        <v>0</v>
      </c>
      <c r="I40" s="1078">
        <f>CONGESTION!I25</f>
        <v>0</v>
      </c>
      <c r="J40" s="1078">
        <f>CONGESTION!J25</f>
        <v>0</v>
      </c>
      <c r="K40" s="1078">
        <f>CONGESTION!K25</f>
        <v>0</v>
      </c>
      <c r="L40" s="1078">
        <f>CONGESTION!L25</f>
        <v>11676</v>
      </c>
      <c r="M40" s="1078">
        <f>CONGESTION!M25</f>
        <v>11676</v>
      </c>
      <c r="N40" s="1078">
        <f>CONGESTION!N25</f>
        <v>662196.00000000047</v>
      </c>
      <c r="O40" s="1078">
        <f>CONGESTION!O25</f>
        <v>662195.99999999953</v>
      </c>
      <c r="P40" s="1078">
        <f>CONGESTION!P25</f>
        <v>857952.48</v>
      </c>
      <c r="Q40" s="1078">
        <f>CONGESTION!Q25</f>
        <v>857952.47999999952</v>
      </c>
      <c r="R40" s="1078">
        <f>CONGESTION!R25</f>
        <v>857952.48</v>
      </c>
      <c r="S40" s="1078">
        <f>CONGESTION!S25</f>
        <v>857952.48000000091</v>
      </c>
      <c r="T40" s="1078">
        <f>CONGESTION!T25</f>
        <v>857952.48000000045</v>
      </c>
      <c r="U40" s="1078">
        <f>CONGESTION!U25</f>
        <v>857952.48000000045</v>
      </c>
      <c r="V40" s="1078">
        <f>CONGESTION!V25</f>
        <v>857952.48</v>
      </c>
      <c r="W40" s="1078">
        <f>CONGESTION!W25</f>
        <v>857952.48</v>
      </c>
      <c r="X40" s="1078">
        <f>CONGESTION!X25</f>
        <v>857952.48</v>
      </c>
      <c r="Y40" s="1078">
        <f>CONGESTION!Y25</f>
        <v>857952.48</v>
      </c>
      <c r="Z40" s="1078">
        <f>CONGESTION!Z25</f>
        <v>857952.48</v>
      </c>
      <c r="AA40" s="1078">
        <f>CONGESTION!AA25</f>
        <v>857952.48</v>
      </c>
      <c r="AB40" s="1078">
        <f>CONGESTION!AB25</f>
        <v>857952.48</v>
      </c>
      <c r="AC40" s="1078">
        <f>CONGESTION!AC25</f>
        <v>857952.48</v>
      </c>
      <c r="AD40" s="1078">
        <f>CONGESTION!AD25</f>
        <v>857952.48</v>
      </c>
      <c r="AE40" s="1078">
        <f>CONGESTION!AE25</f>
        <v>857952.48</v>
      </c>
      <c r="AF40" s="1078">
        <f>CONGESTION!AF25</f>
        <v>857952.47999999952</v>
      </c>
      <c r="AG40" s="1078">
        <f>CONGESTION!AG25</f>
        <v>857952.48000000045</v>
      </c>
      <c r="AH40" s="1078">
        <f>CONGESTION!AH25</f>
        <v>857952.48</v>
      </c>
      <c r="AI40" s="1078">
        <f>CONGESTION!AI25</f>
        <v>857952.48</v>
      </c>
      <c r="AJ40" s="1078">
        <f>CONGESTION!AJ25</f>
        <v>857952.48</v>
      </c>
      <c r="AK40" s="1078">
        <f>CONGESTION!AK25</f>
        <v>857952.48000000045</v>
      </c>
      <c r="AL40" s="1078">
        <f>CONGESTION!AL25</f>
        <v>857952.48000000045</v>
      </c>
      <c r="AM40" s="1078">
        <f>CONGESTION!AM25</f>
        <v>857952.48</v>
      </c>
      <c r="AN40" s="1078">
        <f>CONGESTION!AN25</f>
        <v>857952.47999999952</v>
      </c>
      <c r="AO40" s="1078">
        <f>CONGESTION!AO25</f>
        <v>857952.48</v>
      </c>
    </row>
    <row r="41" spans="1:41" s="406" customFormat="1">
      <c r="A41" s="382"/>
      <c r="B41" s="397" t="str">
        <f t="shared" si="25"/>
        <v>Avoided Fuel Consumed from Freight Transportation</v>
      </c>
      <c r="C41" s="1078">
        <f t="shared" si="24"/>
        <v>37004163.892127968</v>
      </c>
      <c r="D41" s="1078">
        <f>'FUEL COST'!D29</f>
        <v>0</v>
      </c>
      <c r="E41" s="1078">
        <f>'FUEL COST'!E29</f>
        <v>0</v>
      </c>
      <c r="F41" s="1078">
        <f>'FUEL COST'!F29</f>
        <v>0</v>
      </c>
      <c r="G41" s="1078">
        <f>'FUEL COST'!G29</f>
        <v>0</v>
      </c>
      <c r="H41" s="1078">
        <f>'FUEL COST'!H29</f>
        <v>0</v>
      </c>
      <c r="I41" s="1078">
        <f>'FUEL COST'!I29</f>
        <v>0</v>
      </c>
      <c r="J41" s="1078">
        <f>'FUEL COST'!J29</f>
        <v>0</v>
      </c>
      <c r="K41" s="1078">
        <f>'FUEL COST'!K29</f>
        <v>0</v>
      </c>
      <c r="L41" s="1078">
        <f>'FUEL COST'!L29</f>
        <v>16910.283218804747</v>
      </c>
      <c r="M41" s="1078">
        <f>'FUEL COST'!M29</f>
        <v>17050.834972498938</v>
      </c>
      <c r="N41" s="1078">
        <f>'FUEL COST'!N29</f>
        <v>973667.1403659787</v>
      </c>
      <c r="O41" s="1078">
        <f>'FUEL COST'!O29</f>
        <v>980050.78178380243</v>
      </c>
      <c r="P41" s="1078">
        <f>'FUEL COST'!P29</f>
        <v>1274083.1197489016</v>
      </c>
      <c r="Q41" s="1078">
        <f>'FUEL COST'!Q29</f>
        <v>1287044.1239341274</v>
      </c>
      <c r="R41" s="1078">
        <f>'FUEL COST'!R29</f>
        <v>1288985.7776404321</v>
      </c>
      <c r="S41" s="1078">
        <f>'FUEL COST'!S29</f>
        <v>1298073.3828316443</v>
      </c>
      <c r="T41" s="1078">
        <f>'FUEL COST'!T29</f>
        <v>1305069.5190275237</v>
      </c>
      <c r="U41" s="1078">
        <f>'FUEL COST'!U29</f>
        <v>1308851.7605705373</v>
      </c>
      <c r="V41" s="1078">
        <f>'FUEL COST'!V29</f>
        <v>1312903.511099115</v>
      </c>
      <c r="W41" s="1078">
        <f>'FUEL COST'!W29</f>
        <v>1323629.572387863</v>
      </c>
      <c r="X41" s="1078">
        <f>'FUEL COST'!X29</f>
        <v>1325599.7623396944</v>
      </c>
      <c r="Y41" s="1078">
        <f>'FUEL COST'!Y29</f>
        <v>1333519.3631478772</v>
      </c>
      <c r="Z41" s="1078">
        <f>'FUEL COST'!Z29</f>
        <v>1329741.4813090432</v>
      </c>
      <c r="AA41" s="1078">
        <f>'FUEL COST'!AA29</f>
        <v>1334128.1363858618</v>
      </c>
      <c r="AB41" s="1078">
        <f>'FUEL COST'!AB29</f>
        <v>1367418.8374910597</v>
      </c>
      <c r="AC41" s="1078">
        <f>'FUEL COST'!AC29</f>
        <v>1370115.5126936845</v>
      </c>
      <c r="AD41" s="1078">
        <f>'FUEL COST'!AD29</f>
        <v>1374042.8134848103</v>
      </c>
      <c r="AE41" s="1078">
        <f>'FUEL COST'!AE29</f>
        <v>1378778.2448958941</v>
      </c>
      <c r="AF41" s="1078">
        <f>'FUEL COST'!AF29</f>
        <v>1380449.9932798818</v>
      </c>
      <c r="AG41" s="1078">
        <f>'FUEL COST'!AG29</f>
        <v>1380449.9932798836</v>
      </c>
      <c r="AH41" s="1078">
        <f>'FUEL COST'!AH29</f>
        <v>1380449.9932798818</v>
      </c>
      <c r="AI41" s="1078">
        <f>'FUEL COST'!AI29</f>
        <v>1380449.9932798836</v>
      </c>
      <c r="AJ41" s="1078">
        <f>'FUEL COST'!AJ29</f>
        <v>1380449.9932798799</v>
      </c>
      <c r="AK41" s="1078">
        <f>'FUEL COST'!AK29</f>
        <v>1380449.9932798818</v>
      </c>
      <c r="AL41" s="1078">
        <f>'FUEL COST'!AL29</f>
        <v>1380449.9932798818</v>
      </c>
      <c r="AM41" s="1078">
        <f>'FUEL COST'!AM29</f>
        <v>1380449.9932798799</v>
      </c>
      <c r="AN41" s="1078">
        <f>'FUEL COST'!AN29</f>
        <v>1380449.9932798836</v>
      </c>
      <c r="AO41" s="1078">
        <f>'FUEL COST'!AO29</f>
        <v>1380449.9932798818</v>
      </c>
    </row>
    <row r="42" spans="1:41" s="406" customFormat="1">
      <c r="A42" s="382"/>
      <c r="B42" s="397" t="str">
        <f>B12</f>
        <v>Avoided Pavement Maintenance Costs</v>
      </c>
      <c r="C42" s="1078">
        <f t="shared" si="24"/>
        <v>27916677.852407541</v>
      </c>
      <c r="D42" s="1078">
        <f>PAVEMENT!D25</f>
        <v>0</v>
      </c>
      <c r="E42" s="1078">
        <f>PAVEMENT!E25</f>
        <v>0</v>
      </c>
      <c r="F42" s="1078">
        <f>PAVEMENT!F25</f>
        <v>0</v>
      </c>
      <c r="G42" s="1078">
        <f>PAVEMENT!G25</f>
        <v>0</v>
      </c>
      <c r="H42" s="1078">
        <f>PAVEMENT!H25</f>
        <v>0</v>
      </c>
      <c r="I42" s="1078">
        <f>PAVEMENT!I25</f>
        <v>0</v>
      </c>
      <c r="J42" s="1078">
        <f>PAVEMENT!J25</f>
        <v>0</v>
      </c>
      <c r="K42" s="1078">
        <f>PAVEMENT!K25</f>
        <v>0</v>
      </c>
      <c r="L42" s="1078">
        <f>PAVEMENT!L25</f>
        <v>13779.831057589035</v>
      </c>
      <c r="M42" s="1078">
        <f>PAVEMENT!M25</f>
        <v>13779.831057589035</v>
      </c>
      <c r="N42" s="1078">
        <f>PAVEMENT!N25</f>
        <v>781513.27569470089</v>
      </c>
      <c r="O42" s="1078">
        <f>PAVEMENT!O25</f>
        <v>781513.27569469996</v>
      </c>
      <c r="P42" s="1078">
        <f>PAVEMENT!P25</f>
        <v>1012541.986111653</v>
      </c>
      <c r="Q42" s="1078">
        <f>PAVEMENT!Q25</f>
        <v>1012541.9861116521</v>
      </c>
      <c r="R42" s="1078">
        <f>PAVEMENT!R25</f>
        <v>1012541.9861116535</v>
      </c>
      <c r="S42" s="1078">
        <f>PAVEMENT!S25</f>
        <v>1012541.9861116535</v>
      </c>
      <c r="T42" s="1078">
        <f>PAVEMENT!T25</f>
        <v>1012541.9861116535</v>
      </c>
      <c r="U42" s="1078">
        <f>PAVEMENT!U25</f>
        <v>1012541.986111653</v>
      </c>
      <c r="V42" s="1078">
        <f>PAVEMENT!V25</f>
        <v>1012541.986111653</v>
      </c>
      <c r="W42" s="1078">
        <f>PAVEMENT!W25</f>
        <v>1012541.9861116526</v>
      </c>
      <c r="X42" s="1078">
        <f>PAVEMENT!X25</f>
        <v>1012541.9861116521</v>
      </c>
      <c r="Y42" s="1078">
        <f>PAVEMENT!Y25</f>
        <v>1012541.9861116526</v>
      </c>
      <c r="Z42" s="1078">
        <f>PAVEMENT!Z25</f>
        <v>1012541.986111653</v>
      </c>
      <c r="AA42" s="1078">
        <f>PAVEMENT!AA25</f>
        <v>1012541.986111653</v>
      </c>
      <c r="AB42" s="1078">
        <f>PAVEMENT!AB25</f>
        <v>1012541.9861116526</v>
      </c>
      <c r="AC42" s="1078">
        <f>PAVEMENT!AC25</f>
        <v>1012541.9861116521</v>
      </c>
      <c r="AD42" s="1078">
        <f>PAVEMENT!AD25</f>
        <v>1012541.9861116521</v>
      </c>
      <c r="AE42" s="1078">
        <f>PAVEMENT!AE25</f>
        <v>1012541.986111653</v>
      </c>
      <c r="AF42" s="1078">
        <f>PAVEMENT!AF25</f>
        <v>1012541.9861116526</v>
      </c>
      <c r="AG42" s="1078">
        <f>PAVEMENT!AG25</f>
        <v>1012541.986111653</v>
      </c>
      <c r="AH42" s="1078">
        <f>PAVEMENT!AH25</f>
        <v>1012541.9861116526</v>
      </c>
      <c r="AI42" s="1078">
        <f>PAVEMENT!AI25</f>
        <v>1012541.986111653</v>
      </c>
      <c r="AJ42" s="1078">
        <f>PAVEMENT!AJ25</f>
        <v>1012541.986111653</v>
      </c>
      <c r="AK42" s="1078">
        <f>PAVEMENT!AK25</f>
        <v>1012541.986111653</v>
      </c>
      <c r="AL42" s="1078">
        <f>PAVEMENT!AL25</f>
        <v>1012541.9861116535</v>
      </c>
      <c r="AM42" s="1078">
        <f>PAVEMENT!AM25</f>
        <v>1012541.986111653</v>
      </c>
      <c r="AN42" s="1078">
        <f>PAVEMENT!AN25</f>
        <v>1012541.9861116521</v>
      </c>
      <c r="AO42" s="1078">
        <f>PAVEMENT!AO25</f>
        <v>1012541.9861116526</v>
      </c>
    </row>
    <row r="43" spans="1:41" s="406" customFormat="1">
      <c r="A43" s="382"/>
      <c r="B43" s="397" t="str">
        <f>B13</f>
        <v>Residual Value of Capital Assets</v>
      </c>
      <c r="C43" s="1078">
        <f t="shared" si="24"/>
        <v>0</v>
      </c>
      <c r="D43" s="1078">
        <f>Costs!I19</f>
        <v>0</v>
      </c>
      <c r="E43" s="1078">
        <f>Costs!J19</f>
        <v>0</v>
      </c>
      <c r="F43" s="1078">
        <f>Costs!K19</f>
        <v>0</v>
      </c>
      <c r="G43" s="1078">
        <f>Costs!L19</f>
        <v>0</v>
      </c>
      <c r="H43" s="1078">
        <f>Costs!M19</f>
        <v>0</v>
      </c>
      <c r="I43" s="1078">
        <f>Costs!N19</f>
        <v>0</v>
      </c>
      <c r="J43" s="1078">
        <f>Costs!O19</f>
        <v>0</v>
      </c>
      <c r="K43" s="1078">
        <f>Costs!P19</f>
        <v>0</v>
      </c>
      <c r="L43" s="1078">
        <f>Costs!Q19</f>
        <v>0</v>
      </c>
      <c r="M43" s="1078">
        <f>Costs!R19</f>
        <v>0</v>
      </c>
      <c r="N43" s="1078">
        <f>Costs!S19</f>
        <v>0</v>
      </c>
      <c r="O43" s="1078">
        <f>Costs!T19</f>
        <v>0</v>
      </c>
      <c r="P43" s="1078">
        <f>Costs!U19</f>
        <v>0</v>
      </c>
      <c r="Q43" s="1078">
        <f>Costs!V19</f>
        <v>0</v>
      </c>
      <c r="R43" s="1078">
        <f>Costs!W19</f>
        <v>0</v>
      </c>
      <c r="S43" s="1078">
        <f>Costs!X19</f>
        <v>0</v>
      </c>
      <c r="T43" s="1078">
        <f>Costs!Y19</f>
        <v>0</v>
      </c>
      <c r="U43" s="1078">
        <f>Costs!Z19</f>
        <v>0</v>
      </c>
      <c r="V43" s="1078">
        <f>Costs!AA19</f>
        <v>0</v>
      </c>
      <c r="W43" s="1078">
        <f>Costs!AB19</f>
        <v>0</v>
      </c>
      <c r="X43" s="1078">
        <f>Costs!AC19</f>
        <v>0</v>
      </c>
      <c r="Y43" s="1078">
        <f>Costs!AD19</f>
        <v>0</v>
      </c>
      <c r="Z43" s="1078">
        <f>Costs!AE19</f>
        <v>0</v>
      </c>
      <c r="AA43" s="1078">
        <f>Costs!AF19</f>
        <v>0</v>
      </c>
      <c r="AB43" s="1078">
        <f>Costs!AG19</f>
        <v>0</v>
      </c>
      <c r="AC43" s="1078">
        <f>Costs!AH19</f>
        <v>0</v>
      </c>
      <c r="AD43" s="1078">
        <f>Costs!AI19</f>
        <v>0</v>
      </c>
      <c r="AE43" s="1079">
        <f>Costs!AJ19</f>
        <v>0</v>
      </c>
      <c r="AF43" s="1079">
        <f>Costs!AK19</f>
        <v>0</v>
      </c>
      <c r="AG43" s="1079">
        <f>Costs!AL19</f>
        <v>0</v>
      </c>
      <c r="AH43" s="1079">
        <f>Costs!AM19</f>
        <v>0</v>
      </c>
      <c r="AI43" s="1079">
        <f>Costs!AN19</f>
        <v>0</v>
      </c>
      <c r="AJ43" s="1079">
        <f>Costs!AO19</f>
        <v>0</v>
      </c>
      <c r="AK43" s="1079">
        <f>Costs!AP19</f>
        <v>0</v>
      </c>
      <c r="AL43" s="1079">
        <f>Costs!AQ19</f>
        <v>0</v>
      </c>
      <c r="AM43" s="1079">
        <f>Costs!AR19</f>
        <v>0</v>
      </c>
      <c r="AN43" s="1079">
        <f>Costs!AS19</f>
        <v>0</v>
      </c>
      <c r="AO43" s="1079">
        <f>Costs!AT19</f>
        <v>0</v>
      </c>
    </row>
    <row r="44" spans="1:41" s="406" customFormat="1">
      <c r="A44" s="382"/>
      <c r="B44" s="397" t="str">
        <f>B14</f>
        <v>O&amp;M Costs (disbenefit)</v>
      </c>
      <c r="C44" s="1078">
        <f t="shared" si="24"/>
        <v>-27349735.384615373</v>
      </c>
      <c r="D44" s="1078">
        <f>Costs!I8</f>
        <v>0</v>
      </c>
      <c r="E44" s="1078">
        <f>Costs!J8</f>
        <v>0</v>
      </c>
      <c r="F44" s="1078">
        <f>Costs!K8</f>
        <v>0</v>
      </c>
      <c r="G44" s="1078">
        <f>Costs!L8</f>
        <v>0</v>
      </c>
      <c r="H44" s="1078">
        <f>Costs!M8</f>
        <v>0</v>
      </c>
      <c r="I44" s="1078">
        <f>Costs!N8</f>
        <v>0</v>
      </c>
      <c r="J44" s="1078">
        <f>Costs!O8</f>
        <v>0</v>
      </c>
      <c r="K44" s="1078">
        <f>Costs!P8</f>
        <v>0</v>
      </c>
      <c r="L44" s="1078">
        <f>Costs!Q8</f>
        <v>-283650</v>
      </c>
      <c r="M44" s="1078">
        <f>Costs!R8</f>
        <v>-283650</v>
      </c>
      <c r="N44" s="1078">
        <f>Costs!S8</f>
        <v>-283650</v>
      </c>
      <c r="O44" s="1078">
        <f>Costs!T8</f>
        <v>-307900</v>
      </c>
      <c r="P44" s="1078">
        <f>Costs!U8</f>
        <v>-307900</v>
      </c>
      <c r="Q44" s="1078">
        <f>Costs!V8</f>
        <v>-927730</v>
      </c>
      <c r="R44" s="1078">
        <f>Costs!W8</f>
        <v>-307900</v>
      </c>
      <c r="S44" s="1078">
        <f>Costs!X8</f>
        <v>-307900</v>
      </c>
      <c r="T44" s="1078">
        <f>Costs!Y8</f>
        <v>-927730</v>
      </c>
      <c r="U44" s="1078">
        <f>Costs!Z8</f>
        <v>-307900</v>
      </c>
      <c r="V44" s="1078">
        <f>Costs!AA8</f>
        <v>-938250.76923076913</v>
      </c>
      <c r="W44" s="1078">
        <f>Costs!AB8</f>
        <v>-1558080.769230769</v>
      </c>
      <c r="X44" s="1078">
        <f>Costs!AC8</f>
        <v>-938250.76923076913</v>
      </c>
      <c r="Y44" s="1078">
        <f>Costs!AD8</f>
        <v>-938250.76923076913</v>
      </c>
      <c r="Z44" s="1078">
        <f>Costs!AE8</f>
        <v>-1558080.769230769</v>
      </c>
      <c r="AA44" s="1078">
        <f>Costs!AF8</f>
        <v>-938250.76923076913</v>
      </c>
      <c r="AB44" s="1078">
        <f>Costs!AG8</f>
        <v>-938250.76923076913</v>
      </c>
      <c r="AC44" s="1078">
        <f>Costs!AH8</f>
        <v>-1558080.769230769</v>
      </c>
      <c r="AD44" s="1078">
        <f>Costs!AI8</f>
        <v>-938250.76923076913</v>
      </c>
      <c r="AE44" s="1078">
        <f>Costs!AJ8</f>
        <v>-938250.76923076913</v>
      </c>
      <c r="AF44" s="1078">
        <f>Costs!AK8</f>
        <v>-1558080.769230769</v>
      </c>
      <c r="AG44" s="1078">
        <f>Costs!AL8</f>
        <v>-938250.76923076913</v>
      </c>
      <c r="AH44" s="1078">
        <f>Costs!AM8</f>
        <v>-938250.76923076913</v>
      </c>
      <c r="AI44" s="1078">
        <f>Costs!AN8</f>
        <v>-1558080.769230769</v>
      </c>
      <c r="AJ44" s="1078">
        <f>Costs!AO8</f>
        <v>-938250.76923076913</v>
      </c>
      <c r="AK44" s="1078">
        <f>Costs!AP8</f>
        <v>-938250.76923076913</v>
      </c>
      <c r="AL44" s="1078">
        <f>Costs!AQ8</f>
        <v>-1558080.769230769</v>
      </c>
      <c r="AM44" s="1078">
        <f>Costs!AR8</f>
        <v>-938250.76923076913</v>
      </c>
      <c r="AN44" s="1078">
        <f>Costs!AS8</f>
        <v>-938250.76923076913</v>
      </c>
      <c r="AO44" s="1078">
        <f>Costs!AT8</f>
        <v>-1558080.769230769</v>
      </c>
    </row>
    <row r="45" spans="1:41" s="406" customFormat="1">
      <c r="A45" s="382"/>
      <c r="B45" s="397" t="str">
        <f>B17</f>
        <v>Capital Costs</v>
      </c>
      <c r="C45" s="1078">
        <f t="shared" si="24"/>
        <v>171993998</v>
      </c>
      <c r="D45" s="1078">
        <f>Costs!I5</f>
        <v>0</v>
      </c>
      <c r="E45" s="1078">
        <f>Costs!J5</f>
        <v>0</v>
      </c>
      <c r="F45" s="1078">
        <f>Costs!K5</f>
        <v>0</v>
      </c>
      <c r="G45" s="1078">
        <f>Costs!L5</f>
        <v>2425000</v>
      </c>
      <c r="H45" s="1078">
        <f>Costs!M5</f>
        <v>4462000</v>
      </c>
      <c r="I45" s="1078">
        <f>Costs!N5</f>
        <v>32610333</v>
      </c>
      <c r="J45" s="1078">
        <f>Costs!O5</f>
        <v>105997332</v>
      </c>
      <c r="K45" s="1078">
        <f>Costs!P5</f>
        <v>26499333</v>
      </c>
      <c r="L45" s="1078">
        <f>Costs!Q5</f>
        <v>0</v>
      </c>
      <c r="M45" s="1078">
        <f>Costs!R5</f>
        <v>0</v>
      </c>
      <c r="N45" s="1078">
        <f>Costs!S5</f>
        <v>0</v>
      </c>
      <c r="O45" s="1078">
        <f>Costs!T5</f>
        <v>0</v>
      </c>
      <c r="P45" s="1078">
        <f>Costs!U5</f>
        <v>0</v>
      </c>
      <c r="Q45" s="1078">
        <f>Costs!V5</f>
        <v>0</v>
      </c>
      <c r="R45" s="1078">
        <f>Costs!W5</f>
        <v>0</v>
      </c>
      <c r="S45" s="1078">
        <f>Costs!X5</f>
        <v>0</v>
      </c>
      <c r="T45" s="1078">
        <f>Costs!Y5</f>
        <v>0</v>
      </c>
      <c r="U45" s="1078">
        <f>Costs!Z5</f>
        <v>0</v>
      </c>
      <c r="V45" s="1078">
        <f>Costs!AA5</f>
        <v>0</v>
      </c>
      <c r="W45" s="1078">
        <f>Costs!AB5</f>
        <v>0</v>
      </c>
      <c r="X45" s="1078">
        <f>Costs!AC5</f>
        <v>0</v>
      </c>
      <c r="Y45" s="1078">
        <f>Costs!AD5</f>
        <v>0</v>
      </c>
      <c r="Z45" s="1078">
        <f>Costs!AE5</f>
        <v>0</v>
      </c>
      <c r="AA45" s="1078">
        <f>Costs!AF5</f>
        <v>0</v>
      </c>
      <c r="AB45" s="1078">
        <f>Costs!AG5</f>
        <v>0</v>
      </c>
      <c r="AC45" s="1078">
        <f>Costs!AH5</f>
        <v>0</v>
      </c>
      <c r="AD45" s="1078">
        <f>Costs!AI5</f>
        <v>0</v>
      </c>
      <c r="AE45" s="1078">
        <f>Costs!AJ5</f>
        <v>0</v>
      </c>
      <c r="AF45" s="1078">
        <f>Costs!AK5</f>
        <v>0</v>
      </c>
      <c r="AG45" s="1078">
        <f>Costs!AL5</f>
        <v>0</v>
      </c>
      <c r="AH45" s="1078">
        <f>Costs!AM5</f>
        <v>0</v>
      </c>
      <c r="AI45" s="1078">
        <f>Costs!AN5</f>
        <v>0</v>
      </c>
      <c r="AJ45" s="1078">
        <f>Costs!AO5</f>
        <v>0</v>
      </c>
      <c r="AK45" s="1078">
        <f>Costs!AP5</f>
        <v>0</v>
      </c>
      <c r="AL45" s="1078">
        <f>Costs!AQ5</f>
        <v>0</v>
      </c>
      <c r="AM45" s="1078">
        <f>Costs!AR5</f>
        <v>0</v>
      </c>
      <c r="AN45" s="1078">
        <f>Costs!AS5</f>
        <v>0</v>
      </c>
      <c r="AO45" s="1078">
        <f>Costs!AT5</f>
        <v>0</v>
      </c>
    </row>
    <row r="46" spans="1:41" s="406" customFormat="1">
      <c r="A46" s="382"/>
      <c r="B46" s="407" t="s">
        <v>71</v>
      </c>
      <c r="C46" s="1084">
        <f>SUM(D46:AO46)</f>
        <v>3399579904.9131131</v>
      </c>
      <c r="D46" s="1084">
        <f>SUM(D36:D44)</f>
        <v>0</v>
      </c>
      <c r="E46" s="1084">
        <f t="shared" ref="E46:AE46" si="26">SUM(E36:E44)</f>
        <v>0</v>
      </c>
      <c r="F46" s="1084">
        <f t="shared" si="26"/>
        <v>0</v>
      </c>
      <c r="G46" s="1084">
        <f t="shared" si="26"/>
        <v>0</v>
      </c>
      <c r="H46" s="1084">
        <f t="shared" si="26"/>
        <v>0</v>
      </c>
      <c r="I46" s="1084">
        <f t="shared" si="26"/>
        <v>0</v>
      </c>
      <c r="J46" s="1084">
        <f t="shared" si="26"/>
        <v>0</v>
      </c>
      <c r="K46" s="1084">
        <f t="shared" si="26"/>
        <v>0</v>
      </c>
      <c r="L46" s="1084">
        <f t="shared" si="26"/>
        <v>1408757.8626752668</v>
      </c>
      <c r="M46" s="1084">
        <f t="shared" si="26"/>
        <v>1407938.2646429683</v>
      </c>
      <c r="N46" s="1084">
        <f t="shared" si="26"/>
        <v>95604659.369273394</v>
      </c>
      <c r="O46" s="1084">
        <f t="shared" si="26"/>
        <v>95558291.337748706</v>
      </c>
      <c r="P46" s="1084">
        <f t="shared" si="26"/>
        <v>123843214.16862778</v>
      </c>
      <c r="Q46" s="1084">
        <f t="shared" si="26"/>
        <v>123127062.43440546</v>
      </c>
      <c r="R46" s="1084">
        <f t="shared" si="26"/>
        <v>123888423.33907771</v>
      </c>
      <c r="S46" s="1084">
        <f t="shared" si="26"/>
        <v>124007977.68404566</v>
      </c>
      <c r="T46" s="1084">
        <f t="shared" si="26"/>
        <v>123512208.86242233</v>
      </c>
      <c r="U46" s="1084">
        <f t="shared" si="26"/>
        <v>124225188.01256384</v>
      </c>
      <c r="V46" s="1084">
        <f t="shared" si="26"/>
        <v>123740866.44308028</v>
      </c>
      <c r="W46" s="1084">
        <f t="shared" si="26"/>
        <v>123194377.83465216</v>
      </c>
      <c r="X46" s="1084">
        <f t="shared" si="26"/>
        <v>123897542.98888688</v>
      </c>
      <c r="Y46" s="1084">
        <f t="shared" si="26"/>
        <v>123967915.98682356</v>
      </c>
      <c r="Z46" s="1084">
        <f t="shared" si="26"/>
        <v>123425492.08515364</v>
      </c>
      <c r="AA46" s="1084">
        <f t="shared" si="26"/>
        <v>124112000.2042042</v>
      </c>
      <c r="AB46" s="1084">
        <f t="shared" si="26"/>
        <v>124239277.21230145</v>
      </c>
      <c r="AC46" s="1084">
        <f t="shared" si="26"/>
        <v>123716130.19449604</v>
      </c>
      <c r="AD46" s="1084">
        <f t="shared" si="26"/>
        <v>124433873.80227923</v>
      </c>
      <c r="AE46" s="1086">
        <f t="shared" si="26"/>
        <v>124513798.27928382</v>
      </c>
      <c r="AF46" s="1086">
        <f t="shared" ref="AF46:AO46" si="27">SUM(AF36:AF44)</f>
        <v>123989626.33465976</v>
      </c>
      <c r="AG46" s="1086">
        <f t="shared" si="27"/>
        <v>124609456.33465981</v>
      </c>
      <c r="AH46" s="1086">
        <f t="shared" si="27"/>
        <v>124609456.33465976</v>
      </c>
      <c r="AI46" s="1086">
        <f t="shared" si="27"/>
        <v>123989626.33465981</v>
      </c>
      <c r="AJ46" s="1086">
        <f t="shared" si="27"/>
        <v>124609456.33465974</v>
      </c>
      <c r="AK46" s="1086">
        <f t="shared" si="27"/>
        <v>124609456.33465976</v>
      </c>
      <c r="AL46" s="1086">
        <f t="shared" si="27"/>
        <v>123989626.33465973</v>
      </c>
      <c r="AM46" s="1086">
        <f t="shared" si="27"/>
        <v>124609456.33465983</v>
      </c>
      <c r="AN46" s="1086">
        <f t="shared" si="27"/>
        <v>114679288.93459573</v>
      </c>
      <c r="AO46" s="1086">
        <f t="shared" si="27"/>
        <v>114059458.93459579</v>
      </c>
    </row>
    <row r="47" spans="1:41" s="406" customFormat="1">
      <c r="A47" s="382"/>
      <c r="B47" s="407" t="s">
        <v>79</v>
      </c>
      <c r="C47" s="1084">
        <f>SUM(D47:AO47)</f>
        <v>171993998</v>
      </c>
      <c r="D47" s="1084">
        <f>D45</f>
        <v>0</v>
      </c>
      <c r="E47" s="1084">
        <f t="shared" ref="E47:T47" si="28">E45</f>
        <v>0</v>
      </c>
      <c r="F47" s="1084">
        <f t="shared" si="28"/>
        <v>0</v>
      </c>
      <c r="G47" s="1084">
        <f t="shared" si="28"/>
        <v>2425000</v>
      </c>
      <c r="H47" s="1084">
        <f>H45</f>
        <v>4462000</v>
      </c>
      <c r="I47" s="1084">
        <f>I45</f>
        <v>32610333</v>
      </c>
      <c r="J47" s="1084">
        <f t="shared" si="28"/>
        <v>105997332</v>
      </c>
      <c r="K47" s="1084">
        <f t="shared" si="28"/>
        <v>26499333</v>
      </c>
      <c r="L47" s="1084">
        <f t="shared" si="28"/>
        <v>0</v>
      </c>
      <c r="M47" s="1084">
        <f t="shared" si="28"/>
        <v>0</v>
      </c>
      <c r="N47" s="1084">
        <f t="shared" si="28"/>
        <v>0</v>
      </c>
      <c r="O47" s="1084">
        <f t="shared" si="28"/>
        <v>0</v>
      </c>
      <c r="P47" s="1084">
        <f t="shared" si="28"/>
        <v>0</v>
      </c>
      <c r="Q47" s="1084">
        <f t="shared" si="28"/>
        <v>0</v>
      </c>
      <c r="R47" s="1084">
        <f t="shared" si="28"/>
        <v>0</v>
      </c>
      <c r="S47" s="1084">
        <f t="shared" si="28"/>
        <v>0</v>
      </c>
      <c r="T47" s="1084">
        <f t="shared" si="28"/>
        <v>0</v>
      </c>
      <c r="U47" s="1084">
        <f t="shared" ref="U47:AB47" si="29">U45</f>
        <v>0</v>
      </c>
      <c r="V47" s="1084">
        <f t="shared" si="29"/>
        <v>0</v>
      </c>
      <c r="W47" s="1084">
        <f t="shared" si="29"/>
        <v>0</v>
      </c>
      <c r="X47" s="1084">
        <f t="shared" si="29"/>
        <v>0</v>
      </c>
      <c r="Y47" s="1084">
        <f t="shared" si="29"/>
        <v>0</v>
      </c>
      <c r="Z47" s="1084">
        <f t="shared" si="29"/>
        <v>0</v>
      </c>
      <c r="AA47" s="1084">
        <f t="shared" si="29"/>
        <v>0</v>
      </c>
      <c r="AB47" s="1084">
        <f t="shared" si="29"/>
        <v>0</v>
      </c>
      <c r="AC47" s="1084">
        <f t="shared" ref="AC47:AE47" si="30">AC45</f>
        <v>0</v>
      </c>
      <c r="AD47" s="1084">
        <f t="shared" si="30"/>
        <v>0</v>
      </c>
      <c r="AE47" s="1086">
        <f t="shared" si="30"/>
        <v>0</v>
      </c>
      <c r="AF47" s="1086">
        <f t="shared" ref="AF47:AO47" si="31">AF45</f>
        <v>0</v>
      </c>
      <c r="AG47" s="1086">
        <f t="shared" si="31"/>
        <v>0</v>
      </c>
      <c r="AH47" s="1086">
        <f t="shared" si="31"/>
        <v>0</v>
      </c>
      <c r="AI47" s="1086">
        <f t="shared" si="31"/>
        <v>0</v>
      </c>
      <c r="AJ47" s="1086">
        <f t="shared" si="31"/>
        <v>0</v>
      </c>
      <c r="AK47" s="1086">
        <f t="shared" si="31"/>
        <v>0</v>
      </c>
      <c r="AL47" s="1086">
        <f t="shared" si="31"/>
        <v>0</v>
      </c>
      <c r="AM47" s="1086">
        <f t="shared" si="31"/>
        <v>0</v>
      </c>
      <c r="AN47" s="1086">
        <f t="shared" si="31"/>
        <v>0</v>
      </c>
      <c r="AO47" s="1086">
        <f t="shared" si="31"/>
        <v>0</v>
      </c>
    </row>
    <row r="48" spans="1:41" s="406" customFormat="1">
      <c r="A48" s="382"/>
      <c r="B48" s="408" t="s">
        <v>80</v>
      </c>
      <c r="C48" s="1085">
        <f>SUM(D48:AO48)</f>
        <v>3227585906.9131131</v>
      </c>
      <c r="D48" s="1085">
        <f>SUM(D36:D44)-D45</f>
        <v>0</v>
      </c>
      <c r="E48" s="1085">
        <f t="shared" ref="E48:AE48" si="32">SUM(E36:E44)-E45</f>
        <v>0</v>
      </c>
      <c r="F48" s="1085">
        <f t="shared" si="32"/>
        <v>0</v>
      </c>
      <c r="G48" s="1085">
        <f t="shared" si="32"/>
        <v>-2425000</v>
      </c>
      <c r="H48" s="1085">
        <f t="shared" si="32"/>
        <v>-4462000</v>
      </c>
      <c r="I48" s="1085">
        <f t="shared" si="32"/>
        <v>-32610333</v>
      </c>
      <c r="J48" s="1085">
        <f t="shared" si="32"/>
        <v>-105997332</v>
      </c>
      <c r="K48" s="1085">
        <f t="shared" si="32"/>
        <v>-26499333</v>
      </c>
      <c r="L48" s="1085">
        <f t="shared" si="32"/>
        <v>1408757.8626752668</v>
      </c>
      <c r="M48" s="1085">
        <f t="shared" si="32"/>
        <v>1407938.2646429683</v>
      </c>
      <c r="N48" s="1085">
        <f t="shared" si="32"/>
        <v>95604659.369273394</v>
      </c>
      <c r="O48" s="1085">
        <f t="shared" si="32"/>
        <v>95558291.337748706</v>
      </c>
      <c r="P48" s="1085">
        <f t="shared" si="32"/>
        <v>123843214.16862778</v>
      </c>
      <c r="Q48" s="1085">
        <f t="shared" si="32"/>
        <v>123127062.43440546</v>
      </c>
      <c r="R48" s="1085">
        <f t="shared" si="32"/>
        <v>123888423.33907771</v>
      </c>
      <c r="S48" s="1085">
        <f t="shared" si="32"/>
        <v>124007977.68404566</v>
      </c>
      <c r="T48" s="1085">
        <f t="shared" si="32"/>
        <v>123512208.86242233</v>
      </c>
      <c r="U48" s="1085">
        <f t="shared" si="32"/>
        <v>124225188.01256384</v>
      </c>
      <c r="V48" s="1085">
        <f t="shared" si="32"/>
        <v>123740866.44308028</v>
      </c>
      <c r="W48" s="1085">
        <f t="shared" si="32"/>
        <v>123194377.83465216</v>
      </c>
      <c r="X48" s="1085">
        <f t="shared" si="32"/>
        <v>123897542.98888688</v>
      </c>
      <c r="Y48" s="1085">
        <f t="shared" si="32"/>
        <v>123967915.98682356</v>
      </c>
      <c r="Z48" s="1085">
        <f t="shared" si="32"/>
        <v>123425492.08515364</v>
      </c>
      <c r="AA48" s="1085">
        <f t="shared" si="32"/>
        <v>124112000.2042042</v>
      </c>
      <c r="AB48" s="1085">
        <f t="shared" si="32"/>
        <v>124239277.21230145</v>
      </c>
      <c r="AC48" s="1085">
        <f t="shared" si="32"/>
        <v>123716130.19449604</v>
      </c>
      <c r="AD48" s="1085">
        <f t="shared" si="32"/>
        <v>124433873.80227923</v>
      </c>
      <c r="AE48" s="1085">
        <f t="shared" si="32"/>
        <v>124513798.27928382</v>
      </c>
      <c r="AF48" s="1085">
        <f t="shared" ref="AF48:AO48" si="33">SUM(AF36:AF44)-AF45</f>
        <v>123989626.33465976</v>
      </c>
      <c r="AG48" s="1085">
        <f t="shared" si="33"/>
        <v>124609456.33465981</v>
      </c>
      <c r="AH48" s="1085">
        <f t="shared" si="33"/>
        <v>124609456.33465976</v>
      </c>
      <c r="AI48" s="1085">
        <f t="shared" si="33"/>
        <v>123989626.33465981</v>
      </c>
      <c r="AJ48" s="1085">
        <f t="shared" si="33"/>
        <v>124609456.33465974</v>
      </c>
      <c r="AK48" s="1085">
        <f t="shared" si="33"/>
        <v>124609456.33465976</v>
      </c>
      <c r="AL48" s="1085">
        <f t="shared" si="33"/>
        <v>123989626.33465973</v>
      </c>
      <c r="AM48" s="1085">
        <f t="shared" si="33"/>
        <v>124609456.33465983</v>
      </c>
      <c r="AN48" s="1085">
        <f t="shared" si="33"/>
        <v>114679288.93459573</v>
      </c>
      <c r="AO48" s="1085">
        <f t="shared" si="33"/>
        <v>114059458.93459579</v>
      </c>
    </row>
    <row r="49" spans="1:41" s="406" customFormat="1">
      <c r="A49" s="382"/>
      <c r="B49" s="397" t="s">
        <v>81</v>
      </c>
      <c r="C49" s="1078"/>
      <c r="D49" s="1078">
        <f>D48</f>
        <v>0</v>
      </c>
      <c r="E49" s="1078">
        <f>E48+D49</f>
        <v>0</v>
      </c>
      <c r="F49" s="1078">
        <f t="shared" ref="F49" si="34">F48+E49</f>
        <v>0</v>
      </c>
      <c r="G49" s="1078">
        <f t="shared" ref="G49" si="35">G48+F49</f>
        <v>-2425000</v>
      </c>
      <c r="H49" s="1078">
        <f t="shared" ref="H49" si="36">H48+G49</f>
        <v>-6887000</v>
      </c>
      <c r="I49" s="1078">
        <f t="shared" ref="I49" si="37">I48+H49</f>
        <v>-39497333</v>
      </c>
      <c r="J49" s="1078">
        <f t="shared" ref="J49" si="38">J48+I49</f>
        <v>-145494665</v>
      </c>
      <c r="K49" s="1078">
        <f t="shared" ref="K49" si="39">K48+J49</f>
        <v>-171993998</v>
      </c>
      <c r="L49" s="1078">
        <f t="shared" ref="L49" si="40">L48+K49</f>
        <v>-170585240.13732472</v>
      </c>
      <c r="M49" s="1078">
        <f t="shared" ref="M49" si="41">M48+L49</f>
        <v>-169177301.87268177</v>
      </c>
      <c r="N49" s="1078">
        <f t="shared" ref="N49" si="42">N48+M49</f>
        <v>-73572642.503408372</v>
      </c>
      <c r="O49" s="1078">
        <f t="shared" ref="O49" si="43">O48+N49</f>
        <v>21985648.834340334</v>
      </c>
      <c r="P49" s="1078">
        <f t="shared" ref="P49" si="44">P48+O49</f>
        <v>145828863.00296813</v>
      </c>
      <c r="Q49" s="1078">
        <f t="shared" ref="Q49" si="45">Q48+P49</f>
        <v>268955925.43737358</v>
      </c>
      <c r="R49" s="1078">
        <f t="shared" ref="R49" si="46">R48+Q49</f>
        <v>392844348.77645129</v>
      </c>
      <c r="S49" s="1078">
        <f t="shared" ref="S49" si="47">S48+R49</f>
        <v>516852326.46049696</v>
      </c>
      <c r="T49" s="1078">
        <f t="shared" ref="T49" si="48">T48+S49</f>
        <v>640364535.32291925</v>
      </c>
      <c r="U49" s="1078">
        <f t="shared" ref="U49" si="49">U48+T49</f>
        <v>764589723.33548307</v>
      </c>
      <c r="V49" s="1078">
        <f t="shared" ref="V49" si="50">V48+U49</f>
        <v>888330589.77856338</v>
      </c>
      <c r="W49" s="1078">
        <f t="shared" ref="W49" si="51">W48+V49</f>
        <v>1011524967.6132156</v>
      </c>
      <c r="X49" s="1078">
        <f t="shared" ref="X49" si="52">X48+W49</f>
        <v>1135422510.6021025</v>
      </c>
      <c r="Y49" s="1078">
        <f t="shared" ref="Y49" si="53">Y48+X49</f>
        <v>1259390426.5889261</v>
      </c>
      <c r="Z49" s="1078">
        <f t="shared" ref="Z49" si="54">Z48+Y49</f>
        <v>1382815918.6740797</v>
      </c>
      <c r="AA49" s="1078">
        <f t="shared" ref="AA49" si="55">AA48+Z49</f>
        <v>1506927918.878284</v>
      </c>
      <c r="AB49" s="1078">
        <f t="shared" ref="AB49" si="56">AB48+AA49</f>
        <v>1631167196.0905855</v>
      </c>
      <c r="AC49" s="1078">
        <f t="shared" ref="AC49" si="57">AC48+AB49</f>
        <v>1754883326.2850814</v>
      </c>
      <c r="AD49" s="1078">
        <f t="shared" ref="AD49" si="58">AD48+AC49</f>
        <v>1879317200.0873606</v>
      </c>
      <c r="AE49" s="1079">
        <f t="shared" ref="AE49" si="59">AE48+AD49</f>
        <v>2003830998.3666444</v>
      </c>
      <c r="AF49" s="1079">
        <f t="shared" ref="AF49" si="60">AF48+AE49</f>
        <v>2127820624.7013042</v>
      </c>
      <c r="AG49" s="1079">
        <f t="shared" ref="AG49" si="61">AG48+AF49</f>
        <v>2252430081.035964</v>
      </c>
      <c r="AH49" s="1079">
        <f t="shared" ref="AH49" si="62">AH48+AG49</f>
        <v>2377039537.3706236</v>
      </c>
      <c r="AI49" s="1079">
        <f t="shared" ref="AI49" si="63">AI48+AH49</f>
        <v>2501029163.7052832</v>
      </c>
      <c r="AJ49" s="1079">
        <f t="shared" ref="AJ49" si="64">AJ48+AI49</f>
        <v>2625638620.0399427</v>
      </c>
      <c r="AK49" s="1079">
        <f t="shared" ref="AK49" si="65">AK48+AJ49</f>
        <v>2750248076.3746023</v>
      </c>
      <c r="AL49" s="1079">
        <f t="shared" ref="AL49" si="66">AL48+AK49</f>
        <v>2874237702.7092619</v>
      </c>
      <c r="AM49" s="1079">
        <f t="shared" ref="AM49" si="67">AM48+AL49</f>
        <v>2998847159.0439219</v>
      </c>
      <c r="AN49" s="1079">
        <f t="shared" ref="AN49" si="68">AN48+AM49</f>
        <v>3113526447.9785175</v>
      </c>
      <c r="AO49" s="1079">
        <f t="shared" ref="AO49" si="69">AO48+AN49</f>
        <v>3227585906.9131131</v>
      </c>
    </row>
    <row r="50" spans="1:41" s="406" customFormat="1">
      <c r="A50" s="382"/>
      <c r="B50" s="397" t="s">
        <v>82</v>
      </c>
      <c r="C50" s="1078"/>
      <c r="D50" s="1078">
        <f>D46</f>
        <v>0</v>
      </c>
      <c r="E50" s="1078">
        <f>E46+D50</f>
        <v>0</v>
      </c>
      <c r="F50" s="1078">
        <f t="shared" ref="F50:AE50" si="70">F46+E50</f>
        <v>0</v>
      </c>
      <c r="G50" s="1078">
        <f t="shared" si="70"/>
        <v>0</v>
      </c>
      <c r="H50" s="1078">
        <f t="shared" si="70"/>
        <v>0</v>
      </c>
      <c r="I50" s="1078">
        <f t="shared" si="70"/>
        <v>0</v>
      </c>
      <c r="J50" s="1078">
        <f t="shared" si="70"/>
        <v>0</v>
      </c>
      <c r="K50" s="1078">
        <f t="shared" si="70"/>
        <v>0</v>
      </c>
      <c r="L50" s="1078">
        <f t="shared" si="70"/>
        <v>1408757.8626752668</v>
      </c>
      <c r="M50" s="1078">
        <f t="shared" si="70"/>
        <v>2816696.1273182351</v>
      </c>
      <c r="N50" s="1078">
        <f t="shared" si="70"/>
        <v>98421355.496591628</v>
      </c>
      <c r="O50" s="1078">
        <f t="shared" si="70"/>
        <v>193979646.83434033</v>
      </c>
      <c r="P50" s="1078">
        <f t="shared" si="70"/>
        <v>317822861.00296813</v>
      </c>
      <c r="Q50" s="1078">
        <f t="shared" si="70"/>
        <v>440949923.43737358</v>
      </c>
      <c r="R50" s="1078">
        <f t="shared" si="70"/>
        <v>564838346.77645135</v>
      </c>
      <c r="S50" s="1078">
        <f t="shared" si="70"/>
        <v>688846324.46049702</v>
      </c>
      <c r="T50" s="1078">
        <f t="shared" si="70"/>
        <v>812358533.32291937</v>
      </c>
      <c r="U50" s="1078">
        <f t="shared" si="70"/>
        <v>936583721.33548319</v>
      </c>
      <c r="V50" s="1078">
        <f t="shared" si="70"/>
        <v>1060324587.7785635</v>
      </c>
      <c r="W50" s="1078">
        <f t="shared" si="70"/>
        <v>1183518965.6132157</v>
      </c>
      <c r="X50" s="1078">
        <f t="shared" si="70"/>
        <v>1307416508.6021025</v>
      </c>
      <c r="Y50" s="1078">
        <f t="shared" si="70"/>
        <v>1431384424.5889261</v>
      </c>
      <c r="Z50" s="1078">
        <f t="shared" si="70"/>
        <v>1554809916.6740797</v>
      </c>
      <c r="AA50" s="1078">
        <f t="shared" si="70"/>
        <v>1678921916.878284</v>
      </c>
      <c r="AB50" s="1078">
        <f t="shared" si="70"/>
        <v>1803161194.0905855</v>
      </c>
      <c r="AC50" s="1078">
        <f t="shared" si="70"/>
        <v>1926877324.2850814</v>
      </c>
      <c r="AD50" s="1078">
        <f t="shared" si="70"/>
        <v>2051311198.0873606</v>
      </c>
      <c r="AE50" s="1079">
        <f t="shared" si="70"/>
        <v>2175824996.3666444</v>
      </c>
      <c r="AF50" s="1079">
        <f t="shared" ref="AF50" si="71">AF46+AE50</f>
        <v>2299814622.701304</v>
      </c>
      <c r="AG50" s="1079">
        <f t="shared" ref="AG50" si="72">AG46+AF50</f>
        <v>2424424079.035964</v>
      </c>
      <c r="AH50" s="1079">
        <f t="shared" ref="AH50" si="73">AH46+AG50</f>
        <v>2549033535.3706236</v>
      </c>
      <c r="AI50" s="1079">
        <f t="shared" ref="AI50" si="74">AI46+AH50</f>
        <v>2673023161.7052832</v>
      </c>
      <c r="AJ50" s="1079">
        <f t="shared" ref="AJ50" si="75">AJ46+AI50</f>
        <v>2797632618.0399427</v>
      </c>
      <c r="AK50" s="1079">
        <f t="shared" ref="AK50" si="76">AK46+AJ50</f>
        <v>2922242074.3746023</v>
      </c>
      <c r="AL50" s="1079">
        <f t="shared" ref="AL50" si="77">AL46+AK50</f>
        <v>3046231700.7092619</v>
      </c>
      <c r="AM50" s="1079">
        <f t="shared" ref="AM50" si="78">AM46+AL50</f>
        <v>3170841157.0439219</v>
      </c>
      <c r="AN50" s="1079">
        <f t="shared" ref="AN50" si="79">AN46+AM50</f>
        <v>3285520445.9785175</v>
      </c>
      <c r="AO50" s="1079">
        <f t="shared" ref="AO50" si="80">AO46+AN50</f>
        <v>3399579904.9131131</v>
      </c>
    </row>
    <row r="51" spans="1:41" s="406" customFormat="1">
      <c r="A51" s="382"/>
      <c r="B51" s="409" t="s">
        <v>83</v>
      </c>
      <c r="C51" s="410"/>
      <c r="D51" s="1087">
        <f>(D47)</f>
        <v>0</v>
      </c>
      <c r="E51" s="1087">
        <f t="shared" ref="E51:F51" si="81">(E47)</f>
        <v>0</v>
      </c>
      <c r="F51" s="1087">
        <f t="shared" si="81"/>
        <v>0</v>
      </c>
      <c r="G51" s="1087">
        <f t="shared" ref="G51" si="82">F51+(-G47)</f>
        <v>-2425000</v>
      </c>
      <c r="H51" s="1087">
        <f t="shared" ref="H51" si="83">G51+(-H47)</f>
        <v>-6887000</v>
      </c>
      <c r="I51" s="1087">
        <f t="shared" ref="I51" si="84">H51+(-I47)</f>
        <v>-39497333</v>
      </c>
      <c r="J51" s="1087">
        <f t="shared" ref="J51" si="85">I51+(-J47)</f>
        <v>-145494665</v>
      </c>
      <c r="K51" s="1087">
        <f t="shared" ref="K51" si="86">J51+(-K47)</f>
        <v>-171993998</v>
      </c>
      <c r="L51" s="1087">
        <f t="shared" ref="L51" si="87">K51+(-L47)</f>
        <v>-171993998</v>
      </c>
      <c r="M51" s="1087">
        <f t="shared" ref="M51" si="88">L51+(-M47)</f>
        <v>-171993998</v>
      </c>
      <c r="N51" s="1087">
        <f t="shared" ref="N51" si="89">M51+(-N47)</f>
        <v>-171993998</v>
      </c>
      <c r="O51" s="1087">
        <f t="shared" ref="O51" si="90">N51+(-O47)</f>
        <v>-171993998</v>
      </c>
      <c r="P51" s="1087">
        <f t="shared" ref="P51" si="91">O51+(-P47)</f>
        <v>-171993998</v>
      </c>
      <c r="Q51" s="1087">
        <f t="shared" ref="Q51" si="92">P51+(-Q47)</f>
        <v>-171993998</v>
      </c>
      <c r="R51" s="1087">
        <f t="shared" ref="R51" si="93">Q51+(-R47)</f>
        <v>-171993998</v>
      </c>
      <c r="S51" s="1087">
        <f t="shared" ref="S51" si="94">R51+(-S47)</f>
        <v>-171993998</v>
      </c>
      <c r="T51" s="1087">
        <f t="shared" ref="T51" si="95">S51+(-T47)</f>
        <v>-171993998</v>
      </c>
      <c r="U51" s="1087">
        <f t="shared" ref="U51" si="96">T51+(-U47)</f>
        <v>-171993998</v>
      </c>
      <c r="V51" s="1087">
        <f t="shared" ref="V51" si="97">U51+(-V47)</f>
        <v>-171993998</v>
      </c>
      <c r="W51" s="1087">
        <f t="shared" ref="W51" si="98">V51+(-W47)</f>
        <v>-171993998</v>
      </c>
      <c r="X51" s="1087">
        <f t="shared" ref="X51" si="99">W51+(-X47)</f>
        <v>-171993998</v>
      </c>
      <c r="Y51" s="1087">
        <f t="shared" ref="Y51" si="100">X51+(-Y47)</f>
        <v>-171993998</v>
      </c>
      <c r="Z51" s="1087">
        <f t="shared" ref="Z51" si="101">Y51+(-Z47)</f>
        <v>-171993998</v>
      </c>
      <c r="AA51" s="1087">
        <f t="shared" ref="AA51" si="102">Z51+(-AA47)</f>
        <v>-171993998</v>
      </c>
      <c r="AB51" s="1087">
        <f t="shared" ref="AB51" si="103">AA51+(-AB47)</f>
        <v>-171993998</v>
      </c>
      <c r="AC51" s="1087">
        <f t="shared" ref="AC51" si="104">AB51+(-AC47)</f>
        <v>-171993998</v>
      </c>
      <c r="AD51" s="1087">
        <f t="shared" ref="AD51" si="105">AC51+(-AD47)</f>
        <v>-171993998</v>
      </c>
      <c r="AE51" s="1087">
        <f t="shared" ref="AE51" si="106">AD51+(-AE47)</f>
        <v>-171993998</v>
      </c>
      <c r="AF51" s="1087">
        <f t="shared" ref="AF51" si="107">AE51+(-AF47)</f>
        <v>-171993998</v>
      </c>
      <c r="AG51" s="1087">
        <f t="shared" ref="AG51" si="108">AF51+(-AG47)</f>
        <v>-171993998</v>
      </c>
      <c r="AH51" s="1087">
        <f t="shared" ref="AH51" si="109">AG51+(-AH47)</f>
        <v>-171993998</v>
      </c>
      <c r="AI51" s="1087">
        <f t="shared" ref="AI51" si="110">AH51+(-AI47)</f>
        <v>-171993998</v>
      </c>
      <c r="AJ51" s="1087">
        <f t="shared" ref="AJ51" si="111">AI51+(-AJ47)</f>
        <v>-171993998</v>
      </c>
      <c r="AK51" s="1087">
        <f t="shared" ref="AK51" si="112">AJ51+(-AK47)</f>
        <v>-171993998</v>
      </c>
      <c r="AL51" s="1087">
        <f t="shared" ref="AL51" si="113">AK51+(-AL47)</f>
        <v>-171993998</v>
      </c>
      <c r="AM51" s="1087">
        <f t="shared" ref="AM51" si="114">AL51+(-AM47)</f>
        <v>-171993998</v>
      </c>
      <c r="AN51" s="1087">
        <f t="shared" ref="AN51" si="115">AM51+(-AN47)</f>
        <v>-171993998</v>
      </c>
      <c r="AO51" s="1087">
        <f t="shared" ref="AO51" si="116">AN51+(-AO47)</f>
        <v>-171993998</v>
      </c>
    </row>
    <row r="53" spans="1:41">
      <c r="B53" s="390" t="s">
        <v>84</v>
      </c>
    </row>
    <row r="54" spans="1:41">
      <c r="B54" s="401" t="s">
        <v>77</v>
      </c>
      <c r="C54" s="405" t="s">
        <v>78</v>
      </c>
      <c r="D54" s="431">
        <f>D35</f>
        <v>2022</v>
      </c>
      <c r="E54" s="431">
        <f t="shared" ref="E54:J54" si="117">D54+1</f>
        <v>2023</v>
      </c>
      <c r="F54" s="431">
        <f t="shared" si="117"/>
        <v>2024</v>
      </c>
      <c r="G54" s="431">
        <f t="shared" si="117"/>
        <v>2025</v>
      </c>
      <c r="H54" s="431">
        <f t="shared" si="117"/>
        <v>2026</v>
      </c>
      <c r="I54" s="431">
        <f t="shared" si="117"/>
        <v>2027</v>
      </c>
      <c r="J54" s="431">
        <f t="shared" si="117"/>
        <v>2028</v>
      </c>
      <c r="K54" s="431">
        <f t="shared" ref="K54" si="118">J54+1</f>
        <v>2029</v>
      </c>
      <c r="L54" s="431">
        <f t="shared" ref="L54" si="119">K54+1</f>
        <v>2030</v>
      </c>
      <c r="M54" s="431">
        <f t="shared" ref="M54" si="120">L54+1</f>
        <v>2031</v>
      </c>
      <c r="N54" s="431">
        <f t="shared" ref="N54" si="121">M54+1</f>
        <v>2032</v>
      </c>
      <c r="O54" s="431">
        <f t="shared" ref="O54" si="122">N54+1</f>
        <v>2033</v>
      </c>
      <c r="P54" s="431">
        <f t="shared" ref="P54" si="123">O54+1</f>
        <v>2034</v>
      </c>
      <c r="Q54" s="431">
        <f t="shared" ref="Q54" si="124">P54+1</f>
        <v>2035</v>
      </c>
      <c r="R54" s="431">
        <f t="shared" ref="R54" si="125">Q54+1</f>
        <v>2036</v>
      </c>
      <c r="S54" s="431">
        <f t="shared" ref="S54" si="126">R54+1</f>
        <v>2037</v>
      </c>
      <c r="T54" s="431">
        <f t="shared" ref="T54" si="127">S54+1</f>
        <v>2038</v>
      </c>
      <c r="U54" s="431">
        <f t="shared" ref="U54" si="128">T54+1</f>
        <v>2039</v>
      </c>
      <c r="V54" s="431">
        <f t="shared" ref="V54" si="129">U54+1</f>
        <v>2040</v>
      </c>
      <c r="W54" s="431">
        <f t="shared" ref="W54" si="130">V54+1</f>
        <v>2041</v>
      </c>
      <c r="X54" s="431">
        <f t="shared" ref="X54" si="131">W54+1</f>
        <v>2042</v>
      </c>
      <c r="Y54" s="431">
        <f t="shared" ref="Y54" si="132">X54+1</f>
        <v>2043</v>
      </c>
      <c r="Z54" s="431">
        <f t="shared" ref="Z54" si="133">Y54+1</f>
        <v>2044</v>
      </c>
      <c r="AA54" s="431">
        <f t="shared" ref="AA54" si="134">Z54+1</f>
        <v>2045</v>
      </c>
      <c r="AB54" s="431">
        <f t="shared" ref="AB54" si="135">AA54+1</f>
        <v>2046</v>
      </c>
      <c r="AC54" s="431">
        <f t="shared" ref="AC54" si="136">AB54+1</f>
        <v>2047</v>
      </c>
      <c r="AD54" s="431">
        <f t="shared" ref="AD54" si="137">AC54+1</f>
        <v>2048</v>
      </c>
      <c r="AE54" s="1066">
        <f t="shared" ref="AE54" si="138">AD54+1</f>
        <v>2049</v>
      </c>
      <c r="AF54" s="1066">
        <f t="shared" ref="AF54" si="139">AE54+1</f>
        <v>2050</v>
      </c>
      <c r="AG54" s="1066">
        <f t="shared" ref="AG54" si="140">AF54+1</f>
        <v>2051</v>
      </c>
      <c r="AH54" s="1066">
        <f t="shared" ref="AH54" si="141">AG54+1</f>
        <v>2052</v>
      </c>
      <c r="AI54" s="1066">
        <f t="shared" ref="AI54" si="142">AH54+1</f>
        <v>2053</v>
      </c>
      <c r="AJ54" s="1066">
        <f t="shared" ref="AJ54" si="143">AI54+1</f>
        <v>2054</v>
      </c>
      <c r="AK54" s="1066">
        <f t="shared" ref="AK54" si="144">AJ54+1</f>
        <v>2055</v>
      </c>
      <c r="AL54" s="1066">
        <f t="shared" ref="AL54" si="145">AK54+1</f>
        <v>2056</v>
      </c>
      <c r="AM54" s="1066">
        <f t="shared" ref="AM54" si="146">AL54+1</f>
        <v>2057</v>
      </c>
      <c r="AN54" s="1066">
        <f t="shared" ref="AN54" si="147">AM54+1</f>
        <v>2058</v>
      </c>
      <c r="AO54" s="1066">
        <f t="shared" ref="AO54" si="148">AN54+1</f>
        <v>2059</v>
      </c>
    </row>
    <row r="55" spans="1:41" s="406" customFormat="1">
      <c r="A55" s="382"/>
      <c r="B55" s="397" t="str">
        <f>B6</f>
        <v>Shipper Cost Efficiencies</v>
      </c>
      <c r="C55" s="1078">
        <f>SUM(D55:AO55)</f>
        <v>1466216985.3181121</v>
      </c>
      <c r="D55" s="1078">
        <f t="shared" ref="D55:AE55" si="149">D36*D$75</f>
        <v>0</v>
      </c>
      <c r="E55" s="1078">
        <f t="shared" si="149"/>
        <v>0</v>
      </c>
      <c r="F55" s="1078">
        <f t="shared" si="149"/>
        <v>0</v>
      </c>
      <c r="G55" s="1078">
        <f t="shared" si="149"/>
        <v>0</v>
      </c>
      <c r="H55" s="1078">
        <f t="shared" si="149"/>
        <v>0</v>
      </c>
      <c r="I55" s="1078">
        <f t="shared" si="149"/>
        <v>0</v>
      </c>
      <c r="J55" s="1078">
        <f t="shared" si="149"/>
        <v>0</v>
      </c>
      <c r="K55" s="1078">
        <f t="shared" si="149"/>
        <v>0</v>
      </c>
      <c r="L55" s="1078">
        <f t="shared" si="149"/>
        <v>1134821.3750194211</v>
      </c>
      <c r="M55" s="1078">
        <f t="shared" si="149"/>
        <v>1100699.6847908581</v>
      </c>
      <c r="N55" s="1078">
        <f t="shared" si="149"/>
        <v>60548396.128858842</v>
      </c>
      <c r="O55" s="1078">
        <f t="shared" si="149"/>
        <v>58727833.296662316</v>
      </c>
      <c r="P55" s="1078">
        <f t="shared" si="149"/>
        <v>73800957.067607462</v>
      </c>
      <c r="Q55" s="1078">
        <f t="shared" si="149"/>
        <v>71581917.621345758</v>
      </c>
      <c r="R55" s="1078">
        <f t="shared" si="149"/>
        <v>69429600.020703986</v>
      </c>
      <c r="S55" s="1078">
        <f t="shared" si="149"/>
        <v>67341998.080217257</v>
      </c>
      <c r="T55" s="1078">
        <f t="shared" si="149"/>
        <v>65317165.936195195</v>
      </c>
      <c r="U55" s="1078">
        <f t="shared" si="149"/>
        <v>63353216.232972994</v>
      </c>
      <c r="V55" s="1078">
        <f t="shared" si="149"/>
        <v>61448318.363698393</v>
      </c>
      <c r="W55" s="1078">
        <f t="shared" si="149"/>
        <v>59600696.764013998</v>
      </c>
      <c r="X55" s="1078">
        <f t="shared" si="149"/>
        <v>57808629.257045522</v>
      </c>
      <c r="Y55" s="1078">
        <f t="shared" si="149"/>
        <v>56070445.448152818</v>
      </c>
      <c r="Z55" s="1078">
        <f t="shared" si="149"/>
        <v>54384525.16794645</v>
      </c>
      <c r="AA55" s="1078">
        <f t="shared" si="149"/>
        <v>52749296.962120704</v>
      </c>
      <c r="AB55" s="1078">
        <f t="shared" si="149"/>
        <v>51163236.626693256</v>
      </c>
      <c r="AC55" s="1078">
        <f t="shared" si="149"/>
        <v>49624865.787287347</v>
      </c>
      <c r="AD55" s="1078">
        <f t="shared" si="149"/>
        <v>48132750.521132283</v>
      </c>
      <c r="AE55" s="1079">
        <f t="shared" si="149"/>
        <v>46685500.020496853</v>
      </c>
      <c r="AF55" s="1079">
        <f t="shared" ref="AF55:AO55" si="150">AF36*AF$75</f>
        <v>45281765.296311177</v>
      </c>
      <c r="AG55" s="1079">
        <f t="shared" si="150"/>
        <v>43920237.920767419</v>
      </c>
      <c r="AH55" s="1079">
        <f t="shared" si="150"/>
        <v>42599648.807727829</v>
      </c>
      <c r="AI55" s="1079">
        <f t="shared" si="150"/>
        <v>41318767.029803939</v>
      </c>
      <c r="AJ55" s="1079">
        <f t="shared" si="150"/>
        <v>40076398.67100282</v>
      </c>
      <c r="AK55" s="1079">
        <f t="shared" si="150"/>
        <v>38871385.713872775</v>
      </c>
      <c r="AL55" s="1079">
        <f t="shared" si="150"/>
        <v>37702604.960109383</v>
      </c>
      <c r="AM55" s="1079">
        <f t="shared" si="150"/>
        <v>36568966.983617276</v>
      </c>
      <c r="AN55" s="1079">
        <f t="shared" si="150"/>
        <v>35469415.115050703</v>
      </c>
      <c r="AO55" s="1079">
        <f t="shared" si="150"/>
        <v>34402924.456887215</v>
      </c>
    </row>
    <row r="56" spans="1:41" s="406" customFormat="1">
      <c r="A56" s="382"/>
      <c r="B56" s="397" t="str">
        <f>B7</f>
        <v>Avoided Emissions: CO2</v>
      </c>
      <c r="C56" s="1078">
        <f t="shared" ref="C56:C64" si="151">SUM(D56:AO56)</f>
        <v>94644307.980748206</v>
      </c>
      <c r="D56" s="1078">
        <f>D37*D$76</f>
        <v>0</v>
      </c>
      <c r="E56" s="1078">
        <f t="shared" ref="E56:AE56" si="152">E37*E$76</f>
        <v>0</v>
      </c>
      <c r="F56" s="1078">
        <f t="shared" si="152"/>
        <v>0</v>
      </c>
      <c r="G56" s="1078">
        <f t="shared" si="152"/>
        <v>0</v>
      </c>
      <c r="H56" s="1078">
        <f t="shared" si="152"/>
        <v>0</v>
      </c>
      <c r="I56" s="1078">
        <f t="shared" si="152"/>
        <v>0</v>
      </c>
      <c r="J56" s="1078">
        <f t="shared" si="152"/>
        <v>0</v>
      </c>
      <c r="K56" s="1078">
        <f t="shared" si="152"/>
        <v>0</v>
      </c>
      <c r="L56" s="1078">
        <f t="shared" si="152"/>
        <v>57352.069954734594</v>
      </c>
      <c r="M56" s="1078">
        <f t="shared" si="152"/>
        <v>57130.434809245009</v>
      </c>
      <c r="N56" s="1078">
        <f t="shared" si="152"/>
        <v>3202211.321196449</v>
      </c>
      <c r="O56" s="1078">
        <f t="shared" si="152"/>
        <v>3187927.246519173</v>
      </c>
      <c r="P56" s="1078">
        <f t="shared" si="152"/>
        <v>4095505.2196919085</v>
      </c>
      <c r="Q56" s="1078">
        <f t="shared" si="152"/>
        <v>4060059.2008709623</v>
      </c>
      <c r="R56" s="1078">
        <f t="shared" si="152"/>
        <v>4035687.0689077023</v>
      </c>
      <c r="S56" s="1078">
        <f t="shared" si="152"/>
        <v>4024676.3880662736</v>
      </c>
      <c r="T56" s="1078">
        <f t="shared" si="152"/>
        <v>3984993.8042126587</v>
      </c>
      <c r="U56" s="1078">
        <f t="shared" si="152"/>
        <v>3958744.3431660994</v>
      </c>
      <c r="V56" s="1078">
        <f t="shared" si="152"/>
        <v>3945133.2428236543</v>
      </c>
      <c r="W56" s="1078">
        <f t="shared" si="152"/>
        <v>3917539.3439569585</v>
      </c>
      <c r="X56" s="1078">
        <f t="shared" si="152"/>
        <v>3902128.7493952219</v>
      </c>
      <c r="Y56" s="1078">
        <f t="shared" si="152"/>
        <v>3873338.9306025542</v>
      </c>
      <c r="Z56" s="1078">
        <f t="shared" si="152"/>
        <v>3856293.5548565062</v>
      </c>
      <c r="AA56" s="1078">
        <f t="shared" si="152"/>
        <v>3826446.6512890281</v>
      </c>
      <c r="AB56" s="1078">
        <f t="shared" si="152"/>
        <v>3809851.5922064111</v>
      </c>
      <c r="AC56" s="1078">
        <f t="shared" si="152"/>
        <v>3792436.1753287669</v>
      </c>
      <c r="AD56" s="1078">
        <f t="shared" si="152"/>
        <v>3774238.9518111083</v>
      </c>
      <c r="AE56" s="1079">
        <f t="shared" si="152"/>
        <v>3744284.6744157821</v>
      </c>
      <c r="AF56" s="1079">
        <f t="shared" ref="AF56:AO56" si="153">AF37*AF$76</f>
        <v>3724850.6709153512</v>
      </c>
      <c r="AG56" s="1079">
        <f t="shared" si="153"/>
        <v>3651814.3832503473</v>
      </c>
      <c r="AH56" s="1079">
        <f t="shared" si="153"/>
        <v>3580210.1796572027</v>
      </c>
      <c r="AI56" s="1079">
        <f t="shared" si="153"/>
        <v>3510009.98005608</v>
      </c>
      <c r="AJ56" s="1079">
        <f t="shared" si="153"/>
        <v>3441186.2549569421</v>
      </c>
      <c r="AK56" s="1079">
        <f t="shared" si="153"/>
        <v>3373712.0146636725</v>
      </c>
      <c r="AL56" s="1079">
        <f t="shared" si="153"/>
        <v>3307560.7986898655</v>
      </c>
      <c r="AM56" s="1079">
        <f t="shared" si="153"/>
        <v>3242706.6653822311</v>
      </c>
      <c r="AN56" s="1079">
        <f t="shared" si="153"/>
        <v>-1158216.0245162302</v>
      </c>
      <c r="AO56" s="1079">
        <f t="shared" si="153"/>
        <v>-1135505.9063884609</v>
      </c>
    </row>
    <row r="57" spans="1:41" s="406" customFormat="1">
      <c r="A57" s="382"/>
      <c r="B57" s="397" t="str">
        <f>B8</f>
        <v>Avoided Emissions: non-CO2</v>
      </c>
      <c r="C57" s="1078">
        <f t="shared" si="151"/>
        <v>7182871.2898530951</v>
      </c>
      <c r="D57" s="1078">
        <f t="shared" ref="D57:AE57" si="154">D38*D$75</f>
        <v>0</v>
      </c>
      <c r="E57" s="1078">
        <f t="shared" si="154"/>
        <v>0</v>
      </c>
      <c r="F57" s="1078">
        <f t="shared" si="154"/>
        <v>0</v>
      </c>
      <c r="G57" s="1078">
        <f t="shared" si="154"/>
        <v>0</v>
      </c>
      <c r="H57" s="1078">
        <f t="shared" si="154"/>
        <v>0</v>
      </c>
      <c r="I57" s="1078">
        <f t="shared" si="154"/>
        <v>0</v>
      </c>
      <c r="J57" s="1078">
        <f t="shared" si="154"/>
        <v>0</v>
      </c>
      <c r="K57" s="1078">
        <f t="shared" si="154"/>
        <v>0</v>
      </c>
      <c r="L57" s="1078">
        <f t="shared" si="154"/>
        <v>11355.383820703266</v>
      </c>
      <c r="M57" s="1078">
        <f t="shared" si="154"/>
        <v>9464.651497410372</v>
      </c>
      <c r="N57" s="1078">
        <f t="shared" si="154"/>
        <v>456680.25651083409</v>
      </c>
      <c r="O57" s="1078">
        <f t="shared" si="154"/>
        <v>379471.26447917533</v>
      </c>
      <c r="P57" s="1078">
        <f t="shared" si="154"/>
        <v>395326.30201024946</v>
      </c>
      <c r="Q57" s="1078">
        <f t="shared" si="154"/>
        <v>270937.02072740364</v>
      </c>
      <c r="R57" s="1078">
        <f t="shared" si="154"/>
        <v>306295.5468219996</v>
      </c>
      <c r="S57" s="1078">
        <f t="shared" si="154"/>
        <v>308969.4034168268</v>
      </c>
      <c r="T57" s="1078">
        <f t="shared" si="154"/>
        <v>338461.03798251483</v>
      </c>
      <c r="U57" s="1078">
        <f t="shared" si="154"/>
        <v>338229.61601019889</v>
      </c>
      <c r="V57" s="1078">
        <f t="shared" si="154"/>
        <v>357240.43081121653</v>
      </c>
      <c r="W57" s="1078">
        <f t="shared" si="154"/>
        <v>340968.5879436938</v>
      </c>
      <c r="X57" s="1078">
        <f t="shared" si="154"/>
        <v>325352.29187964491</v>
      </c>
      <c r="Y57" s="1078">
        <f t="shared" si="154"/>
        <v>310366.83181427582</v>
      </c>
      <c r="Z57" s="1078">
        <f t="shared" si="154"/>
        <v>295988.39028091525</v>
      </c>
      <c r="AA57" s="1078">
        <f t="shared" si="154"/>
        <v>282194.01176992414</v>
      </c>
      <c r="AB57" s="1078">
        <f t="shared" si="154"/>
        <v>273709.0317846011</v>
      </c>
      <c r="AC57" s="1078">
        <f t="shared" si="154"/>
        <v>265479.17728865333</v>
      </c>
      <c r="AD57" s="1078">
        <f t="shared" si="154"/>
        <v>257496.77719559008</v>
      </c>
      <c r="AE57" s="1079">
        <f t="shared" si="154"/>
        <v>249754.3910723475</v>
      </c>
      <c r="AF57" s="1079">
        <f t="shared" ref="AF57:AO57" si="155">AF38*AF$75</f>
        <v>242244.80220402317</v>
      </c>
      <c r="AG57" s="1079">
        <f t="shared" si="155"/>
        <v>234961.01086714142</v>
      </c>
      <c r="AH57" s="1079">
        <f t="shared" si="155"/>
        <v>227896.22780518082</v>
      </c>
      <c r="AI57" s="1079">
        <f t="shared" si="155"/>
        <v>221043.86790027242</v>
      </c>
      <c r="AJ57" s="1079">
        <f t="shared" si="155"/>
        <v>214397.54403518175</v>
      </c>
      <c r="AK57" s="1079">
        <f t="shared" si="155"/>
        <v>207951.06113984605</v>
      </c>
      <c r="AL57" s="1079">
        <f t="shared" si="155"/>
        <v>201698.4104169218</v>
      </c>
      <c r="AM57" s="1079">
        <f t="shared" si="155"/>
        <v>195633.7637409528</v>
      </c>
      <c r="AN57" s="1079">
        <f t="shared" si="155"/>
        <v>-170917.46591788175</v>
      </c>
      <c r="AO57" s="1079">
        <f t="shared" si="155"/>
        <v>-165778.33745672333</v>
      </c>
    </row>
    <row r="58" spans="1:41" s="406" customFormat="1">
      <c r="A58" s="382"/>
      <c r="B58" s="397" t="str">
        <f>B9</f>
        <v>Improved Safety and Avoided Accident Costs</v>
      </c>
      <c r="C58" s="1078">
        <f t="shared" si="151"/>
        <v>121027478.34617767</v>
      </c>
      <c r="D58" s="1078">
        <f t="shared" ref="D58:AE58" si="156">D39*D$75</f>
        <v>0</v>
      </c>
      <c r="E58" s="1078">
        <f t="shared" si="156"/>
        <v>0</v>
      </c>
      <c r="F58" s="1078">
        <f t="shared" si="156"/>
        <v>0</v>
      </c>
      <c r="G58" s="1078">
        <f t="shared" si="156"/>
        <v>0</v>
      </c>
      <c r="H58" s="1078">
        <f t="shared" si="156"/>
        <v>0</v>
      </c>
      <c r="I58" s="1078">
        <f t="shared" si="156"/>
        <v>0</v>
      </c>
      <c r="J58" s="1078">
        <f t="shared" si="156"/>
        <v>0</v>
      </c>
      <c r="K58" s="1078">
        <f t="shared" si="156"/>
        <v>0</v>
      </c>
      <c r="L58" s="1078">
        <f t="shared" si="156"/>
        <v>93672.744735078479</v>
      </c>
      <c r="M58" s="1078">
        <f t="shared" si="156"/>
        <v>90856.202458854023</v>
      </c>
      <c r="N58" s="1078">
        <f t="shared" si="156"/>
        <v>4997909.4327510865</v>
      </c>
      <c r="O58" s="1078">
        <f t="shared" si="156"/>
        <v>4847632.8154714741</v>
      </c>
      <c r="P58" s="1078">
        <f t="shared" si="156"/>
        <v>6091829.3969218815</v>
      </c>
      <c r="Q58" s="1078">
        <f t="shared" si="156"/>
        <v>5908660.9087506123</v>
      </c>
      <c r="R58" s="1078">
        <f t="shared" si="156"/>
        <v>5730999.9114942877</v>
      </c>
      <c r="S58" s="1078">
        <f t="shared" si="156"/>
        <v>5558680.8064930057</v>
      </c>
      <c r="T58" s="1078">
        <f t="shared" si="156"/>
        <v>5391542.9742900142</v>
      </c>
      <c r="U58" s="1078">
        <f t="shared" si="156"/>
        <v>5229430.6249175696</v>
      </c>
      <c r="V58" s="1078">
        <f t="shared" si="156"/>
        <v>5072192.6526843552</v>
      </c>
      <c r="W58" s="1078">
        <f t="shared" si="156"/>
        <v>4919682.4953291565</v>
      </c>
      <c r="X58" s="1078">
        <f t="shared" si="156"/>
        <v>4771757.9974094573</v>
      </c>
      <c r="Y58" s="1078">
        <f t="shared" si="156"/>
        <v>4628281.2777977334</v>
      </c>
      <c r="Z58" s="1078">
        <f t="shared" si="156"/>
        <v>4489118.6011617174</v>
      </c>
      <c r="AA58" s="1078">
        <f t="shared" si="156"/>
        <v>4354140.2533091372</v>
      </c>
      <c r="AB58" s="1078">
        <f t="shared" si="156"/>
        <v>4223220.4202804426</v>
      </c>
      <c r="AC58" s="1078">
        <f t="shared" si="156"/>
        <v>4096237.071077052</v>
      </c>
      <c r="AD58" s="1078">
        <f t="shared" si="156"/>
        <v>3973071.8439156706</v>
      </c>
      <c r="AE58" s="1079">
        <f t="shared" si="156"/>
        <v>3853609.9359026835</v>
      </c>
      <c r="AF58" s="1079">
        <f t="shared" ref="AF58:AO58" si="157">AF39*AF$75</f>
        <v>3737739.9960258845</v>
      </c>
      <c r="AG58" s="1079">
        <f t="shared" si="157"/>
        <v>3625354.0213636127</v>
      </c>
      <c r="AH58" s="1079">
        <f t="shared" si="157"/>
        <v>3516347.2564147525</v>
      </c>
      <c r="AI58" s="1079">
        <f t="shared" si="157"/>
        <v>3410618.0954556316</v>
      </c>
      <c r="AJ58" s="1079">
        <f t="shared" si="157"/>
        <v>3308067.9878328135</v>
      </c>
      <c r="AK58" s="1079">
        <f t="shared" si="157"/>
        <v>3208601.3461036002</v>
      </c>
      <c r="AL58" s="1079">
        <f t="shared" si="157"/>
        <v>3112125.4569385061</v>
      </c>
      <c r="AM58" s="1079">
        <f t="shared" si="157"/>
        <v>3018550.3947027302</v>
      </c>
      <c r="AN58" s="1079">
        <f t="shared" si="157"/>
        <v>2927788.9376360085</v>
      </c>
      <c r="AO58" s="1079">
        <f t="shared" si="157"/>
        <v>2839756.4865528718</v>
      </c>
    </row>
    <row r="59" spans="1:41" s="406" customFormat="1">
      <c r="A59" s="382"/>
      <c r="B59" s="397" t="str">
        <f t="shared" ref="B59:B60" si="158">B10</f>
        <v>Avoided Roadway Congestion Costs</v>
      </c>
      <c r="C59" s="1078">
        <f t="shared" si="151"/>
        <v>11816680.764168212</v>
      </c>
      <c r="D59" s="1078">
        <f t="shared" ref="D59:AE59" si="159">D40*D$75</f>
        <v>0</v>
      </c>
      <c r="E59" s="1078">
        <f t="shared" si="159"/>
        <v>0</v>
      </c>
      <c r="F59" s="1078">
        <f t="shared" si="159"/>
        <v>0</v>
      </c>
      <c r="G59" s="1078">
        <f t="shared" si="159"/>
        <v>0</v>
      </c>
      <c r="H59" s="1078">
        <f t="shared" si="159"/>
        <v>0</v>
      </c>
      <c r="I59" s="1078">
        <f t="shared" si="159"/>
        <v>0</v>
      </c>
      <c r="J59" s="1078">
        <f t="shared" si="159"/>
        <v>0</v>
      </c>
      <c r="K59" s="1078">
        <f t="shared" si="159"/>
        <v>0</v>
      </c>
      <c r="L59" s="1078">
        <f t="shared" si="159"/>
        <v>9145.8645256718646</v>
      </c>
      <c r="M59" s="1078">
        <f t="shared" si="159"/>
        <v>8870.8676291676693</v>
      </c>
      <c r="N59" s="1078">
        <f t="shared" si="159"/>
        <v>487977.61518353433</v>
      </c>
      <c r="O59" s="1078">
        <f t="shared" si="159"/>
        <v>473305.15536715195</v>
      </c>
      <c r="P59" s="1078">
        <f t="shared" si="159"/>
        <v>594783.96341779747</v>
      </c>
      <c r="Q59" s="1078">
        <f t="shared" si="159"/>
        <v>576900.06151095754</v>
      </c>
      <c r="R59" s="1078">
        <f t="shared" si="159"/>
        <v>559553.89089326665</v>
      </c>
      <c r="S59" s="1078">
        <f t="shared" si="159"/>
        <v>542729.28311665112</v>
      </c>
      <c r="T59" s="1078">
        <f t="shared" si="159"/>
        <v>526410.55588423938</v>
      </c>
      <c r="U59" s="1078">
        <f t="shared" si="159"/>
        <v>510582.49843282189</v>
      </c>
      <c r="V59" s="1078">
        <f t="shared" si="159"/>
        <v>495230.35735482222</v>
      </c>
      <c r="W59" s="1078">
        <f t="shared" si="159"/>
        <v>480339.82284657832</v>
      </c>
      <c r="X59" s="1078">
        <f t="shared" si="159"/>
        <v>465897.0153701051</v>
      </c>
      <c r="Y59" s="1078">
        <f t="shared" si="159"/>
        <v>451888.4727159118</v>
      </c>
      <c r="Z59" s="1078">
        <f t="shared" si="159"/>
        <v>438301.13745481271</v>
      </c>
      <c r="AA59" s="1078">
        <f t="shared" si="159"/>
        <v>425122.34476703458</v>
      </c>
      <c r="AB59" s="1078">
        <f t="shared" si="159"/>
        <v>412339.81063727901</v>
      </c>
      <c r="AC59" s="1078">
        <f t="shared" si="159"/>
        <v>399941.6204047323</v>
      </c>
      <c r="AD59" s="1078">
        <f t="shared" si="159"/>
        <v>387916.21765735443</v>
      </c>
      <c r="AE59" s="1079">
        <f t="shared" si="159"/>
        <v>376252.39346009155</v>
      </c>
      <c r="AF59" s="1079">
        <f t="shared" ref="AF59:AO59" si="160">AF40*AF$75</f>
        <v>364939.27590697509</v>
      </c>
      <c r="AG59" s="1079">
        <f t="shared" si="160"/>
        <v>353966.31998736714</v>
      </c>
      <c r="AH59" s="1079">
        <f t="shared" si="160"/>
        <v>343323.29775690299</v>
      </c>
      <c r="AI59" s="1079">
        <f t="shared" si="160"/>
        <v>333000.28880397964</v>
      </c>
      <c r="AJ59" s="1079">
        <f t="shared" si="160"/>
        <v>322987.67100289004</v>
      </c>
      <c r="AK59" s="1079">
        <f t="shared" si="160"/>
        <v>313276.11154499539</v>
      </c>
      <c r="AL59" s="1079">
        <f t="shared" si="160"/>
        <v>303856.55823956878</v>
      </c>
      <c r="AM59" s="1079">
        <f t="shared" si="160"/>
        <v>294720.23107620626</v>
      </c>
      <c r="AN59" s="1079">
        <f t="shared" si="160"/>
        <v>285858.61404093704</v>
      </c>
      <c r="AO59" s="1079">
        <f t="shared" si="160"/>
        <v>277263.44717840658</v>
      </c>
    </row>
    <row r="60" spans="1:41" s="406" customFormat="1">
      <c r="A60" s="382"/>
      <c r="B60" s="397" t="str">
        <f t="shared" si="158"/>
        <v>Avoided Fuel Consumed from Freight Transportation</v>
      </c>
      <c r="C60" s="1078">
        <f t="shared" si="151"/>
        <v>18355553.497071978</v>
      </c>
      <c r="D60" s="1078">
        <f t="shared" ref="D60:AE60" si="161">D41*D$75</f>
        <v>0</v>
      </c>
      <c r="E60" s="1078">
        <f t="shared" si="161"/>
        <v>0</v>
      </c>
      <c r="F60" s="1078">
        <f t="shared" si="161"/>
        <v>0</v>
      </c>
      <c r="G60" s="1078">
        <f t="shared" si="161"/>
        <v>0</v>
      </c>
      <c r="H60" s="1078">
        <f t="shared" si="161"/>
        <v>0</v>
      </c>
      <c r="I60" s="1078">
        <f t="shared" si="161"/>
        <v>0</v>
      </c>
      <c r="J60" s="1078">
        <f t="shared" si="161"/>
        <v>0</v>
      </c>
      <c r="K60" s="1078">
        <f t="shared" si="161"/>
        <v>0</v>
      </c>
      <c r="L60" s="1078">
        <f t="shared" si="161"/>
        <v>13245.902655869355</v>
      </c>
      <c r="M60" s="1078">
        <f t="shared" si="161"/>
        <v>12954.41075777842</v>
      </c>
      <c r="N60" s="1078">
        <f t="shared" si="161"/>
        <v>717503.23037040618</v>
      </c>
      <c r="O60" s="1078">
        <f t="shared" si="161"/>
        <v>700492.13154395635</v>
      </c>
      <c r="P60" s="1078">
        <f t="shared" si="161"/>
        <v>883270.60688485217</v>
      </c>
      <c r="Q60" s="1078">
        <f t="shared" si="161"/>
        <v>865427.69159536075</v>
      </c>
      <c r="R60" s="1078">
        <f t="shared" si="161"/>
        <v>840672.44281966158</v>
      </c>
      <c r="S60" s="1078">
        <f t="shared" si="161"/>
        <v>821143.88957419153</v>
      </c>
      <c r="T60" s="1078">
        <f t="shared" si="161"/>
        <v>800746.41311003058</v>
      </c>
      <c r="U60" s="1078">
        <f t="shared" si="161"/>
        <v>778920.53181115829</v>
      </c>
      <c r="V60" s="1078">
        <f t="shared" si="161"/>
        <v>757838.79658931168</v>
      </c>
      <c r="W60" s="1078">
        <f t="shared" si="161"/>
        <v>741057.35356727254</v>
      </c>
      <c r="X60" s="1078">
        <f t="shared" si="161"/>
        <v>719845.19801071531</v>
      </c>
      <c r="Y60" s="1078">
        <f t="shared" si="161"/>
        <v>702372.26699314348</v>
      </c>
      <c r="Z60" s="1078">
        <f t="shared" si="161"/>
        <v>679323.40935549396</v>
      </c>
      <c r="AA60" s="1078">
        <f t="shared" si="161"/>
        <v>661071.2070673561</v>
      </c>
      <c r="AB60" s="1078">
        <f t="shared" si="161"/>
        <v>657194.00276447914</v>
      </c>
      <c r="AC60" s="1078">
        <f t="shared" si="161"/>
        <v>638690.6397057944</v>
      </c>
      <c r="AD60" s="1078">
        <f t="shared" si="161"/>
        <v>621262.25348319672</v>
      </c>
      <c r="AE60" s="1079">
        <f t="shared" si="161"/>
        <v>604658.91385124775</v>
      </c>
      <c r="AF60" s="1079">
        <f t="shared" ref="AF60:AO60" si="162">AF41*AF$75</f>
        <v>587189.18904849945</v>
      </c>
      <c r="AG60" s="1079">
        <f t="shared" si="162"/>
        <v>569533.64602182375</v>
      </c>
      <c r="AH60" s="1079">
        <f t="shared" si="162"/>
        <v>552408.96801340743</v>
      </c>
      <c r="AI60" s="1079">
        <f t="shared" si="162"/>
        <v>535799.19302949391</v>
      </c>
      <c r="AJ60" s="1079">
        <f t="shared" si="162"/>
        <v>519688.83901987626</v>
      </c>
      <c r="AK60" s="1079">
        <f t="shared" si="162"/>
        <v>504062.88944701949</v>
      </c>
      <c r="AL60" s="1079">
        <f t="shared" si="162"/>
        <v>488906.77928905864</v>
      </c>
      <c r="AM60" s="1079">
        <f t="shared" si="162"/>
        <v>474206.38146368385</v>
      </c>
      <c r="AN60" s="1079">
        <f t="shared" si="162"/>
        <v>459947.99366021837</v>
      </c>
      <c r="AO60" s="1079">
        <f t="shared" si="162"/>
        <v>446118.32556762145</v>
      </c>
    </row>
    <row r="61" spans="1:41" s="406" customFormat="1">
      <c r="A61" s="382"/>
      <c r="B61" s="397" t="str">
        <f>B12</f>
        <v>Avoided Pavement Maintenance Costs</v>
      </c>
      <c r="C61" s="1078">
        <f t="shared" si="151"/>
        <v>13945860.276781578</v>
      </c>
      <c r="D61" s="1078">
        <f t="shared" ref="D61:AE61" si="163">D42*D$75</f>
        <v>0</v>
      </c>
      <c r="E61" s="1078">
        <f t="shared" si="163"/>
        <v>0</v>
      </c>
      <c r="F61" s="1078">
        <f t="shared" si="163"/>
        <v>0</v>
      </c>
      <c r="G61" s="1078">
        <f t="shared" si="163"/>
        <v>0</v>
      </c>
      <c r="H61" s="1078">
        <f t="shared" si="163"/>
        <v>0</v>
      </c>
      <c r="I61" s="1078">
        <f t="shared" si="163"/>
        <v>0</v>
      </c>
      <c r="J61" s="1078">
        <f t="shared" si="163"/>
        <v>0</v>
      </c>
      <c r="K61" s="1078">
        <f t="shared" si="163"/>
        <v>0</v>
      </c>
      <c r="L61" s="1078">
        <f t="shared" si="163"/>
        <v>10793.805073600119</v>
      </c>
      <c r="M61" s="1078">
        <f t="shared" si="163"/>
        <v>10469.258073326982</v>
      </c>
      <c r="N61" s="1078">
        <f t="shared" si="163"/>
        <v>575903.48553565994</v>
      </c>
      <c r="O61" s="1078">
        <f t="shared" si="163"/>
        <v>558587.27985999931</v>
      </c>
      <c r="P61" s="1078">
        <f t="shared" si="163"/>
        <v>701954.65327685454</v>
      </c>
      <c r="Q61" s="1078">
        <f t="shared" si="163"/>
        <v>680848.35429374781</v>
      </c>
      <c r="R61" s="1078">
        <f t="shared" si="163"/>
        <v>660376.67729752557</v>
      </c>
      <c r="S61" s="1078">
        <f t="shared" si="163"/>
        <v>640520.5405407619</v>
      </c>
      <c r="T61" s="1078">
        <f t="shared" si="163"/>
        <v>621261.43602401728</v>
      </c>
      <c r="U61" s="1078">
        <f t="shared" si="163"/>
        <v>602581.41224443936</v>
      </c>
      <c r="V61" s="1078">
        <f t="shared" si="163"/>
        <v>584463.05746308388</v>
      </c>
      <c r="W61" s="1078">
        <f t="shared" si="163"/>
        <v>566889.48347534786</v>
      </c>
      <c r="X61" s="1078">
        <f t="shared" si="163"/>
        <v>549844.30986939638</v>
      </c>
      <c r="Y61" s="1078">
        <f t="shared" si="163"/>
        <v>533311.64875790174</v>
      </c>
      <c r="Z61" s="1078">
        <f t="shared" si="163"/>
        <v>517276.08996886713</v>
      </c>
      <c r="AA61" s="1078">
        <f t="shared" si="163"/>
        <v>501722.68668173335</v>
      </c>
      <c r="AB61" s="1078">
        <f t="shared" si="163"/>
        <v>486636.94149537658</v>
      </c>
      <c r="AC61" s="1078">
        <f t="shared" si="163"/>
        <v>472004.792915011</v>
      </c>
      <c r="AD61" s="1078">
        <f t="shared" si="163"/>
        <v>457812.60224540357</v>
      </c>
      <c r="AE61" s="1079">
        <f t="shared" si="163"/>
        <v>444047.14087818039</v>
      </c>
      <c r="AF61" s="1079">
        <f t="shared" ref="AF61:AO61" si="164">AF42*AF$75</f>
        <v>430695.57796137745</v>
      </c>
      <c r="AG61" s="1079">
        <f t="shared" si="164"/>
        <v>417745.4684397456</v>
      </c>
      <c r="AH61" s="1079">
        <f t="shared" si="164"/>
        <v>405184.74145465123</v>
      </c>
      <c r="AI61" s="1079">
        <f t="shared" si="164"/>
        <v>393001.68909277546</v>
      </c>
      <c r="AJ61" s="1079">
        <f t="shared" si="164"/>
        <v>381184.95547310897</v>
      </c>
      <c r="AK61" s="1079">
        <f t="shared" si="164"/>
        <v>369723.52616208448</v>
      </c>
      <c r="AL61" s="1079">
        <f t="shared" si="164"/>
        <v>358606.71790696861</v>
      </c>
      <c r="AM61" s="1079">
        <f t="shared" si="164"/>
        <v>347824.16867795197</v>
      </c>
      <c r="AN61" s="1079">
        <f t="shared" si="164"/>
        <v>337365.82800965244</v>
      </c>
      <c r="AO61" s="1079">
        <f t="shared" si="164"/>
        <v>327221.94763302867</v>
      </c>
    </row>
    <row r="62" spans="1:41" s="406" customFormat="1">
      <c r="A62" s="382"/>
      <c r="B62" s="397" t="str">
        <f>B13</f>
        <v>Residual Value of Capital Assets</v>
      </c>
      <c r="C62" s="1078">
        <f t="shared" si="151"/>
        <v>0</v>
      </c>
      <c r="D62" s="1078">
        <f>D43*D$75</f>
        <v>0</v>
      </c>
      <c r="E62" s="1078">
        <f t="shared" ref="E62:AB62" si="165">E43*E$75</f>
        <v>0</v>
      </c>
      <c r="F62" s="1078">
        <f t="shared" si="165"/>
        <v>0</v>
      </c>
      <c r="G62" s="1078">
        <f>G43*G$75</f>
        <v>0</v>
      </c>
      <c r="H62" s="1078">
        <f t="shared" si="165"/>
        <v>0</v>
      </c>
      <c r="I62" s="1078">
        <f t="shared" si="165"/>
        <v>0</v>
      </c>
      <c r="J62" s="1078">
        <f t="shared" si="165"/>
        <v>0</v>
      </c>
      <c r="K62" s="1078">
        <f t="shared" si="165"/>
        <v>0</v>
      </c>
      <c r="L62" s="1078">
        <f t="shared" si="165"/>
        <v>0</v>
      </c>
      <c r="M62" s="1078">
        <f t="shared" si="165"/>
        <v>0</v>
      </c>
      <c r="N62" s="1078">
        <f t="shared" si="165"/>
        <v>0</v>
      </c>
      <c r="O62" s="1078">
        <f t="shared" si="165"/>
        <v>0</v>
      </c>
      <c r="P62" s="1078">
        <f t="shared" si="165"/>
        <v>0</v>
      </c>
      <c r="Q62" s="1078">
        <f t="shared" si="165"/>
        <v>0</v>
      </c>
      <c r="R62" s="1078">
        <f t="shared" si="165"/>
        <v>0</v>
      </c>
      <c r="S62" s="1078">
        <f t="shared" si="165"/>
        <v>0</v>
      </c>
      <c r="T62" s="1078">
        <f t="shared" si="165"/>
        <v>0</v>
      </c>
      <c r="U62" s="1078">
        <f t="shared" si="165"/>
        <v>0</v>
      </c>
      <c r="V62" s="1078">
        <f t="shared" si="165"/>
        <v>0</v>
      </c>
      <c r="W62" s="1078">
        <f t="shared" si="165"/>
        <v>0</v>
      </c>
      <c r="X62" s="1078">
        <f t="shared" si="165"/>
        <v>0</v>
      </c>
      <c r="Y62" s="1078">
        <f t="shared" si="165"/>
        <v>0</v>
      </c>
      <c r="Z62" s="1078">
        <f t="shared" si="165"/>
        <v>0</v>
      </c>
      <c r="AA62" s="1078">
        <f t="shared" si="165"/>
        <v>0</v>
      </c>
      <c r="AB62" s="1078">
        <f t="shared" si="165"/>
        <v>0</v>
      </c>
      <c r="AC62" s="1078">
        <f t="shared" ref="AC62:AE62" si="166">AC43*AC$75</f>
        <v>0</v>
      </c>
      <c r="AD62" s="1078">
        <f t="shared" si="166"/>
        <v>0</v>
      </c>
      <c r="AE62" s="1079">
        <f t="shared" si="166"/>
        <v>0</v>
      </c>
      <c r="AF62" s="1079">
        <f t="shared" ref="AF62:AO62" si="167">AF43*AF$75</f>
        <v>0</v>
      </c>
      <c r="AG62" s="1079">
        <f t="shared" si="167"/>
        <v>0</v>
      </c>
      <c r="AH62" s="1079">
        <f t="shared" si="167"/>
        <v>0</v>
      </c>
      <c r="AI62" s="1079">
        <f t="shared" si="167"/>
        <v>0</v>
      </c>
      <c r="AJ62" s="1079">
        <f t="shared" si="167"/>
        <v>0</v>
      </c>
      <c r="AK62" s="1079">
        <f t="shared" si="167"/>
        <v>0</v>
      </c>
      <c r="AL62" s="1079">
        <f t="shared" si="167"/>
        <v>0</v>
      </c>
      <c r="AM62" s="1079">
        <f t="shared" si="167"/>
        <v>0</v>
      </c>
      <c r="AN62" s="1079">
        <f t="shared" si="167"/>
        <v>0</v>
      </c>
      <c r="AO62" s="1079">
        <f t="shared" si="167"/>
        <v>0</v>
      </c>
    </row>
    <row r="63" spans="1:41" s="406" customFormat="1">
      <c r="A63" s="382"/>
      <c r="B63" s="397" t="str">
        <f>B14</f>
        <v>O&amp;M Costs (disbenefit)</v>
      </c>
      <c r="C63" s="1078">
        <f t="shared" si="151"/>
        <v>-12959617.392153509</v>
      </c>
      <c r="D63" s="1078">
        <f>D44*D$75</f>
        <v>0</v>
      </c>
      <c r="E63" s="1078">
        <f t="shared" ref="E63:AB63" si="168">E44*E$75</f>
        <v>0</v>
      </c>
      <c r="F63" s="1078">
        <f t="shared" si="168"/>
        <v>0</v>
      </c>
      <c r="G63" s="1078">
        <f t="shared" si="168"/>
        <v>0</v>
      </c>
      <c r="H63" s="1078">
        <f t="shared" si="168"/>
        <v>0</v>
      </c>
      <c r="I63" s="1078">
        <f t="shared" si="168"/>
        <v>0</v>
      </c>
      <c r="J63" s="1078">
        <f t="shared" si="168"/>
        <v>0</v>
      </c>
      <c r="K63" s="1078">
        <f t="shared" si="168"/>
        <v>0</v>
      </c>
      <c r="L63" s="1078">
        <f t="shared" si="168"/>
        <v>-222184.35018044061</v>
      </c>
      <c r="M63" s="1078">
        <f t="shared" si="168"/>
        <v>-215503.73441361845</v>
      </c>
      <c r="N63" s="1078">
        <f t="shared" si="168"/>
        <v>-209023.99070186081</v>
      </c>
      <c r="O63" s="1078">
        <f t="shared" si="168"/>
        <v>-220071.78741270892</v>
      </c>
      <c r="P63" s="1078">
        <f t="shared" si="168"/>
        <v>-213454.69196189032</v>
      </c>
      <c r="Q63" s="1078">
        <f t="shared" si="168"/>
        <v>-623819.50812189619</v>
      </c>
      <c r="R63" s="1078">
        <f t="shared" si="168"/>
        <v>-200811.40508625467</v>
      </c>
      <c r="S63" s="1078">
        <f t="shared" si="168"/>
        <v>-194773.42879365149</v>
      </c>
      <c r="T63" s="1078">
        <f t="shared" si="168"/>
        <v>-569223.67659626692</v>
      </c>
      <c r="U63" s="1078">
        <f t="shared" si="168"/>
        <v>-183236.66512097008</v>
      </c>
      <c r="V63" s="1078">
        <f t="shared" si="168"/>
        <v>-541580.41915630409</v>
      </c>
      <c r="W63" s="1078">
        <f t="shared" si="168"/>
        <v>-872318.98982676526</v>
      </c>
      <c r="X63" s="1078">
        <f t="shared" si="168"/>
        <v>-509501.68365189712</v>
      </c>
      <c r="Y63" s="1078">
        <f t="shared" si="168"/>
        <v>-494182.04039951222</v>
      </c>
      <c r="Z63" s="1078">
        <f t="shared" si="168"/>
        <v>-795974.82298823306</v>
      </c>
      <c r="AA63" s="1078">
        <f t="shared" si="168"/>
        <v>-464910.79202295496</v>
      </c>
      <c r="AB63" s="1078">
        <f t="shared" si="168"/>
        <v>-450931.9030290544</v>
      </c>
      <c r="AC63" s="1078">
        <f t="shared" ref="AC63:AE63" si="169">AC44*AC$75</f>
        <v>-726312.19338349078</v>
      </c>
      <c r="AD63" s="1078">
        <f t="shared" si="169"/>
        <v>-424222.43434053974</v>
      </c>
      <c r="AE63" s="1079">
        <f t="shared" si="169"/>
        <v>-411466.95862321992</v>
      </c>
      <c r="AF63" s="1079">
        <f t="shared" ref="AF63:AO63" si="170">AF44*AF$75</f>
        <v>-662746.3419974728</v>
      </c>
      <c r="AG63" s="1079">
        <f t="shared" si="170"/>
        <v>-387095.06616255903</v>
      </c>
      <c r="AH63" s="1079">
        <f t="shared" si="170"/>
        <v>-375455.93226242391</v>
      </c>
      <c r="AI63" s="1079">
        <f t="shared" si="170"/>
        <v>-604743.68712562369</v>
      </c>
      <c r="AJ63" s="1079">
        <f t="shared" si="170"/>
        <v>-353217.03455011419</v>
      </c>
      <c r="AK63" s="1079">
        <f t="shared" si="170"/>
        <v>-342596.54175568797</v>
      </c>
      <c r="AL63" s="1079">
        <f t="shared" si="170"/>
        <v>-551817.34540556488</v>
      </c>
      <c r="AM63" s="1079">
        <f t="shared" si="170"/>
        <v>-322303.96200395684</v>
      </c>
      <c r="AN63" s="1079">
        <f t="shared" si="170"/>
        <v>-312612.96023662161</v>
      </c>
      <c r="AO63" s="1079">
        <f t="shared" si="170"/>
        <v>-503523.04484195489</v>
      </c>
    </row>
    <row r="64" spans="1:41" s="406" customFormat="1">
      <c r="A64" s="382"/>
      <c r="B64" s="397" t="str">
        <f>B17</f>
        <v>Capital Costs</v>
      </c>
      <c r="C64" s="1078">
        <f t="shared" si="151"/>
        <v>143811895.56969547</v>
      </c>
      <c r="D64" s="1078">
        <f>D45*D$75</f>
        <v>0</v>
      </c>
      <c r="E64" s="1078">
        <f t="shared" ref="E64:AB64" si="171">E45*E$75</f>
        <v>0</v>
      </c>
      <c r="F64" s="1078">
        <f t="shared" si="171"/>
        <v>0</v>
      </c>
      <c r="G64" s="1078">
        <f t="shared" si="171"/>
        <v>2212767.3113361816</v>
      </c>
      <c r="H64" s="1078">
        <f t="shared" si="171"/>
        <v>3949070.6623264537</v>
      </c>
      <c r="I64" s="1078">
        <f t="shared" si="171"/>
        <v>27993803.333548438</v>
      </c>
      <c r="J64" s="1078">
        <f t="shared" si="171"/>
        <v>88255736.256535053</v>
      </c>
      <c r="K64" s="1078">
        <f t="shared" si="171"/>
        <v>21400518.005949337</v>
      </c>
      <c r="L64" s="1078">
        <f t="shared" si="171"/>
        <v>0</v>
      </c>
      <c r="M64" s="1078">
        <f t="shared" si="171"/>
        <v>0</v>
      </c>
      <c r="N64" s="1078">
        <f t="shared" si="171"/>
        <v>0</v>
      </c>
      <c r="O64" s="1078">
        <f t="shared" si="171"/>
        <v>0</v>
      </c>
      <c r="P64" s="1078">
        <f t="shared" si="171"/>
        <v>0</v>
      </c>
      <c r="Q64" s="1078">
        <f t="shared" si="171"/>
        <v>0</v>
      </c>
      <c r="R64" s="1078">
        <f t="shared" si="171"/>
        <v>0</v>
      </c>
      <c r="S64" s="1078">
        <f t="shared" si="171"/>
        <v>0</v>
      </c>
      <c r="T64" s="1078">
        <f t="shared" si="171"/>
        <v>0</v>
      </c>
      <c r="U64" s="1078">
        <f t="shared" si="171"/>
        <v>0</v>
      </c>
      <c r="V64" s="1078">
        <f t="shared" si="171"/>
        <v>0</v>
      </c>
      <c r="W64" s="1078">
        <f t="shared" si="171"/>
        <v>0</v>
      </c>
      <c r="X64" s="1078">
        <f t="shared" si="171"/>
        <v>0</v>
      </c>
      <c r="Y64" s="1078">
        <f t="shared" si="171"/>
        <v>0</v>
      </c>
      <c r="Z64" s="1078">
        <f t="shared" si="171"/>
        <v>0</v>
      </c>
      <c r="AA64" s="1078">
        <f t="shared" si="171"/>
        <v>0</v>
      </c>
      <c r="AB64" s="1078">
        <f t="shared" si="171"/>
        <v>0</v>
      </c>
      <c r="AC64" s="1078">
        <f t="shared" ref="AC64:AE64" si="172">AC45*AC$75</f>
        <v>0</v>
      </c>
      <c r="AD64" s="1078">
        <f t="shared" si="172"/>
        <v>0</v>
      </c>
      <c r="AE64" s="1079">
        <f t="shared" si="172"/>
        <v>0</v>
      </c>
      <c r="AF64" s="1079">
        <f t="shared" ref="AF64:AO64" si="173">AF45*AF$75</f>
        <v>0</v>
      </c>
      <c r="AG64" s="1079">
        <f t="shared" si="173"/>
        <v>0</v>
      </c>
      <c r="AH64" s="1079">
        <f t="shared" si="173"/>
        <v>0</v>
      </c>
      <c r="AI64" s="1079">
        <f t="shared" si="173"/>
        <v>0</v>
      </c>
      <c r="AJ64" s="1079">
        <f t="shared" si="173"/>
        <v>0</v>
      </c>
      <c r="AK64" s="1079">
        <f t="shared" si="173"/>
        <v>0</v>
      </c>
      <c r="AL64" s="1079">
        <f t="shared" si="173"/>
        <v>0</v>
      </c>
      <c r="AM64" s="1079">
        <f t="shared" si="173"/>
        <v>0</v>
      </c>
      <c r="AN64" s="1079">
        <f t="shared" si="173"/>
        <v>0</v>
      </c>
      <c r="AO64" s="1079">
        <f t="shared" si="173"/>
        <v>0</v>
      </c>
    </row>
    <row r="65" spans="1:41" s="406" customFormat="1">
      <c r="A65" s="382"/>
      <c r="B65" s="407" t="s">
        <v>71</v>
      </c>
      <c r="C65" s="1084">
        <f>SUM(D65:AO65)</f>
        <v>1720230120.0807595</v>
      </c>
      <c r="D65" s="1084">
        <f t="shared" ref="D65:AB65" si="174">SUM(D55:D63)</f>
        <v>0</v>
      </c>
      <c r="E65" s="1084">
        <f t="shared" si="174"/>
        <v>0</v>
      </c>
      <c r="F65" s="1084">
        <f t="shared" si="174"/>
        <v>0</v>
      </c>
      <c r="G65" s="1084">
        <f t="shared" si="174"/>
        <v>0</v>
      </c>
      <c r="H65" s="1084">
        <f t="shared" si="174"/>
        <v>0</v>
      </c>
      <c r="I65" s="1084">
        <f t="shared" si="174"/>
        <v>0</v>
      </c>
      <c r="J65" s="1084">
        <f t="shared" si="174"/>
        <v>0</v>
      </c>
      <c r="K65" s="1084">
        <f t="shared" si="174"/>
        <v>0</v>
      </c>
      <c r="L65" s="1084">
        <f>SUM(L55:L63)</f>
        <v>1108202.7956046378</v>
      </c>
      <c r="M65" s="1084">
        <f t="shared" si="174"/>
        <v>1074941.775603022</v>
      </c>
      <c r="N65" s="1084">
        <f t="shared" si="174"/>
        <v>70777557.479704961</v>
      </c>
      <c r="O65" s="1084">
        <f t="shared" si="174"/>
        <v>68655177.402490541</v>
      </c>
      <c r="P65" s="1084">
        <f t="shared" si="174"/>
        <v>86350172.517849132</v>
      </c>
      <c r="Q65" s="1084">
        <f t="shared" si="174"/>
        <v>83320931.350972906</v>
      </c>
      <c r="R65" s="1084">
        <f t="shared" si="174"/>
        <v>81362374.15385218</v>
      </c>
      <c r="S65" s="1084">
        <f t="shared" si="174"/>
        <v>79043944.9626313</v>
      </c>
      <c r="T65" s="1084">
        <f t="shared" si="174"/>
        <v>76411358.481102392</v>
      </c>
      <c r="U65" s="1084">
        <f t="shared" si="174"/>
        <v>74588468.594434306</v>
      </c>
      <c r="V65" s="1084">
        <f t="shared" si="174"/>
        <v>72118836.482268542</v>
      </c>
      <c r="W65" s="1084">
        <f t="shared" si="174"/>
        <v>69694854.86130622</v>
      </c>
      <c r="X65" s="1084">
        <f t="shared" si="174"/>
        <v>68033953.135328159</v>
      </c>
      <c r="Y65" s="1084">
        <f t="shared" si="174"/>
        <v>66075822.836434834</v>
      </c>
      <c r="Z65" s="1084">
        <f t="shared" si="174"/>
        <v>63864851.528036535</v>
      </c>
      <c r="AA65" s="1084">
        <f t="shared" si="174"/>
        <v>62335083.324981958</v>
      </c>
      <c r="AB65" s="1084">
        <f t="shared" si="174"/>
        <v>60575256.522832789</v>
      </c>
      <c r="AC65" s="1084">
        <f t="shared" ref="AC65:AE65" si="175">SUM(AC55:AC63)</f>
        <v>58563343.07062386</v>
      </c>
      <c r="AD65" s="1084">
        <f t="shared" si="175"/>
        <v>57180326.733100072</v>
      </c>
      <c r="AE65" s="1086">
        <f t="shared" si="175"/>
        <v>55546640.511453964</v>
      </c>
      <c r="AF65" s="1086">
        <f t="shared" ref="AF65:AO65" si="176">SUM(AF55:AF63)</f>
        <v>53706678.466375805</v>
      </c>
      <c r="AG65" s="1086">
        <f t="shared" si="176"/>
        <v>52386517.704534896</v>
      </c>
      <c r="AH65" s="1086">
        <f t="shared" si="176"/>
        <v>50849563.546567515</v>
      </c>
      <c r="AI65" s="1086">
        <f t="shared" si="176"/>
        <v>49117496.45701655</v>
      </c>
      <c r="AJ65" s="1086">
        <f t="shared" si="176"/>
        <v>47910694.888773523</v>
      </c>
      <c r="AK65" s="1086">
        <f t="shared" si="176"/>
        <v>46506116.121178307</v>
      </c>
      <c r="AL65" s="1086">
        <f t="shared" si="176"/>
        <v>44923542.33618471</v>
      </c>
      <c r="AM65" s="1086">
        <f t="shared" si="176"/>
        <v>43820304.626657069</v>
      </c>
      <c r="AN65" s="1086">
        <f t="shared" si="176"/>
        <v>37838630.037726775</v>
      </c>
      <c r="AO65" s="1086">
        <f t="shared" si="176"/>
        <v>36488477.375132002</v>
      </c>
    </row>
    <row r="66" spans="1:41" s="406" customFormat="1">
      <c r="A66" s="382"/>
      <c r="B66" s="407" t="s">
        <v>79</v>
      </c>
      <c r="C66" s="1084">
        <f>SUM(D66:AO66)</f>
        <v>143811895.56969547</v>
      </c>
      <c r="D66" s="1084">
        <f t="shared" ref="D66:J66" si="177">D64</f>
        <v>0</v>
      </c>
      <c r="E66" s="1084">
        <f t="shared" si="177"/>
        <v>0</v>
      </c>
      <c r="F66" s="1084">
        <f t="shared" si="177"/>
        <v>0</v>
      </c>
      <c r="G66" s="1084">
        <f t="shared" si="177"/>
        <v>2212767.3113361816</v>
      </c>
      <c r="H66" s="1084">
        <f t="shared" si="177"/>
        <v>3949070.6623264537</v>
      </c>
      <c r="I66" s="1084">
        <f t="shared" si="177"/>
        <v>27993803.333548438</v>
      </c>
      <c r="J66" s="1084">
        <f t="shared" si="177"/>
        <v>88255736.256535053</v>
      </c>
      <c r="K66" s="1084">
        <f t="shared" ref="K66:AB66" si="178">K64</f>
        <v>21400518.005949337</v>
      </c>
      <c r="L66" s="1084">
        <f t="shared" si="178"/>
        <v>0</v>
      </c>
      <c r="M66" s="1084">
        <f t="shared" si="178"/>
        <v>0</v>
      </c>
      <c r="N66" s="1084">
        <f t="shared" si="178"/>
        <v>0</v>
      </c>
      <c r="O66" s="1084">
        <f t="shared" si="178"/>
        <v>0</v>
      </c>
      <c r="P66" s="1084">
        <f t="shared" si="178"/>
        <v>0</v>
      </c>
      <c r="Q66" s="1084">
        <f t="shared" si="178"/>
        <v>0</v>
      </c>
      <c r="R66" s="1084">
        <f t="shared" si="178"/>
        <v>0</v>
      </c>
      <c r="S66" s="1084">
        <f t="shared" si="178"/>
        <v>0</v>
      </c>
      <c r="T66" s="1084">
        <f t="shared" si="178"/>
        <v>0</v>
      </c>
      <c r="U66" s="1084">
        <f t="shared" si="178"/>
        <v>0</v>
      </c>
      <c r="V66" s="1084">
        <f t="shared" si="178"/>
        <v>0</v>
      </c>
      <c r="W66" s="1084">
        <f t="shared" si="178"/>
        <v>0</v>
      </c>
      <c r="X66" s="1084">
        <f t="shared" si="178"/>
        <v>0</v>
      </c>
      <c r="Y66" s="1084">
        <f t="shared" si="178"/>
        <v>0</v>
      </c>
      <c r="Z66" s="1084">
        <f t="shared" si="178"/>
        <v>0</v>
      </c>
      <c r="AA66" s="1084">
        <f t="shared" si="178"/>
        <v>0</v>
      </c>
      <c r="AB66" s="1084">
        <f t="shared" si="178"/>
        <v>0</v>
      </c>
      <c r="AC66" s="1084">
        <f t="shared" ref="AC66:AE66" si="179">AC64</f>
        <v>0</v>
      </c>
      <c r="AD66" s="1084">
        <f t="shared" si="179"/>
        <v>0</v>
      </c>
      <c r="AE66" s="1086">
        <f t="shared" si="179"/>
        <v>0</v>
      </c>
      <c r="AF66" s="1086">
        <f t="shared" ref="AF66:AO66" si="180">AF64</f>
        <v>0</v>
      </c>
      <c r="AG66" s="1086">
        <f t="shared" si="180"/>
        <v>0</v>
      </c>
      <c r="AH66" s="1086">
        <f t="shared" si="180"/>
        <v>0</v>
      </c>
      <c r="AI66" s="1086">
        <f t="shared" si="180"/>
        <v>0</v>
      </c>
      <c r="AJ66" s="1086">
        <f t="shared" si="180"/>
        <v>0</v>
      </c>
      <c r="AK66" s="1086">
        <f t="shared" si="180"/>
        <v>0</v>
      </c>
      <c r="AL66" s="1086">
        <f t="shared" si="180"/>
        <v>0</v>
      </c>
      <c r="AM66" s="1086">
        <f t="shared" si="180"/>
        <v>0</v>
      </c>
      <c r="AN66" s="1086">
        <f t="shared" si="180"/>
        <v>0</v>
      </c>
      <c r="AO66" s="1086">
        <f t="shared" si="180"/>
        <v>0</v>
      </c>
    </row>
    <row r="67" spans="1:41" s="406" customFormat="1">
      <c r="A67" s="382"/>
      <c r="B67" s="408" t="s">
        <v>80</v>
      </c>
      <c r="C67" s="1085">
        <f>SUM(D67:AO67)</f>
        <v>1576418224.5110641</v>
      </c>
      <c r="D67" s="1085">
        <f>SUM(D55:D63)-D64</f>
        <v>0</v>
      </c>
      <c r="E67" s="1085">
        <f t="shared" ref="E67:AE67" si="181">SUM(E55:E63)-E64</f>
        <v>0</v>
      </c>
      <c r="F67" s="1085">
        <f t="shared" si="181"/>
        <v>0</v>
      </c>
      <c r="G67" s="1085">
        <f t="shared" si="181"/>
        <v>-2212767.3113361816</v>
      </c>
      <c r="H67" s="1085">
        <f t="shared" si="181"/>
        <v>-3949070.6623264537</v>
      </c>
      <c r="I67" s="1085">
        <f t="shared" si="181"/>
        <v>-27993803.333548438</v>
      </c>
      <c r="J67" s="1085">
        <f t="shared" si="181"/>
        <v>-88255736.256535053</v>
      </c>
      <c r="K67" s="1085">
        <f t="shared" si="181"/>
        <v>-21400518.005949337</v>
      </c>
      <c r="L67" s="1085">
        <f t="shared" si="181"/>
        <v>1108202.7956046378</v>
      </c>
      <c r="M67" s="1085">
        <f t="shared" si="181"/>
        <v>1074941.775603022</v>
      </c>
      <c r="N67" s="1085">
        <f t="shared" si="181"/>
        <v>70777557.479704961</v>
      </c>
      <c r="O67" s="1085">
        <f t="shared" si="181"/>
        <v>68655177.402490541</v>
      </c>
      <c r="P67" s="1085">
        <f t="shared" si="181"/>
        <v>86350172.517849132</v>
      </c>
      <c r="Q67" s="1085">
        <f t="shared" si="181"/>
        <v>83320931.350972906</v>
      </c>
      <c r="R67" s="1085">
        <f t="shared" si="181"/>
        <v>81362374.15385218</v>
      </c>
      <c r="S67" s="1085">
        <f t="shared" si="181"/>
        <v>79043944.9626313</v>
      </c>
      <c r="T67" s="1085">
        <f t="shared" si="181"/>
        <v>76411358.481102392</v>
      </c>
      <c r="U67" s="1085">
        <f t="shared" si="181"/>
        <v>74588468.594434306</v>
      </c>
      <c r="V67" s="1085">
        <f t="shared" si="181"/>
        <v>72118836.482268542</v>
      </c>
      <c r="W67" s="1085">
        <f t="shared" si="181"/>
        <v>69694854.86130622</v>
      </c>
      <c r="X67" s="1085">
        <f t="shared" si="181"/>
        <v>68033953.135328159</v>
      </c>
      <c r="Y67" s="1085">
        <f t="shared" si="181"/>
        <v>66075822.836434834</v>
      </c>
      <c r="Z67" s="1085">
        <f t="shared" si="181"/>
        <v>63864851.528036535</v>
      </c>
      <c r="AA67" s="1085">
        <f t="shared" si="181"/>
        <v>62335083.324981958</v>
      </c>
      <c r="AB67" s="1085">
        <f t="shared" si="181"/>
        <v>60575256.522832789</v>
      </c>
      <c r="AC67" s="1085">
        <f t="shared" si="181"/>
        <v>58563343.07062386</v>
      </c>
      <c r="AD67" s="1085">
        <f t="shared" si="181"/>
        <v>57180326.733100072</v>
      </c>
      <c r="AE67" s="1085">
        <f t="shared" si="181"/>
        <v>55546640.511453964</v>
      </c>
      <c r="AF67" s="1085">
        <f t="shared" ref="AF67:AO67" si="182">SUM(AF55:AF63)-AF64</f>
        <v>53706678.466375805</v>
      </c>
      <c r="AG67" s="1085">
        <f t="shared" si="182"/>
        <v>52386517.704534896</v>
      </c>
      <c r="AH67" s="1085">
        <f t="shared" si="182"/>
        <v>50849563.546567515</v>
      </c>
      <c r="AI67" s="1085">
        <f t="shared" si="182"/>
        <v>49117496.45701655</v>
      </c>
      <c r="AJ67" s="1085">
        <f t="shared" si="182"/>
        <v>47910694.888773523</v>
      </c>
      <c r="AK67" s="1085">
        <f t="shared" si="182"/>
        <v>46506116.121178307</v>
      </c>
      <c r="AL67" s="1085">
        <f t="shared" si="182"/>
        <v>44923542.33618471</v>
      </c>
      <c r="AM67" s="1085">
        <f t="shared" si="182"/>
        <v>43820304.626657069</v>
      </c>
      <c r="AN67" s="1085">
        <f t="shared" si="182"/>
        <v>37838630.037726775</v>
      </c>
      <c r="AO67" s="1085">
        <f t="shared" si="182"/>
        <v>36488477.375132002</v>
      </c>
    </row>
    <row r="68" spans="1:41" s="406" customFormat="1">
      <c r="A68" s="382"/>
      <c r="B68" s="397" t="s">
        <v>81</v>
      </c>
      <c r="C68" s="1078"/>
      <c r="D68" s="1078">
        <f>D67</f>
        <v>0</v>
      </c>
      <c r="E68" s="1078">
        <f>E67+D68</f>
        <v>0</v>
      </c>
      <c r="F68" s="1078">
        <f t="shared" ref="F68:AE68" si="183">F67+E68</f>
        <v>0</v>
      </c>
      <c r="G68" s="1078">
        <f t="shared" si="183"/>
        <v>-2212767.3113361816</v>
      </c>
      <c r="H68" s="1078">
        <f t="shared" si="183"/>
        <v>-6161837.9736626353</v>
      </c>
      <c r="I68" s="1078">
        <f t="shared" si="183"/>
        <v>-34155641.307211071</v>
      </c>
      <c r="J68" s="1078">
        <f t="shared" si="183"/>
        <v>-122411377.56374612</v>
      </c>
      <c r="K68" s="1078">
        <f t="shared" si="183"/>
        <v>-143811895.56969547</v>
      </c>
      <c r="L68" s="1078">
        <f t="shared" si="183"/>
        <v>-142703692.77409083</v>
      </c>
      <c r="M68" s="1078">
        <f t="shared" si="183"/>
        <v>-141628750.9984878</v>
      </c>
      <c r="N68" s="1078">
        <f t="shared" si="183"/>
        <v>-70851193.518782839</v>
      </c>
      <c r="O68" s="1078">
        <f t="shared" si="183"/>
        <v>-2196016.1162922978</v>
      </c>
      <c r="P68" s="1078">
        <f t="shared" si="183"/>
        <v>84154156.401556835</v>
      </c>
      <c r="Q68" s="1078">
        <f t="shared" si="183"/>
        <v>167475087.75252974</v>
      </c>
      <c r="R68" s="1078">
        <f t="shared" si="183"/>
        <v>248837461.90638191</v>
      </c>
      <c r="S68" s="1078">
        <f t="shared" si="183"/>
        <v>327881406.86901319</v>
      </c>
      <c r="T68" s="1078">
        <f t="shared" si="183"/>
        <v>404292765.3501156</v>
      </c>
      <c r="U68" s="1078">
        <f t="shared" si="183"/>
        <v>478881233.94454992</v>
      </c>
      <c r="V68" s="1078">
        <f t="shared" si="183"/>
        <v>551000070.42681849</v>
      </c>
      <c r="W68" s="1078">
        <f t="shared" si="183"/>
        <v>620694925.28812468</v>
      </c>
      <c r="X68" s="1078">
        <f t="shared" si="183"/>
        <v>688728878.42345285</v>
      </c>
      <c r="Y68" s="1078">
        <f t="shared" si="183"/>
        <v>754804701.2598877</v>
      </c>
      <c r="Z68" s="1078">
        <f t="shared" si="183"/>
        <v>818669552.78792429</v>
      </c>
      <c r="AA68" s="1078">
        <f t="shared" si="183"/>
        <v>881004636.11290622</v>
      </c>
      <c r="AB68" s="1078">
        <f t="shared" si="183"/>
        <v>941579892.63573897</v>
      </c>
      <c r="AC68" s="1078">
        <f t="shared" si="183"/>
        <v>1000143235.7063628</v>
      </c>
      <c r="AD68" s="1078">
        <f t="shared" si="183"/>
        <v>1057323562.4394629</v>
      </c>
      <c r="AE68" s="1079">
        <f t="shared" si="183"/>
        <v>1112870202.9509168</v>
      </c>
      <c r="AF68" s="1079">
        <f t="shared" ref="AF68" si="184">AF67+AE68</f>
        <v>1166576881.4172926</v>
      </c>
      <c r="AG68" s="1079">
        <f t="shared" ref="AG68" si="185">AG67+AF68</f>
        <v>1218963399.1218276</v>
      </c>
      <c r="AH68" s="1079">
        <f t="shared" ref="AH68" si="186">AH67+AG68</f>
        <v>1269812962.668395</v>
      </c>
      <c r="AI68" s="1079">
        <f t="shared" ref="AI68" si="187">AI67+AH68</f>
        <v>1318930459.1254115</v>
      </c>
      <c r="AJ68" s="1079">
        <f t="shared" ref="AJ68" si="188">AJ67+AI68</f>
        <v>1366841154.014185</v>
      </c>
      <c r="AK68" s="1079">
        <f t="shared" ref="AK68" si="189">AK67+AJ68</f>
        <v>1413347270.1353633</v>
      </c>
      <c r="AL68" s="1079">
        <f t="shared" ref="AL68" si="190">AL67+AK68</f>
        <v>1458270812.4715481</v>
      </c>
      <c r="AM68" s="1079">
        <f t="shared" ref="AM68" si="191">AM67+AL68</f>
        <v>1502091117.0982051</v>
      </c>
      <c r="AN68" s="1079">
        <f t="shared" ref="AN68" si="192">AN67+AM68</f>
        <v>1539929747.135932</v>
      </c>
      <c r="AO68" s="1079">
        <f t="shared" ref="AO68" si="193">AO67+AN68</f>
        <v>1576418224.5110641</v>
      </c>
    </row>
    <row r="69" spans="1:41" s="406" customFormat="1">
      <c r="A69" s="382"/>
      <c r="B69" s="397" t="s">
        <v>82</v>
      </c>
      <c r="C69" s="1078"/>
      <c r="D69" s="1078">
        <f>D65</f>
        <v>0</v>
      </c>
      <c r="E69" s="1078">
        <f>E65+D69</f>
        <v>0</v>
      </c>
      <c r="F69" s="1078">
        <f t="shared" ref="F69:AE69" si="194">F65+E69</f>
        <v>0</v>
      </c>
      <c r="G69" s="1078">
        <f t="shared" si="194"/>
        <v>0</v>
      </c>
      <c r="H69" s="1078">
        <f t="shared" si="194"/>
        <v>0</v>
      </c>
      <c r="I69" s="1078">
        <f t="shared" si="194"/>
        <v>0</v>
      </c>
      <c r="J69" s="1078">
        <f t="shared" si="194"/>
        <v>0</v>
      </c>
      <c r="K69" s="1078">
        <f t="shared" si="194"/>
        <v>0</v>
      </c>
      <c r="L69" s="1078">
        <f t="shared" si="194"/>
        <v>1108202.7956046378</v>
      </c>
      <c r="M69" s="1078">
        <f t="shared" si="194"/>
        <v>2183144.5712076598</v>
      </c>
      <c r="N69" s="1078">
        <f t="shared" si="194"/>
        <v>72960702.050912619</v>
      </c>
      <c r="O69" s="1078">
        <f t="shared" si="194"/>
        <v>141615879.45340317</v>
      </c>
      <c r="P69" s="1078">
        <f t="shared" si="194"/>
        <v>227966051.97125232</v>
      </c>
      <c r="Q69" s="1078">
        <f t="shared" si="194"/>
        <v>311286983.32222521</v>
      </c>
      <c r="R69" s="1078">
        <f t="shared" si="194"/>
        <v>392649357.47607738</v>
      </c>
      <c r="S69" s="1078">
        <f t="shared" si="194"/>
        <v>471693302.43870866</v>
      </c>
      <c r="T69" s="1078">
        <f t="shared" si="194"/>
        <v>548104660.91981101</v>
      </c>
      <c r="U69" s="1078">
        <f t="shared" si="194"/>
        <v>622693129.51424527</v>
      </c>
      <c r="V69" s="1078">
        <f t="shared" si="194"/>
        <v>694811965.99651384</v>
      </c>
      <c r="W69" s="1078">
        <f t="shared" si="194"/>
        <v>764506820.85782003</v>
      </c>
      <c r="X69" s="1078">
        <f t="shared" si="194"/>
        <v>832540773.99314821</v>
      </c>
      <c r="Y69" s="1078">
        <f t="shared" si="194"/>
        <v>898616596.82958305</v>
      </c>
      <c r="Z69" s="1078">
        <f t="shared" si="194"/>
        <v>962481448.35761952</v>
      </c>
      <c r="AA69" s="1078">
        <f t="shared" si="194"/>
        <v>1024816531.6826015</v>
      </c>
      <c r="AB69" s="1078">
        <f t="shared" si="194"/>
        <v>1085391788.2054343</v>
      </c>
      <c r="AC69" s="1078">
        <f t="shared" si="194"/>
        <v>1143955131.2760582</v>
      </c>
      <c r="AD69" s="1078">
        <f t="shared" si="194"/>
        <v>1201135458.0091584</v>
      </c>
      <c r="AE69" s="1079">
        <f t="shared" si="194"/>
        <v>1256682098.5206122</v>
      </c>
      <c r="AF69" s="1079">
        <f t="shared" ref="AF69" si="195">AF65+AE69</f>
        <v>1310388776.9869881</v>
      </c>
      <c r="AG69" s="1079">
        <f t="shared" ref="AG69" si="196">AG65+AF69</f>
        <v>1362775294.6915231</v>
      </c>
      <c r="AH69" s="1079">
        <f t="shared" ref="AH69" si="197">AH65+AG69</f>
        <v>1413624858.2380905</v>
      </c>
      <c r="AI69" s="1079">
        <f t="shared" ref="AI69" si="198">AI65+AH69</f>
        <v>1462742354.695107</v>
      </c>
      <c r="AJ69" s="1079">
        <f t="shared" ref="AJ69" si="199">AJ65+AI69</f>
        <v>1510653049.5838804</v>
      </c>
      <c r="AK69" s="1079">
        <f t="shared" ref="AK69" si="200">AK65+AJ69</f>
        <v>1557159165.7050588</v>
      </c>
      <c r="AL69" s="1079">
        <f t="shared" ref="AL69" si="201">AL65+AK69</f>
        <v>1602082708.0412436</v>
      </c>
      <c r="AM69" s="1079">
        <f t="shared" ref="AM69" si="202">AM65+AL69</f>
        <v>1645903012.6679006</v>
      </c>
      <c r="AN69" s="1079">
        <f t="shared" ref="AN69" si="203">AN65+AM69</f>
        <v>1683741642.7056274</v>
      </c>
      <c r="AO69" s="1079">
        <f t="shared" ref="AO69" si="204">AO65+AN69</f>
        <v>1720230120.0807595</v>
      </c>
    </row>
    <row r="70" spans="1:41" s="406" customFormat="1">
      <c r="A70" s="382"/>
      <c r="B70" s="409" t="s">
        <v>83</v>
      </c>
      <c r="C70" s="410"/>
      <c r="D70" s="1087">
        <f>-(D66)</f>
        <v>0</v>
      </c>
      <c r="E70" s="1087">
        <f>D70+(-E66)</f>
        <v>0</v>
      </c>
      <c r="F70" s="1087">
        <f t="shared" ref="F70:AE70" si="205">E70+(-F66)</f>
        <v>0</v>
      </c>
      <c r="G70" s="1087">
        <f t="shared" si="205"/>
        <v>-2212767.3113361816</v>
      </c>
      <c r="H70" s="1087">
        <f t="shared" si="205"/>
        <v>-6161837.9736626353</v>
      </c>
      <c r="I70" s="1087">
        <f t="shared" si="205"/>
        <v>-34155641.307211071</v>
      </c>
      <c r="J70" s="1087">
        <f t="shared" si="205"/>
        <v>-122411377.56374612</v>
      </c>
      <c r="K70" s="1087">
        <f t="shared" si="205"/>
        <v>-143811895.56969547</v>
      </c>
      <c r="L70" s="1087">
        <f t="shared" si="205"/>
        <v>-143811895.56969547</v>
      </c>
      <c r="M70" s="1087">
        <f t="shared" si="205"/>
        <v>-143811895.56969547</v>
      </c>
      <c r="N70" s="1087">
        <f t="shared" si="205"/>
        <v>-143811895.56969547</v>
      </c>
      <c r="O70" s="1087">
        <f t="shared" si="205"/>
        <v>-143811895.56969547</v>
      </c>
      <c r="P70" s="1087">
        <f t="shared" si="205"/>
        <v>-143811895.56969547</v>
      </c>
      <c r="Q70" s="1087">
        <f t="shared" si="205"/>
        <v>-143811895.56969547</v>
      </c>
      <c r="R70" s="1087">
        <f t="shared" si="205"/>
        <v>-143811895.56969547</v>
      </c>
      <c r="S70" s="1087">
        <f t="shared" si="205"/>
        <v>-143811895.56969547</v>
      </c>
      <c r="T70" s="1087">
        <f t="shared" si="205"/>
        <v>-143811895.56969547</v>
      </c>
      <c r="U70" s="1087">
        <f t="shared" si="205"/>
        <v>-143811895.56969547</v>
      </c>
      <c r="V70" s="1087">
        <f t="shared" si="205"/>
        <v>-143811895.56969547</v>
      </c>
      <c r="W70" s="1087">
        <f t="shared" si="205"/>
        <v>-143811895.56969547</v>
      </c>
      <c r="X70" s="1087">
        <f t="shared" si="205"/>
        <v>-143811895.56969547</v>
      </c>
      <c r="Y70" s="1087">
        <f t="shared" si="205"/>
        <v>-143811895.56969547</v>
      </c>
      <c r="Z70" s="1087">
        <f t="shared" si="205"/>
        <v>-143811895.56969547</v>
      </c>
      <c r="AA70" s="1087">
        <f t="shared" si="205"/>
        <v>-143811895.56969547</v>
      </c>
      <c r="AB70" s="1087">
        <f t="shared" si="205"/>
        <v>-143811895.56969547</v>
      </c>
      <c r="AC70" s="1087">
        <f t="shared" si="205"/>
        <v>-143811895.56969547</v>
      </c>
      <c r="AD70" s="1087">
        <f t="shared" si="205"/>
        <v>-143811895.56969547</v>
      </c>
      <c r="AE70" s="1088">
        <f t="shared" si="205"/>
        <v>-143811895.56969547</v>
      </c>
      <c r="AF70" s="1088">
        <f t="shared" ref="AF70" si="206">AE70+(-AF66)</f>
        <v>-143811895.56969547</v>
      </c>
      <c r="AG70" s="1088">
        <f t="shared" ref="AG70" si="207">AF70+(-AG66)</f>
        <v>-143811895.56969547</v>
      </c>
      <c r="AH70" s="1088">
        <f t="shared" ref="AH70" si="208">AG70+(-AH66)</f>
        <v>-143811895.56969547</v>
      </c>
      <c r="AI70" s="1088">
        <f t="shared" ref="AI70" si="209">AH70+(-AI66)</f>
        <v>-143811895.56969547</v>
      </c>
      <c r="AJ70" s="1088">
        <f t="shared" ref="AJ70" si="210">AI70+(-AJ66)</f>
        <v>-143811895.56969547</v>
      </c>
      <c r="AK70" s="1088">
        <f t="shared" ref="AK70" si="211">AJ70+(-AK66)</f>
        <v>-143811895.56969547</v>
      </c>
      <c r="AL70" s="1088">
        <f t="shared" ref="AL70" si="212">AK70+(-AL66)</f>
        <v>-143811895.56969547</v>
      </c>
      <c r="AM70" s="1088">
        <f t="shared" ref="AM70" si="213">AL70+(-AM66)</f>
        <v>-143811895.56969547</v>
      </c>
      <c r="AN70" s="1088">
        <f t="shared" ref="AN70" si="214">AM70+(-AN66)</f>
        <v>-143811895.56969547</v>
      </c>
      <c r="AO70" s="1088">
        <f t="shared" ref="AO70" si="215">AN70+(-AO66)</f>
        <v>-143811895.56969547</v>
      </c>
    </row>
    <row r="71" spans="1:41">
      <c r="B71" s="584" t="s">
        <v>68</v>
      </c>
    </row>
    <row r="72" spans="1:41">
      <c r="C72" s="643"/>
      <c r="I72" s="395"/>
      <c r="J72" s="395"/>
      <c r="K72" s="395"/>
      <c r="L72" s="395"/>
      <c r="M72" s="395"/>
      <c r="N72" s="395"/>
      <c r="O72" s="395"/>
      <c r="P72" s="395"/>
      <c r="Q72" s="395"/>
      <c r="R72" s="395"/>
      <c r="S72" s="395"/>
      <c r="T72" s="395"/>
      <c r="U72" s="395"/>
      <c r="V72" s="395"/>
      <c r="W72" s="395"/>
      <c r="X72" s="395"/>
      <c r="Y72" s="395"/>
      <c r="Z72" s="395"/>
      <c r="AA72" s="395"/>
      <c r="AB72" s="395"/>
    </row>
    <row r="73" spans="1:41">
      <c r="B73" s="436" t="s">
        <v>85</v>
      </c>
      <c r="C73" s="437"/>
      <c r="D73" s="438">
        <f>D54</f>
        <v>2022</v>
      </c>
      <c r="E73" s="438">
        <f>D73+1</f>
        <v>2023</v>
      </c>
      <c r="F73" s="438">
        <f t="shared" ref="F73:AE73" si="216">E73+1</f>
        <v>2024</v>
      </c>
      <c r="G73" s="438">
        <f t="shared" si="216"/>
        <v>2025</v>
      </c>
      <c r="H73" s="438">
        <f t="shared" si="216"/>
        <v>2026</v>
      </c>
      <c r="I73" s="438">
        <f t="shared" si="216"/>
        <v>2027</v>
      </c>
      <c r="J73" s="438">
        <f t="shared" si="216"/>
        <v>2028</v>
      </c>
      <c r="K73" s="438">
        <f t="shared" si="216"/>
        <v>2029</v>
      </c>
      <c r="L73" s="438">
        <f t="shared" si="216"/>
        <v>2030</v>
      </c>
      <c r="M73" s="438">
        <f t="shared" si="216"/>
        <v>2031</v>
      </c>
      <c r="N73" s="438">
        <f t="shared" si="216"/>
        <v>2032</v>
      </c>
      <c r="O73" s="438">
        <f t="shared" si="216"/>
        <v>2033</v>
      </c>
      <c r="P73" s="438">
        <f t="shared" si="216"/>
        <v>2034</v>
      </c>
      <c r="Q73" s="438">
        <f t="shared" si="216"/>
        <v>2035</v>
      </c>
      <c r="R73" s="438">
        <f t="shared" si="216"/>
        <v>2036</v>
      </c>
      <c r="S73" s="438">
        <f t="shared" si="216"/>
        <v>2037</v>
      </c>
      <c r="T73" s="438">
        <f t="shared" si="216"/>
        <v>2038</v>
      </c>
      <c r="U73" s="438">
        <f t="shared" si="216"/>
        <v>2039</v>
      </c>
      <c r="V73" s="438">
        <f t="shared" si="216"/>
        <v>2040</v>
      </c>
      <c r="W73" s="438">
        <f t="shared" si="216"/>
        <v>2041</v>
      </c>
      <c r="X73" s="438">
        <f t="shared" si="216"/>
        <v>2042</v>
      </c>
      <c r="Y73" s="438">
        <f t="shared" si="216"/>
        <v>2043</v>
      </c>
      <c r="Z73" s="438">
        <f t="shared" si="216"/>
        <v>2044</v>
      </c>
      <c r="AA73" s="438">
        <f t="shared" si="216"/>
        <v>2045</v>
      </c>
      <c r="AB73" s="438">
        <f t="shared" si="216"/>
        <v>2046</v>
      </c>
      <c r="AC73" s="438">
        <f t="shared" si="216"/>
        <v>2047</v>
      </c>
      <c r="AD73" s="438">
        <f t="shared" si="216"/>
        <v>2048</v>
      </c>
      <c r="AE73" s="438">
        <f t="shared" si="216"/>
        <v>2049</v>
      </c>
      <c r="AF73" s="438">
        <f t="shared" ref="AF73:AO73" si="217">AE73+1</f>
        <v>2050</v>
      </c>
      <c r="AG73" s="438">
        <f t="shared" si="217"/>
        <v>2051</v>
      </c>
      <c r="AH73" s="438">
        <f t="shared" si="217"/>
        <v>2052</v>
      </c>
      <c r="AI73" s="438">
        <f t="shared" si="217"/>
        <v>2053</v>
      </c>
      <c r="AJ73" s="438">
        <f t="shared" si="217"/>
        <v>2054</v>
      </c>
      <c r="AK73" s="438">
        <f t="shared" si="217"/>
        <v>2055</v>
      </c>
      <c r="AL73" s="438">
        <f t="shared" si="217"/>
        <v>2056</v>
      </c>
      <c r="AM73" s="438">
        <f t="shared" si="217"/>
        <v>2057</v>
      </c>
      <c r="AN73" s="438">
        <f t="shared" si="217"/>
        <v>2058</v>
      </c>
      <c r="AO73" s="438">
        <f t="shared" si="217"/>
        <v>2059</v>
      </c>
    </row>
    <row r="74" spans="1:41" s="411" customFormat="1">
      <c r="B74" s="439" t="s">
        <v>86</v>
      </c>
      <c r="C74" s="412"/>
      <c r="D74" s="432">
        <f t="shared" ref="D74:AO74" si="218">MAX(0,D$73-First.Year+1)</f>
        <v>0</v>
      </c>
      <c r="E74" s="432">
        <f t="shared" si="218"/>
        <v>0</v>
      </c>
      <c r="F74" s="432">
        <f t="shared" si="218"/>
        <v>0</v>
      </c>
      <c r="G74" s="432">
        <f t="shared" si="218"/>
        <v>0</v>
      </c>
      <c r="H74" s="432">
        <f t="shared" si="218"/>
        <v>0</v>
      </c>
      <c r="I74" s="432">
        <f t="shared" si="218"/>
        <v>0</v>
      </c>
      <c r="J74" s="432">
        <f t="shared" si="218"/>
        <v>0</v>
      </c>
      <c r="K74" s="432">
        <f t="shared" si="218"/>
        <v>0</v>
      </c>
      <c r="L74" s="432">
        <f t="shared" si="218"/>
        <v>1</v>
      </c>
      <c r="M74" s="432">
        <f t="shared" si="218"/>
        <v>2</v>
      </c>
      <c r="N74" s="432">
        <f t="shared" si="218"/>
        <v>3</v>
      </c>
      <c r="O74" s="432">
        <f t="shared" si="218"/>
        <v>4</v>
      </c>
      <c r="P74" s="432">
        <f t="shared" si="218"/>
        <v>5</v>
      </c>
      <c r="Q74" s="432">
        <f t="shared" si="218"/>
        <v>6</v>
      </c>
      <c r="R74" s="432">
        <f t="shared" si="218"/>
        <v>7</v>
      </c>
      <c r="S74" s="432">
        <f t="shared" si="218"/>
        <v>8</v>
      </c>
      <c r="T74" s="432">
        <f t="shared" si="218"/>
        <v>9</v>
      </c>
      <c r="U74" s="432">
        <f t="shared" si="218"/>
        <v>10</v>
      </c>
      <c r="V74" s="432">
        <f t="shared" si="218"/>
        <v>11</v>
      </c>
      <c r="W74" s="432">
        <f t="shared" si="218"/>
        <v>12</v>
      </c>
      <c r="X74" s="432">
        <f t="shared" si="218"/>
        <v>13</v>
      </c>
      <c r="Y74" s="432">
        <f t="shared" si="218"/>
        <v>14</v>
      </c>
      <c r="Z74" s="432">
        <f t="shared" si="218"/>
        <v>15</v>
      </c>
      <c r="AA74" s="432">
        <f t="shared" si="218"/>
        <v>16</v>
      </c>
      <c r="AB74" s="432">
        <f t="shared" si="218"/>
        <v>17</v>
      </c>
      <c r="AC74" s="432">
        <f t="shared" si="218"/>
        <v>18</v>
      </c>
      <c r="AD74" s="432">
        <f t="shared" si="218"/>
        <v>19</v>
      </c>
      <c r="AE74" s="432">
        <f t="shared" si="218"/>
        <v>20</v>
      </c>
      <c r="AF74" s="432">
        <f t="shared" si="218"/>
        <v>21</v>
      </c>
      <c r="AG74" s="432">
        <f t="shared" si="218"/>
        <v>22</v>
      </c>
      <c r="AH74" s="432">
        <f t="shared" si="218"/>
        <v>23</v>
      </c>
      <c r="AI74" s="432">
        <f t="shared" si="218"/>
        <v>24</v>
      </c>
      <c r="AJ74" s="432">
        <f t="shared" si="218"/>
        <v>25</v>
      </c>
      <c r="AK74" s="432">
        <f t="shared" si="218"/>
        <v>26</v>
      </c>
      <c r="AL74" s="432">
        <f t="shared" si="218"/>
        <v>27</v>
      </c>
      <c r="AM74" s="432">
        <f t="shared" si="218"/>
        <v>28</v>
      </c>
      <c r="AN74" s="432">
        <f t="shared" si="218"/>
        <v>29</v>
      </c>
      <c r="AO74" s="432">
        <f t="shared" si="218"/>
        <v>30</v>
      </c>
    </row>
    <row r="75" spans="1:41" s="411" customFormat="1">
      <c r="B75" s="439" t="s">
        <v>87</v>
      </c>
      <c r="C75" s="413">
        <f>Inputs!E5</f>
        <v>3.1E-2</v>
      </c>
      <c r="D75" s="433">
        <f>1/(1+$C75)^(D$73-$D$73)</f>
        <v>1</v>
      </c>
      <c r="E75" s="433">
        <f t="shared" ref="E75:AF76" si="219">1/(1+$C75)^(E$73-$D$73)</f>
        <v>0.96993210475266745</v>
      </c>
      <c r="F75" s="433">
        <f t="shared" si="219"/>
        <v>0.94076828782993938</v>
      </c>
      <c r="G75" s="433">
        <f t="shared" si="219"/>
        <v>0.91248136549945624</v>
      </c>
      <c r="H75" s="433">
        <f t="shared" si="219"/>
        <v>0.88504497138647553</v>
      </c>
      <c r="I75" s="433">
        <f t="shared" si="219"/>
        <v>0.85843353189764848</v>
      </c>
      <c r="J75" s="433">
        <f t="shared" si="219"/>
        <v>0.83262224238375215</v>
      </c>
      <c r="K75" s="433">
        <f t="shared" si="219"/>
        <v>0.80758704401915837</v>
      </c>
      <c r="L75" s="433">
        <f t="shared" si="219"/>
        <v>0.78330460137648728</v>
      </c>
      <c r="M75" s="433">
        <f t="shared" si="219"/>
        <v>0.75975228067554545</v>
      </c>
      <c r="N75" s="433">
        <f t="shared" si="219"/>
        <v>0.73690812868627109</v>
      </c>
      <c r="O75" s="433">
        <f t="shared" si="219"/>
        <v>0.71475085226602442</v>
      </c>
      <c r="P75" s="433">
        <f t="shared" si="219"/>
        <v>0.69325979851214781</v>
      </c>
      <c r="Q75" s="433">
        <f t="shared" si="219"/>
        <v>0.67241493551129761</v>
      </c>
      <c r="R75" s="433">
        <f t="shared" si="219"/>
        <v>0.65219683366760206</v>
      </c>
      <c r="S75" s="433">
        <f t="shared" si="219"/>
        <v>0.63258664759224259</v>
      </c>
      <c r="T75" s="433">
        <f t="shared" si="219"/>
        <v>0.6135660985375776</v>
      </c>
      <c r="U75" s="433">
        <f t="shared" si="219"/>
        <v>0.59511745735943511</v>
      </c>
      <c r="V75" s="433">
        <f t="shared" si="219"/>
        <v>0.57722352799169274</v>
      </c>
      <c r="W75" s="433">
        <f t="shared" si="219"/>
        <v>0.55986763141774276</v>
      </c>
      <c r="X75" s="433">
        <f t="shared" si="219"/>
        <v>0.54303359012390184</v>
      </c>
      <c r="Y75" s="433">
        <f t="shared" si="219"/>
        <v>0.52670571302027336</v>
      </c>
      <c r="Z75" s="433">
        <f t="shared" si="219"/>
        <v>0.51086878081500819</v>
      </c>
      <c r="AA75" s="433">
        <f t="shared" si="219"/>
        <v>0.49550803182832992</v>
      </c>
      <c r="AB75" s="433">
        <f t="shared" si="219"/>
        <v>0.4806091482331038</v>
      </c>
      <c r="AC75" s="433">
        <f t="shared" si="219"/>
        <v>0.46615824270912104</v>
      </c>
      <c r="AD75" s="433">
        <f t="shared" si="219"/>
        <v>0.4521418454986626</v>
      </c>
      <c r="AE75" s="433">
        <f t="shared" si="219"/>
        <v>0.4385468918512731</v>
      </c>
      <c r="AF75" s="433">
        <f t="shared" si="219"/>
        <v>0.42536070984604568</v>
      </c>
      <c r="AG75" s="433">
        <f t="shared" ref="AF75:AO76" si="220">1/(1+$C75)^(AG$73-$D$73)</f>
        <v>0.41257100858006374</v>
      </c>
      <c r="AH75" s="433">
        <f t="shared" si="220"/>
        <v>0.400165866711992</v>
      </c>
      <c r="AI75" s="433">
        <f t="shared" si="220"/>
        <v>0.38813372135013779</v>
      </c>
      <c r="AJ75" s="433">
        <f t="shared" si="220"/>
        <v>0.37646335727462438</v>
      </c>
      <c r="AK75" s="433">
        <f t="shared" si="220"/>
        <v>0.36514389648363188</v>
      </c>
      <c r="AL75" s="433">
        <f t="shared" si="220"/>
        <v>0.35416478805395912</v>
      </c>
      <c r="AM75" s="433">
        <f t="shared" si="220"/>
        <v>0.34351579830645895</v>
      </c>
      <c r="AN75" s="433">
        <f t="shared" si="220"/>
        <v>0.33318700126717649</v>
      </c>
      <c r="AO75" s="433">
        <f t="shared" si="220"/>
        <v>0.32316876941530209</v>
      </c>
    </row>
    <row r="76" spans="1:41" s="411" customFormat="1">
      <c r="B76" s="440" t="s">
        <v>88</v>
      </c>
      <c r="C76" s="434">
        <f>Inputs!E6</f>
        <v>0.02</v>
      </c>
      <c r="D76" s="435">
        <f>1/(1+$C76)^(D$73-$D$73)</f>
        <v>1</v>
      </c>
      <c r="E76" s="435">
        <f t="shared" si="219"/>
        <v>0.98039215686274506</v>
      </c>
      <c r="F76" s="435">
        <f t="shared" si="219"/>
        <v>0.96116878123798544</v>
      </c>
      <c r="G76" s="435">
        <f t="shared" si="219"/>
        <v>0.94232233454704462</v>
      </c>
      <c r="H76" s="435">
        <f t="shared" si="219"/>
        <v>0.9238454260265142</v>
      </c>
      <c r="I76" s="435">
        <f t="shared" si="219"/>
        <v>0.90573080982991594</v>
      </c>
      <c r="J76" s="435">
        <f t="shared" si="219"/>
        <v>0.88797138218619198</v>
      </c>
      <c r="K76" s="435">
        <f t="shared" si="219"/>
        <v>0.87056017861391388</v>
      </c>
      <c r="L76" s="435">
        <f t="shared" si="219"/>
        <v>0.85349037119011162</v>
      </c>
      <c r="M76" s="435">
        <f t="shared" si="219"/>
        <v>0.83675526587265847</v>
      </c>
      <c r="N76" s="435">
        <f t="shared" si="219"/>
        <v>0.82034829987515534</v>
      </c>
      <c r="O76" s="435">
        <f t="shared" si="219"/>
        <v>0.80426303909328967</v>
      </c>
      <c r="P76" s="435">
        <f t="shared" si="219"/>
        <v>0.78849317558165644</v>
      </c>
      <c r="Q76" s="435">
        <f t="shared" si="219"/>
        <v>0.77303252508005538</v>
      </c>
      <c r="R76" s="435">
        <f t="shared" si="219"/>
        <v>0.75787502458828948</v>
      </c>
      <c r="S76" s="435">
        <f t="shared" si="219"/>
        <v>0.74301472998851925</v>
      </c>
      <c r="T76" s="435">
        <f t="shared" si="219"/>
        <v>0.72844581371423445</v>
      </c>
      <c r="U76" s="435">
        <f t="shared" si="219"/>
        <v>0.7141625624649357</v>
      </c>
      <c r="V76" s="435">
        <f t="shared" si="219"/>
        <v>0.7001593749656233</v>
      </c>
      <c r="W76" s="435">
        <f t="shared" si="219"/>
        <v>0.68643075977021895</v>
      </c>
      <c r="X76" s="435">
        <f t="shared" si="219"/>
        <v>0.67297133310805779</v>
      </c>
      <c r="Y76" s="435">
        <f t="shared" si="219"/>
        <v>0.65977581677260566</v>
      </c>
      <c r="Z76" s="435">
        <f t="shared" si="219"/>
        <v>0.64683903605157411</v>
      </c>
      <c r="AA76" s="435">
        <f t="shared" si="219"/>
        <v>0.63415591769762181</v>
      </c>
      <c r="AB76" s="435">
        <f t="shared" si="219"/>
        <v>0.62172148793884485</v>
      </c>
      <c r="AC76" s="435">
        <f t="shared" si="219"/>
        <v>0.60953087052827937</v>
      </c>
      <c r="AD76" s="435">
        <f t="shared" si="219"/>
        <v>0.59757928483164635</v>
      </c>
      <c r="AE76" s="435">
        <f t="shared" si="219"/>
        <v>0.58586204395259456</v>
      </c>
      <c r="AF76" s="435">
        <f t="shared" si="220"/>
        <v>0.57437455289470041</v>
      </c>
      <c r="AG76" s="435">
        <f t="shared" si="220"/>
        <v>0.56311230675951029</v>
      </c>
      <c r="AH76" s="435">
        <f t="shared" si="220"/>
        <v>0.55207088897991197</v>
      </c>
      <c r="AI76" s="435">
        <f t="shared" si="220"/>
        <v>0.54124596958814919</v>
      </c>
      <c r="AJ76" s="435">
        <f t="shared" si="220"/>
        <v>0.53063330351779314</v>
      </c>
      <c r="AK76" s="435">
        <f t="shared" si="220"/>
        <v>0.52022872893901284</v>
      </c>
      <c r="AL76" s="435">
        <f t="shared" si="220"/>
        <v>0.51002816562648323</v>
      </c>
      <c r="AM76" s="435">
        <f t="shared" si="220"/>
        <v>0.50002761335929735</v>
      </c>
      <c r="AN76" s="435">
        <f t="shared" si="220"/>
        <v>0.49022315035225233</v>
      </c>
      <c r="AO76" s="435">
        <f t="shared" si="220"/>
        <v>0.48061093171789437</v>
      </c>
    </row>
    <row r="77" spans="1:41">
      <c r="AC77" s="386"/>
      <c r="AD77" s="386"/>
      <c r="AE77" s="386"/>
      <c r="AF77" s="386"/>
      <c r="AG77" s="386"/>
      <c r="AH77" s="386"/>
      <c r="AI77" s="386"/>
      <c r="AJ77" s="386"/>
      <c r="AK77" s="386"/>
      <c r="AL77" s="386"/>
      <c r="AM77" s="386"/>
      <c r="AN77" s="386"/>
      <c r="AO77" s="386"/>
    </row>
    <row r="78" spans="1:41">
      <c r="AC78" s="386"/>
      <c r="AD78" s="386"/>
      <c r="AE78" s="386"/>
      <c r="AF78" s="386"/>
      <c r="AG78" s="386"/>
      <c r="AH78" s="386"/>
      <c r="AI78" s="386"/>
      <c r="AJ78" s="386"/>
      <c r="AK78" s="386"/>
      <c r="AL78" s="386"/>
      <c r="AM78" s="386"/>
      <c r="AN78" s="386"/>
      <c r="AO78" s="386"/>
    </row>
    <row r="79" spans="1:41">
      <c r="B79" s="414" t="s">
        <v>89</v>
      </c>
      <c r="C79" s="415" t="s">
        <v>90</v>
      </c>
      <c r="D79" s="416">
        <f>D73</f>
        <v>2022</v>
      </c>
      <c r="E79" s="416">
        <f t="shared" ref="E79:J79" si="221">D79+1</f>
        <v>2023</v>
      </c>
      <c r="F79" s="416">
        <f t="shared" si="221"/>
        <v>2024</v>
      </c>
      <c r="G79" s="416">
        <f t="shared" si="221"/>
        <v>2025</v>
      </c>
      <c r="H79" s="416">
        <f t="shared" si="221"/>
        <v>2026</v>
      </c>
      <c r="I79" s="416">
        <f t="shared" si="221"/>
        <v>2027</v>
      </c>
      <c r="J79" s="416">
        <f t="shared" si="221"/>
        <v>2028</v>
      </c>
      <c r="K79" s="416">
        <f t="shared" ref="K79" si="222">J79+1</f>
        <v>2029</v>
      </c>
      <c r="L79" s="416">
        <f t="shared" ref="L79" si="223">K79+1</f>
        <v>2030</v>
      </c>
      <c r="M79" s="416">
        <f t="shared" ref="M79" si="224">L79+1</f>
        <v>2031</v>
      </c>
      <c r="N79" s="416">
        <f t="shared" ref="N79" si="225">M79+1</f>
        <v>2032</v>
      </c>
      <c r="O79" s="416">
        <f t="shared" ref="O79" si="226">N79+1</f>
        <v>2033</v>
      </c>
      <c r="P79" s="416">
        <f t="shared" ref="P79" si="227">O79+1</f>
        <v>2034</v>
      </c>
      <c r="Q79" s="416">
        <f t="shared" ref="Q79" si="228">P79+1</f>
        <v>2035</v>
      </c>
      <c r="R79" s="416">
        <f t="shared" ref="R79" si="229">Q79+1</f>
        <v>2036</v>
      </c>
      <c r="S79" s="416">
        <f t="shared" ref="S79" si="230">R79+1</f>
        <v>2037</v>
      </c>
      <c r="T79" s="416">
        <f t="shared" ref="T79" si="231">S79+1</f>
        <v>2038</v>
      </c>
      <c r="U79" s="416">
        <f t="shared" ref="U79" si="232">T79+1</f>
        <v>2039</v>
      </c>
      <c r="V79" s="416">
        <f t="shared" ref="V79" si="233">U79+1</f>
        <v>2040</v>
      </c>
      <c r="W79" s="416">
        <f t="shared" ref="W79" si="234">V79+1</f>
        <v>2041</v>
      </c>
      <c r="X79" s="416">
        <f t="shared" ref="X79" si="235">W79+1</f>
        <v>2042</v>
      </c>
      <c r="Y79" s="416">
        <f t="shared" ref="Y79" si="236">X79+1</f>
        <v>2043</v>
      </c>
      <c r="Z79" s="416">
        <f t="shared" ref="Z79" si="237">Y79+1</f>
        <v>2044</v>
      </c>
      <c r="AA79" s="416">
        <f t="shared" ref="AA79" si="238">Z79+1</f>
        <v>2045</v>
      </c>
      <c r="AB79" s="416">
        <f t="shared" ref="AB79" si="239">AA79+1</f>
        <v>2046</v>
      </c>
      <c r="AC79" s="416">
        <f t="shared" ref="AC79" si="240">AB79+1</f>
        <v>2047</v>
      </c>
      <c r="AD79" s="416">
        <f t="shared" ref="AD79" si="241">AC79+1</f>
        <v>2048</v>
      </c>
      <c r="AE79" s="416">
        <f t="shared" ref="AE79" si="242">AD79+1</f>
        <v>2049</v>
      </c>
      <c r="AF79" s="416">
        <f t="shared" ref="AF79" si="243">AE79+1</f>
        <v>2050</v>
      </c>
      <c r="AG79" s="416">
        <f t="shared" ref="AG79" si="244">AF79+1</f>
        <v>2051</v>
      </c>
      <c r="AH79" s="416">
        <f t="shared" ref="AH79" si="245">AG79+1</f>
        <v>2052</v>
      </c>
      <c r="AI79" s="416">
        <f t="shared" ref="AI79" si="246">AH79+1</f>
        <v>2053</v>
      </c>
      <c r="AJ79" s="416">
        <f t="shared" ref="AJ79" si="247">AI79+1</f>
        <v>2054</v>
      </c>
      <c r="AK79" s="416">
        <f t="shared" ref="AK79" si="248">AJ79+1</f>
        <v>2055</v>
      </c>
      <c r="AL79" s="416">
        <f t="shared" ref="AL79" si="249">AK79+1</f>
        <v>2056</v>
      </c>
      <c r="AM79" s="416">
        <f t="shared" ref="AM79" si="250">AL79+1</f>
        <v>2057</v>
      </c>
      <c r="AN79" s="416">
        <f t="shared" ref="AN79" si="251">AM79+1</f>
        <v>2058</v>
      </c>
      <c r="AO79" s="416">
        <f t="shared" ref="AO79" si="252">AN79+1</f>
        <v>2059</v>
      </c>
    </row>
    <row r="80" spans="1:41" s="281" customFormat="1">
      <c r="A80" s="287"/>
      <c r="D80" s="417"/>
      <c r="E80" s="417"/>
      <c r="F80" s="417"/>
      <c r="G80" s="417"/>
      <c r="H80" s="417"/>
      <c r="I80" s="417"/>
      <c r="J80" s="417"/>
      <c r="K80" s="417"/>
      <c r="L80" s="417"/>
      <c r="M80" s="417"/>
      <c r="N80" s="417"/>
      <c r="O80" s="417"/>
      <c r="P80" s="417"/>
      <c r="Q80" s="417"/>
      <c r="R80" s="417"/>
      <c r="S80" s="417"/>
      <c r="T80" s="417"/>
      <c r="U80" s="417"/>
      <c r="V80" s="417"/>
      <c r="W80" s="417"/>
      <c r="X80" s="417"/>
      <c r="Y80" s="417"/>
      <c r="Z80" s="417"/>
      <c r="AA80" s="417"/>
      <c r="AB80" s="417"/>
      <c r="AC80" s="417"/>
      <c r="AD80" s="417"/>
      <c r="AE80" s="417"/>
      <c r="AF80" s="417"/>
      <c r="AG80" s="417"/>
      <c r="AH80" s="417"/>
      <c r="AI80" s="417"/>
      <c r="AJ80" s="417"/>
      <c r="AK80" s="417"/>
      <c r="AL80" s="417"/>
      <c r="AM80" s="417"/>
      <c r="AN80" s="417"/>
      <c r="AO80" s="417"/>
    </row>
    <row r="81" spans="1:41">
      <c r="B81" s="286" t="s">
        <v>91</v>
      </c>
      <c r="C81" s="418" t="s">
        <v>92</v>
      </c>
      <c r="D81" s="419">
        <f>EMISSIONS!D74</f>
        <v>0</v>
      </c>
      <c r="E81" s="419">
        <f>EMISSIONS!E74</f>
        <v>0</v>
      </c>
      <c r="F81" s="419">
        <f>EMISSIONS!F74</f>
        <v>0</v>
      </c>
      <c r="G81" s="419">
        <f>EMISSIONS!G74</f>
        <v>0</v>
      </c>
      <c r="H81" s="419">
        <f>EMISSIONS!H74</f>
        <v>0</v>
      </c>
      <c r="I81" s="419">
        <f>EMISSIONS!I74</f>
        <v>0</v>
      </c>
      <c r="J81" s="419">
        <f>EMISSIONS!J74</f>
        <v>0</v>
      </c>
      <c r="K81" s="419">
        <f>EMISSIONS!K74</f>
        <v>0</v>
      </c>
      <c r="L81" s="419">
        <f>EMISSIONS!L74</f>
        <v>261.46727930881025</v>
      </c>
      <c r="M81" s="419">
        <f>EMISSIONS!M74</f>
        <v>260.59602321637794</v>
      </c>
      <c r="N81" s="419">
        <f>EMISSIONS!N74</f>
        <v>14730.104649745321</v>
      </c>
      <c r="O81" s="419">
        <f>EMISSIONS!O74</f>
        <v>14680.691982789795</v>
      </c>
      <c r="P81" s="419">
        <f>EMISSIONS!P74</f>
        <v>18956.536092928247</v>
      </c>
      <c r="Q81" s="419">
        <f>EMISSIONS!Q74</f>
        <v>18892.516195257616</v>
      </c>
      <c r="R81" s="419">
        <f>EMISSIONS!R74</f>
        <v>18882.990715571505</v>
      </c>
      <c r="S81" s="419">
        <f>EMISSIONS!S74</f>
        <v>18873.465235885407</v>
      </c>
      <c r="T81" s="419">
        <f>EMISSIONS!T74</f>
        <v>18863.939756199296</v>
      </c>
      <c r="U81" s="419">
        <f>EMISSIONS!U74</f>
        <v>18854.414276513198</v>
      </c>
      <c r="V81" s="419">
        <f>EMISSIONS!V74</f>
        <v>18844.888796827086</v>
      </c>
      <c r="W81" s="419">
        <f>EMISSIONS!W74</f>
        <v>18835.363317140989</v>
      </c>
      <c r="X81" s="419">
        <f>EMISSIONS!X74</f>
        <v>18825.837837454877</v>
      </c>
      <c r="Y81" s="419">
        <f>EMISSIONS!Y74</f>
        <v>18816.31235776878</v>
      </c>
      <c r="Z81" s="419">
        <f>EMISSIONS!Z74</f>
        <v>18806.786878082683</v>
      </c>
      <c r="AA81" s="419">
        <f>EMISSIONS!AA74</f>
        <v>18797.261398396586</v>
      </c>
      <c r="AB81" s="419">
        <f>EMISSIONS!AB74</f>
        <v>18797.261398396586</v>
      </c>
      <c r="AC81" s="419">
        <f>EMISSIONS!AC74</f>
        <v>18797.261398396571</v>
      </c>
      <c r="AD81" s="419">
        <f>EMISSIONS!AD74</f>
        <v>18797.261398396586</v>
      </c>
      <c r="AE81" s="419">
        <f>EMISSIONS!AE74</f>
        <v>18797.261398396586</v>
      </c>
      <c r="AF81" s="419">
        <f>EMISSIONS!AF74</f>
        <v>18797.261398396571</v>
      </c>
      <c r="AG81" s="419">
        <f>EMISSIONS!AG74</f>
        <v>18797.261398396586</v>
      </c>
      <c r="AH81" s="419">
        <f>EMISSIONS!AH74</f>
        <v>18797.261398396586</v>
      </c>
      <c r="AI81" s="419">
        <f>EMISSIONS!AI74</f>
        <v>18797.261398396571</v>
      </c>
      <c r="AJ81" s="419">
        <f>EMISSIONS!AJ74</f>
        <v>18797.261398396586</v>
      </c>
      <c r="AK81" s="419">
        <f>EMISSIONS!AK74</f>
        <v>18797.2613983966</v>
      </c>
      <c r="AL81" s="419">
        <f>EMISSIONS!AL74</f>
        <v>18797.261398396557</v>
      </c>
      <c r="AM81" s="419">
        <f>EMISSIONS!AM74</f>
        <v>18797.261398396615</v>
      </c>
      <c r="AN81" s="419">
        <f>EMISSIONS!AN74</f>
        <v>-6848.203506375</v>
      </c>
      <c r="AO81" s="419">
        <f>EMISSIONS!AO74</f>
        <v>-6848.203506375</v>
      </c>
    </row>
    <row r="82" spans="1:41">
      <c r="B82" s="286" t="s">
        <v>93</v>
      </c>
      <c r="C82" s="418" t="s">
        <v>92</v>
      </c>
      <c r="D82" s="420">
        <f>EMISSIONS!D75</f>
        <v>0</v>
      </c>
      <c r="E82" s="420">
        <f>EMISSIONS!E75</f>
        <v>0</v>
      </c>
      <c r="F82" s="420">
        <f>EMISSIONS!F75</f>
        <v>0</v>
      </c>
      <c r="G82" s="420">
        <f>EMISSIONS!G75</f>
        <v>0</v>
      </c>
      <c r="H82" s="420">
        <f>EMISSIONS!H75</f>
        <v>0</v>
      </c>
      <c r="I82" s="420">
        <f>EMISSIONS!I75</f>
        <v>0</v>
      </c>
      <c r="J82" s="420">
        <f>EMISSIONS!J75</f>
        <v>0</v>
      </c>
      <c r="K82" s="420">
        <f>EMISSIONS!K75</f>
        <v>0</v>
      </c>
      <c r="L82" s="420">
        <f>EMISSIONS!L75</f>
        <v>9.5114691640503679E-2</v>
      </c>
      <c r="M82" s="420">
        <f>EMISSIONS!M75</f>
        <v>9.6080922152012249E-2</v>
      </c>
      <c r="N82" s="420">
        <f>EMISSIONS!N75</f>
        <v>5.0881687724702971</v>
      </c>
      <c r="O82" s="420">
        <f>EMISSIONS!O75</f>
        <v>4.6906154754160099</v>
      </c>
      <c r="P82" s="420">
        <f>EMISSIONS!P75</f>
        <v>5.515807436898811</v>
      </c>
      <c r="Q82" s="420">
        <f>EMISSIONS!Q75</f>
        <v>4.9090079646548048</v>
      </c>
      <c r="R82" s="420">
        <f>EMISSIONS!R75</f>
        <v>5.9218258554165146</v>
      </c>
      <c r="S82" s="420">
        <f>EMISSIONS!S75</f>
        <v>6.9044592645659577</v>
      </c>
      <c r="T82" s="420">
        <f>EMISSIONS!T75</f>
        <v>7.8575501303520525</v>
      </c>
      <c r="U82" s="420">
        <f>EMISSIONS!U75</f>
        <v>8.7817280097366819</v>
      </c>
      <c r="V82" s="420">
        <f>EMISSIONS!V75</f>
        <v>9.2551304986122886</v>
      </c>
      <c r="W82" s="420">
        <f>EMISSIONS!W75</f>
        <v>9.1222744665472817</v>
      </c>
      <c r="X82" s="420">
        <f>EMISSIONS!X75</f>
        <v>8.9894184344823174</v>
      </c>
      <c r="Y82" s="420">
        <f>EMISSIONS!Y75</f>
        <v>8.856562402417353</v>
      </c>
      <c r="Z82" s="420">
        <f>EMISSIONS!Z75</f>
        <v>8.7237063703523603</v>
      </c>
      <c r="AA82" s="420">
        <f>EMISSIONS!AA75</f>
        <v>8.5908503382874102</v>
      </c>
      <c r="AB82" s="420">
        <f>EMISSIONS!AB75</f>
        <v>8.5908503382874102</v>
      </c>
      <c r="AC82" s="420">
        <f>EMISSIONS!AC75</f>
        <v>8.5908503382874102</v>
      </c>
      <c r="AD82" s="420">
        <f>EMISSIONS!AD75</f>
        <v>8.5908503382874102</v>
      </c>
      <c r="AE82" s="420">
        <f>EMISSIONS!AE75</f>
        <v>8.5908503382874102</v>
      </c>
      <c r="AF82" s="420">
        <f>EMISSIONS!AF75</f>
        <v>8.5908503382874102</v>
      </c>
      <c r="AG82" s="420">
        <f>EMISSIONS!AG75</f>
        <v>8.5908503382874102</v>
      </c>
      <c r="AH82" s="420">
        <f>EMISSIONS!AH75</f>
        <v>8.5908503382874102</v>
      </c>
      <c r="AI82" s="420">
        <f>EMISSIONS!AI75</f>
        <v>8.5908503382874102</v>
      </c>
      <c r="AJ82" s="420">
        <f>EMISSIONS!AJ75</f>
        <v>8.5908503382874102</v>
      </c>
      <c r="AK82" s="420">
        <f>EMISSIONS!AK75</f>
        <v>8.5908503382874244</v>
      </c>
      <c r="AL82" s="420">
        <f>EMISSIONS!AL75</f>
        <v>8.590850338287396</v>
      </c>
      <c r="AM82" s="420">
        <f>EMISSIONS!AM75</f>
        <v>8.5908503382874244</v>
      </c>
      <c r="AN82" s="420">
        <f>EMISSIONS!AN75</f>
        <v>-11.829434554937496</v>
      </c>
      <c r="AO82" s="420">
        <f>EMISSIONS!AO75</f>
        <v>-11.829434554937496</v>
      </c>
    </row>
    <row r="83" spans="1:41">
      <c r="B83" s="286" t="s">
        <v>94</v>
      </c>
      <c r="C83" s="418"/>
      <c r="D83" s="420">
        <f>EMISSIONS!D76</f>
        <v>0</v>
      </c>
      <c r="E83" s="420">
        <f>EMISSIONS!E76</f>
        <v>0</v>
      </c>
      <c r="F83" s="420">
        <f>EMISSIONS!F76</f>
        <v>0</v>
      </c>
      <c r="G83" s="420">
        <f>EMISSIONS!G76</f>
        <v>0</v>
      </c>
      <c r="H83" s="420">
        <f>EMISSIONS!H76</f>
        <v>0</v>
      </c>
      <c r="I83" s="420">
        <f>EMISSIONS!I76</f>
        <v>0</v>
      </c>
      <c r="J83" s="420">
        <f>EMISSIONS!J76</f>
        <v>0</v>
      </c>
      <c r="K83" s="420">
        <f>EMISSIONS!K76</f>
        <v>0</v>
      </c>
      <c r="L83" s="420">
        <f>EMISSIONS!L76</f>
        <v>5.6567150599038385E-3</v>
      </c>
      <c r="M83" s="420">
        <f>EMISSIONS!M76</f>
        <v>5.5367711938796305E-3</v>
      </c>
      <c r="N83" s="420">
        <f>EMISSIONS!N76</f>
        <v>0.26604538147626222</v>
      </c>
      <c r="O83" s="420">
        <f>EMISSIONS!O76</f>
        <v>0.21678772519685907</v>
      </c>
      <c r="P83" s="420">
        <f>EMISSIONS!P76</f>
        <v>0.21542038353170767</v>
      </c>
      <c r="Q83" s="420">
        <f>EMISSIONS!Q76</f>
        <v>0.14836737128663025</v>
      </c>
      <c r="R83" s="420">
        <f>EMISSIONS!R76</f>
        <v>0.19892694307141046</v>
      </c>
      <c r="S83" s="420">
        <f>EMISSIONS!S76</f>
        <v>0.20143564640419287</v>
      </c>
      <c r="T83" s="420">
        <f>EMISSIONS!T76</f>
        <v>0.24965235085167947</v>
      </c>
      <c r="U83" s="420">
        <f>EMISSIONS!U76</f>
        <v>0.25123807505037155</v>
      </c>
      <c r="V83" s="420">
        <f>EMISSIONS!V76</f>
        <v>0.29720081714102031</v>
      </c>
      <c r="W83" s="420">
        <f>EMISSIONS!W76</f>
        <v>0.2913360603277515</v>
      </c>
      <c r="X83" s="420">
        <f>EMISSIONS!X76</f>
        <v>0.28547130351448402</v>
      </c>
      <c r="Y83" s="420">
        <f>EMISSIONS!Y76</f>
        <v>0.27960654670121521</v>
      </c>
      <c r="Z83" s="420">
        <f>EMISSIONS!Z76</f>
        <v>0.27374178988794728</v>
      </c>
      <c r="AA83" s="420">
        <f>EMISSIONS!AA76</f>
        <v>0.26787703307467847</v>
      </c>
      <c r="AB83" s="420">
        <f>EMISSIONS!AB76</f>
        <v>0.26787703307467936</v>
      </c>
      <c r="AC83" s="420">
        <f>EMISSIONS!AC76</f>
        <v>0.26787703307467936</v>
      </c>
      <c r="AD83" s="420">
        <f>EMISSIONS!AD76</f>
        <v>0.26787703307467892</v>
      </c>
      <c r="AE83" s="420">
        <f>EMISSIONS!AE76</f>
        <v>0.26787703307467892</v>
      </c>
      <c r="AF83" s="420">
        <f>EMISSIONS!AF76</f>
        <v>0.26787703307467892</v>
      </c>
      <c r="AG83" s="420">
        <f>EMISSIONS!AG76</f>
        <v>0.26787703307467936</v>
      </c>
      <c r="AH83" s="420">
        <f>EMISSIONS!AH76</f>
        <v>0.26787703307467936</v>
      </c>
      <c r="AI83" s="420">
        <f>EMISSIONS!AI76</f>
        <v>0.26787703307467936</v>
      </c>
      <c r="AJ83" s="420">
        <f>EMISSIONS!AJ76</f>
        <v>0.26787703307467936</v>
      </c>
      <c r="AK83" s="420">
        <f>EMISSIONS!AK76</f>
        <v>0.26787703307467936</v>
      </c>
      <c r="AL83" s="420">
        <f>EMISSIONS!AL76</f>
        <v>0.26787703307467892</v>
      </c>
      <c r="AM83" s="420">
        <f>EMISSIONS!AM76</f>
        <v>0.26787703307467936</v>
      </c>
      <c r="AN83" s="420">
        <f>EMISSIONS!AN76</f>
        <v>-0.44487123522675659</v>
      </c>
      <c r="AO83" s="420">
        <f>EMISSIONS!AO76</f>
        <v>-0.44487123522675659</v>
      </c>
    </row>
    <row r="84" spans="1:41">
      <c r="B84" s="286" t="s">
        <v>95</v>
      </c>
      <c r="C84" s="418" t="s">
        <v>92</v>
      </c>
      <c r="D84" s="420">
        <f>EMISSIONS!D77</f>
        <v>0</v>
      </c>
      <c r="E84" s="420">
        <f>EMISSIONS!E77</f>
        <v>0</v>
      </c>
      <c r="F84" s="420">
        <f>EMISSIONS!F77</f>
        <v>0</v>
      </c>
      <c r="G84" s="420">
        <f>EMISSIONS!G77</f>
        <v>0</v>
      </c>
      <c r="H84" s="420">
        <f>EMISSIONS!H77</f>
        <v>0</v>
      </c>
      <c r="I84" s="420">
        <f>EMISSIONS!I77</f>
        <v>0</v>
      </c>
      <c r="J84" s="420">
        <f>EMISSIONS!J77</f>
        <v>0</v>
      </c>
      <c r="K84" s="420">
        <f>EMISSIONS!K77</f>
        <v>0</v>
      </c>
      <c r="L84" s="420">
        <f>EMISSIONS!L77</f>
        <v>1.2419318467323137E-2</v>
      </c>
      <c r="M84" s="420">
        <f>EMISSIONS!M77</f>
        <v>1.049239751541009E-2</v>
      </c>
      <c r="N84" s="420">
        <f>EMISSIONS!N77</f>
        <v>0.52133582461325823</v>
      </c>
      <c r="O84" s="420">
        <f>EMISSIONS!O77</f>
        <v>0.44647069724991306</v>
      </c>
      <c r="P84" s="420">
        <f>EMISSIONS!P77</f>
        <v>0.48002350443692965</v>
      </c>
      <c r="Q84" s="420">
        <f>EMISSIONS!Q77</f>
        <v>0.33604034845299502</v>
      </c>
      <c r="R84" s="420">
        <f>EMISSIONS!R77</f>
        <v>0.37760141077583986</v>
      </c>
      <c r="S84" s="420">
        <f>EMISSIONS!S77</f>
        <v>0.37495694083289388</v>
      </c>
      <c r="T84" s="420">
        <f>EMISSIONS!T77</f>
        <v>0.41447465299226627</v>
      </c>
      <c r="U84" s="420">
        <f>EMISSIONS!U77</f>
        <v>0.4110931048337334</v>
      </c>
      <c r="V84" s="420">
        <f>EMISSIONS!V77</f>
        <v>0.44864599470316646</v>
      </c>
      <c r="W84" s="420">
        <f>EMISSIONS!W77</f>
        <v>0.4421448028505981</v>
      </c>
      <c r="X84" s="420">
        <f>EMISSIONS!X77</f>
        <v>0.43564361099802773</v>
      </c>
      <c r="Y84" s="420">
        <f>EMISSIONS!Y77</f>
        <v>0.42914241914545959</v>
      </c>
      <c r="Z84" s="420">
        <f>EMISSIONS!Z77</f>
        <v>0.42264122729289144</v>
      </c>
      <c r="AA84" s="420">
        <f>EMISSIONS!AA77</f>
        <v>0.41614003544032085</v>
      </c>
      <c r="AB84" s="420">
        <f>EMISSIONS!AB77</f>
        <v>0.41614003544032041</v>
      </c>
      <c r="AC84" s="420">
        <f>EMISSIONS!AC77</f>
        <v>0.41614003544032108</v>
      </c>
      <c r="AD84" s="420">
        <f>EMISSIONS!AD77</f>
        <v>0.41614003544032085</v>
      </c>
      <c r="AE84" s="420">
        <f>EMISSIONS!AE77</f>
        <v>0.41614003544032063</v>
      </c>
      <c r="AF84" s="420">
        <f>EMISSIONS!AF77</f>
        <v>0.41614003544032085</v>
      </c>
      <c r="AG84" s="420">
        <f>EMISSIONS!AG77</f>
        <v>0.41614003544032063</v>
      </c>
      <c r="AH84" s="420">
        <f>EMISSIONS!AH77</f>
        <v>0.41614003544032063</v>
      </c>
      <c r="AI84" s="420">
        <f>EMISSIONS!AI77</f>
        <v>0.41614003544032085</v>
      </c>
      <c r="AJ84" s="420">
        <f>EMISSIONS!AJ77</f>
        <v>0.41614003544032063</v>
      </c>
      <c r="AK84" s="420">
        <f>EMISSIONS!AK77</f>
        <v>0.41614003544032041</v>
      </c>
      <c r="AL84" s="420">
        <f>EMISSIONS!AL77</f>
        <v>0.41614003544032019</v>
      </c>
      <c r="AM84" s="420">
        <f>EMISSIONS!AM77</f>
        <v>0.4161400354403213</v>
      </c>
      <c r="AN84" s="420">
        <f>EMISSIONS!AN77</f>
        <v>-0.16392216454699104</v>
      </c>
      <c r="AO84" s="420">
        <f>EMISSIONS!AO77</f>
        <v>-0.16392216454699104</v>
      </c>
    </row>
    <row r="85" spans="1:41">
      <c r="B85" s="286" t="s">
        <v>96</v>
      </c>
      <c r="C85" s="418" t="s">
        <v>92</v>
      </c>
      <c r="D85" s="420">
        <f>EMISSIONS!D78</f>
        <v>0</v>
      </c>
      <c r="E85" s="420">
        <f>EMISSIONS!E78</f>
        <v>0</v>
      </c>
      <c r="F85" s="420">
        <f>EMISSIONS!F78</f>
        <v>0</v>
      </c>
      <c r="G85" s="420">
        <f>EMISSIONS!G78</f>
        <v>0</v>
      </c>
      <c r="H85" s="420">
        <f>EMISSIONS!H78</f>
        <v>0</v>
      </c>
      <c r="I85" s="420">
        <f>EMISSIONS!I78</f>
        <v>0</v>
      </c>
      <c r="J85" s="420">
        <f>EMISSIONS!J78</f>
        <v>0</v>
      </c>
      <c r="K85" s="420">
        <f>EMISSIONS!K78</f>
        <v>0</v>
      </c>
      <c r="L85" s="420">
        <f>EMISSIONS!L78</f>
        <v>-1.4178996173642378E-2</v>
      </c>
      <c r="M85" s="420">
        <f>EMISSIONS!M78</f>
        <v>-1.4188681700730177E-2</v>
      </c>
      <c r="N85" s="420">
        <f>EMISSIONS!N78</f>
        <v>-0.80525025563482733</v>
      </c>
      <c r="O85" s="420">
        <f>EMISSIONS!O78</f>
        <v>-0.80579956338537984</v>
      </c>
      <c r="P85" s="420">
        <f>EMISSIONS!P78</f>
        <v>-1.0447194089609022</v>
      </c>
      <c r="Q85" s="420">
        <f>EMISSIONS!Q78</f>
        <v>-1.0454311014913151</v>
      </c>
      <c r="R85" s="420">
        <f>EMISSIONS!R78</f>
        <v>-1.0455188700039824</v>
      </c>
      <c r="S85" s="420">
        <f>EMISSIONS!S78</f>
        <v>-1.0456066385166494</v>
      </c>
      <c r="T85" s="420">
        <f>EMISSIONS!T78</f>
        <v>-1.0456944070293166</v>
      </c>
      <c r="U85" s="420">
        <f>EMISSIONS!U78</f>
        <v>-1.0457821755419838</v>
      </c>
      <c r="V85" s="420">
        <f>EMISSIONS!V78</f>
        <v>-1.0458699440546511</v>
      </c>
      <c r="W85" s="420">
        <f>EMISSIONS!W78</f>
        <v>-1.0459577125673181</v>
      </c>
      <c r="X85" s="420">
        <f>EMISSIONS!X78</f>
        <v>-1.0460454810799851</v>
      </c>
      <c r="Y85" s="420">
        <f>EMISSIONS!Y78</f>
        <v>-1.0461332495926525</v>
      </c>
      <c r="Z85" s="420">
        <f>EMISSIONS!Z78</f>
        <v>-1.0462210181053195</v>
      </c>
      <c r="AA85" s="420">
        <f>EMISSIONS!AA78</f>
        <v>-1.0463087866179865</v>
      </c>
      <c r="AB85" s="420">
        <f>EMISSIONS!AB78</f>
        <v>-1.0463087866179865</v>
      </c>
      <c r="AC85" s="420">
        <f>EMISSIONS!AC78</f>
        <v>-1.0463087866179865</v>
      </c>
      <c r="AD85" s="420">
        <f>EMISSIONS!AD78</f>
        <v>-1.046308786617987</v>
      </c>
      <c r="AE85" s="420">
        <f>EMISSIONS!AE78</f>
        <v>-1.0463087866179865</v>
      </c>
      <c r="AF85" s="420">
        <f>EMISSIONS!AF78</f>
        <v>-1.0463087866179865</v>
      </c>
      <c r="AG85" s="420">
        <f>EMISSIONS!AG78</f>
        <v>-1.0463087866179865</v>
      </c>
      <c r="AH85" s="420">
        <f>EMISSIONS!AH78</f>
        <v>-1.0463087866179865</v>
      </c>
      <c r="AI85" s="420">
        <f>EMISSIONS!AI78</f>
        <v>-1.0463087866179865</v>
      </c>
      <c r="AJ85" s="420">
        <f>EMISSIONS!AJ78</f>
        <v>-1.046308786617987</v>
      </c>
      <c r="AK85" s="420">
        <f>EMISSIONS!AK78</f>
        <v>-1.0463087866179865</v>
      </c>
      <c r="AL85" s="420">
        <f>EMISSIONS!AL78</f>
        <v>-1.046308786617987</v>
      </c>
      <c r="AM85" s="420">
        <f>EMISSIONS!AM78</f>
        <v>-1.0463087866179865</v>
      </c>
      <c r="AN85" s="420">
        <f>EMISSIONS!AN78</f>
        <v>-1.2601177049999999</v>
      </c>
      <c r="AO85" s="420">
        <f>EMISSIONS!AO78</f>
        <v>-1.2601177049999999</v>
      </c>
    </row>
    <row r="86" spans="1:41" s="281" customFormat="1">
      <c r="A86" s="287"/>
      <c r="D86" s="421"/>
      <c r="E86" s="421"/>
      <c r="F86" s="421"/>
      <c r="G86" s="421"/>
      <c r="H86" s="421"/>
      <c r="I86" s="421"/>
      <c r="J86" s="421"/>
      <c r="K86" s="421"/>
      <c r="L86" s="421"/>
      <c r="M86" s="421"/>
      <c r="N86" s="421"/>
      <c r="O86" s="421"/>
      <c r="P86" s="421"/>
      <c r="Q86" s="421"/>
      <c r="R86" s="421"/>
      <c r="S86" s="421"/>
      <c r="T86" s="421"/>
      <c r="U86" s="421"/>
      <c r="V86" s="421"/>
      <c r="W86" s="421"/>
      <c r="X86" s="421"/>
      <c r="Y86" s="421"/>
      <c r="Z86" s="421"/>
      <c r="AA86" s="421"/>
      <c r="AB86" s="421"/>
      <c r="AC86" s="421"/>
      <c r="AD86" s="421"/>
      <c r="AE86" s="421"/>
      <c r="AF86" s="421"/>
      <c r="AG86" s="421"/>
      <c r="AH86" s="421"/>
      <c r="AI86" s="421"/>
      <c r="AJ86" s="421"/>
      <c r="AK86" s="421"/>
      <c r="AL86" s="421"/>
      <c r="AM86" s="421"/>
      <c r="AN86" s="421"/>
      <c r="AO86" s="421"/>
    </row>
    <row r="87" spans="1:41">
      <c r="B87" s="286" t="s">
        <v>97</v>
      </c>
      <c r="C87" s="418" t="s">
        <v>98</v>
      </c>
      <c r="D87" s="419">
        <f>SAFETY!D54</f>
        <v>0</v>
      </c>
      <c r="E87" s="419">
        <f>SAFETY!E54</f>
        <v>0</v>
      </c>
      <c r="F87" s="419">
        <f>SAFETY!F54</f>
        <v>0</v>
      </c>
      <c r="G87" s="419">
        <f>SAFETY!G54</f>
        <v>0</v>
      </c>
      <c r="H87" s="419">
        <f>SAFETY!H54</f>
        <v>0</v>
      </c>
      <c r="I87" s="419">
        <f>SAFETY!I54</f>
        <v>0</v>
      </c>
      <c r="J87" s="419">
        <f>SAFETY!J54</f>
        <v>0</v>
      </c>
      <c r="K87" s="419">
        <f>SAFETY!K54</f>
        <v>0</v>
      </c>
      <c r="L87" s="419">
        <f>SAFETY!L54</f>
        <v>6.356122500000172E-3</v>
      </c>
      <c r="M87" s="419">
        <f>SAFETY!M54</f>
        <v>6.356122500000172E-3</v>
      </c>
      <c r="N87" s="419">
        <f>SAFETY!N54</f>
        <v>0.36048294749999998</v>
      </c>
      <c r="O87" s="419">
        <f>SAFETY!O54</f>
        <v>0.36048294750000021</v>
      </c>
      <c r="P87" s="419">
        <f>SAFETY!P54</f>
        <v>0.46704788130000008</v>
      </c>
      <c r="Q87" s="419">
        <f>SAFETY!Q54</f>
        <v>0.46704788129999986</v>
      </c>
      <c r="R87" s="419">
        <f>SAFETY!R54</f>
        <v>0.46704788129999986</v>
      </c>
      <c r="S87" s="419">
        <f>SAFETY!S54</f>
        <v>0.46704788129999963</v>
      </c>
      <c r="T87" s="419">
        <f>SAFETY!T54</f>
        <v>0.46704788130000008</v>
      </c>
      <c r="U87" s="419">
        <f>SAFETY!U54</f>
        <v>0.46704788129999986</v>
      </c>
      <c r="V87" s="419">
        <f>SAFETY!V54</f>
        <v>0.46704788129999986</v>
      </c>
      <c r="W87" s="419">
        <f>SAFETY!W54</f>
        <v>0.46704788130000008</v>
      </c>
      <c r="X87" s="419">
        <f>SAFETY!X54</f>
        <v>0.46704788129999963</v>
      </c>
      <c r="Y87" s="419">
        <f>SAFETY!Y54</f>
        <v>0.46704788130000008</v>
      </c>
      <c r="Z87" s="419">
        <f>SAFETY!Z54</f>
        <v>0.46704788129999986</v>
      </c>
      <c r="AA87" s="419">
        <f>SAFETY!AA54</f>
        <v>0.46704788130000008</v>
      </c>
      <c r="AB87" s="419">
        <f>SAFETY!AB54</f>
        <v>0.46704788129999986</v>
      </c>
      <c r="AC87" s="419">
        <f>SAFETY!AC54</f>
        <v>0.46704788130000008</v>
      </c>
      <c r="AD87" s="419">
        <f>SAFETY!AD54</f>
        <v>0.46704788130000008</v>
      </c>
      <c r="AE87" s="419">
        <f>SAFETY!AE54</f>
        <v>0.46704788129999986</v>
      </c>
      <c r="AF87" s="419">
        <f>SAFETY!AF54</f>
        <v>0.46704788130000008</v>
      </c>
      <c r="AG87" s="419">
        <f>SAFETY!AG54</f>
        <v>0.46704788130000008</v>
      </c>
      <c r="AH87" s="419">
        <f>SAFETY!AH54</f>
        <v>0.46704788129999986</v>
      </c>
      <c r="AI87" s="419">
        <f>SAFETY!AI54</f>
        <v>0.4670478813000003</v>
      </c>
      <c r="AJ87" s="419">
        <f>SAFETY!AJ54</f>
        <v>0.4670478813000003</v>
      </c>
      <c r="AK87" s="419">
        <f>SAFETY!AK54</f>
        <v>0.46704788129999986</v>
      </c>
      <c r="AL87" s="419">
        <f>SAFETY!AL54</f>
        <v>0.46704788129999986</v>
      </c>
      <c r="AM87" s="419">
        <f>SAFETY!AM54</f>
        <v>0.46704788130000074</v>
      </c>
      <c r="AN87" s="419">
        <f>SAFETY!AN54</f>
        <v>0.46704788130000008</v>
      </c>
      <c r="AO87" s="419">
        <f>SAFETY!AO54</f>
        <v>0.46704788130000052</v>
      </c>
    </row>
    <row r="88" spans="1:41">
      <c r="B88" s="286" t="s">
        <v>99</v>
      </c>
      <c r="C88" s="418" t="s">
        <v>100</v>
      </c>
      <c r="D88" s="419">
        <f>SAFETY!D55</f>
        <v>0</v>
      </c>
      <c r="E88" s="419">
        <f>SAFETY!E55</f>
        <v>0</v>
      </c>
      <c r="F88" s="419">
        <f>SAFETY!F55</f>
        <v>0</v>
      </c>
      <c r="G88" s="419">
        <f>SAFETY!G55</f>
        <v>0</v>
      </c>
      <c r="H88" s="419">
        <f>SAFETY!H55</f>
        <v>0</v>
      </c>
      <c r="I88" s="419">
        <f>SAFETY!I55</f>
        <v>0</v>
      </c>
      <c r="J88" s="419">
        <f>SAFETY!J55</f>
        <v>0</v>
      </c>
      <c r="K88" s="419">
        <f>SAFETY!K55</f>
        <v>0</v>
      </c>
      <c r="L88" s="419">
        <f>SAFETY!L55</f>
        <v>0.18444431250000548</v>
      </c>
      <c r="M88" s="419">
        <f>SAFETY!M55</f>
        <v>0.18444431250000548</v>
      </c>
      <c r="N88" s="419">
        <f>SAFETY!N55</f>
        <v>10.460627437500001</v>
      </c>
      <c r="O88" s="419">
        <f>SAFETY!O55</f>
        <v>10.460627437500001</v>
      </c>
      <c r="P88" s="419">
        <f>SAFETY!P55</f>
        <v>13.552968082499994</v>
      </c>
      <c r="Q88" s="419">
        <f>SAFETY!Q55</f>
        <v>13.552968082500001</v>
      </c>
      <c r="R88" s="419">
        <f>SAFETY!R55</f>
        <v>13.552968082500001</v>
      </c>
      <c r="S88" s="419">
        <f>SAFETY!S55</f>
        <v>13.552968082500001</v>
      </c>
      <c r="T88" s="419">
        <f>SAFETY!T55</f>
        <v>13.552968082499994</v>
      </c>
      <c r="U88" s="419">
        <f>SAFETY!U55</f>
        <v>13.552968082500001</v>
      </c>
      <c r="V88" s="419">
        <f>SAFETY!V55</f>
        <v>13.552968082499994</v>
      </c>
      <c r="W88" s="419">
        <f>SAFETY!W55</f>
        <v>13.552968082500009</v>
      </c>
      <c r="X88" s="419">
        <f>SAFETY!X55</f>
        <v>13.552968082500001</v>
      </c>
      <c r="Y88" s="419">
        <f>SAFETY!Y55</f>
        <v>13.552968082500009</v>
      </c>
      <c r="Z88" s="419">
        <f>SAFETY!Z55</f>
        <v>13.552968082499994</v>
      </c>
      <c r="AA88" s="419">
        <f>SAFETY!AA55</f>
        <v>13.552968082500001</v>
      </c>
      <c r="AB88" s="419">
        <f>SAFETY!AB55</f>
        <v>13.552968082500009</v>
      </c>
      <c r="AC88" s="419">
        <f>SAFETY!AC55</f>
        <v>13.552968082499994</v>
      </c>
      <c r="AD88" s="419">
        <f>SAFETY!AD55</f>
        <v>13.552968082500001</v>
      </c>
      <c r="AE88" s="419">
        <f>SAFETY!AE55</f>
        <v>13.552968082499994</v>
      </c>
      <c r="AF88" s="419">
        <f>SAFETY!AF55</f>
        <v>13.552968082499994</v>
      </c>
      <c r="AG88" s="419">
        <f>SAFETY!AG55</f>
        <v>13.552968082500001</v>
      </c>
      <c r="AH88" s="419">
        <f>SAFETY!AH55</f>
        <v>13.552968082500001</v>
      </c>
      <c r="AI88" s="419">
        <f>SAFETY!AI55</f>
        <v>13.552968082500001</v>
      </c>
      <c r="AJ88" s="419">
        <f>SAFETY!AJ55</f>
        <v>13.552968082500009</v>
      </c>
      <c r="AK88" s="419">
        <f>SAFETY!AK55</f>
        <v>13.552968082499994</v>
      </c>
      <c r="AL88" s="419">
        <f>SAFETY!AL55</f>
        <v>13.552968082499994</v>
      </c>
      <c r="AM88" s="419">
        <f>SAFETY!AM55</f>
        <v>13.552968082500016</v>
      </c>
      <c r="AN88" s="419">
        <f>SAFETY!AN55</f>
        <v>13.552968082500001</v>
      </c>
      <c r="AO88" s="419">
        <f>SAFETY!AO55</f>
        <v>13.552968082500009</v>
      </c>
    </row>
    <row r="89" spans="1:41" s="406" customFormat="1">
      <c r="A89" s="382"/>
      <c r="C89" s="382"/>
      <c r="D89" s="389"/>
      <c r="E89" s="389"/>
      <c r="F89" s="389"/>
      <c r="G89" s="389"/>
      <c r="H89" s="389"/>
      <c r="I89" s="630"/>
      <c r="J89" s="389"/>
      <c r="K89" s="389"/>
      <c r="L89" s="389"/>
      <c r="M89" s="389"/>
      <c r="N89" s="389"/>
      <c r="O89" s="389"/>
      <c r="P89" s="389"/>
      <c r="Q89" s="389"/>
      <c r="R89" s="389"/>
      <c r="S89" s="389"/>
      <c r="T89" s="389"/>
      <c r="U89" s="389"/>
      <c r="V89" s="389"/>
      <c r="W89" s="389"/>
      <c r="X89" s="389"/>
      <c r="Y89" s="389"/>
      <c r="Z89" s="389"/>
      <c r="AA89" s="389"/>
      <c r="AB89" s="389"/>
      <c r="AC89" s="389"/>
      <c r="AD89" s="389"/>
      <c r="AE89" s="389"/>
      <c r="AF89" s="389"/>
      <c r="AG89" s="389"/>
      <c r="AH89" s="389"/>
      <c r="AI89" s="389"/>
      <c r="AJ89" s="389"/>
      <c r="AK89" s="389"/>
      <c r="AL89" s="389"/>
      <c r="AM89" s="389"/>
      <c r="AN89" s="389"/>
      <c r="AO89" s="389"/>
    </row>
    <row r="90" spans="1:41">
      <c r="B90" s="286" t="s">
        <v>101</v>
      </c>
      <c r="C90" s="418" t="s">
        <v>102</v>
      </c>
      <c r="D90" s="419">
        <f>EMISSIONS!D73</f>
        <v>0</v>
      </c>
      <c r="E90" s="419">
        <f>EMISSIONS!E73</f>
        <v>0</v>
      </c>
      <c r="F90" s="419">
        <f>EMISSIONS!F73</f>
        <v>0</v>
      </c>
      <c r="G90" s="419">
        <f>EMISSIONS!G73</f>
        <v>0</v>
      </c>
      <c r="H90" s="419">
        <f>EMISSIONS!H73</f>
        <v>0</v>
      </c>
      <c r="I90" s="629">
        <f>EMISSIONS!I73</f>
        <v>0</v>
      </c>
      <c r="J90" s="419">
        <f>EMISSIONS!J73</f>
        <v>0</v>
      </c>
      <c r="K90" s="419">
        <f>EMISSIONS!K73</f>
        <v>0</v>
      </c>
      <c r="L90" s="419">
        <f>EMISSIONS!L73</f>
        <v>3648750</v>
      </c>
      <c r="M90" s="419">
        <f>EMISSIONS!M73</f>
        <v>3648750</v>
      </c>
      <c r="N90" s="419">
        <f>EMISSIONS!N73</f>
        <v>206936250</v>
      </c>
      <c r="O90" s="419">
        <f>EMISSIONS!O73</f>
        <v>206936250</v>
      </c>
      <c r="P90" s="419">
        <f>EMISSIONS!P73</f>
        <v>268110150</v>
      </c>
      <c r="Q90" s="419">
        <f>EMISSIONS!Q73</f>
        <v>268110150</v>
      </c>
      <c r="R90" s="419">
        <f>EMISSIONS!R73</f>
        <v>268110150</v>
      </c>
      <c r="S90" s="419">
        <f>EMISSIONS!S73</f>
        <v>268110150</v>
      </c>
      <c r="T90" s="419">
        <f>EMISSIONS!T73</f>
        <v>268110150</v>
      </c>
      <c r="U90" s="419">
        <f>EMISSIONS!U73</f>
        <v>268110150</v>
      </c>
      <c r="V90" s="419">
        <f>EMISSIONS!V73</f>
        <v>268110150</v>
      </c>
      <c r="W90" s="419">
        <f>EMISSIONS!W73</f>
        <v>268110150</v>
      </c>
      <c r="X90" s="419">
        <f>EMISSIONS!X73</f>
        <v>268110150</v>
      </c>
      <c r="Y90" s="419">
        <f>EMISSIONS!Y73</f>
        <v>268110150</v>
      </c>
      <c r="Z90" s="419">
        <f>EMISSIONS!Z73</f>
        <v>268110150</v>
      </c>
      <c r="AA90" s="419">
        <f>EMISSIONS!AA73</f>
        <v>268110150</v>
      </c>
      <c r="AB90" s="419">
        <f>EMISSIONS!AB73</f>
        <v>268110150</v>
      </c>
      <c r="AC90" s="419">
        <f>EMISSIONS!AC73</f>
        <v>268110150</v>
      </c>
      <c r="AD90" s="419">
        <f>EMISSIONS!AD73</f>
        <v>268110150</v>
      </c>
      <c r="AE90" s="419">
        <f>EMISSIONS!AE73</f>
        <v>268110150</v>
      </c>
      <c r="AF90" s="419">
        <f>EMISSIONS!AF73</f>
        <v>268110150</v>
      </c>
      <c r="AG90" s="419">
        <f>EMISSIONS!AG73</f>
        <v>268110150</v>
      </c>
      <c r="AH90" s="419">
        <f>EMISSIONS!AH73</f>
        <v>268110150</v>
      </c>
      <c r="AI90" s="419">
        <f>EMISSIONS!AI73</f>
        <v>268110150</v>
      </c>
      <c r="AJ90" s="419">
        <f>EMISSIONS!AJ73</f>
        <v>268110150</v>
      </c>
      <c r="AK90" s="419">
        <f>EMISSIONS!AK73</f>
        <v>268110150</v>
      </c>
      <c r="AL90" s="419">
        <f>EMISSIONS!AL73</f>
        <v>268110149.99999988</v>
      </c>
      <c r="AM90" s="419">
        <f>EMISSIONS!AM73</f>
        <v>268110150.00000012</v>
      </c>
      <c r="AN90" s="419">
        <f>EMISSIONS!AN73</f>
        <v>268110150</v>
      </c>
      <c r="AO90" s="419">
        <f>EMISSIONS!AO73</f>
        <v>268110150.00000012</v>
      </c>
    </row>
    <row r="91" spans="1:41">
      <c r="B91" s="286" t="s">
        <v>103</v>
      </c>
      <c r="C91" s="418" t="s">
        <v>104</v>
      </c>
      <c r="D91" s="419">
        <f>PAVEMENT!D29</f>
        <v>0</v>
      </c>
      <c r="E91" s="419">
        <f>PAVEMENT!E29</f>
        <v>0</v>
      </c>
      <c r="F91" s="419">
        <f>PAVEMENT!F29</f>
        <v>0</v>
      </c>
      <c r="G91" s="419">
        <f>PAVEMENT!G29</f>
        <v>0</v>
      </c>
      <c r="H91" s="419">
        <f>PAVEMENT!H29</f>
        <v>0</v>
      </c>
      <c r="I91" s="629">
        <f>PAVEMENT!I29</f>
        <v>0</v>
      </c>
      <c r="J91" s="419">
        <f>PAVEMENT!J29</f>
        <v>0</v>
      </c>
      <c r="K91" s="419">
        <f>PAVEMENT!K29</f>
        <v>0</v>
      </c>
      <c r="L91" s="419">
        <f>PAVEMENT!L29</f>
        <v>145950</v>
      </c>
      <c r="M91" s="419">
        <f>PAVEMENT!M29</f>
        <v>145950</v>
      </c>
      <c r="N91" s="419">
        <f>PAVEMENT!N29</f>
        <v>8277450.0000000037</v>
      </c>
      <c r="O91" s="419">
        <f>PAVEMENT!O29</f>
        <v>8277449.9999999963</v>
      </c>
      <c r="P91" s="419">
        <f>PAVEMENT!P29</f>
        <v>10724406</v>
      </c>
      <c r="Q91" s="419">
        <f>PAVEMENT!Q29</f>
        <v>10724405.999999996</v>
      </c>
      <c r="R91" s="419">
        <f>PAVEMENT!R29</f>
        <v>10724406.000000004</v>
      </c>
      <c r="S91" s="419">
        <f>PAVEMENT!S29</f>
        <v>10724406.000000007</v>
      </c>
      <c r="T91" s="419">
        <f>PAVEMENT!T29</f>
        <v>10724406.000000004</v>
      </c>
      <c r="U91" s="419">
        <f>PAVEMENT!U29</f>
        <v>10724406.000000004</v>
      </c>
      <c r="V91" s="419">
        <f>PAVEMENT!V29</f>
        <v>10724406.000000004</v>
      </c>
      <c r="W91" s="419">
        <f>PAVEMENT!W29</f>
        <v>10724405.999999996</v>
      </c>
      <c r="X91" s="419">
        <f>PAVEMENT!X29</f>
        <v>10724405.999999996</v>
      </c>
      <c r="Y91" s="419">
        <f>PAVEMENT!Y29</f>
        <v>10724406</v>
      </c>
      <c r="Z91" s="419">
        <f>PAVEMENT!Z29</f>
        <v>10724406</v>
      </c>
      <c r="AA91" s="419">
        <f>PAVEMENT!AA29</f>
        <v>10724406</v>
      </c>
      <c r="AB91" s="419">
        <f>PAVEMENT!AB29</f>
        <v>10724405.999999996</v>
      </c>
      <c r="AC91" s="419">
        <f>PAVEMENT!AC29</f>
        <v>10724405.999999996</v>
      </c>
      <c r="AD91" s="419">
        <f>PAVEMENT!AD29</f>
        <v>10724405.999999996</v>
      </c>
      <c r="AE91" s="419">
        <f>PAVEMENT!AE29</f>
        <v>10724406.000000004</v>
      </c>
      <c r="AF91" s="419">
        <f>PAVEMENT!AF29</f>
        <v>10724405.999999996</v>
      </c>
      <c r="AG91" s="419">
        <f>PAVEMENT!AG29</f>
        <v>10724406.000000004</v>
      </c>
      <c r="AH91" s="419">
        <f>PAVEMENT!AH29</f>
        <v>10724406</v>
      </c>
      <c r="AI91" s="419">
        <f>PAVEMENT!AI29</f>
        <v>10724406.000000004</v>
      </c>
      <c r="AJ91" s="419">
        <f>PAVEMENT!AJ29</f>
        <v>10724406</v>
      </c>
      <c r="AK91" s="419">
        <f>PAVEMENT!AK29</f>
        <v>10724406.000000004</v>
      </c>
      <c r="AL91" s="419">
        <f>PAVEMENT!AL29</f>
        <v>10724406.000000004</v>
      </c>
      <c r="AM91" s="419">
        <f>PAVEMENT!AM29</f>
        <v>10724406</v>
      </c>
      <c r="AN91" s="419">
        <f>PAVEMENT!AN29</f>
        <v>10724405.999999996</v>
      </c>
      <c r="AO91" s="419">
        <f>PAVEMENT!AO29</f>
        <v>10724406</v>
      </c>
    </row>
    <row r="93" spans="1:41">
      <c r="B93" s="414" t="s">
        <v>89</v>
      </c>
      <c r="C93" s="1248" t="s">
        <v>105</v>
      </c>
      <c r="D93" s="1249"/>
    </row>
    <row r="94" spans="1:41">
      <c r="B94" s="286" t="s">
        <v>106</v>
      </c>
      <c r="C94" s="418" t="s">
        <v>107</v>
      </c>
      <c r="D94" s="419">
        <f>SUM(D81:AO81)</f>
        <v>468053.90256109537</v>
      </c>
    </row>
    <row r="95" spans="1:41">
      <c r="B95" s="286" t="s">
        <v>108</v>
      </c>
      <c r="C95" s="418" t="s">
        <v>107</v>
      </c>
      <c r="D95" s="422">
        <f>SUM(D82:AO82)</f>
        <v>182.82963598357651</v>
      </c>
      <c r="F95" s="385"/>
    </row>
    <row r="96" spans="1:41">
      <c r="B96" s="286" t="s">
        <v>109</v>
      </c>
      <c r="C96" s="418" t="s">
        <v>107</v>
      </c>
      <c r="D96" s="422">
        <f>SUM(D84:AO84)</f>
        <v>10.645102386790894</v>
      </c>
    </row>
    <row r="97" spans="2:6">
      <c r="B97" s="423" t="s">
        <v>110</v>
      </c>
      <c r="C97" s="424" t="s">
        <v>107</v>
      </c>
      <c r="D97" s="425">
        <f>SUM(D85:AO85)</f>
        <v>-29.26464713987248</v>
      </c>
    </row>
    <row r="98" spans="2:6">
      <c r="B98" s="286" t="s">
        <v>97</v>
      </c>
      <c r="C98" s="418" t="s">
        <v>111</v>
      </c>
      <c r="D98" s="426">
        <f>SUM(D87:AO87)</f>
        <v>12.876923053800002</v>
      </c>
    </row>
    <row r="99" spans="2:6">
      <c r="B99" s="423" t="s">
        <v>99</v>
      </c>
      <c r="C99" s="424" t="s">
        <v>112</v>
      </c>
      <c r="D99" s="641">
        <f>SUM(D88:AO88)</f>
        <v>373.66731364500004</v>
      </c>
    </row>
    <row r="100" spans="2:6">
      <c r="B100" s="286" t="s">
        <v>101</v>
      </c>
      <c r="C100" s="418" t="s">
        <v>113</v>
      </c>
      <c r="D100" s="427">
        <f>SUM(D90:AO90)</f>
        <v>7392033900</v>
      </c>
    </row>
    <row r="101" spans="2:6">
      <c r="B101" s="286" t="s">
        <v>103</v>
      </c>
      <c r="C101" s="418" t="s">
        <v>114</v>
      </c>
      <c r="D101" s="642">
        <f>SUM(D91:AO91)</f>
        <v>295681356</v>
      </c>
      <c r="F101" s="448"/>
    </row>
    <row r="103" spans="2:6">
      <c r="B103" s="414" t="s">
        <v>89</v>
      </c>
      <c r="C103" s="1250" t="s">
        <v>115</v>
      </c>
      <c r="D103" s="1251"/>
    </row>
    <row r="104" spans="2:6">
      <c r="B104" s="286" t="s">
        <v>106</v>
      </c>
      <c r="C104" s="418" t="s">
        <v>92</v>
      </c>
      <c r="D104" s="419">
        <f>AVERAGEIF(I81:AO81,"&gt;0")</f>
        <v>17205.368199065906</v>
      </c>
    </row>
    <row r="105" spans="2:6">
      <c r="B105" s="286" t="s">
        <v>108</v>
      </c>
      <c r="C105" s="418" t="s">
        <v>92</v>
      </c>
      <c r="D105" s="428">
        <f>AVERAGEIF(I82:AO82,"&gt;0")</f>
        <v>7.3745894676232684</v>
      </c>
      <c r="F105" s="385"/>
    </row>
    <row r="106" spans="2:6">
      <c r="B106" s="286" t="s">
        <v>109</v>
      </c>
      <c r="C106" s="418" t="s">
        <v>92</v>
      </c>
      <c r="D106" s="428">
        <f>AVERAGEIF(I84:AO84,"&gt;0")</f>
        <v>0.39189095413874553</v>
      </c>
    </row>
    <row r="107" spans="2:6">
      <c r="B107" s="423" t="s">
        <v>110</v>
      </c>
      <c r="C107" s="424" t="s">
        <v>92</v>
      </c>
      <c r="D107" s="429">
        <f>AVERAGEIF(I85:AO85,"&lt;0")</f>
        <v>-0.97548823799574935</v>
      </c>
    </row>
    <row r="108" spans="2:6">
      <c r="B108" s="286" t="s">
        <v>97</v>
      </c>
      <c r="C108" s="418" t="s">
        <v>98</v>
      </c>
      <c r="D108" s="426">
        <f>AVERAGEIF(I87:AO87,"&gt;0")</f>
        <v>0.42923076846000008</v>
      </c>
    </row>
    <row r="109" spans="2:6">
      <c r="B109" s="423" t="s">
        <v>99</v>
      </c>
      <c r="C109" s="424" t="s">
        <v>100</v>
      </c>
      <c r="D109" s="430">
        <f>AVERAGEIF(I88:AO88,"&gt;0")</f>
        <v>12.455577121500001</v>
      </c>
    </row>
    <row r="110" spans="2:6">
      <c r="B110" s="286" t="s">
        <v>101</v>
      </c>
      <c r="C110" s="418" t="s">
        <v>102</v>
      </c>
      <c r="D110" s="427">
        <f>AVERAGEIF(I90:AO90,"&gt;0")</f>
        <v>246401130</v>
      </c>
    </row>
    <row r="111" spans="2:6">
      <c r="B111" s="286" t="s">
        <v>103</v>
      </c>
      <c r="C111" s="418" t="s">
        <v>104</v>
      </c>
      <c r="D111" s="642">
        <f>AVERAGEIF(I91:AO91,"&gt;0")</f>
        <v>9856045.1999999993</v>
      </c>
    </row>
    <row r="114" spans="2:5">
      <c r="B114" s="450" t="s">
        <v>116</v>
      </c>
      <c r="C114" s="449">
        <f>SUM('FUEL COST'!C33:AO33)</f>
        <v>10927354.460869566</v>
      </c>
    </row>
    <row r="116" spans="2:5">
      <c r="C116" s="387" t="s">
        <v>117</v>
      </c>
    </row>
    <row r="117" spans="2:5">
      <c r="B117" s="387" t="s">
        <v>118</v>
      </c>
      <c r="C117" s="395">
        <f>AVERAGEIF($D$54:$AO$54,"&gt;2025",Results!$D55:$AO55)</f>
        <v>43124028.979944475</v>
      </c>
      <c r="D117" s="644">
        <f>C117/10^6</f>
        <v>43.124028979944477</v>
      </c>
    </row>
    <row r="118" spans="2:5">
      <c r="B118" s="387" t="s">
        <v>56</v>
      </c>
      <c r="C118" s="395">
        <f>AVERAGEIF($D$54:$AO$54,"&gt;2025",Results!$D56:$AO56)</f>
        <v>2783656.1170808296</v>
      </c>
      <c r="D118" s="644">
        <f t="shared" ref="D118:D123" si="253">C118/10^6</f>
        <v>2.7836561170808296</v>
      </c>
      <c r="E118" s="644"/>
    </row>
    <row r="119" spans="2:5">
      <c r="B119" s="387" t="s">
        <v>57</v>
      </c>
      <c r="C119" s="395">
        <f>AVERAGEIF($D$54:$AO$54,"&gt;2025",Results!$D57:$AO57)</f>
        <v>211260.92028979692</v>
      </c>
      <c r="D119" s="644">
        <f t="shared" si="253"/>
        <v>0.21126092028979693</v>
      </c>
      <c r="E119" s="645"/>
    </row>
    <row r="120" spans="2:5">
      <c r="B120" s="387" t="s">
        <v>58</v>
      </c>
      <c r="C120" s="395">
        <f>AVERAGEIF($D$54:$AO$54,"&gt;2025",Results!$D58:$AO58)</f>
        <v>3559631.7160640489</v>
      </c>
      <c r="D120" s="644">
        <f t="shared" si="253"/>
        <v>3.5596317160640489</v>
      </c>
    </row>
    <row r="121" spans="2:5">
      <c r="B121" s="387" t="s">
        <v>61</v>
      </c>
      <c r="C121" s="395">
        <f>AVERAGEIF($D$54:$AO$54,"&gt;2025",Results!$D61:$AO61)</f>
        <v>410172.36108181113</v>
      </c>
      <c r="D121" s="396">
        <f t="shared" si="253"/>
        <v>0.41017236108181115</v>
      </c>
    </row>
    <row r="122" spans="2:5">
      <c r="B122" s="387" t="s">
        <v>62</v>
      </c>
      <c r="C122" s="395">
        <f>AVERAGEIF($D$54:$AO$54,"&gt;2025",Results!$D62:$AO62)</f>
        <v>0</v>
      </c>
      <c r="D122" s="396">
        <f t="shared" si="253"/>
        <v>0</v>
      </c>
    </row>
    <row r="123" spans="2:5">
      <c r="B123" s="387" t="s">
        <v>340</v>
      </c>
      <c r="C123" s="395">
        <f>AVERAGEIF($D$54:$AO$54,"&gt;2025",Results!$D63:$AO63)</f>
        <v>-381165.21741627966</v>
      </c>
      <c r="D123" s="396">
        <f t="shared" si="253"/>
        <v>-0.38116521741627968</v>
      </c>
    </row>
  </sheetData>
  <mergeCells count="3">
    <mergeCell ref="C31:D31"/>
    <mergeCell ref="C93:D93"/>
    <mergeCell ref="C103:D103"/>
  </mergeCells>
  <pageMargins left="0.7" right="0.7" top="0.75" bottom="0.75" header="0.3" footer="0.3"/>
  <pageSetup orientation="landscape" r:id="rId1"/>
  <ignoredErrors>
    <ignoredError sqref="D56:AD56"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55C96-4A30-4D2F-A57A-93AC4C27E954}">
  <sheetPr codeName="Sheet5">
    <tabColor rgb="FF92D050"/>
  </sheetPr>
  <dimension ref="A1:O42"/>
  <sheetViews>
    <sheetView zoomScale="80" zoomScaleNormal="80" workbookViewId="0">
      <selection activeCell="N7" sqref="N7"/>
    </sheetView>
  </sheetViews>
  <sheetFormatPr defaultRowHeight="14.25"/>
  <cols>
    <col min="1" max="1" width="3.375" customWidth="1"/>
    <col min="2" max="2" width="4.625" customWidth="1"/>
    <col min="3" max="3" width="3.625" customWidth="1"/>
    <col min="4" max="4" width="24.375" customWidth="1"/>
    <col min="5" max="6" width="9.5" customWidth="1"/>
    <col min="7" max="7" width="10.375" customWidth="1"/>
    <col min="8" max="8" width="5.75" customWidth="1"/>
    <col min="10" max="10" width="11.5" customWidth="1"/>
    <col min="11" max="11" width="9.5" customWidth="1"/>
    <col min="13" max="13" width="10.125" customWidth="1"/>
    <col min="14" max="14" width="9.75" customWidth="1"/>
    <col min="15" max="15" width="10.875" customWidth="1"/>
  </cols>
  <sheetData>
    <row r="1" spans="1:15" s="651" customFormat="1">
      <c r="A1" s="651" t="s">
        <v>178</v>
      </c>
    </row>
    <row r="2" spans="1:15">
      <c r="A2" s="138" t="s">
        <v>179</v>
      </c>
    </row>
    <row r="3" spans="1:15">
      <c r="A3" s="138" t="s">
        <v>180</v>
      </c>
    </row>
    <row r="4" spans="1:15">
      <c r="A4" s="138"/>
    </row>
    <row r="5" spans="1:15" ht="15">
      <c r="A5" s="660" t="s">
        <v>181</v>
      </c>
      <c r="B5" s="595"/>
      <c r="C5" s="595"/>
      <c r="D5" s="595"/>
      <c r="E5" s="595"/>
      <c r="F5" s="595"/>
      <c r="G5" s="595"/>
      <c r="H5" s="595"/>
      <c r="I5" s="595"/>
      <c r="J5" s="595"/>
      <c r="K5" s="595"/>
      <c r="L5" s="595"/>
      <c r="M5" s="595"/>
      <c r="N5" s="595"/>
      <c r="O5" s="595"/>
    </row>
    <row r="6" spans="1:15">
      <c r="E6" s="667" t="s">
        <v>182</v>
      </c>
      <c r="F6" s="667"/>
      <c r="G6" s="667"/>
    </row>
    <row r="7" spans="1:15">
      <c r="I7" s="656">
        <f t="shared" ref="I7:N7" si="0">(I9-J9)/J9</f>
        <v>0.39905362776025238</v>
      </c>
      <c r="J7" s="656">
        <f t="shared" si="0"/>
        <v>-0.32409381663113007</v>
      </c>
      <c r="K7" s="656">
        <f t="shared" si="0"/>
        <v>-1.7801047120418849E-2</v>
      </c>
      <c r="L7" s="656">
        <f t="shared" si="0"/>
        <v>-0.11327762302692665</v>
      </c>
      <c r="M7" s="656">
        <f t="shared" si="0"/>
        <v>-0.16576297443841984</v>
      </c>
      <c r="N7" s="656">
        <f t="shared" si="0"/>
        <v>-2.6395173453996983E-2</v>
      </c>
    </row>
    <row r="8" spans="1:15" ht="15">
      <c r="E8" s="662" t="s">
        <v>172</v>
      </c>
      <c r="F8" s="662" t="s">
        <v>173</v>
      </c>
      <c r="G8" s="1" t="s">
        <v>183</v>
      </c>
      <c r="H8" s="1"/>
      <c r="I8" s="653">
        <v>2020</v>
      </c>
      <c r="J8" s="653">
        <v>2019</v>
      </c>
      <c r="K8" s="653">
        <v>2018</v>
      </c>
      <c r="L8" s="653">
        <v>2017</v>
      </c>
      <c r="M8" s="653">
        <v>2016</v>
      </c>
      <c r="N8" s="653">
        <v>2015</v>
      </c>
      <c r="O8" s="653">
        <v>2014</v>
      </c>
    </row>
    <row r="9" spans="1:15" ht="15">
      <c r="B9" t="s">
        <v>78</v>
      </c>
      <c r="E9" s="654">
        <f>$E$42*$G9</f>
        <v>450428.81177707668</v>
      </c>
      <c r="F9" s="654">
        <f>G9-E9</f>
        <v>369237.85488958994</v>
      </c>
      <c r="G9" s="657">
        <f>AVERAGE(I9:K9)</f>
        <v>819666.66666666663</v>
      </c>
      <c r="H9" s="657"/>
      <c r="I9" s="654">
        <f>SUM(I12,I19,I27,I31)</f>
        <v>887000</v>
      </c>
      <c r="J9" s="654">
        <f>SUM(J12,J19,J27,J31)</f>
        <v>634000</v>
      </c>
      <c r="K9" s="655">
        <v>938000</v>
      </c>
      <c r="L9" s="655">
        <v>955000</v>
      </c>
      <c r="M9" s="655">
        <v>1077000</v>
      </c>
      <c r="N9" s="655">
        <v>1291000</v>
      </c>
      <c r="O9" s="655">
        <v>1326000</v>
      </c>
    </row>
    <row r="11" spans="1:15">
      <c r="B11" t="s">
        <v>184</v>
      </c>
    </row>
    <row r="12" spans="1:15" ht="15">
      <c r="C12" t="s">
        <v>185</v>
      </c>
      <c r="E12" s="654">
        <f>$E$42*$G12</f>
        <v>26652.592412844773</v>
      </c>
      <c r="F12" s="654">
        <f t="shared" ref="F12:F16" si="1">G12-E12</f>
        <v>21848.393780449107</v>
      </c>
      <c r="G12" s="657">
        <f>K12*G$9</f>
        <v>48500.98619329388</v>
      </c>
      <c r="H12" s="657"/>
      <c r="I12" s="654">
        <f>SUM(I13:I16)</f>
        <v>45000</v>
      </c>
      <c r="J12" s="654">
        <f>SUM(J13:J16)</f>
        <v>45000</v>
      </c>
      <c r="K12" s="658">
        <f>SUM(I12:J12)/SUM($I$9:$J$9)</f>
        <v>5.9171597633136092E-2</v>
      </c>
    </row>
    <row r="13" spans="1:15">
      <c r="D13" t="s">
        <v>186</v>
      </c>
      <c r="E13" s="599">
        <f>$E$42*$G13</f>
        <v>14510.855869215487</v>
      </c>
      <c r="F13" s="599">
        <f t="shared" si="1"/>
        <v>11895.236613800069</v>
      </c>
      <c r="G13" s="659">
        <f>K13*G$12</f>
        <v>26406.092483015556</v>
      </c>
      <c r="H13" s="659"/>
      <c r="I13" s="652">
        <v>24000</v>
      </c>
      <c r="J13" s="652">
        <v>25000</v>
      </c>
      <c r="K13" s="656">
        <f>SUM(I13:J13)/SUM($I$12:$J$12)</f>
        <v>0.5444444444444444</v>
      </c>
    </row>
    <row r="14" spans="1:15">
      <c r="D14" t="s">
        <v>187</v>
      </c>
      <c r="E14" s="599">
        <f>$E$42*$G14</f>
        <v>2665.2592412844774</v>
      </c>
      <c r="F14" s="599">
        <f t="shared" si="1"/>
        <v>2184.839378044911</v>
      </c>
      <c r="G14" s="659">
        <f>K14*G$12</f>
        <v>4850.0986193293884</v>
      </c>
      <c r="H14" s="659"/>
      <c r="I14" s="652">
        <v>6000</v>
      </c>
      <c r="J14" s="652">
        <v>3000</v>
      </c>
      <c r="K14" s="656">
        <f>SUM(I14:J14)/SUM($I$12:$J$12)</f>
        <v>0.1</v>
      </c>
    </row>
    <row r="15" spans="1:15">
      <c r="D15" t="s">
        <v>188</v>
      </c>
      <c r="E15" s="599">
        <f>$E$42*$G15</f>
        <v>7699.6378081551566</v>
      </c>
      <c r="F15" s="599">
        <f t="shared" si="1"/>
        <v>6311.7582032408527</v>
      </c>
      <c r="G15" s="659">
        <f>K15*G$12</f>
        <v>14011.396011396009</v>
      </c>
      <c r="H15" s="659"/>
      <c r="I15" s="652">
        <v>14000</v>
      </c>
      <c r="J15" s="652">
        <v>12000</v>
      </c>
      <c r="K15" s="656">
        <f>SUM(I15:J15)/SUM($I$12:$J$12)</f>
        <v>0.28888888888888886</v>
      </c>
    </row>
    <row r="16" spans="1:15">
      <c r="D16" t="s">
        <v>189</v>
      </c>
      <c r="E16" s="599">
        <f>$E$42*$G16</f>
        <v>1776.8394941896511</v>
      </c>
      <c r="F16" s="599">
        <f t="shared" si="1"/>
        <v>1456.5595853632733</v>
      </c>
      <c r="G16" s="659">
        <f>G12-SUM(G13:G15)</f>
        <v>3233.3990795529244</v>
      </c>
      <c r="H16" s="659"/>
      <c r="I16" s="652">
        <v>1000</v>
      </c>
      <c r="J16" s="652">
        <v>5000</v>
      </c>
      <c r="K16" s="656">
        <f>SUM(I16:J16)/SUM($I$12:$J$12)</f>
        <v>6.6666666666666666E-2</v>
      </c>
    </row>
    <row r="18" spans="2:11">
      <c r="B18" t="s">
        <v>190</v>
      </c>
    </row>
    <row r="19" spans="2:11" ht="15">
      <c r="C19" t="s">
        <v>191</v>
      </c>
      <c r="E19" s="654">
        <f t="shared" ref="E19:E24" si="2">$E$42*$G19</f>
        <v>115790.70703802563</v>
      </c>
      <c r="F19" s="654">
        <f t="shared" ref="F19:F24" si="3">G19-E19</f>
        <v>94919.132979506685</v>
      </c>
      <c r="G19" s="657">
        <f>K19*G$9</f>
        <v>210709.84001753232</v>
      </c>
      <c r="H19" s="657"/>
      <c r="I19" s="654">
        <f>SUM(I20:I24)</f>
        <v>351000</v>
      </c>
      <c r="J19" s="654">
        <f>SUM(J20:J24)</f>
        <v>40000</v>
      </c>
      <c r="K19" s="658">
        <f>SUM(I19:J19)/SUM($I$9:$J$9)</f>
        <v>0.25706771860618016</v>
      </c>
    </row>
    <row r="20" spans="2:11">
      <c r="D20" t="s">
        <v>192</v>
      </c>
      <c r="E20" s="599">
        <f t="shared" si="2"/>
        <v>15991.555447706864</v>
      </c>
      <c r="F20" s="599">
        <f t="shared" si="3"/>
        <v>13109.036268269463</v>
      </c>
      <c r="G20" s="659">
        <f>K20*G$19</f>
        <v>29100.591715976327</v>
      </c>
      <c r="H20" s="659"/>
      <c r="I20" s="652">
        <v>28000</v>
      </c>
      <c r="J20" s="652">
        <v>26000</v>
      </c>
      <c r="K20" s="656">
        <f>SUM(I20:J20)/SUM($I$19:$J$19)</f>
        <v>0.13810741687979539</v>
      </c>
    </row>
    <row r="21" spans="2:11">
      <c r="D21" t="s">
        <v>193</v>
      </c>
      <c r="E21" s="599">
        <f t="shared" si="2"/>
        <v>67223.760863508491</v>
      </c>
      <c r="F21" s="599">
        <f t="shared" si="3"/>
        <v>55106.504312910532</v>
      </c>
      <c r="G21" s="659">
        <f t="shared" ref="G21:G23" si="4">K21*G$19</f>
        <v>122330.26517641902</v>
      </c>
      <c r="H21" s="659"/>
      <c r="I21" s="652">
        <v>216000</v>
      </c>
      <c r="J21" s="652">
        <v>11000</v>
      </c>
      <c r="K21" s="656">
        <f t="shared" ref="K21:K24" si="5">SUM(I21:J21)/SUM($I$19:$J$19)</f>
        <v>0.58056265984654731</v>
      </c>
    </row>
    <row r="22" spans="2:11">
      <c r="D22" t="s">
        <v>194</v>
      </c>
      <c r="E22" s="599">
        <f t="shared" si="2"/>
        <v>15695.41553200859</v>
      </c>
      <c r="F22" s="599">
        <f t="shared" si="3"/>
        <v>12866.276337375586</v>
      </c>
      <c r="G22" s="659">
        <f t="shared" si="4"/>
        <v>28561.691869384176</v>
      </c>
      <c r="H22" s="659"/>
      <c r="I22" s="652">
        <v>53000</v>
      </c>
      <c r="J22" s="652"/>
      <c r="K22" s="656">
        <f t="shared" si="5"/>
        <v>0.13554987212276215</v>
      </c>
    </row>
    <row r="23" spans="2:11">
      <c r="D23" t="s">
        <v>195</v>
      </c>
      <c r="E23" s="599">
        <f t="shared" si="2"/>
        <v>16287.695363405141</v>
      </c>
      <c r="F23" s="599">
        <f t="shared" si="3"/>
        <v>13351.796199163344</v>
      </c>
      <c r="G23" s="659">
        <f t="shared" si="4"/>
        <v>29639.491562568484</v>
      </c>
      <c r="H23" s="659"/>
      <c r="I23" s="652">
        <v>54000</v>
      </c>
      <c r="J23" s="652">
        <v>1000</v>
      </c>
      <c r="K23" s="656">
        <f t="shared" si="5"/>
        <v>0.14066496163682865</v>
      </c>
    </row>
    <row r="24" spans="2:11">
      <c r="D24" t="s">
        <v>196</v>
      </c>
      <c r="E24" s="599">
        <f t="shared" si="2"/>
        <v>592.27983139654236</v>
      </c>
      <c r="F24" s="599">
        <f t="shared" si="3"/>
        <v>485.51986178775121</v>
      </c>
      <c r="G24" s="659">
        <f>G19-SUM(G20:G23)</f>
        <v>1077.7996931842936</v>
      </c>
      <c r="H24" s="659"/>
      <c r="I24" s="652">
        <v>0</v>
      </c>
      <c r="J24" s="652">
        <v>2000</v>
      </c>
      <c r="K24" s="656">
        <f t="shared" si="5"/>
        <v>5.1150895140664966E-3</v>
      </c>
    </row>
    <row r="26" spans="2:11">
      <c r="B26" t="s">
        <v>197</v>
      </c>
    </row>
    <row r="27" spans="2:11" ht="15">
      <c r="C27" t="s">
        <v>198</v>
      </c>
      <c r="E27" s="654">
        <f t="shared" ref="E27:E32" si="6">$E$42*$G27</f>
        <v>66631.481032111944</v>
      </c>
      <c r="F27" s="654">
        <f>G27-E27</f>
        <v>54620.984451122771</v>
      </c>
      <c r="G27" s="657">
        <f>K27*G$9</f>
        <v>121252.46548323472</v>
      </c>
      <c r="H27" s="657"/>
      <c r="I27" s="654">
        <f>SUM(I28:I30)</f>
        <v>101000</v>
      </c>
      <c r="J27" s="654">
        <f>SUM(J28:J30)</f>
        <v>124000</v>
      </c>
      <c r="K27" s="658">
        <f>SUM(I27:J27)/SUM($I$9:$J$9)</f>
        <v>0.14792899408284024</v>
      </c>
    </row>
    <row r="28" spans="2:11">
      <c r="D28" t="s">
        <v>199</v>
      </c>
      <c r="E28" s="599">
        <f t="shared" si="6"/>
        <v>37313.629377982688</v>
      </c>
      <c r="F28" s="599">
        <f>G28-E28</f>
        <v>30587.751292628753</v>
      </c>
      <c r="G28" s="659">
        <f>K28*G$27</f>
        <v>67901.380670611441</v>
      </c>
      <c r="H28" s="659"/>
      <c r="I28" s="652">
        <v>59000</v>
      </c>
      <c r="J28" s="652">
        <v>67000</v>
      </c>
      <c r="K28" s="656">
        <f>SUM(I28:J28)/SUM($I$27:$J$27)</f>
        <v>0.56000000000000005</v>
      </c>
    </row>
    <row r="29" spans="2:11">
      <c r="D29" t="s">
        <v>200</v>
      </c>
      <c r="E29" s="599">
        <f t="shared" si="6"/>
        <v>28725.571822732705</v>
      </c>
      <c r="F29" s="599">
        <f>G29-E29</f>
        <v>23547.713296706261</v>
      </c>
      <c r="G29" s="659">
        <f>K29*G$27</f>
        <v>52273.285119438966</v>
      </c>
      <c r="H29" s="659"/>
      <c r="I29" s="652">
        <v>42000</v>
      </c>
      <c r="J29" s="652">
        <v>55000</v>
      </c>
      <c r="K29" s="656">
        <f t="shared" ref="K29:K30" si="7">SUM(I29:J29)/SUM($I$27:$J$27)</f>
        <v>0.43111111111111111</v>
      </c>
    </row>
    <row r="30" spans="2:11">
      <c r="D30" t="s">
        <v>201</v>
      </c>
      <c r="E30" s="599">
        <f t="shared" si="6"/>
        <v>592.27983139655032</v>
      </c>
      <c r="F30" s="599">
        <f>G30-E30</f>
        <v>485.5198617877578</v>
      </c>
      <c r="G30" s="659">
        <f>G27-SUM(G28:G29)</f>
        <v>1077.7996931843081</v>
      </c>
      <c r="H30" s="659"/>
      <c r="I30" s="652">
        <v>0</v>
      </c>
      <c r="J30" s="652">
        <v>2000</v>
      </c>
      <c r="K30" s="656">
        <f t="shared" si="7"/>
        <v>8.8888888888888889E-3</v>
      </c>
    </row>
    <row r="31" spans="2:11" ht="15">
      <c r="C31" t="s">
        <v>202</v>
      </c>
      <c r="E31" s="654">
        <f t="shared" si="6"/>
        <v>241354.03129409437</v>
      </c>
      <c r="F31" s="654">
        <f>G31-E31</f>
        <v>197849.34367851136</v>
      </c>
      <c r="G31" s="657">
        <f>K31*G$9</f>
        <v>439203.37497260573</v>
      </c>
      <c r="H31" s="657"/>
      <c r="I31" s="654">
        <f>SUM(I32)</f>
        <v>390000</v>
      </c>
      <c r="J31" s="654">
        <f>SUM(J32)</f>
        <v>425000</v>
      </c>
      <c r="K31" s="658">
        <f>SUM(I31:J31)/SUM($I$9:$J$9)</f>
        <v>0.53583168967784356</v>
      </c>
    </row>
    <row r="32" spans="2:11">
      <c r="D32" t="s">
        <v>203</v>
      </c>
      <c r="E32" s="599">
        <f t="shared" si="6"/>
        <v>241354.03129409437</v>
      </c>
      <c r="F32" s="599">
        <f t="shared" ref="F32" si="8">G32-E32</f>
        <v>197849.34367851136</v>
      </c>
      <c r="G32" s="659">
        <f>G31</f>
        <v>439203.37497260573</v>
      </c>
      <c r="H32" s="659"/>
      <c r="I32" s="652">
        <v>390000</v>
      </c>
      <c r="J32" s="652">
        <v>425000</v>
      </c>
    </row>
    <row r="37" spans="1:15" ht="15">
      <c r="A37" s="660" t="s">
        <v>204</v>
      </c>
      <c r="B37" s="595"/>
      <c r="C37" s="595"/>
      <c r="D37" s="595"/>
      <c r="E37" s="595"/>
      <c r="F37" s="595"/>
      <c r="G37" s="595"/>
      <c r="H37" s="595"/>
      <c r="I37" s="595"/>
      <c r="J37" s="595"/>
      <c r="K37" s="595"/>
      <c r="L37" s="595"/>
      <c r="M37" s="595"/>
      <c r="N37" s="595"/>
      <c r="O37" s="595"/>
    </row>
    <row r="40" spans="1:15">
      <c r="E40" t="s">
        <v>172</v>
      </c>
      <c r="F40" t="s">
        <v>173</v>
      </c>
    </row>
    <row r="41" spans="1:15">
      <c r="D41" s="33" t="s">
        <v>205</v>
      </c>
      <c r="E41" s="661">
        <v>871</v>
      </c>
      <c r="F41" s="661">
        <v>714</v>
      </c>
    </row>
    <row r="42" spans="1:15">
      <c r="E42" s="656">
        <f>E41/SUM($E$41:$F$41)</f>
        <v>0.54952681388012614</v>
      </c>
      <c r="F42" s="656">
        <f>F41/SUM($E$41:$F$41)</f>
        <v>0.4504731861198738</v>
      </c>
    </row>
  </sheetData>
  <pageMargins left="0.7" right="0.7" top="0.75" bottom="0.75" header="0.3" footer="0.3"/>
  <pageSetup orientation="portrait" horizontalDpi="90"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30A0"/>
  </sheetPr>
  <dimension ref="A1:Z54"/>
  <sheetViews>
    <sheetView showGridLines="0" zoomScale="70" zoomScaleNormal="70" workbookViewId="0">
      <selection activeCell="R16" sqref="R16"/>
    </sheetView>
  </sheetViews>
  <sheetFormatPr defaultColWidth="8.625" defaultRowHeight="12.75"/>
  <cols>
    <col min="1" max="1" width="0.875" style="282" customWidth="1"/>
    <col min="2" max="2" width="24.125" style="282" customWidth="1"/>
    <col min="3" max="3" width="24.875" style="282" customWidth="1"/>
    <col min="4" max="4" width="16.5" style="282" customWidth="1"/>
    <col min="5" max="5" width="11.875" style="282" customWidth="1"/>
    <col min="6" max="6" width="18.125" style="282" customWidth="1"/>
    <col min="7" max="7" width="0.875" style="282" customWidth="1"/>
    <col min="8" max="9" width="11.875" style="282" customWidth="1"/>
    <col min="10" max="10" width="1.125" style="282" customWidth="1"/>
    <col min="11" max="11" width="11.875" style="282" customWidth="1"/>
    <col min="12" max="12" width="16.125" style="282" customWidth="1"/>
    <col min="13" max="13" width="1" style="282" customWidth="1"/>
    <col min="14" max="14" width="11.875" style="282" customWidth="1"/>
    <col min="15" max="16" width="13.75" style="282" customWidth="1"/>
    <col min="17" max="17" width="17" style="282" customWidth="1"/>
    <col min="18" max="18" width="17.875" style="282" customWidth="1"/>
    <col min="19" max="22" width="11.875" style="282" customWidth="1"/>
    <col min="23" max="23" width="15.5" style="282" customWidth="1"/>
    <col min="24" max="24" width="0.875" style="282" customWidth="1"/>
    <col min="25" max="26" width="11.875" style="282" customWidth="1"/>
    <col min="27" max="16384" width="8.625" style="282"/>
  </cols>
  <sheetData>
    <row r="1" spans="1:19" ht="19.5">
      <c r="A1" s="283" t="s">
        <v>14</v>
      </c>
    </row>
    <row r="3" spans="1:19">
      <c r="B3" s="293" t="s">
        <v>120</v>
      </c>
      <c r="C3" s="293"/>
      <c r="D3" s="293"/>
      <c r="E3" s="293"/>
    </row>
    <row r="4" spans="1:19" ht="25.5">
      <c r="B4" s="294"/>
      <c r="C4" s="294"/>
      <c r="D4" s="314" t="s">
        <v>121</v>
      </c>
      <c r="E4" s="314" t="s">
        <v>122</v>
      </c>
    </row>
    <row r="5" spans="1:19">
      <c r="B5" s="313" t="s">
        <v>123</v>
      </c>
      <c r="C5" s="313"/>
      <c r="D5" s="315">
        <f>$U$44</f>
        <v>1157950</v>
      </c>
      <c r="E5" s="315">
        <f>$U$44</f>
        <v>1157950</v>
      </c>
      <c r="F5" s="282" t="s">
        <v>124</v>
      </c>
    </row>
    <row r="6" spans="1:19">
      <c r="B6" s="313" t="s">
        <v>125</v>
      </c>
      <c r="C6" s="313"/>
      <c r="D6" s="315">
        <f>$L$44</f>
        <v>5789.75</v>
      </c>
      <c r="E6" s="315">
        <f>$H$44</f>
        <v>46318</v>
      </c>
      <c r="F6" s="281" t="s">
        <v>126</v>
      </c>
    </row>
    <row r="7" spans="1:19">
      <c r="B7" s="313" t="s">
        <v>127</v>
      </c>
      <c r="C7" s="313"/>
      <c r="D7" s="818">
        <f>100</f>
        <v>100</v>
      </c>
      <c r="E7" s="818">
        <f>S44</f>
        <v>25</v>
      </c>
      <c r="F7" s="281" t="s">
        <v>128</v>
      </c>
    </row>
    <row r="8" spans="1:19">
      <c r="B8" s="313" t="s">
        <v>129</v>
      </c>
      <c r="C8" s="313"/>
      <c r="D8" s="315">
        <v>100</v>
      </c>
      <c r="E8" s="315"/>
      <c r="F8" s="281" t="s">
        <v>130</v>
      </c>
    </row>
    <row r="9" spans="1:19">
      <c r="B9" s="313" t="s">
        <v>131</v>
      </c>
      <c r="C9" s="313"/>
      <c r="D9" s="622">
        <f>DiversionData!$D$39/DiversionData!$B$53</f>
        <v>530</v>
      </c>
      <c r="E9" s="622">
        <f>DiversionData!$D$39/DiversionData!$B$53</f>
        <v>530</v>
      </c>
      <c r="F9" s="282" t="s">
        <v>124</v>
      </c>
    </row>
    <row r="10" spans="1:19">
      <c r="B10" s="313" t="s">
        <v>132</v>
      </c>
      <c r="C10" s="313"/>
      <c r="D10" s="622">
        <f>DiversionData!$D$39</f>
        <v>265</v>
      </c>
      <c r="E10" s="622">
        <f>DiversionData!$D$39</f>
        <v>265</v>
      </c>
      <c r="F10" s="282" t="s">
        <v>133</v>
      </c>
    </row>
    <row r="11" spans="1:19">
      <c r="B11" s="313" t="s">
        <v>134</v>
      </c>
      <c r="C11" s="313"/>
      <c r="D11" s="571">
        <f>Z44</f>
        <v>4.4704823728667707E-2</v>
      </c>
      <c r="E11" s="570">
        <f>Y44</f>
        <v>0.20822843817382367</v>
      </c>
      <c r="F11" s="282" t="s">
        <v>124</v>
      </c>
    </row>
    <row r="12" spans="1:19">
      <c r="B12" s="313" t="s">
        <v>135</v>
      </c>
      <c r="C12" s="313"/>
      <c r="D12" s="716">
        <f>R44/U44</f>
        <v>0.5</v>
      </c>
      <c r="E12" s="715" t="s">
        <v>136</v>
      </c>
      <c r="F12" s="282" t="s">
        <v>137</v>
      </c>
      <c r="N12" s="281"/>
      <c r="O12" s="281"/>
      <c r="P12" s="281"/>
      <c r="Q12" s="626"/>
      <c r="R12" s="281"/>
    </row>
    <row r="13" spans="1:19">
      <c r="B13" s="313" t="s">
        <v>138</v>
      </c>
      <c r="D13" s="557">
        <f>R47</f>
        <v>0</v>
      </c>
      <c r="E13" s="715" t="s">
        <v>136</v>
      </c>
      <c r="F13" s="282" t="s">
        <v>137</v>
      </c>
      <c r="L13" s="312"/>
      <c r="O13" s="281"/>
      <c r="P13" s="281"/>
    </row>
    <row r="14" spans="1:19" ht="25.5">
      <c r="G14" s="558"/>
      <c r="L14" s="312"/>
      <c r="O14" s="281"/>
      <c r="P14" s="281"/>
      <c r="Q14" s="706" t="s">
        <v>139</v>
      </c>
      <c r="R14" s="1229" t="s">
        <v>140</v>
      </c>
      <c r="S14" s="282" t="s">
        <v>141</v>
      </c>
    </row>
    <row r="15" spans="1:19">
      <c r="L15" s="281" t="s">
        <v>142</v>
      </c>
      <c r="N15" s="707" t="s">
        <v>143</v>
      </c>
      <c r="O15" s="708"/>
      <c r="P15" s="708"/>
      <c r="Q15" s="709">
        <v>1</v>
      </c>
      <c r="R15" s="1230">
        <v>0.5</v>
      </c>
    </row>
    <row r="16" spans="1:19">
      <c r="L16" s="313" t="s">
        <v>144</v>
      </c>
      <c r="N16" s="707" t="s">
        <v>145</v>
      </c>
      <c r="O16" s="708"/>
      <c r="P16" s="708"/>
      <c r="Q16" s="709">
        <v>1</v>
      </c>
      <c r="R16" s="1230">
        <f>R15</f>
        <v>0.5</v>
      </c>
    </row>
    <row r="17" spans="4:26">
      <c r="L17" s="312"/>
      <c r="N17" s="710" t="s">
        <v>146</v>
      </c>
      <c r="O17" s="286"/>
      <c r="P17" s="286"/>
      <c r="Q17" s="711">
        <v>1</v>
      </c>
      <c r="R17" s="1231">
        <f t="shared" ref="R17:R23" si="0">R16</f>
        <v>0.5</v>
      </c>
    </row>
    <row r="18" spans="4:26">
      <c r="L18" s="312"/>
      <c r="N18" s="710" t="s">
        <v>147</v>
      </c>
      <c r="O18" s="286"/>
      <c r="P18" s="286"/>
      <c r="Q18" s="711">
        <v>1</v>
      </c>
      <c r="R18" s="1231">
        <f t="shared" si="0"/>
        <v>0.5</v>
      </c>
    </row>
    <row r="19" spans="4:26">
      <c r="L19" s="312"/>
      <c r="N19" s="710" t="s">
        <v>148</v>
      </c>
      <c r="O19" s="286"/>
      <c r="P19" s="286"/>
      <c r="Q19" s="711">
        <v>1</v>
      </c>
      <c r="R19" s="1231">
        <f t="shared" si="0"/>
        <v>0.5</v>
      </c>
    </row>
    <row r="20" spans="4:26">
      <c r="L20" s="312"/>
      <c r="N20" s="710" t="s">
        <v>149</v>
      </c>
      <c r="O20" s="286"/>
      <c r="P20" s="286"/>
      <c r="Q20" s="711">
        <v>1</v>
      </c>
      <c r="R20" s="1231">
        <f t="shared" si="0"/>
        <v>0.5</v>
      </c>
    </row>
    <row r="21" spans="4:26">
      <c r="L21" s="312"/>
      <c r="N21" s="710" t="s">
        <v>150</v>
      </c>
      <c r="O21" s="286"/>
      <c r="P21" s="286"/>
      <c r="Q21" s="711">
        <v>1</v>
      </c>
      <c r="R21" s="1231">
        <f t="shared" si="0"/>
        <v>0.5</v>
      </c>
    </row>
    <row r="22" spans="4:26">
      <c r="L22" s="312"/>
      <c r="N22" s="710" t="s">
        <v>151</v>
      </c>
      <c r="O22" s="286"/>
      <c r="P22" s="286"/>
      <c r="Q22" s="711">
        <v>1</v>
      </c>
      <c r="R22" s="1231">
        <f t="shared" si="0"/>
        <v>0.5</v>
      </c>
    </row>
    <row r="23" spans="4:26">
      <c r="L23" s="312"/>
      <c r="N23" s="712" t="s">
        <v>152</v>
      </c>
      <c r="O23" s="423"/>
      <c r="P23" s="423"/>
      <c r="Q23" s="713">
        <v>1</v>
      </c>
      <c r="R23" s="1232">
        <f t="shared" si="0"/>
        <v>0.5</v>
      </c>
    </row>
    <row r="24" spans="4:26">
      <c r="L24" s="312"/>
    </row>
    <row r="25" spans="4:26">
      <c r="Q25" s="705"/>
      <c r="R25" s="704"/>
      <c r="U25" s="582"/>
    </row>
    <row r="26" spans="4:26">
      <c r="Q26" s="705"/>
      <c r="R26" s="704"/>
      <c r="U26" s="582"/>
    </row>
    <row r="27" spans="4:26" ht="29.25" customHeight="1">
      <c r="D27" s="1252" t="s">
        <v>153</v>
      </c>
      <c r="E27" s="1252" t="s">
        <v>154</v>
      </c>
      <c r="F27" s="1254" t="s">
        <v>155</v>
      </c>
      <c r="G27" s="281"/>
      <c r="H27" s="1256" t="s">
        <v>156</v>
      </c>
      <c r="I27" s="1256"/>
      <c r="J27" s="281"/>
      <c r="K27" s="1256" t="s">
        <v>157</v>
      </c>
      <c r="L27" s="1256"/>
      <c r="M27" s="281"/>
      <c r="N27" s="1255" t="s">
        <v>158</v>
      </c>
      <c r="O27" s="1255"/>
      <c r="P27" s="1255" t="s">
        <v>159</v>
      </c>
      <c r="Q27" s="1255"/>
      <c r="R27" s="718" t="s">
        <v>160</v>
      </c>
      <c r="S27" s="1257" t="s">
        <v>161</v>
      </c>
      <c r="T27" s="1257" t="s">
        <v>162</v>
      </c>
      <c r="U27" s="1257" t="s">
        <v>163</v>
      </c>
      <c r="V27" s="1257" t="s">
        <v>164</v>
      </c>
      <c r="W27" s="1257" t="s">
        <v>165</v>
      </c>
      <c r="Y27" s="1256" t="s">
        <v>166</v>
      </c>
      <c r="Z27" s="1256"/>
    </row>
    <row r="28" spans="4:26">
      <c r="D28" s="1253"/>
      <c r="E28" s="1253"/>
      <c r="F28" s="1254"/>
      <c r="G28" s="281"/>
      <c r="H28" s="1143" t="s">
        <v>167</v>
      </c>
      <c r="I28" s="1143" t="s">
        <v>168</v>
      </c>
      <c r="J28" s="281"/>
      <c r="K28" s="1143" t="s">
        <v>167</v>
      </c>
      <c r="L28" s="1143" t="s">
        <v>168</v>
      </c>
      <c r="M28" s="281"/>
      <c r="N28" s="311" t="s">
        <v>169</v>
      </c>
      <c r="O28" s="311" t="s">
        <v>170</v>
      </c>
      <c r="P28" s="311" t="s">
        <v>169</v>
      </c>
      <c r="Q28" s="311" t="s">
        <v>170</v>
      </c>
      <c r="R28" s="311" t="s">
        <v>170</v>
      </c>
      <c r="S28" s="1258"/>
      <c r="T28" s="1258"/>
      <c r="U28" s="1258"/>
      <c r="V28" s="1258"/>
      <c r="W28" s="1258"/>
      <c r="Y28" s="1143" t="s">
        <v>169</v>
      </c>
      <c r="Z28" s="1143" t="s">
        <v>170</v>
      </c>
    </row>
    <row r="29" spans="4:26">
      <c r="D29" s="728"/>
      <c r="E29" s="728"/>
      <c r="F29" s="728"/>
      <c r="G29" s="281"/>
      <c r="H29" s="728"/>
      <c r="I29" s="764"/>
      <c r="J29" s="281"/>
      <c r="K29" s="728"/>
      <c r="L29" s="764"/>
      <c r="M29" s="281"/>
      <c r="N29" s="728"/>
      <c r="O29" s="763"/>
      <c r="P29" s="763"/>
      <c r="Q29" s="763"/>
      <c r="R29" s="763"/>
      <c r="S29" s="728"/>
      <c r="T29" s="763"/>
      <c r="U29" s="763"/>
      <c r="V29" s="763"/>
      <c r="W29" s="764"/>
      <c r="Y29" s="728"/>
      <c r="Z29" s="763"/>
    </row>
    <row r="30" spans="4:26">
      <c r="D30" s="765" t="s">
        <v>171</v>
      </c>
      <c r="E30" s="765" t="s">
        <v>172</v>
      </c>
      <c r="F30" s="766" t="s">
        <v>143</v>
      </c>
      <c r="G30" s="767"/>
      <c r="H30" s="768">
        <f>U30/S30</f>
        <v>720</v>
      </c>
      <c r="I30" s="768">
        <v>0</v>
      </c>
      <c r="J30" s="769"/>
      <c r="K30" s="768">
        <f>H30*($R15-1)*-1</f>
        <v>360</v>
      </c>
      <c r="L30" s="768">
        <f>((H30*R15)/(T30/S30))+I30</f>
        <v>90</v>
      </c>
      <c r="M30" s="770"/>
      <c r="N30" s="771">
        <f>INDEX(DiversionData!$D$35:$D$38,MATCH(ShipperData!$F30,DiversionData!$B$35:$B$38,0),1)</f>
        <v>37.5</v>
      </c>
      <c r="O30" s="772">
        <v>0</v>
      </c>
      <c r="P30" s="773">
        <f t="shared" ref="P30:P39" si="1">N30</f>
        <v>37.5</v>
      </c>
      <c r="Q30" s="773">
        <f t="shared" ref="Q30:Q39" si="2">N30</f>
        <v>37.5</v>
      </c>
      <c r="R30" s="774">
        <f>U30*R15</f>
        <v>9000</v>
      </c>
      <c r="S30" s="775">
        <v>25</v>
      </c>
      <c r="T30" s="776">
        <f t="shared" ref="T30:T39" si="3">$D$7</f>
        <v>100</v>
      </c>
      <c r="U30" s="777">
        <f>VLOOKUP(F30,DiversionData!$B$35:$H$38,2,FALSE)*Q15</f>
        <v>18000</v>
      </c>
      <c r="V30" s="778">
        <f>Total.CAGR!E77</f>
        <v>1.9179386501238627E-2</v>
      </c>
      <c r="W30" s="779">
        <f t="shared" ref="W30:W39" si="4">$D$8</f>
        <v>100</v>
      </c>
      <c r="X30" s="780"/>
      <c r="Y30" s="781">
        <f>'Shipping Rates'!$E$5</f>
        <v>0.20822843817382367</v>
      </c>
      <c r="Z30" s="782">
        <f>'Shipping Rates'!$E$6</f>
        <v>4.4704823728667714E-2</v>
      </c>
    </row>
    <row r="31" spans="4:26">
      <c r="D31" s="729" t="s">
        <v>171</v>
      </c>
      <c r="E31" s="729" t="s">
        <v>173</v>
      </c>
      <c r="F31" s="730" t="s">
        <v>145</v>
      </c>
      <c r="G31" s="783"/>
      <c r="H31" s="784">
        <f t="shared" ref="H31:H33" si="5">U31/S31</f>
        <v>5148</v>
      </c>
      <c r="I31" s="784">
        <v>0</v>
      </c>
      <c r="J31" s="785"/>
      <c r="K31" s="784">
        <f>H31*($R16-1)*-1</f>
        <v>2574</v>
      </c>
      <c r="L31" s="784">
        <f>((H31*$R16)/(T31/S31))+I31</f>
        <v>643.5</v>
      </c>
      <c r="M31" s="786"/>
      <c r="N31" s="787">
        <f>INDEX(DiversionData!$D$35:$D$38,MATCH(ShipperData!$F31,DiversionData!$B$35:$B$38,0),1)</f>
        <v>33.75</v>
      </c>
      <c r="O31" s="788">
        <v>0</v>
      </c>
      <c r="P31" s="789">
        <f t="shared" si="1"/>
        <v>33.75</v>
      </c>
      <c r="Q31" s="789">
        <f t="shared" si="2"/>
        <v>33.75</v>
      </c>
      <c r="R31" s="790">
        <f>U31*R16</f>
        <v>64350</v>
      </c>
      <c r="S31" s="791">
        <v>25</v>
      </c>
      <c r="T31" s="792">
        <f t="shared" si="3"/>
        <v>100</v>
      </c>
      <c r="U31" s="793">
        <f>VLOOKUP(F31,DiversionData!$B$35:$H$38,2,FALSE)*Q16</f>
        <v>128700</v>
      </c>
      <c r="V31" s="794">
        <f>Total.CAGR!E80</f>
        <v>1.3802128386773527E-2</v>
      </c>
      <c r="W31" s="795">
        <f t="shared" si="4"/>
        <v>100</v>
      </c>
      <c r="X31" s="796"/>
      <c r="Y31" s="797">
        <f>'Shipping Rates'!$E$5</f>
        <v>0.20822843817382367</v>
      </c>
      <c r="Z31" s="798">
        <f>'Shipping Rates'!$E$6</f>
        <v>4.4704823728667714E-2</v>
      </c>
    </row>
    <row r="32" spans="4:26">
      <c r="D32" s="731" t="s">
        <v>171</v>
      </c>
      <c r="E32" s="731" t="s">
        <v>173</v>
      </c>
      <c r="F32" s="732" t="s">
        <v>146</v>
      </c>
      <c r="H32" s="567">
        <f t="shared" si="5"/>
        <v>19500</v>
      </c>
      <c r="I32" s="567">
        <v>0</v>
      </c>
      <c r="J32" s="799"/>
      <c r="K32" s="567">
        <f>H32*($R17-1)*-1</f>
        <v>9750</v>
      </c>
      <c r="L32" s="567">
        <f>((H32*$R17)/(T32/S32))+I32</f>
        <v>2437.5</v>
      </c>
      <c r="M32" s="281"/>
      <c r="N32" s="735">
        <f>INDEX(DiversionData!$D$35:$D$38,MATCH(ShipperData!$F32,DiversionData!$B$35:$B$38,0),1)</f>
        <v>93.75</v>
      </c>
      <c r="O32" s="749">
        <v>0</v>
      </c>
      <c r="P32" s="695">
        <f t="shared" si="1"/>
        <v>93.75</v>
      </c>
      <c r="Q32" s="695">
        <f t="shared" si="2"/>
        <v>93.75</v>
      </c>
      <c r="R32" s="751">
        <f>U32*R17</f>
        <v>243750</v>
      </c>
      <c r="S32" s="696">
        <v>25</v>
      </c>
      <c r="T32" s="697">
        <f t="shared" si="3"/>
        <v>100</v>
      </c>
      <c r="U32" s="288">
        <f>VLOOKUP(F32,DiversionData!$B$35:$H$38,2,FALSE)*Q17</f>
        <v>487500</v>
      </c>
      <c r="V32" s="698">
        <f>Total.CAGR!E82</f>
        <v>-2.3057530108382407E-3</v>
      </c>
      <c r="W32" s="703">
        <f t="shared" si="4"/>
        <v>100</v>
      </c>
      <c r="X32" s="406"/>
      <c r="Y32" s="699">
        <f>'Shipping Rates'!$E$5</f>
        <v>0.20822843817382367</v>
      </c>
      <c r="Z32" s="800">
        <f>'Shipping Rates'!$E$6</f>
        <v>4.4704823728667714E-2</v>
      </c>
    </row>
    <row r="33" spans="4:26">
      <c r="D33" s="733" t="s">
        <v>171</v>
      </c>
      <c r="E33" s="733" t="s">
        <v>173</v>
      </c>
      <c r="F33" s="734" t="s">
        <v>152</v>
      </c>
      <c r="G33" s="737"/>
      <c r="H33" s="738">
        <f t="shared" si="5"/>
        <v>350</v>
      </c>
      <c r="I33" s="738">
        <v>0</v>
      </c>
      <c r="J33" s="739"/>
      <c r="K33" s="738">
        <f>H33*($R23-1)*-1</f>
        <v>175</v>
      </c>
      <c r="L33" s="738">
        <f>((H33*$R23)/(T33/S33))+I33</f>
        <v>43.75</v>
      </c>
      <c r="M33" s="294"/>
      <c r="N33" s="740">
        <f>INDEX(DiversionData!$D$35:$D$38,MATCH(ShipperData!$F33,DiversionData!$B$35:$B$38,0),1)</f>
        <v>100</v>
      </c>
      <c r="O33" s="750">
        <v>0</v>
      </c>
      <c r="P33" s="741">
        <f t="shared" si="1"/>
        <v>100</v>
      </c>
      <c r="Q33" s="741">
        <f t="shared" si="2"/>
        <v>100</v>
      </c>
      <c r="R33" s="752">
        <f>U33*R23</f>
        <v>4375</v>
      </c>
      <c r="S33" s="743">
        <v>25</v>
      </c>
      <c r="T33" s="742">
        <f t="shared" si="3"/>
        <v>100</v>
      </c>
      <c r="U33" s="744">
        <f>VLOOKUP(F33,DiversionData!$B$35:$H$38,2,FALSE)*Q23</f>
        <v>8750</v>
      </c>
      <c r="V33" s="745">
        <f>Total.CAGR!E83</f>
        <v>2.9944103341923434E-3</v>
      </c>
      <c r="W33" s="746">
        <f t="shared" si="4"/>
        <v>100</v>
      </c>
      <c r="X33" s="747"/>
      <c r="Y33" s="748">
        <f>'Shipping Rates'!$E$5</f>
        <v>0.20822843817382367</v>
      </c>
      <c r="Z33" s="801">
        <f>'Shipping Rates'!$E$6</f>
        <v>4.4704823728667714E-2</v>
      </c>
    </row>
    <row r="34" spans="4:26">
      <c r="D34" s="1128" t="s">
        <v>174</v>
      </c>
      <c r="E34" s="1131" t="s">
        <v>173</v>
      </c>
      <c r="F34" s="1134" t="s">
        <v>147</v>
      </c>
      <c r="H34" s="1110">
        <f>U34/S34</f>
        <v>4280</v>
      </c>
      <c r="I34" s="1110">
        <v>0</v>
      </c>
      <c r="J34" s="799"/>
      <c r="K34" s="1110">
        <f>H34*($R18-1)*-1</f>
        <v>2140</v>
      </c>
      <c r="L34" s="1110">
        <f>((H34*R18)/(T34/S34))+I34</f>
        <v>535</v>
      </c>
      <c r="M34" s="281"/>
      <c r="N34" s="1111">
        <v>20</v>
      </c>
      <c r="O34" s="749">
        <v>0</v>
      </c>
      <c r="P34" s="762">
        <f t="shared" si="1"/>
        <v>20</v>
      </c>
      <c r="Q34" s="762">
        <f t="shared" si="2"/>
        <v>20</v>
      </c>
      <c r="R34" s="1112">
        <f>U34*R18</f>
        <v>53500</v>
      </c>
      <c r="S34" s="696">
        <v>25</v>
      </c>
      <c r="T34" s="697">
        <f t="shared" si="3"/>
        <v>100</v>
      </c>
      <c r="U34" s="1114">
        <f>DiversionData!C43</f>
        <v>107000</v>
      </c>
      <c r="V34" s="1115">
        <f>Total.CAGR!L15</f>
        <v>1.534057189590432E-2</v>
      </c>
      <c r="W34" s="703">
        <f t="shared" si="4"/>
        <v>100</v>
      </c>
      <c r="X34" s="406"/>
      <c r="Y34" s="699">
        <f>'Shipping Rates'!$E$5</f>
        <v>0.20822843817382367</v>
      </c>
      <c r="Z34" s="800">
        <f>'Shipping Rates'!$E$6</f>
        <v>4.4704823728667714E-2</v>
      </c>
    </row>
    <row r="35" spans="4:26">
      <c r="D35" s="1129" t="s">
        <v>174</v>
      </c>
      <c r="E35" s="1132" t="s">
        <v>173</v>
      </c>
      <c r="F35" s="1135" t="s">
        <v>148</v>
      </c>
      <c r="H35" s="1110">
        <f t="shared" ref="H35:H39" si="6">U35/S35</f>
        <v>10000</v>
      </c>
      <c r="I35" s="1110">
        <v>0</v>
      </c>
      <c r="J35" s="799"/>
      <c r="K35" s="1110">
        <f>H35*($R19-1)*-1</f>
        <v>5000</v>
      </c>
      <c r="L35" s="1110">
        <f>((H35*R19)/(T35/S35))+I35</f>
        <v>1250</v>
      </c>
      <c r="M35" s="281"/>
      <c r="N35" s="1111">
        <v>33</v>
      </c>
      <c r="O35" s="749">
        <v>0</v>
      </c>
      <c r="P35" s="762">
        <f t="shared" si="1"/>
        <v>33</v>
      </c>
      <c r="Q35" s="762">
        <f t="shared" si="2"/>
        <v>33</v>
      </c>
      <c r="R35" s="1112">
        <f>U35*R19</f>
        <v>125000</v>
      </c>
      <c r="S35" s="696">
        <v>25</v>
      </c>
      <c r="T35" s="697">
        <f t="shared" si="3"/>
        <v>100</v>
      </c>
      <c r="U35" s="1114">
        <f>DiversionData!C44</f>
        <v>250000</v>
      </c>
      <c r="V35" s="1115">
        <f>Total.CAGR!E23</f>
        <v>-2.3057530108382407E-3</v>
      </c>
      <c r="W35" s="703">
        <f t="shared" si="4"/>
        <v>100</v>
      </c>
      <c r="X35" s="406"/>
      <c r="Y35" s="699">
        <f>'Shipping Rates'!$E$5</f>
        <v>0.20822843817382367</v>
      </c>
      <c r="Z35" s="800">
        <f>'Shipping Rates'!$E$6</f>
        <v>4.4704823728667714E-2</v>
      </c>
    </row>
    <row r="36" spans="4:26">
      <c r="D36" s="1129" t="s">
        <v>174</v>
      </c>
      <c r="E36" s="1132" t="s">
        <v>173</v>
      </c>
      <c r="F36" s="1135" t="s">
        <v>175</v>
      </c>
      <c r="H36" s="1110">
        <f t="shared" si="6"/>
        <v>4000</v>
      </c>
      <c r="I36" s="1110">
        <v>0</v>
      </c>
      <c r="J36" s="799"/>
      <c r="K36" s="1110">
        <f>H36*($R23-1)*-1</f>
        <v>2000</v>
      </c>
      <c r="L36" s="1110">
        <f>((H36*R23)/(T36/S36))+I36</f>
        <v>500</v>
      </c>
      <c r="M36" s="281"/>
      <c r="N36" s="1111">
        <v>33</v>
      </c>
      <c r="O36" s="749">
        <v>0</v>
      </c>
      <c r="P36" s="762">
        <f t="shared" si="1"/>
        <v>33</v>
      </c>
      <c r="Q36" s="762">
        <f t="shared" si="2"/>
        <v>33</v>
      </c>
      <c r="R36" s="1112">
        <f>U36*R23</f>
        <v>50000</v>
      </c>
      <c r="S36" s="696">
        <v>25</v>
      </c>
      <c r="T36" s="697">
        <f t="shared" si="3"/>
        <v>100</v>
      </c>
      <c r="U36" s="1114">
        <f>DiversionData!C45</f>
        <v>100000</v>
      </c>
      <c r="V36" s="1115">
        <f>V33</f>
        <v>2.9944103341923434E-3</v>
      </c>
      <c r="W36" s="703">
        <f t="shared" si="4"/>
        <v>100</v>
      </c>
      <c r="X36" s="406"/>
      <c r="Y36" s="699">
        <f>'Shipping Rates'!$E$5</f>
        <v>0.20822843817382367</v>
      </c>
      <c r="Z36" s="800">
        <f>'Shipping Rates'!$E$6</f>
        <v>4.4704823728667714E-2</v>
      </c>
    </row>
    <row r="37" spans="4:26">
      <c r="D37" s="1129" t="s">
        <v>174</v>
      </c>
      <c r="E37" s="1132" t="s">
        <v>173</v>
      </c>
      <c r="F37" s="1135" t="s">
        <v>149</v>
      </c>
      <c r="H37" s="1110">
        <f t="shared" si="6"/>
        <v>800</v>
      </c>
      <c r="I37" s="1110">
        <v>0</v>
      </c>
      <c r="J37" s="799"/>
      <c r="K37" s="1110">
        <f>H37*($R20-1)*-1</f>
        <v>400</v>
      </c>
      <c r="L37" s="1110">
        <f>((H37*R20)/(T37/S37))+I37</f>
        <v>100</v>
      </c>
      <c r="M37" s="281"/>
      <c r="N37" s="1111">
        <v>33</v>
      </c>
      <c r="O37" s="749">
        <v>0</v>
      </c>
      <c r="P37" s="762">
        <f t="shared" si="1"/>
        <v>33</v>
      </c>
      <c r="Q37" s="762">
        <f t="shared" si="2"/>
        <v>33</v>
      </c>
      <c r="R37" s="1112">
        <f>U37*R20</f>
        <v>10000</v>
      </c>
      <c r="S37" s="696">
        <v>25</v>
      </c>
      <c r="T37" s="697">
        <f t="shared" si="3"/>
        <v>100</v>
      </c>
      <c r="U37" s="1114">
        <f>DiversionData!C46</f>
        <v>20000</v>
      </c>
      <c r="V37" s="1115">
        <f>Total.CAGR!L6</f>
        <v>2.9944103341923434E-3</v>
      </c>
      <c r="W37" s="703">
        <f t="shared" si="4"/>
        <v>100</v>
      </c>
      <c r="X37" s="406"/>
      <c r="Y37" s="699">
        <f>'Shipping Rates'!$E$5</f>
        <v>0.20822843817382367</v>
      </c>
      <c r="Z37" s="800">
        <f>'Shipping Rates'!$E$6</f>
        <v>4.4704823728667714E-2</v>
      </c>
    </row>
    <row r="38" spans="4:26">
      <c r="D38" s="1129" t="s">
        <v>174</v>
      </c>
      <c r="E38" s="1132" t="s">
        <v>173</v>
      </c>
      <c r="F38" s="1135" t="s">
        <v>150</v>
      </c>
      <c r="H38" s="1110">
        <f t="shared" si="6"/>
        <v>40</v>
      </c>
      <c r="I38" s="1110">
        <v>0</v>
      </c>
      <c r="J38" s="799"/>
      <c r="K38" s="1110">
        <f>H38*($R21-1)*-1</f>
        <v>20</v>
      </c>
      <c r="L38" s="1110">
        <f>((H38*R21)/(T38/S38))+I38</f>
        <v>5</v>
      </c>
      <c r="M38" s="281"/>
      <c r="N38" s="1111">
        <v>430</v>
      </c>
      <c r="O38" s="749">
        <v>0</v>
      </c>
      <c r="P38" s="762">
        <f t="shared" si="1"/>
        <v>430</v>
      </c>
      <c r="Q38" s="762">
        <f t="shared" si="2"/>
        <v>430</v>
      </c>
      <c r="R38" s="1112">
        <f>U38*R21</f>
        <v>500</v>
      </c>
      <c r="S38" s="696">
        <v>25</v>
      </c>
      <c r="T38" s="697">
        <f t="shared" si="3"/>
        <v>100</v>
      </c>
      <c r="U38" s="1114">
        <f>DiversionData!C47</f>
        <v>1000</v>
      </c>
      <c r="V38" s="1115">
        <f>Total.CAGR!L36</f>
        <v>1.9689205007525024E-2</v>
      </c>
      <c r="W38" s="703">
        <f t="shared" si="4"/>
        <v>100</v>
      </c>
      <c r="X38" s="406"/>
      <c r="Y38" s="699">
        <f>'Shipping Rates'!$E$5</f>
        <v>0.20822843817382367</v>
      </c>
      <c r="Z38" s="800">
        <f>'Shipping Rates'!$E$6</f>
        <v>4.4704823728667714E-2</v>
      </c>
    </row>
    <row r="39" spans="4:26">
      <c r="D39" s="1130" t="s">
        <v>174</v>
      </c>
      <c r="E39" s="1133" t="s">
        <v>173</v>
      </c>
      <c r="F39" s="1136" t="s">
        <v>151</v>
      </c>
      <c r="H39" s="1137">
        <f t="shared" si="6"/>
        <v>1480</v>
      </c>
      <c r="I39" s="1137">
        <v>0</v>
      </c>
      <c r="J39" s="739"/>
      <c r="K39" s="1137">
        <f>H39*($R22-1)*-1</f>
        <v>740</v>
      </c>
      <c r="L39" s="1137">
        <f>((H39*R22)/(T39/S39))+I39</f>
        <v>185</v>
      </c>
      <c r="M39" s="294"/>
      <c r="N39" s="1138">
        <v>20</v>
      </c>
      <c r="O39" s="750">
        <v>0</v>
      </c>
      <c r="P39" s="1139">
        <f t="shared" si="1"/>
        <v>20</v>
      </c>
      <c r="Q39" s="1139">
        <f t="shared" si="2"/>
        <v>20</v>
      </c>
      <c r="R39" s="1140">
        <f>U39*R22</f>
        <v>18500</v>
      </c>
      <c r="S39" s="743">
        <v>25</v>
      </c>
      <c r="T39" s="742">
        <f t="shared" si="3"/>
        <v>100</v>
      </c>
      <c r="U39" s="1141">
        <f>DiversionData!C48</f>
        <v>37000</v>
      </c>
      <c r="V39" s="1142">
        <f>Total.CAGR!D63</f>
        <v>3.2409447305920658E-2</v>
      </c>
      <c r="W39" s="746">
        <f t="shared" si="4"/>
        <v>100</v>
      </c>
      <c r="X39" s="747"/>
      <c r="Y39" s="748">
        <f>'Shipping Rates'!$E$5</f>
        <v>0.20822843817382367</v>
      </c>
      <c r="Z39" s="801">
        <f>'Shipping Rates'!$E$6</f>
        <v>4.4704823728667714E-2</v>
      </c>
    </row>
    <row r="40" spans="4:26">
      <c r="F40" s="1109"/>
      <c r="H40" s="1110"/>
      <c r="I40" s="1110"/>
      <c r="J40" s="799"/>
      <c r="K40" s="1110"/>
      <c r="L40" s="1110"/>
      <c r="M40" s="281"/>
      <c r="N40" s="1111"/>
      <c r="O40" s="1233"/>
      <c r="P40" s="762"/>
      <c r="Q40" s="762"/>
      <c r="R40" s="1112"/>
      <c r="S40" s="382"/>
      <c r="T40" s="1113"/>
      <c r="U40" s="1114"/>
      <c r="V40" s="1115"/>
      <c r="W40" s="1116"/>
      <c r="X40" s="406"/>
      <c r="Y40" s="1117"/>
      <c r="Z40" s="1117"/>
    </row>
    <row r="41" spans="4:26">
      <c r="H41" s="289"/>
      <c r="N41" s="736"/>
      <c r="O41" s="736"/>
      <c r="P41" s="406"/>
      <c r="Q41" s="406"/>
      <c r="R41" s="406"/>
      <c r="S41" s="406"/>
      <c r="T41" s="406"/>
      <c r="U41" s="406"/>
      <c r="V41" s="406"/>
      <c r="W41" s="406"/>
      <c r="X41" s="406"/>
      <c r="Y41" s="406"/>
      <c r="Z41" s="406"/>
    </row>
    <row r="42" spans="4:26" ht="22.5" customHeight="1">
      <c r="F42" s="1259"/>
      <c r="G42" s="281"/>
      <c r="H42" s="1260" t="str">
        <f>H27</f>
        <v>No Build Freight Flows</v>
      </c>
      <c r="I42" s="1261"/>
      <c r="J42" s="281"/>
      <c r="K42" s="1260" t="str">
        <f>K27</f>
        <v>Build Freight Flows</v>
      </c>
      <c r="L42" s="1261"/>
      <c r="N42" s="1262" t="str">
        <f>N27</f>
        <v>No Build Haul Distance to Market</v>
      </c>
      <c r="O42" s="1263"/>
      <c r="P42" s="1255" t="str">
        <f>P27</f>
        <v>Build Haul Distance</v>
      </c>
      <c r="Q42" s="1255"/>
      <c r="R42" s="1257" t="s">
        <v>176</v>
      </c>
      <c r="S42" s="1257" t="s">
        <v>161</v>
      </c>
      <c r="T42" s="1257" t="s">
        <v>162</v>
      </c>
      <c r="U42" s="1257" t="s">
        <v>176</v>
      </c>
      <c r="V42" s="1257" t="s">
        <v>164</v>
      </c>
      <c r="W42" s="1257" t="s">
        <v>165</v>
      </c>
      <c r="Y42" s="1256" t="s">
        <v>166</v>
      </c>
      <c r="Z42" s="1256"/>
    </row>
    <row r="43" spans="4:26">
      <c r="F43" s="1259"/>
      <c r="G43" s="281"/>
      <c r="H43" s="1143" t="s">
        <v>167</v>
      </c>
      <c r="I43" s="1143" t="s">
        <v>168</v>
      </c>
      <c r="J43" s="281"/>
      <c r="K43" s="1143" t="s">
        <v>167</v>
      </c>
      <c r="L43" s="1143" t="s">
        <v>168</v>
      </c>
      <c r="N43" s="1264"/>
      <c r="O43" s="1265"/>
      <c r="P43" s="311" t="s">
        <v>169</v>
      </c>
      <c r="Q43" s="311" t="s">
        <v>170</v>
      </c>
      <c r="R43" s="1258"/>
      <c r="S43" s="1258"/>
      <c r="T43" s="1258"/>
      <c r="U43" s="1258"/>
      <c r="V43" s="1258"/>
      <c r="W43" s="1258"/>
      <c r="Y43" s="1143" t="s">
        <v>169</v>
      </c>
      <c r="Z43" s="1143" t="s">
        <v>170</v>
      </c>
    </row>
    <row r="44" spans="4:26">
      <c r="F44" s="285" t="s">
        <v>177</v>
      </c>
      <c r="G44" s="284"/>
      <c r="H44" s="290">
        <f>SUM(H30:H39)</f>
        <v>46318</v>
      </c>
      <c r="I44" s="290">
        <f>SUM(I30:I39)</f>
        <v>0</v>
      </c>
      <c r="J44" s="291"/>
      <c r="K44" s="290">
        <f>SUM(K30:K39)</f>
        <v>23159</v>
      </c>
      <c r="L44" s="290">
        <f>SUM(L30:L39)</f>
        <v>5789.75</v>
      </c>
      <c r="N44" s="811">
        <f>SUM(N30:N39)</f>
        <v>834</v>
      </c>
      <c r="O44" s="695">
        <f>SUM(O30:O39)</f>
        <v>0</v>
      </c>
      <c r="P44" s="695">
        <f>SUM(P30:P39)</f>
        <v>834</v>
      </c>
      <c r="Q44" s="695">
        <f>SUM(Q30:Q39)</f>
        <v>834</v>
      </c>
      <c r="R44" s="290">
        <f>SUM(R30:R39)</f>
        <v>578975</v>
      </c>
      <c r="S44" s="290">
        <f>IFERROR(SUMPRODUCT(S30:S39,$U$30:$U$39)/SUM($U$30:$U$39),0)</f>
        <v>25</v>
      </c>
      <c r="T44" s="623">
        <f>IFERROR(SUMPRODUCT(T30:T39,$U$30:$U$39)/SUM($U$30:$U$39),0)</f>
        <v>100</v>
      </c>
      <c r="U44" s="290">
        <f>SUM(U30:U39)</f>
        <v>1157950</v>
      </c>
      <c r="V44" s="717">
        <f>IFERROR(SUMPRODUCT(V30:V39,$U$30:$U$39)/SUM($U$30:$U$39),0)</f>
        <v>3.1667000419901216E-3</v>
      </c>
      <c r="W44" s="290">
        <f>IFERROR(SUMPRODUCT(W30:W39,$U$30:$U$39)/SUM($U$30:$U$39),0)</f>
        <v>100</v>
      </c>
      <c r="Y44" s="292">
        <f>IFERROR(SUMPRODUCT(Y30:Y39,$U$30:$U$39)/SUM($U$30:$U$39),0)</f>
        <v>0.20822843817382367</v>
      </c>
      <c r="Z44" s="292">
        <f>IFERROR(SUMPRODUCT(Z30:Z39,$U$30:$U$39)/SUM($U$30:$U$39),0)</f>
        <v>4.4704823728667707E-2</v>
      </c>
    </row>
    <row r="45" spans="4:26">
      <c r="N45" s="762"/>
      <c r="R45" s="714"/>
    </row>
    <row r="46" spans="4:26" ht="15">
      <c r="H46" s="1"/>
      <c r="I46" s="1"/>
    </row>
    <row r="47" spans="4:26" ht="14.25">
      <c r="H47"/>
      <c r="I47" s="627"/>
      <c r="L47" s="558"/>
    </row>
    <row r="48" spans="4:26" ht="14.25">
      <c r="H48"/>
      <c r="I48" s="627"/>
      <c r="P48" s="558"/>
      <c r="Q48" s="558"/>
      <c r="R48" s="558"/>
    </row>
    <row r="53" spans="14:14" ht="14.25">
      <c r="N53" s="753"/>
    </row>
    <row r="54" spans="14:14" ht="14.25">
      <c r="N54" s="753"/>
    </row>
  </sheetData>
  <mergeCells count="25">
    <mergeCell ref="Y42:Z42"/>
    <mergeCell ref="F42:F43"/>
    <mergeCell ref="H42:I42"/>
    <mergeCell ref="K42:L42"/>
    <mergeCell ref="S42:S43"/>
    <mergeCell ref="T42:T43"/>
    <mergeCell ref="U42:U43"/>
    <mergeCell ref="V42:V43"/>
    <mergeCell ref="W42:W43"/>
    <mergeCell ref="P42:Q42"/>
    <mergeCell ref="N42:O43"/>
    <mergeCell ref="R42:R43"/>
    <mergeCell ref="S27:S28"/>
    <mergeCell ref="T27:T28"/>
    <mergeCell ref="Y27:Z27"/>
    <mergeCell ref="V27:V28"/>
    <mergeCell ref="W27:W28"/>
    <mergeCell ref="U27:U28"/>
    <mergeCell ref="D27:D28"/>
    <mergeCell ref="E27:E28"/>
    <mergeCell ref="F27:F28"/>
    <mergeCell ref="P27:Q27"/>
    <mergeCell ref="N27:O27"/>
    <mergeCell ref="H27:I27"/>
    <mergeCell ref="K27:L27"/>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B3DBE-66BC-4292-8610-B2D9A52E4145}">
  <sheetPr codeName="Sheet15">
    <tabColor rgb="FF7030A0"/>
  </sheetPr>
  <dimension ref="A1:J75"/>
  <sheetViews>
    <sheetView zoomScale="70" zoomScaleNormal="70" workbookViewId="0">
      <selection activeCell="K44" sqref="K44"/>
    </sheetView>
  </sheetViews>
  <sheetFormatPr defaultRowHeight="14.25"/>
  <cols>
    <col min="1" max="1" width="4" customWidth="1"/>
    <col min="2" max="2" width="24.125" customWidth="1"/>
    <col min="3" max="3" width="21.25" bestFit="1" customWidth="1"/>
    <col min="4" max="4" width="25.125" customWidth="1"/>
    <col min="5" max="5" width="21.5" customWidth="1"/>
    <col min="6" max="6" width="18.875" customWidth="1"/>
    <col min="7" max="7" width="15.875" customWidth="1"/>
    <col min="8" max="8" width="19.625" customWidth="1"/>
  </cols>
  <sheetData>
    <row r="1" spans="1:10" s="651" customFormat="1">
      <c r="A1" s="651" t="s">
        <v>16</v>
      </c>
    </row>
    <row r="2" spans="1:10">
      <c r="A2" t="s">
        <v>206</v>
      </c>
    </row>
    <row r="4" spans="1:10" s="726" customFormat="1">
      <c r="A4" s="726" t="s">
        <v>207</v>
      </c>
    </row>
    <row r="5" spans="1:10">
      <c r="A5" s="138"/>
    </row>
    <row r="9" spans="1:10" ht="15">
      <c r="C9" s="719" t="s">
        <v>208</v>
      </c>
      <c r="D9" s="719" t="s">
        <v>209</v>
      </c>
      <c r="E9" s="719" t="s">
        <v>210</v>
      </c>
      <c r="F9" s="719" t="s">
        <v>211</v>
      </c>
      <c r="J9" s="719" t="s">
        <v>212</v>
      </c>
    </row>
    <row r="10" spans="1:10" ht="15">
      <c r="A10" t="s">
        <v>213</v>
      </c>
      <c r="B10" t="s">
        <v>145</v>
      </c>
      <c r="C10" s="652">
        <v>2475</v>
      </c>
      <c r="D10">
        <f>C10/25</f>
        <v>99</v>
      </c>
      <c r="E10" s="169">
        <f>AVERAGE(60,75)</f>
        <v>67.5</v>
      </c>
      <c r="F10" s="755">
        <v>52</v>
      </c>
      <c r="J10" s="473" t="s">
        <v>214</v>
      </c>
    </row>
    <row r="13" spans="1:10" ht="15">
      <c r="C13" s="719" t="s">
        <v>215</v>
      </c>
      <c r="D13" s="719" t="s">
        <v>216</v>
      </c>
      <c r="E13" s="719" t="s">
        <v>210</v>
      </c>
      <c r="F13" s="719" t="s">
        <v>211</v>
      </c>
      <c r="J13" s="719" t="s">
        <v>212</v>
      </c>
    </row>
    <row r="14" spans="1:10">
      <c r="A14" t="s">
        <v>213</v>
      </c>
      <c r="B14" t="s">
        <v>143</v>
      </c>
      <c r="C14" s="652">
        <v>1500</v>
      </c>
      <c r="D14">
        <f>C14/25</f>
        <v>60</v>
      </c>
      <c r="E14" s="720">
        <v>75</v>
      </c>
      <c r="F14" s="755">
        <v>12</v>
      </c>
      <c r="J14" t="s">
        <v>217</v>
      </c>
    </row>
    <row r="17" spans="1:10" ht="15">
      <c r="A17" t="s">
        <v>213</v>
      </c>
      <c r="B17" t="s">
        <v>146</v>
      </c>
      <c r="C17" s="719" t="s">
        <v>218</v>
      </c>
      <c r="D17" s="719" t="s">
        <v>219</v>
      </c>
      <c r="E17" s="719" t="s">
        <v>210</v>
      </c>
      <c r="F17" s="719" t="s">
        <v>220</v>
      </c>
      <c r="G17" s="719" t="s">
        <v>221</v>
      </c>
      <c r="H17" s="719" t="s">
        <v>211</v>
      </c>
      <c r="J17" s="719" t="s">
        <v>212</v>
      </c>
    </row>
    <row r="18" spans="1:10">
      <c r="C18" s="599">
        <f>D18*25</f>
        <v>1875</v>
      </c>
      <c r="D18" s="652">
        <v>75</v>
      </c>
      <c r="E18" s="755">
        <f>AVERAGE(175,200)</f>
        <v>187.5</v>
      </c>
      <c r="F18" s="720">
        <v>3</v>
      </c>
      <c r="G18" s="721">
        <f>1/3</f>
        <v>0.33333333333333331</v>
      </c>
      <c r="H18" s="755">
        <v>260</v>
      </c>
      <c r="J18" t="s">
        <v>222</v>
      </c>
    </row>
    <row r="19" spans="1:10" ht="15">
      <c r="H19" s="1"/>
    </row>
    <row r="21" spans="1:10" ht="15">
      <c r="C21" s="719" t="s">
        <v>223</v>
      </c>
      <c r="D21" s="719" t="s">
        <v>224</v>
      </c>
      <c r="E21" s="719" t="s">
        <v>211</v>
      </c>
      <c r="F21" s="719" t="s">
        <v>225</v>
      </c>
      <c r="G21" s="1" t="s">
        <v>226</v>
      </c>
      <c r="J21" s="719" t="s">
        <v>212</v>
      </c>
    </row>
    <row r="22" spans="1:10">
      <c r="A22" t="s">
        <v>213</v>
      </c>
      <c r="B22" t="s">
        <v>152</v>
      </c>
      <c r="C22" s="599">
        <f>D22*25</f>
        <v>4375</v>
      </c>
      <c r="D22" s="720">
        <f>AVERAGE(150,200)</f>
        <v>175</v>
      </c>
      <c r="E22" s="720">
        <v>2</v>
      </c>
      <c r="F22" s="720">
        <v>200</v>
      </c>
      <c r="J22" t="s">
        <v>227</v>
      </c>
    </row>
    <row r="26" spans="1:10" ht="15">
      <c r="J26" s="719" t="s">
        <v>212</v>
      </c>
    </row>
    <row r="27" spans="1:10">
      <c r="A27" t="s">
        <v>213</v>
      </c>
      <c r="B27" t="s">
        <v>228</v>
      </c>
      <c r="C27" t="s">
        <v>229</v>
      </c>
      <c r="J27" t="s">
        <v>230</v>
      </c>
    </row>
    <row r="32" spans="1:10">
      <c r="C32" t="s">
        <v>231</v>
      </c>
    </row>
    <row r="33" spans="2:8" ht="15">
      <c r="C33" s="1266" t="s">
        <v>78</v>
      </c>
      <c r="D33" s="1266"/>
      <c r="E33" s="662"/>
      <c r="F33" s="662"/>
      <c r="H33" s="662"/>
    </row>
    <row r="34" spans="2:8" ht="15">
      <c r="B34" s="723" t="s">
        <v>171</v>
      </c>
      <c r="C34" s="724" t="s">
        <v>92</v>
      </c>
      <c r="D34" s="724" t="s">
        <v>225</v>
      </c>
      <c r="E34" s="1"/>
      <c r="F34" s="1"/>
      <c r="H34" s="662"/>
    </row>
    <row r="35" spans="2:8">
      <c r="B35" t="str">
        <f>B10</f>
        <v>New wood/ timber</v>
      </c>
      <c r="C35" s="727">
        <f>C10*F10</f>
        <v>128700</v>
      </c>
      <c r="D35" s="756">
        <f>E10*$B$53</f>
        <v>33.75</v>
      </c>
      <c r="E35" t="s">
        <v>232</v>
      </c>
      <c r="F35" s="761"/>
      <c r="H35" s="662"/>
    </row>
    <row r="36" spans="2:8">
      <c r="B36" t="str">
        <f>B14</f>
        <v>Wood chips</v>
      </c>
      <c r="C36" s="727">
        <f>C14*F14</f>
        <v>18000</v>
      </c>
      <c r="D36" s="756">
        <f>E14*$B$53</f>
        <v>37.5</v>
      </c>
      <c r="E36" t="s">
        <v>233</v>
      </c>
      <c r="F36" s="761"/>
      <c r="H36" s="662"/>
    </row>
    <row r="37" spans="2:8">
      <c r="B37" t="str">
        <f>B17</f>
        <v>Grain</v>
      </c>
      <c r="C37" s="727">
        <f>C18*F18*G18*H18</f>
        <v>487500</v>
      </c>
      <c r="D37" s="756">
        <f>E18*$B$53</f>
        <v>93.75</v>
      </c>
      <c r="E37" t="s">
        <v>232</v>
      </c>
      <c r="F37" s="761"/>
      <c r="H37" s="662"/>
    </row>
    <row r="38" spans="2:8">
      <c r="B38" s="150" t="str">
        <f>B22</f>
        <v>Soybeans &amp; rice</v>
      </c>
      <c r="C38" s="754">
        <f>C22*E22</f>
        <v>8750</v>
      </c>
      <c r="D38" s="757">
        <f>F22*$B$53</f>
        <v>100</v>
      </c>
      <c r="E38" t="s">
        <v>232</v>
      </c>
      <c r="F38" s="761"/>
      <c r="H38" s="662"/>
    </row>
    <row r="39" spans="2:8">
      <c r="C39" s="599">
        <f>SUM(C35:C38)</f>
        <v>642950</v>
      </c>
      <c r="D39" s="149">
        <f>SUM(D35:D38)</f>
        <v>265</v>
      </c>
      <c r="F39" s="761"/>
      <c r="H39" s="662"/>
    </row>
    <row r="40" spans="2:8">
      <c r="C40" s="599"/>
      <c r="D40" s="149"/>
      <c r="F40" s="761"/>
      <c r="H40" s="662"/>
    </row>
    <row r="41" spans="2:8" ht="15" thickBot="1">
      <c r="B41" t="s">
        <v>174</v>
      </c>
      <c r="C41" s="599"/>
      <c r="D41" s="149"/>
      <c r="F41" s="761" t="s">
        <v>234</v>
      </c>
      <c r="H41" s="662"/>
    </row>
    <row r="42" spans="2:8" ht="15" thickBot="1">
      <c r="B42" s="1119" t="s">
        <v>155</v>
      </c>
      <c r="C42" s="1120" t="s">
        <v>235</v>
      </c>
      <c r="D42" s="1120" t="s">
        <v>236</v>
      </c>
      <c r="F42" s="1119" t="s">
        <v>155</v>
      </c>
      <c r="G42" s="1120" t="s">
        <v>235</v>
      </c>
      <c r="H42" s="1120" t="s">
        <v>236</v>
      </c>
    </row>
    <row r="43" spans="2:8" ht="15" thickBot="1">
      <c r="B43" s="1121" t="s">
        <v>147</v>
      </c>
      <c r="C43" s="1122">
        <v>107000</v>
      </c>
      <c r="D43" s="1123">
        <v>40</v>
      </c>
      <c r="F43" s="1121" t="str">
        <f>B43</f>
        <v>Aggregate</v>
      </c>
      <c r="G43" s="1122">
        <f>C43*$B$53</f>
        <v>53500</v>
      </c>
      <c r="H43" s="1123">
        <f>D43*$B$53</f>
        <v>20</v>
      </c>
    </row>
    <row r="44" spans="2:8" ht="15" thickBot="1">
      <c r="B44" s="1121" t="s">
        <v>148</v>
      </c>
      <c r="C44" s="1122">
        <v>250000</v>
      </c>
      <c r="D44" s="1123">
        <v>65</v>
      </c>
      <c r="F44" s="1121" t="str">
        <f t="shared" ref="F44:F49" si="0">B44</f>
        <v>Corn</v>
      </c>
      <c r="G44" s="1122">
        <f t="shared" ref="G44:G49" si="1">C44*$B$53</f>
        <v>125000</v>
      </c>
      <c r="H44" s="1123">
        <f t="shared" ref="H44:H49" si="2">D44*$B$53</f>
        <v>32.5</v>
      </c>
    </row>
    <row r="45" spans="2:8" ht="15" thickBot="1">
      <c r="B45" s="1121" t="s">
        <v>175</v>
      </c>
      <c r="C45" s="1122">
        <v>100000</v>
      </c>
      <c r="D45" s="1123">
        <v>65</v>
      </c>
      <c r="F45" s="1121" t="str">
        <f t="shared" si="0"/>
        <v>Soybeans</v>
      </c>
      <c r="G45" s="1122">
        <f t="shared" si="1"/>
        <v>50000</v>
      </c>
      <c r="H45" s="1123">
        <f t="shared" si="2"/>
        <v>32.5</v>
      </c>
    </row>
    <row r="46" spans="2:8" ht="15" thickBot="1">
      <c r="B46" s="1121" t="s">
        <v>149</v>
      </c>
      <c r="C46" s="1122">
        <v>20000</v>
      </c>
      <c r="D46" s="1123">
        <v>65</v>
      </c>
      <c r="F46" s="1121" t="str">
        <f t="shared" si="0"/>
        <v>Cottonseed</v>
      </c>
      <c r="G46" s="1122">
        <f t="shared" si="1"/>
        <v>10000</v>
      </c>
      <c r="H46" s="1123">
        <f t="shared" si="2"/>
        <v>32.5</v>
      </c>
    </row>
    <row r="47" spans="2:8" ht="15" thickBot="1">
      <c r="B47" s="1121" t="s">
        <v>150</v>
      </c>
      <c r="C47" s="1122">
        <v>1000</v>
      </c>
      <c r="D47" s="1123">
        <v>860</v>
      </c>
      <c r="F47" s="1121" t="str">
        <f t="shared" si="0"/>
        <v>Equipment</v>
      </c>
      <c r="G47" s="1122">
        <f t="shared" si="1"/>
        <v>500</v>
      </c>
      <c r="H47" s="1123">
        <f t="shared" si="2"/>
        <v>430</v>
      </c>
    </row>
    <row r="48" spans="2:8" ht="15" thickBot="1">
      <c r="B48" s="1121" t="s">
        <v>151</v>
      </c>
      <c r="C48" s="1122">
        <v>37000</v>
      </c>
      <c r="D48" s="1123">
        <v>40</v>
      </c>
      <c r="F48" s="1121" t="str">
        <f t="shared" si="0"/>
        <v>Fertilizer</v>
      </c>
      <c r="G48" s="1122">
        <f t="shared" si="1"/>
        <v>18500</v>
      </c>
      <c r="H48" s="1123">
        <f t="shared" si="2"/>
        <v>20</v>
      </c>
    </row>
    <row r="49" spans="1:10" ht="15" thickBot="1">
      <c r="B49" s="1124" t="s">
        <v>78</v>
      </c>
      <c r="C49" s="1125">
        <v>515000</v>
      </c>
      <c r="D49" s="1125">
        <v>1135</v>
      </c>
      <c r="F49" s="1124" t="str">
        <f t="shared" si="0"/>
        <v>Total</v>
      </c>
      <c r="G49" s="1125">
        <f t="shared" si="1"/>
        <v>257500</v>
      </c>
      <c r="H49" s="1125">
        <f t="shared" si="2"/>
        <v>567.5</v>
      </c>
    </row>
    <row r="50" spans="1:10">
      <c r="B50" s="1126"/>
      <c r="C50" s="1127"/>
      <c r="D50" s="1127"/>
      <c r="F50" s="662"/>
      <c r="H50" s="662"/>
    </row>
    <row r="51" spans="1:10">
      <c r="B51" t="s">
        <v>237</v>
      </c>
    </row>
    <row r="52" spans="1:10">
      <c r="B52" t="s">
        <v>238</v>
      </c>
    </row>
    <row r="53" spans="1:10">
      <c r="B53" s="819">
        <v>0.5</v>
      </c>
    </row>
    <row r="54" spans="1:10">
      <c r="B54" t="s">
        <v>239</v>
      </c>
    </row>
    <row r="56" spans="1:10" s="726" customFormat="1">
      <c r="A56" s="726" t="s">
        <v>240</v>
      </c>
    </row>
    <row r="58" spans="1:10">
      <c r="C58" t="s">
        <v>241</v>
      </c>
    </row>
    <row r="59" spans="1:10" ht="15">
      <c r="B59" t="s">
        <v>242</v>
      </c>
      <c r="C59" s="759">
        <f>AVERAGE(1,3)</f>
        <v>2</v>
      </c>
      <c r="J59" s="719" t="s">
        <v>212</v>
      </c>
    </row>
    <row r="60" spans="1:10">
      <c r="B60" t="s">
        <v>243</v>
      </c>
      <c r="C60" s="759">
        <f>AVERAGE(3,5)</f>
        <v>4</v>
      </c>
      <c r="J60" t="s">
        <v>244</v>
      </c>
    </row>
    <row r="61" spans="1:10">
      <c r="J61" t="s">
        <v>245</v>
      </c>
    </row>
    <row r="63" spans="1:10" s="726" customFormat="1">
      <c r="A63" s="726" t="s">
        <v>49</v>
      </c>
    </row>
    <row r="65" spans="2:10" ht="15">
      <c r="B65" s="719" t="s">
        <v>246</v>
      </c>
      <c r="C65" s="719" t="s">
        <v>247</v>
      </c>
      <c r="J65" s="719" t="s">
        <v>212</v>
      </c>
    </row>
    <row r="66" spans="2:10">
      <c r="B66" t="s">
        <v>248</v>
      </c>
      <c r="C66" t="s">
        <v>248</v>
      </c>
      <c r="J66" t="s">
        <v>249</v>
      </c>
    </row>
    <row r="67" spans="2:10">
      <c r="B67" s="66">
        <v>5.5</v>
      </c>
      <c r="C67">
        <v>1.94</v>
      </c>
    </row>
    <row r="69" spans="2:10" ht="15">
      <c r="B69" s="719" t="s">
        <v>250</v>
      </c>
      <c r="C69" s="719" t="s">
        <v>251</v>
      </c>
    </row>
    <row r="70" spans="2:10">
      <c r="B70">
        <v>25</v>
      </c>
      <c r="C70">
        <v>100</v>
      </c>
    </row>
    <row r="72" spans="2:10" ht="15">
      <c r="B72" s="719" t="s">
        <v>252</v>
      </c>
      <c r="C72" s="719" t="s">
        <v>253</v>
      </c>
    </row>
    <row r="73" spans="2:10">
      <c r="B73" s="66">
        <f>B67/B70</f>
        <v>0.22</v>
      </c>
      <c r="C73" s="66">
        <f>C67/C70</f>
        <v>1.9400000000000001E-2</v>
      </c>
    </row>
    <row r="75" spans="2:10">
      <c r="B75" s="725">
        <f>'Shipping Rates'!$E$5</f>
        <v>0.20822843817382367</v>
      </c>
      <c r="C75" s="725">
        <f>'Shipping Rates'!$E$6</f>
        <v>4.4704823728667714E-2</v>
      </c>
      <c r="D75" s="138" t="s">
        <v>254</v>
      </c>
    </row>
  </sheetData>
  <mergeCells count="1">
    <mergeCell ref="C33:D33"/>
  </mergeCells>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0C529-9FAA-429E-80E7-BCBC79CE6FFA}">
  <sheetPr codeName="Sheet19">
    <tabColor rgb="FF7030A0"/>
  </sheetPr>
  <dimension ref="B1:S86"/>
  <sheetViews>
    <sheetView zoomScale="80" zoomScaleNormal="80" workbookViewId="0">
      <selection activeCell="D63" sqref="D63"/>
    </sheetView>
  </sheetViews>
  <sheetFormatPr defaultRowHeight="14.25"/>
  <cols>
    <col min="1" max="1" width="9.375" customWidth="1"/>
    <col min="2" max="2" width="19.25" customWidth="1"/>
    <col min="3" max="3" width="45.5" bestFit="1" customWidth="1"/>
    <col min="4" max="4" width="24.875" customWidth="1"/>
    <col min="5" max="5" width="18.25" bestFit="1" customWidth="1"/>
    <col min="6" max="6" width="18.375" customWidth="1"/>
    <col min="7" max="7" width="8.625"/>
    <col min="9" max="9" width="9.5" bestFit="1" customWidth="1"/>
    <col min="10" max="10" width="23.125" bestFit="1" customWidth="1"/>
    <col min="12" max="12" width="18.25" style="566" bestFit="1" customWidth="1"/>
    <col min="17" max="17" width="32.625" customWidth="1"/>
  </cols>
  <sheetData>
    <row r="1" spans="2:19">
      <c r="I1" s="138" t="s">
        <v>255</v>
      </c>
    </row>
    <row r="2" spans="2:19" ht="15">
      <c r="B2" s="1" t="s">
        <v>154</v>
      </c>
      <c r="C2" s="1" t="s">
        <v>256</v>
      </c>
      <c r="D2" s="1" t="s">
        <v>257</v>
      </c>
      <c r="E2" s="1" t="s">
        <v>258</v>
      </c>
    </row>
    <row r="3" spans="2:19" ht="15">
      <c r="B3" t="s">
        <v>172</v>
      </c>
      <c r="C3" t="s">
        <v>259</v>
      </c>
      <c r="D3" t="s">
        <v>260</v>
      </c>
      <c r="E3" s="624">
        <f>INDEX($I$45:$L$86,MATCH(C3,J$45:J$86,0),4)</f>
        <v>-1.996282855439846E-4</v>
      </c>
      <c r="I3" s="1" t="s">
        <v>154</v>
      </c>
      <c r="J3" s="1" t="s">
        <v>155</v>
      </c>
      <c r="K3" s="1" t="s">
        <v>257</v>
      </c>
      <c r="L3" s="628" t="s">
        <v>258</v>
      </c>
      <c r="S3" s="566"/>
    </row>
    <row r="4" spans="2:19">
      <c r="B4" t="s">
        <v>172</v>
      </c>
      <c r="C4" t="s">
        <v>261</v>
      </c>
      <c r="D4" t="s">
        <v>260</v>
      </c>
      <c r="E4" s="624">
        <f>INDEX($I$45:$L$86,MATCH(C4,J$45:J$86,0),4)</f>
        <v>1.9179386501238627E-2</v>
      </c>
      <c r="I4" t="s">
        <v>173</v>
      </c>
      <c r="J4" t="s">
        <v>262</v>
      </c>
      <c r="K4" t="s">
        <v>260</v>
      </c>
      <c r="L4" s="566">
        <v>3.7257598809057324E-2</v>
      </c>
      <c r="S4" s="566"/>
    </row>
    <row r="5" spans="2:19">
      <c r="B5" t="s">
        <v>172</v>
      </c>
      <c r="C5" t="s">
        <v>263</v>
      </c>
      <c r="D5" t="s">
        <v>260</v>
      </c>
      <c r="E5" s="624">
        <f>AVERAGE(L45:L86)</f>
        <v>1.4758256607121597E-2</v>
      </c>
      <c r="I5" t="s">
        <v>173</v>
      </c>
      <c r="J5" t="s">
        <v>259</v>
      </c>
      <c r="K5" t="s">
        <v>260</v>
      </c>
      <c r="L5" s="566">
        <v>-2.3057530108382407E-3</v>
      </c>
      <c r="S5" s="566"/>
    </row>
    <row r="6" spans="2:19">
      <c r="B6" t="s">
        <v>172</v>
      </c>
      <c r="C6" t="s">
        <v>264</v>
      </c>
      <c r="D6" t="s">
        <v>260</v>
      </c>
      <c r="E6" s="640">
        <f>AVERAGE(L54,L56,L76:L77)</f>
        <v>1.2450534024736892E-2</v>
      </c>
      <c r="I6" t="s">
        <v>173</v>
      </c>
      <c r="J6" t="s">
        <v>265</v>
      </c>
      <c r="K6" t="s">
        <v>260</v>
      </c>
      <c r="L6" s="566">
        <v>2.9944103341923434E-3</v>
      </c>
      <c r="S6" s="566"/>
    </row>
    <row r="7" spans="2:19">
      <c r="B7" t="s">
        <v>173</v>
      </c>
      <c r="C7" t="s">
        <v>259</v>
      </c>
      <c r="D7" t="s">
        <v>260</v>
      </c>
      <c r="E7" s="624">
        <f>INDEX($I$4:$L$44,MATCH(C7,$J$4:$J$44,0),4)</f>
        <v>-2.3057530108382407E-3</v>
      </c>
      <c r="I7" t="s">
        <v>173</v>
      </c>
      <c r="J7" t="s">
        <v>266</v>
      </c>
      <c r="K7" t="s">
        <v>260</v>
      </c>
      <c r="L7" s="566">
        <v>1.8400962017875777E-2</v>
      </c>
      <c r="S7" s="566"/>
    </row>
    <row r="8" spans="2:19">
      <c r="B8" t="s">
        <v>173</v>
      </c>
      <c r="C8" t="s">
        <v>265</v>
      </c>
      <c r="D8" t="s">
        <v>260</v>
      </c>
      <c r="E8" s="624">
        <f>INDEX($I$4:$L$44,MATCH(C8,$J$4:$J$44,0),4)</f>
        <v>2.9944103341923434E-3</v>
      </c>
      <c r="I8" t="s">
        <v>173</v>
      </c>
      <c r="J8" t="s">
        <v>267</v>
      </c>
      <c r="K8" t="s">
        <v>260</v>
      </c>
      <c r="L8" s="566">
        <v>1.2885191157045339E-2</v>
      </c>
      <c r="S8" s="566"/>
    </row>
    <row r="9" spans="2:19">
      <c r="B9" t="s">
        <v>173</v>
      </c>
      <c r="C9" t="s">
        <v>263</v>
      </c>
      <c r="D9" t="s">
        <v>260</v>
      </c>
      <c r="E9" s="624">
        <f>AVERAGE(L3:L43)</f>
        <v>1.6968442756330422E-2</v>
      </c>
      <c r="I9" t="s">
        <v>173</v>
      </c>
      <c r="J9" t="s">
        <v>268</v>
      </c>
      <c r="K9" t="s">
        <v>260</v>
      </c>
      <c r="L9" s="566">
        <v>1.6164348748024748E-2</v>
      </c>
      <c r="S9" s="566"/>
    </row>
    <row r="10" spans="2:19">
      <c r="B10" t="s">
        <v>173</v>
      </c>
      <c r="C10" t="s">
        <v>263</v>
      </c>
      <c r="D10" t="s">
        <v>260</v>
      </c>
      <c r="E10" s="624">
        <f>AVERAGE(L4:L44)</f>
        <v>1.7066390910246809E-2</v>
      </c>
      <c r="I10" t="s">
        <v>173</v>
      </c>
      <c r="J10" t="s">
        <v>269</v>
      </c>
      <c r="K10" t="s">
        <v>260</v>
      </c>
      <c r="L10" s="566">
        <v>1.805847857346965E-2</v>
      </c>
      <c r="S10" s="566"/>
    </row>
    <row r="11" spans="2:19">
      <c r="E11" s="565"/>
      <c r="I11" t="s">
        <v>173</v>
      </c>
      <c r="J11" t="s">
        <v>270</v>
      </c>
      <c r="K11" t="s">
        <v>260</v>
      </c>
      <c r="L11" s="566">
        <v>2.3524365757509047E-2</v>
      </c>
      <c r="S11" s="566"/>
    </row>
    <row r="12" spans="2:19">
      <c r="I12" t="s">
        <v>173</v>
      </c>
      <c r="J12" t="s">
        <v>271</v>
      </c>
      <c r="K12" t="s">
        <v>260</v>
      </c>
      <c r="L12" s="566">
        <v>1.8310140352091331E-2</v>
      </c>
      <c r="S12" s="566"/>
    </row>
    <row r="13" spans="2:19" ht="15">
      <c r="B13" s="633" t="s">
        <v>154</v>
      </c>
      <c r="C13" s="633" t="s">
        <v>256</v>
      </c>
      <c r="D13" s="633" t="s">
        <v>272</v>
      </c>
      <c r="E13" s="633" t="s">
        <v>273</v>
      </c>
      <c r="I13" t="s">
        <v>173</v>
      </c>
      <c r="J13" t="s">
        <v>274</v>
      </c>
      <c r="K13" t="s">
        <v>260</v>
      </c>
      <c r="L13" s="566">
        <v>1.9288203322220587E-2</v>
      </c>
      <c r="S13" s="566"/>
    </row>
    <row r="14" spans="2:19">
      <c r="B14" s="634" t="s">
        <v>172</v>
      </c>
      <c r="C14" s="634" t="s">
        <v>259</v>
      </c>
      <c r="D14" s="634" t="s">
        <v>148</v>
      </c>
      <c r="E14" s="635">
        <f>E3</f>
        <v>-1.996282855439846E-4</v>
      </c>
      <c r="I14" t="s">
        <v>173</v>
      </c>
      <c r="J14" t="s">
        <v>275</v>
      </c>
      <c r="K14" t="s">
        <v>260</v>
      </c>
      <c r="L14" s="566">
        <v>1.0422705401547772E-2</v>
      </c>
      <c r="S14" s="566"/>
    </row>
    <row r="15" spans="2:19">
      <c r="B15" s="634" t="s">
        <v>172</v>
      </c>
      <c r="C15" s="634" t="s">
        <v>259</v>
      </c>
      <c r="D15" s="634" t="s">
        <v>276</v>
      </c>
      <c r="E15" s="635">
        <f>E3</f>
        <v>-1.996282855439846E-4</v>
      </c>
      <c r="I15" t="s">
        <v>173</v>
      </c>
      <c r="J15" t="s">
        <v>277</v>
      </c>
      <c r="K15" t="s">
        <v>260</v>
      </c>
      <c r="L15" s="566">
        <v>1.534057189590432E-2</v>
      </c>
      <c r="S15" s="566"/>
    </row>
    <row r="16" spans="2:19">
      <c r="B16" s="634" t="s">
        <v>172</v>
      </c>
      <c r="C16" s="634" t="s">
        <v>264</v>
      </c>
      <c r="D16" s="634" t="s">
        <v>278</v>
      </c>
      <c r="E16" s="635">
        <f>E6</f>
        <v>1.2450534024736892E-2</v>
      </c>
      <c r="I16" t="s">
        <v>173</v>
      </c>
      <c r="J16" t="s">
        <v>279</v>
      </c>
      <c r="K16" t="s">
        <v>260</v>
      </c>
      <c r="L16" s="566">
        <v>1.9224911733337846E-2</v>
      </c>
      <c r="S16" s="566"/>
    </row>
    <row r="17" spans="2:19">
      <c r="B17" s="634" t="s">
        <v>172</v>
      </c>
      <c r="C17" s="634" t="s">
        <v>261</v>
      </c>
      <c r="D17" s="634" t="s">
        <v>280</v>
      </c>
      <c r="E17" s="635">
        <f>E4</f>
        <v>1.9179386501238627E-2</v>
      </c>
      <c r="I17" t="s">
        <v>173</v>
      </c>
      <c r="J17" t="s">
        <v>281</v>
      </c>
      <c r="K17" t="s">
        <v>260</v>
      </c>
      <c r="L17" s="566">
        <v>-8.1299988142111701E-3</v>
      </c>
      <c r="S17" s="566"/>
    </row>
    <row r="18" spans="2:19">
      <c r="B18" s="634" t="s">
        <v>172</v>
      </c>
      <c r="C18" s="634" t="s">
        <v>264</v>
      </c>
      <c r="D18" s="634" t="s">
        <v>282</v>
      </c>
      <c r="E18" s="636">
        <f>E6</f>
        <v>1.2450534024736892E-2</v>
      </c>
      <c r="I18" t="s">
        <v>173</v>
      </c>
      <c r="J18" t="s">
        <v>283</v>
      </c>
      <c r="K18" t="s">
        <v>260</v>
      </c>
      <c r="L18" s="566">
        <v>1.0353090369741302E-2</v>
      </c>
      <c r="S18" s="566"/>
    </row>
    <row r="19" spans="2:19">
      <c r="B19" s="634" t="s">
        <v>172</v>
      </c>
      <c r="C19" s="634" t="s">
        <v>264</v>
      </c>
      <c r="D19" s="634" t="s">
        <v>284</v>
      </c>
      <c r="E19" s="637">
        <f>E6</f>
        <v>1.2450534024736892E-2</v>
      </c>
      <c r="I19" t="s">
        <v>173</v>
      </c>
      <c r="J19" t="s">
        <v>285</v>
      </c>
      <c r="K19" t="s">
        <v>260</v>
      </c>
      <c r="L19" s="566">
        <v>-2.1225249272824542E-2</v>
      </c>
      <c r="S19" s="566"/>
    </row>
    <row r="20" spans="2:19">
      <c r="B20" s="638" t="s">
        <v>173</v>
      </c>
      <c r="C20" s="638" t="s">
        <v>259</v>
      </c>
      <c r="D20" s="638" t="s">
        <v>286</v>
      </c>
      <c r="E20" s="639">
        <f>E7</f>
        <v>-2.3057530108382407E-3</v>
      </c>
      <c r="I20" t="s">
        <v>173</v>
      </c>
      <c r="J20" t="s">
        <v>287</v>
      </c>
      <c r="K20" t="s">
        <v>260</v>
      </c>
      <c r="L20" s="566">
        <v>-4.9214123756334827E-3</v>
      </c>
      <c r="S20" s="566"/>
    </row>
    <row r="21" spans="2:19">
      <c r="B21" s="638" t="s">
        <v>173</v>
      </c>
      <c r="C21" s="638" t="s">
        <v>265</v>
      </c>
      <c r="D21" s="638" t="s">
        <v>175</v>
      </c>
      <c r="E21" s="639">
        <f>E8</f>
        <v>2.9944103341923434E-3</v>
      </c>
      <c r="I21" t="s">
        <v>173</v>
      </c>
      <c r="J21" t="s">
        <v>288</v>
      </c>
      <c r="K21" t="s">
        <v>260</v>
      </c>
      <c r="L21" s="566">
        <v>1.4179289172850273E-2</v>
      </c>
      <c r="S21" s="566"/>
    </row>
    <row r="22" spans="2:19">
      <c r="B22" s="638" t="s">
        <v>173</v>
      </c>
      <c r="C22" s="638" t="s">
        <v>259</v>
      </c>
      <c r="D22" s="638" t="s">
        <v>276</v>
      </c>
      <c r="E22" s="639">
        <f>E7</f>
        <v>-2.3057530108382407E-3</v>
      </c>
      <c r="I22" t="s">
        <v>173</v>
      </c>
      <c r="J22" t="s">
        <v>289</v>
      </c>
      <c r="K22" t="s">
        <v>260</v>
      </c>
      <c r="L22" s="566">
        <v>3.9224024171416572E-2</v>
      </c>
      <c r="S22" s="566"/>
    </row>
    <row r="23" spans="2:19">
      <c r="B23" s="638" t="s">
        <v>173</v>
      </c>
      <c r="C23" s="638" t="s">
        <v>259</v>
      </c>
      <c r="D23" s="638" t="s">
        <v>148</v>
      </c>
      <c r="E23" s="639">
        <f>E7</f>
        <v>-2.3057530108382407E-3</v>
      </c>
      <c r="I23" t="s">
        <v>173</v>
      </c>
      <c r="J23" t="s">
        <v>290</v>
      </c>
      <c r="K23" t="s">
        <v>260</v>
      </c>
      <c r="L23" s="566">
        <v>3.8229320397389355E-2</v>
      </c>
      <c r="S23" s="566"/>
    </row>
    <row r="24" spans="2:19">
      <c r="I24" t="s">
        <v>173</v>
      </c>
      <c r="J24" t="s">
        <v>291</v>
      </c>
      <c r="K24" t="s">
        <v>260</v>
      </c>
      <c r="L24" s="566">
        <v>3.2409447305920658E-2</v>
      </c>
      <c r="S24" s="566"/>
    </row>
    <row r="25" spans="2:19">
      <c r="I25" t="s">
        <v>173</v>
      </c>
      <c r="J25" t="s">
        <v>292</v>
      </c>
      <c r="K25" t="s">
        <v>260</v>
      </c>
      <c r="L25" s="566">
        <v>3.4303800368839177E-2</v>
      </c>
      <c r="S25" s="566"/>
    </row>
    <row r="26" spans="2:19">
      <c r="I26" t="s">
        <v>173</v>
      </c>
      <c r="J26" t="s">
        <v>293</v>
      </c>
      <c r="K26" t="s">
        <v>260</v>
      </c>
      <c r="L26" s="566">
        <v>3.0473183948354743E-2</v>
      </c>
      <c r="S26" s="566"/>
    </row>
    <row r="27" spans="2:19" ht="15">
      <c r="B27" s="722" t="s">
        <v>154</v>
      </c>
      <c r="C27" s="722" t="s">
        <v>155</v>
      </c>
      <c r="D27" s="722" t="s">
        <v>256</v>
      </c>
      <c r="E27" s="722" t="s">
        <v>257</v>
      </c>
      <c r="F27" s="722" t="s">
        <v>258</v>
      </c>
      <c r="I27" t="s">
        <v>173</v>
      </c>
      <c r="J27" t="s">
        <v>294</v>
      </c>
      <c r="K27" t="s">
        <v>260</v>
      </c>
      <c r="L27" s="566">
        <v>1.5910737507556671E-2</v>
      </c>
      <c r="S27" s="566"/>
    </row>
    <row r="28" spans="2:19">
      <c r="B28" s="298" t="s">
        <v>172</v>
      </c>
      <c r="C28" s="299" t="s">
        <v>185</v>
      </c>
      <c r="D28" s="299" t="s">
        <v>291</v>
      </c>
      <c r="E28" s="299" t="s">
        <v>260</v>
      </c>
      <c r="F28" s="663">
        <f>INDEX($I$45:$L$86,MATCH(D28,J$45:J$86,0),4)</f>
        <v>3.2237706112185682E-2</v>
      </c>
      <c r="I28" t="s">
        <v>173</v>
      </c>
      <c r="J28" t="s">
        <v>261</v>
      </c>
      <c r="K28" t="s">
        <v>260</v>
      </c>
      <c r="L28" s="566">
        <v>1.3802128386773527E-2</v>
      </c>
      <c r="S28" s="566"/>
    </row>
    <row r="29" spans="2:19">
      <c r="B29" s="664" t="s">
        <v>172</v>
      </c>
      <c r="C29" t="s">
        <v>192</v>
      </c>
      <c r="D29" t="s">
        <v>274</v>
      </c>
      <c r="E29" t="s">
        <v>260</v>
      </c>
      <c r="F29" s="665">
        <f t="shared" ref="F29:F35" si="0">INDEX($I$45:$L$86,MATCH(D29,J$45:J$86,0),4)</f>
        <v>1.9241941172126298E-2</v>
      </c>
      <c r="I29" t="s">
        <v>173</v>
      </c>
      <c r="J29" t="s">
        <v>295</v>
      </c>
      <c r="K29" t="s">
        <v>260</v>
      </c>
      <c r="L29" s="566">
        <v>1.1661868415308252E-2</v>
      </c>
      <c r="S29" s="566"/>
    </row>
    <row r="30" spans="2:19">
      <c r="B30" s="664" t="s">
        <v>172</v>
      </c>
      <c r="C30" t="s">
        <v>193</v>
      </c>
      <c r="D30" t="s">
        <v>274</v>
      </c>
      <c r="E30" t="s">
        <v>260</v>
      </c>
      <c r="F30" s="665">
        <f t="shared" si="0"/>
        <v>1.9241941172126298E-2</v>
      </c>
      <c r="I30" t="s">
        <v>173</v>
      </c>
      <c r="J30" t="s">
        <v>296</v>
      </c>
      <c r="K30" t="s">
        <v>260</v>
      </c>
      <c r="L30" s="566">
        <v>1.6534934541357238E-2</v>
      </c>
      <c r="S30" s="566"/>
    </row>
    <row r="31" spans="2:19">
      <c r="B31" s="664" t="s">
        <v>172</v>
      </c>
      <c r="C31" t="s">
        <v>194</v>
      </c>
      <c r="D31" t="s">
        <v>275</v>
      </c>
      <c r="E31" t="s">
        <v>260</v>
      </c>
      <c r="F31" s="665">
        <f t="shared" si="0"/>
        <v>1.0676606940422495E-2</v>
      </c>
      <c r="I31" t="s">
        <v>173</v>
      </c>
      <c r="J31" t="s">
        <v>297</v>
      </c>
      <c r="K31" t="s">
        <v>260</v>
      </c>
      <c r="L31" s="566">
        <v>8.0494438656952827E-3</v>
      </c>
      <c r="S31" s="566"/>
    </row>
    <row r="32" spans="2:19">
      <c r="B32" s="664" t="s">
        <v>172</v>
      </c>
      <c r="C32" t="s">
        <v>195</v>
      </c>
      <c r="D32" t="s">
        <v>277</v>
      </c>
      <c r="E32" t="s">
        <v>260</v>
      </c>
      <c r="F32" s="665">
        <f t="shared" si="0"/>
        <v>1.4558866148277616E-2</v>
      </c>
      <c r="I32" t="s">
        <v>173</v>
      </c>
      <c r="J32" t="s">
        <v>298</v>
      </c>
      <c r="K32" t="s">
        <v>260</v>
      </c>
      <c r="L32" s="566">
        <v>2.338291508059509E-2</v>
      </c>
      <c r="S32" s="566"/>
    </row>
    <row r="33" spans="2:19">
      <c r="B33" s="664" t="s">
        <v>172</v>
      </c>
      <c r="C33" t="s">
        <v>196</v>
      </c>
      <c r="D33" t="s">
        <v>275</v>
      </c>
      <c r="E33" t="s">
        <v>260</v>
      </c>
      <c r="F33" s="665">
        <f t="shared" si="0"/>
        <v>1.0676606940422495E-2</v>
      </c>
      <c r="I33" t="s">
        <v>173</v>
      </c>
      <c r="J33" t="s">
        <v>299</v>
      </c>
      <c r="K33" t="s">
        <v>260</v>
      </c>
      <c r="L33" s="566">
        <v>1.6672569324559738E-2</v>
      </c>
      <c r="S33" s="566"/>
    </row>
    <row r="34" spans="2:19">
      <c r="B34" s="664" t="s">
        <v>172</v>
      </c>
      <c r="C34" t="s">
        <v>198</v>
      </c>
      <c r="D34" t="s">
        <v>259</v>
      </c>
      <c r="E34" t="s">
        <v>260</v>
      </c>
      <c r="F34" s="665">
        <f t="shared" si="0"/>
        <v>-1.996282855439846E-4</v>
      </c>
      <c r="I34" t="s">
        <v>173</v>
      </c>
      <c r="J34" t="s">
        <v>300</v>
      </c>
      <c r="K34" t="s">
        <v>260</v>
      </c>
      <c r="L34" s="566">
        <v>1.3542657284675963E-2</v>
      </c>
      <c r="S34" s="566"/>
    </row>
    <row r="35" spans="2:19">
      <c r="B35" s="309" t="s">
        <v>172</v>
      </c>
      <c r="C35" s="150" t="s">
        <v>202</v>
      </c>
      <c r="D35" s="150" t="s">
        <v>265</v>
      </c>
      <c r="E35" s="150" t="s">
        <v>260</v>
      </c>
      <c r="F35" s="666">
        <f t="shared" si="0"/>
        <v>4.7311577130551008E-3</v>
      </c>
      <c r="I35" t="s">
        <v>173</v>
      </c>
      <c r="J35" t="s">
        <v>301</v>
      </c>
      <c r="K35" t="s">
        <v>260</v>
      </c>
      <c r="L35" s="566">
        <v>1.2154068296501119E-2</v>
      </c>
      <c r="S35" s="566"/>
    </row>
    <row r="36" spans="2:19">
      <c r="B36" s="664" t="s">
        <v>173</v>
      </c>
      <c r="C36" t="str">
        <f>C28</f>
        <v>fertilizers</v>
      </c>
      <c r="D36" t="str">
        <f>D28</f>
        <v>22-Fertilizers</v>
      </c>
      <c r="E36" t="s">
        <v>260</v>
      </c>
      <c r="F36" s="665">
        <f>INDEX($I$4:$L$44,MATCH(D36,$J$4:$J$44,0),4)</f>
        <v>3.2409447305920658E-2</v>
      </c>
      <c r="I36" t="s">
        <v>173</v>
      </c>
      <c r="J36" t="s">
        <v>302</v>
      </c>
      <c r="K36" t="s">
        <v>260</v>
      </c>
      <c r="L36" s="566">
        <v>1.9689205007525024E-2</v>
      </c>
      <c r="S36" s="566"/>
    </row>
    <row r="37" spans="2:19">
      <c r="B37" s="664" t="s">
        <v>173</v>
      </c>
      <c r="C37" t="str">
        <f t="shared" ref="C37:D43" si="1">C29</f>
        <v>building stone</v>
      </c>
      <c r="D37" t="str">
        <f t="shared" si="1"/>
        <v>10-Building stone</v>
      </c>
      <c r="E37" t="s">
        <v>260</v>
      </c>
      <c r="F37" s="665">
        <f t="shared" ref="F37:F43" si="2">INDEX($I$4:$L$44,MATCH(D37,$J$4:$J$44,0),4)</f>
        <v>1.9288203322220587E-2</v>
      </c>
      <c r="I37" t="s">
        <v>173</v>
      </c>
      <c r="J37" t="s">
        <v>303</v>
      </c>
      <c r="K37" t="s">
        <v>260</v>
      </c>
      <c r="L37" s="566">
        <v>3.3013414880006531E-2</v>
      </c>
      <c r="S37" s="566"/>
    </row>
    <row r="38" spans="2:19">
      <c r="B38" s="664" t="s">
        <v>173</v>
      </c>
      <c r="C38" t="str">
        <f t="shared" si="1"/>
        <v>limestone</v>
      </c>
      <c r="D38" t="str">
        <f t="shared" si="1"/>
        <v>10-Building stone</v>
      </c>
      <c r="E38" t="s">
        <v>260</v>
      </c>
      <c r="F38" s="665">
        <f t="shared" si="2"/>
        <v>1.9288203322220587E-2</v>
      </c>
      <c r="I38" t="s">
        <v>173</v>
      </c>
      <c r="J38" t="s">
        <v>304</v>
      </c>
      <c r="K38" t="s">
        <v>260</v>
      </c>
      <c r="L38" s="566">
        <v>2.2053832004705676E-2</v>
      </c>
      <c r="S38" s="566"/>
    </row>
    <row r="39" spans="2:19">
      <c r="B39" s="664" t="s">
        <v>173</v>
      </c>
      <c r="C39" t="str">
        <f t="shared" si="1"/>
        <v>sand and gravel</v>
      </c>
      <c r="D39" t="str">
        <f t="shared" si="1"/>
        <v>11-Natural sands</v>
      </c>
      <c r="E39" t="s">
        <v>260</v>
      </c>
      <c r="F39" s="665">
        <f t="shared" si="2"/>
        <v>1.0422705401547772E-2</v>
      </c>
      <c r="I39" t="s">
        <v>173</v>
      </c>
      <c r="J39" t="s">
        <v>305</v>
      </c>
      <c r="K39" t="s">
        <v>260</v>
      </c>
      <c r="L39" s="566">
        <v>1.7944088244217671E-2</v>
      </c>
      <c r="S39" s="566"/>
    </row>
    <row r="40" spans="2:19">
      <c r="B40" s="664" t="s">
        <v>173</v>
      </c>
      <c r="C40" t="str">
        <f t="shared" si="1"/>
        <v>waterway improv. Mat.</v>
      </c>
      <c r="D40" t="str">
        <f t="shared" si="1"/>
        <v>12-Gravel</v>
      </c>
      <c r="E40" t="s">
        <v>260</v>
      </c>
      <c r="F40" s="665">
        <f t="shared" si="2"/>
        <v>1.534057189590432E-2</v>
      </c>
      <c r="I40" t="s">
        <v>173</v>
      </c>
      <c r="J40" t="s">
        <v>306</v>
      </c>
      <c r="K40" t="s">
        <v>260</v>
      </c>
      <c r="L40" s="566">
        <v>2.9122372100027327E-2</v>
      </c>
      <c r="S40" s="566"/>
    </row>
    <row r="41" spans="2:19">
      <c r="B41" s="664" t="s">
        <v>173</v>
      </c>
      <c r="C41" t="str">
        <f t="shared" si="1"/>
        <v>gypsum</v>
      </c>
      <c r="D41" t="str">
        <f t="shared" si="1"/>
        <v>11-Natural sands</v>
      </c>
      <c r="E41" t="s">
        <v>260</v>
      </c>
      <c r="F41" s="665">
        <f t="shared" si="2"/>
        <v>1.0422705401547772E-2</v>
      </c>
      <c r="I41" t="s">
        <v>173</v>
      </c>
      <c r="J41" t="s">
        <v>307</v>
      </c>
      <c r="K41" t="s">
        <v>260</v>
      </c>
      <c r="L41" s="566">
        <v>1.6392392311798343E-2</v>
      </c>
      <c r="S41" s="566"/>
    </row>
    <row r="42" spans="2:19">
      <c r="B42" s="664" t="s">
        <v>173</v>
      </c>
      <c r="C42" t="str">
        <f t="shared" si="1"/>
        <v>grain</v>
      </c>
      <c r="D42" t="str">
        <f t="shared" si="1"/>
        <v>02-Cereal grains</v>
      </c>
      <c r="E42" t="s">
        <v>260</v>
      </c>
      <c r="F42" s="665">
        <f t="shared" si="2"/>
        <v>-2.3057530108382407E-3</v>
      </c>
      <c r="I42" t="s">
        <v>173</v>
      </c>
      <c r="J42" t="s">
        <v>308</v>
      </c>
      <c r="K42" t="s">
        <v>260</v>
      </c>
      <c r="L42" s="566">
        <v>2.876157984313199E-2</v>
      </c>
      <c r="S42" s="566"/>
    </row>
    <row r="43" spans="2:19">
      <c r="B43" s="309" t="s">
        <v>173</v>
      </c>
      <c r="C43" s="150" t="str">
        <f t="shared" si="1"/>
        <v>oilseeds</v>
      </c>
      <c r="D43" s="150" t="str">
        <f t="shared" si="1"/>
        <v>03-Other ag prods.</v>
      </c>
      <c r="E43" s="150" t="s">
        <v>260</v>
      </c>
      <c r="F43" s="666">
        <f t="shared" si="2"/>
        <v>2.9944103341923434E-3</v>
      </c>
      <c r="I43" t="s">
        <v>173</v>
      </c>
      <c r="J43" t="s">
        <v>309</v>
      </c>
      <c r="K43" t="s">
        <v>260</v>
      </c>
      <c r="L43" s="566">
        <v>5.5878727955007701E-3</v>
      </c>
      <c r="S43" s="566"/>
    </row>
    <row r="44" spans="2:19">
      <c r="I44" t="s">
        <v>173</v>
      </c>
      <c r="J44" t="s">
        <v>310</v>
      </c>
      <c r="K44" t="s">
        <v>260</v>
      </c>
      <c r="L44" s="566">
        <v>2.0984317066902181E-2</v>
      </c>
      <c r="S44" s="566"/>
    </row>
    <row r="45" spans="2:19">
      <c r="I45" t="s">
        <v>172</v>
      </c>
      <c r="J45" t="s">
        <v>262</v>
      </c>
      <c r="K45" t="s">
        <v>260</v>
      </c>
      <c r="L45" s="566">
        <v>3.7473069452180985E-2</v>
      </c>
    </row>
    <row r="46" spans="2:19" ht="15">
      <c r="B46" s="722" t="s">
        <v>154</v>
      </c>
      <c r="C46" s="722" t="s">
        <v>311</v>
      </c>
      <c r="D46" s="722" t="s">
        <v>258</v>
      </c>
      <c r="I46" t="s">
        <v>172</v>
      </c>
      <c r="J46" t="s">
        <v>259</v>
      </c>
      <c r="K46" t="s">
        <v>260</v>
      </c>
      <c r="L46" s="566">
        <v>-1.996282855439846E-4</v>
      </c>
      <c r="S46" s="640"/>
    </row>
    <row r="47" spans="2:19">
      <c r="B47" s="298" t="s">
        <v>172</v>
      </c>
      <c r="C47" s="299" t="s">
        <v>186</v>
      </c>
      <c r="D47" s="663">
        <f>F28</f>
        <v>3.2237706112185682E-2</v>
      </c>
      <c r="I47" t="s">
        <v>172</v>
      </c>
      <c r="J47" t="s">
        <v>265</v>
      </c>
      <c r="K47" t="s">
        <v>260</v>
      </c>
      <c r="L47" s="566">
        <v>4.7311577130551008E-3</v>
      </c>
    </row>
    <row r="48" spans="2:19">
      <c r="B48" s="664" t="s">
        <v>172</v>
      </c>
      <c r="C48" t="s">
        <v>187</v>
      </c>
      <c r="D48" s="665">
        <f>F28</f>
        <v>3.2237706112185682E-2</v>
      </c>
      <c r="I48" t="s">
        <v>172</v>
      </c>
      <c r="J48" t="s">
        <v>266</v>
      </c>
      <c r="K48" t="s">
        <v>260</v>
      </c>
      <c r="L48" s="566">
        <v>1.7907674847701838E-2</v>
      </c>
    </row>
    <row r="49" spans="2:12">
      <c r="B49" s="664" t="s">
        <v>172</v>
      </c>
      <c r="C49" t="s">
        <v>188</v>
      </c>
      <c r="D49" s="665">
        <f>F28</f>
        <v>3.2237706112185682E-2</v>
      </c>
      <c r="I49" t="s">
        <v>172</v>
      </c>
      <c r="J49" t="s">
        <v>267</v>
      </c>
      <c r="K49" t="s">
        <v>260</v>
      </c>
      <c r="L49" s="566">
        <v>1.2814816172664001E-2</v>
      </c>
    </row>
    <row r="50" spans="2:12">
      <c r="B50" s="664" t="s">
        <v>172</v>
      </c>
      <c r="C50" t="s">
        <v>189</v>
      </c>
      <c r="D50" s="665">
        <f>F28</f>
        <v>3.2237706112185682E-2</v>
      </c>
      <c r="I50" t="s">
        <v>172</v>
      </c>
      <c r="J50" t="s">
        <v>268</v>
      </c>
      <c r="K50" t="s">
        <v>260</v>
      </c>
      <c r="L50" s="566">
        <v>1.9408821759314021E-2</v>
      </c>
    </row>
    <row r="51" spans="2:12">
      <c r="B51" s="664" t="s">
        <v>172</v>
      </c>
      <c r="C51" t="s">
        <v>192</v>
      </c>
      <c r="D51" s="665">
        <f>F29</f>
        <v>1.9241941172126298E-2</v>
      </c>
      <c r="I51" t="s">
        <v>172</v>
      </c>
      <c r="J51" t="s">
        <v>269</v>
      </c>
      <c r="K51" t="s">
        <v>260</v>
      </c>
      <c r="L51" s="566">
        <v>1.4874402254035024E-2</v>
      </c>
    </row>
    <row r="52" spans="2:12">
      <c r="B52" s="664" t="s">
        <v>172</v>
      </c>
      <c r="C52" t="s">
        <v>193</v>
      </c>
      <c r="D52" s="665">
        <f>F30</f>
        <v>1.9241941172126298E-2</v>
      </c>
      <c r="I52" t="s">
        <v>172</v>
      </c>
      <c r="J52" t="s">
        <v>270</v>
      </c>
      <c r="K52" t="s">
        <v>260</v>
      </c>
      <c r="L52" s="566">
        <v>1.9846109157739766E-2</v>
      </c>
    </row>
    <row r="53" spans="2:12">
      <c r="B53" s="664" t="s">
        <v>172</v>
      </c>
      <c r="C53" t="s">
        <v>194</v>
      </c>
      <c r="D53" s="665">
        <f t="shared" ref="D53:D56" si="3">F31</f>
        <v>1.0676606940422495E-2</v>
      </c>
      <c r="I53" t="s">
        <v>172</v>
      </c>
      <c r="J53" t="s">
        <v>271</v>
      </c>
      <c r="K53" t="s">
        <v>260</v>
      </c>
      <c r="L53" s="566">
        <v>2.1550814522230954E-3</v>
      </c>
    </row>
    <row r="54" spans="2:12">
      <c r="B54" s="664" t="s">
        <v>172</v>
      </c>
      <c r="C54" t="s">
        <v>195</v>
      </c>
      <c r="D54" s="665">
        <f t="shared" si="3"/>
        <v>1.4558866148277616E-2</v>
      </c>
      <c r="I54" t="s">
        <v>172</v>
      </c>
      <c r="J54" t="s">
        <v>274</v>
      </c>
      <c r="K54" t="s">
        <v>260</v>
      </c>
      <c r="L54" s="566">
        <v>1.9241941172126298E-2</v>
      </c>
    </row>
    <row r="55" spans="2:12">
      <c r="B55" s="664" t="s">
        <v>172</v>
      </c>
      <c r="C55" t="s">
        <v>196</v>
      </c>
      <c r="D55" s="665">
        <f t="shared" si="3"/>
        <v>1.0676606940422495E-2</v>
      </c>
      <c r="I55" t="s">
        <v>172</v>
      </c>
      <c r="J55" t="s">
        <v>275</v>
      </c>
      <c r="K55" t="s">
        <v>260</v>
      </c>
      <c r="L55" s="566">
        <v>1.0676606940422495E-2</v>
      </c>
    </row>
    <row r="56" spans="2:12">
      <c r="B56" s="664" t="s">
        <v>172</v>
      </c>
      <c r="C56" t="s">
        <v>199</v>
      </c>
      <c r="D56" s="665">
        <f t="shared" si="3"/>
        <v>-1.996282855439846E-4</v>
      </c>
      <c r="I56" t="s">
        <v>172</v>
      </c>
      <c r="J56" t="s">
        <v>277</v>
      </c>
      <c r="K56" t="s">
        <v>260</v>
      </c>
      <c r="L56" s="566">
        <v>1.4558866148277616E-2</v>
      </c>
    </row>
    <row r="57" spans="2:12">
      <c r="B57" s="664" t="s">
        <v>172</v>
      </c>
      <c r="C57" t="s">
        <v>200</v>
      </c>
      <c r="D57" s="665">
        <f>F34</f>
        <v>-1.996282855439846E-4</v>
      </c>
      <c r="I57" t="s">
        <v>172</v>
      </c>
      <c r="J57" t="s">
        <v>279</v>
      </c>
      <c r="K57" t="s">
        <v>260</v>
      </c>
      <c r="L57" s="566">
        <v>1.5128287899872639E-2</v>
      </c>
    </row>
    <row r="58" spans="2:12">
      <c r="B58" s="664" t="s">
        <v>172</v>
      </c>
      <c r="C58" t="s">
        <v>201</v>
      </c>
      <c r="D58" s="665">
        <f>F34</f>
        <v>-1.996282855439846E-4</v>
      </c>
      <c r="I58" t="s">
        <v>172</v>
      </c>
      <c r="J58" t="s">
        <v>281</v>
      </c>
      <c r="K58" t="s">
        <v>260</v>
      </c>
      <c r="L58" s="566">
        <v>-7.6059467866960162E-3</v>
      </c>
    </row>
    <row r="59" spans="2:12">
      <c r="B59" s="309" t="s">
        <v>172</v>
      </c>
      <c r="C59" s="150" t="s">
        <v>203</v>
      </c>
      <c r="D59" s="666">
        <f>F35</f>
        <v>4.7311577130551008E-3</v>
      </c>
      <c r="I59" t="s">
        <v>172</v>
      </c>
      <c r="J59" t="s">
        <v>312</v>
      </c>
      <c r="K59" t="s">
        <v>260</v>
      </c>
      <c r="L59" s="566">
        <v>-4.5822007860782277E-2</v>
      </c>
    </row>
    <row r="60" spans="2:12">
      <c r="B60" s="664" t="s">
        <v>173</v>
      </c>
      <c r="C60" t="s">
        <v>186</v>
      </c>
      <c r="D60" s="665">
        <f>F36</f>
        <v>3.2409447305920658E-2</v>
      </c>
      <c r="I60" t="s">
        <v>172</v>
      </c>
      <c r="J60" t="s">
        <v>283</v>
      </c>
      <c r="K60" t="s">
        <v>260</v>
      </c>
      <c r="L60" s="566">
        <v>4.2842103216262917E-3</v>
      </c>
    </row>
    <row r="61" spans="2:12">
      <c r="B61" s="664" t="s">
        <v>173</v>
      </c>
      <c r="C61" t="s">
        <v>187</v>
      </c>
      <c r="D61" s="665">
        <f>F36</f>
        <v>3.2409447305920658E-2</v>
      </c>
      <c r="I61" t="s">
        <v>172</v>
      </c>
      <c r="J61" t="s">
        <v>285</v>
      </c>
      <c r="K61" t="s">
        <v>260</v>
      </c>
      <c r="L61" s="566">
        <v>-1.5661144272196004E-2</v>
      </c>
    </row>
    <row r="62" spans="2:12">
      <c r="B62" s="664" t="s">
        <v>173</v>
      </c>
      <c r="C62" t="s">
        <v>188</v>
      </c>
      <c r="D62" s="665">
        <f>F36</f>
        <v>3.2409447305920658E-2</v>
      </c>
      <c r="I62" t="s">
        <v>172</v>
      </c>
      <c r="J62" t="s">
        <v>287</v>
      </c>
      <c r="K62" t="s">
        <v>260</v>
      </c>
      <c r="L62" s="566">
        <v>-3.104254089353442E-3</v>
      </c>
    </row>
    <row r="63" spans="2:12">
      <c r="B63" s="664" t="s">
        <v>173</v>
      </c>
      <c r="C63" t="s">
        <v>189</v>
      </c>
      <c r="D63" s="665">
        <f t="shared" ref="D63:D69" si="4">F36</f>
        <v>3.2409447305920658E-2</v>
      </c>
      <c r="I63" t="s">
        <v>172</v>
      </c>
      <c r="J63" t="s">
        <v>288</v>
      </c>
      <c r="K63" t="s">
        <v>260</v>
      </c>
      <c r="L63" s="566">
        <v>1.3405452241515459E-2</v>
      </c>
    </row>
    <row r="64" spans="2:12">
      <c r="B64" s="664" t="s">
        <v>173</v>
      </c>
      <c r="C64" t="s">
        <v>192</v>
      </c>
      <c r="D64" s="665">
        <f t="shared" si="4"/>
        <v>1.9288203322220587E-2</v>
      </c>
      <c r="I64" t="s">
        <v>172</v>
      </c>
      <c r="J64" t="s">
        <v>289</v>
      </c>
      <c r="K64" t="s">
        <v>260</v>
      </c>
      <c r="L64" s="566">
        <v>3.8593270977482774E-2</v>
      </c>
    </row>
    <row r="65" spans="2:12">
      <c r="B65" s="664" t="s">
        <v>173</v>
      </c>
      <c r="C65" t="s">
        <v>193</v>
      </c>
      <c r="D65" s="665">
        <f t="shared" si="4"/>
        <v>1.9288203322220587E-2</v>
      </c>
      <c r="I65" t="s">
        <v>172</v>
      </c>
      <c r="J65" t="s">
        <v>290</v>
      </c>
      <c r="K65" t="s">
        <v>260</v>
      </c>
      <c r="L65" s="566">
        <v>4.0455301736546767E-2</v>
      </c>
    </row>
    <row r="66" spans="2:12">
      <c r="B66" s="664" t="s">
        <v>173</v>
      </c>
      <c r="C66" t="s">
        <v>194</v>
      </c>
      <c r="D66" s="665">
        <f t="shared" si="4"/>
        <v>1.0422705401547772E-2</v>
      </c>
      <c r="I66" t="s">
        <v>172</v>
      </c>
      <c r="J66" t="s">
        <v>291</v>
      </c>
      <c r="K66" t="s">
        <v>260</v>
      </c>
      <c r="L66" s="566">
        <v>3.2237706112185682E-2</v>
      </c>
    </row>
    <row r="67" spans="2:12">
      <c r="B67" s="664" t="s">
        <v>173</v>
      </c>
      <c r="C67" t="s">
        <v>195</v>
      </c>
      <c r="D67" s="665">
        <f t="shared" si="4"/>
        <v>1.534057189590432E-2</v>
      </c>
      <c r="I67" t="s">
        <v>172</v>
      </c>
      <c r="J67" t="s">
        <v>292</v>
      </c>
      <c r="K67" t="s">
        <v>260</v>
      </c>
      <c r="L67" s="566">
        <v>3.2842218637942011E-2</v>
      </c>
    </row>
    <row r="68" spans="2:12">
      <c r="B68" s="664" t="s">
        <v>173</v>
      </c>
      <c r="C68" t="s">
        <v>196</v>
      </c>
      <c r="D68" s="665">
        <f t="shared" si="4"/>
        <v>1.0422705401547772E-2</v>
      </c>
      <c r="I68" t="s">
        <v>172</v>
      </c>
      <c r="J68" t="s">
        <v>293</v>
      </c>
      <c r="K68" t="s">
        <v>260</v>
      </c>
      <c r="L68" s="566">
        <v>3.0546907610085716E-2</v>
      </c>
    </row>
    <row r="69" spans="2:12">
      <c r="B69" s="664" t="s">
        <v>173</v>
      </c>
      <c r="C69" t="s">
        <v>199</v>
      </c>
      <c r="D69" s="665">
        <f t="shared" si="4"/>
        <v>-2.3057530108382407E-3</v>
      </c>
      <c r="I69" t="s">
        <v>172</v>
      </c>
      <c r="J69" t="s">
        <v>294</v>
      </c>
      <c r="K69" t="s">
        <v>260</v>
      </c>
      <c r="L69" s="566">
        <v>1.61512918820923E-2</v>
      </c>
    </row>
    <row r="70" spans="2:12">
      <c r="B70" s="664" t="s">
        <v>173</v>
      </c>
      <c r="C70" t="s">
        <v>200</v>
      </c>
      <c r="D70" s="665">
        <f>F42</f>
        <v>-2.3057530108382407E-3</v>
      </c>
      <c r="I70" t="s">
        <v>172</v>
      </c>
      <c r="J70" t="s">
        <v>261</v>
      </c>
      <c r="K70" t="s">
        <v>260</v>
      </c>
      <c r="L70" s="566">
        <v>1.9179386501238627E-2</v>
      </c>
    </row>
    <row r="71" spans="2:12">
      <c r="B71" s="664" t="s">
        <v>173</v>
      </c>
      <c r="C71" t="s">
        <v>201</v>
      </c>
      <c r="D71" s="665">
        <f>F42</f>
        <v>-2.3057530108382407E-3</v>
      </c>
      <c r="I71" t="s">
        <v>172</v>
      </c>
      <c r="J71" t="s">
        <v>295</v>
      </c>
      <c r="K71" t="s">
        <v>260</v>
      </c>
      <c r="L71" s="566">
        <v>1.2211863147041591E-2</v>
      </c>
    </row>
    <row r="72" spans="2:12">
      <c r="B72" s="309" t="s">
        <v>173</v>
      </c>
      <c r="C72" s="150" t="s">
        <v>203</v>
      </c>
      <c r="D72" s="666">
        <f>F43</f>
        <v>2.9944103341923434E-3</v>
      </c>
      <c r="I72" t="s">
        <v>172</v>
      </c>
      <c r="J72" t="s">
        <v>296</v>
      </c>
      <c r="K72" t="s">
        <v>260</v>
      </c>
      <c r="L72" s="566">
        <v>1.7381862952535299E-2</v>
      </c>
    </row>
    <row r="73" spans="2:12">
      <c r="I73" t="s">
        <v>172</v>
      </c>
      <c r="J73" t="s">
        <v>297</v>
      </c>
      <c r="K73" t="s">
        <v>260</v>
      </c>
      <c r="L73" s="566">
        <v>2.5774568622956018E-3</v>
      </c>
    </row>
    <row r="74" spans="2:12">
      <c r="I74" t="s">
        <v>172</v>
      </c>
      <c r="J74" t="s">
        <v>298</v>
      </c>
      <c r="K74" t="s">
        <v>260</v>
      </c>
      <c r="L74" s="566">
        <v>2.344300421821921E-2</v>
      </c>
    </row>
    <row r="75" spans="2:12">
      <c r="B75" s="723" t="s">
        <v>154</v>
      </c>
      <c r="C75" s="723" t="s">
        <v>155</v>
      </c>
      <c r="D75" s="723" t="s">
        <v>256</v>
      </c>
      <c r="E75" s="723" t="s">
        <v>258</v>
      </c>
      <c r="I75" t="s">
        <v>172</v>
      </c>
      <c r="J75" t="s">
        <v>299</v>
      </c>
      <c r="K75" t="s">
        <v>260</v>
      </c>
      <c r="L75" s="566">
        <v>1.441131816111052E-2</v>
      </c>
    </row>
    <row r="76" spans="2:12">
      <c r="B76" s="298" t="s">
        <v>172</v>
      </c>
      <c r="C76" s="299" t="s">
        <v>145</v>
      </c>
      <c r="D76" s="299" t="s">
        <v>261</v>
      </c>
      <c r="E76" s="663">
        <f>INDEX($I$45:$L$86,MATCH(D76,J$45:J$86,0),4)</f>
        <v>1.9179386501238627E-2</v>
      </c>
      <c r="I76" t="s">
        <v>172</v>
      </c>
      <c r="J76" t="s">
        <v>300</v>
      </c>
      <c r="K76" t="s">
        <v>260</v>
      </c>
      <c r="L76" s="566">
        <v>4.8827183559123633E-3</v>
      </c>
    </row>
    <row r="77" spans="2:12">
      <c r="B77" s="664" t="s">
        <v>172</v>
      </c>
      <c r="C77" t="s">
        <v>143</v>
      </c>
      <c r="D77" t="s">
        <v>261</v>
      </c>
      <c r="E77" s="665">
        <f t="shared" ref="E77:E79" si="5">INDEX($I$45:$L$86,MATCH(D77,J$45:J$86,0),4)</f>
        <v>1.9179386501238627E-2</v>
      </c>
      <c r="I77" t="s">
        <v>172</v>
      </c>
      <c r="J77" t="s">
        <v>301</v>
      </c>
      <c r="K77" t="s">
        <v>260</v>
      </c>
      <c r="L77" s="566">
        <v>1.1118610422631292E-2</v>
      </c>
    </row>
    <row r="78" spans="2:12">
      <c r="B78" s="664" t="s">
        <v>172</v>
      </c>
      <c r="C78" t="s">
        <v>146</v>
      </c>
      <c r="D78" t="s">
        <v>259</v>
      </c>
      <c r="E78" s="665">
        <f t="shared" si="5"/>
        <v>-1.996282855439846E-4</v>
      </c>
      <c r="I78" t="s">
        <v>172</v>
      </c>
      <c r="J78" t="s">
        <v>302</v>
      </c>
      <c r="K78" t="s">
        <v>260</v>
      </c>
      <c r="L78" s="566">
        <v>1.9799252014194746E-2</v>
      </c>
    </row>
    <row r="79" spans="2:12">
      <c r="B79" s="664" t="s">
        <v>172</v>
      </c>
      <c r="C79" t="s">
        <v>152</v>
      </c>
      <c r="D79" t="s">
        <v>265</v>
      </c>
      <c r="E79" s="665">
        <f t="shared" si="5"/>
        <v>4.7311577130551008E-3</v>
      </c>
      <c r="I79" t="s">
        <v>172</v>
      </c>
      <c r="J79" t="s">
        <v>303</v>
      </c>
      <c r="K79" t="s">
        <v>260</v>
      </c>
      <c r="L79" s="566">
        <v>2.651801235240514E-2</v>
      </c>
    </row>
    <row r="80" spans="2:12">
      <c r="B80" s="298" t="s">
        <v>173</v>
      </c>
      <c r="C80" s="299" t="s">
        <v>145</v>
      </c>
      <c r="D80" s="299" t="s">
        <v>261</v>
      </c>
      <c r="E80" s="663">
        <f>INDEX($I$4:$L$44,MATCH(D80,$J$4:$J$44,0),4)</f>
        <v>1.3802128386773527E-2</v>
      </c>
      <c r="I80" t="s">
        <v>172</v>
      </c>
      <c r="J80" t="s">
        <v>304</v>
      </c>
      <c r="K80" t="s">
        <v>260</v>
      </c>
      <c r="L80" s="566">
        <v>2.0783773618369583E-2</v>
      </c>
    </row>
    <row r="81" spans="2:12">
      <c r="B81" s="664" t="s">
        <v>173</v>
      </c>
      <c r="C81" t="s">
        <v>143</v>
      </c>
      <c r="D81" t="s">
        <v>261</v>
      </c>
      <c r="E81" s="665">
        <f t="shared" ref="E81:E83" si="6">INDEX($I$4:$L$44,MATCH(D81,$J$4:$J$44,0),4)</f>
        <v>1.3802128386773527E-2</v>
      </c>
      <c r="I81" t="s">
        <v>172</v>
      </c>
      <c r="J81" t="s">
        <v>305</v>
      </c>
      <c r="K81" t="s">
        <v>260</v>
      </c>
      <c r="L81" s="566">
        <v>1.5374881642055138E-2</v>
      </c>
    </row>
    <row r="82" spans="2:12">
      <c r="B82" s="664" t="s">
        <v>173</v>
      </c>
      <c r="C82" t="s">
        <v>146</v>
      </c>
      <c r="D82" t="s">
        <v>259</v>
      </c>
      <c r="E82" s="665">
        <f t="shared" si="6"/>
        <v>-2.3057530108382407E-3</v>
      </c>
      <c r="I82" t="s">
        <v>172</v>
      </c>
      <c r="J82" t="s">
        <v>306</v>
      </c>
      <c r="K82" t="s">
        <v>260</v>
      </c>
      <c r="L82" s="566">
        <v>2.3704767233598378E-2</v>
      </c>
    </row>
    <row r="83" spans="2:12">
      <c r="B83" s="309" t="s">
        <v>173</v>
      </c>
      <c r="C83" s="150" t="s">
        <v>152</v>
      </c>
      <c r="D83" s="150" t="s">
        <v>265</v>
      </c>
      <c r="E83" s="666">
        <f t="shared" si="6"/>
        <v>2.9944103341923434E-3</v>
      </c>
      <c r="I83" t="s">
        <v>172</v>
      </c>
      <c r="J83" t="s">
        <v>307</v>
      </c>
      <c r="K83" t="s">
        <v>260</v>
      </c>
      <c r="L83" s="566">
        <v>1.9437968540741757E-2</v>
      </c>
    </row>
    <row r="84" spans="2:12">
      <c r="I84" t="s">
        <v>172</v>
      </c>
      <c r="J84" t="s">
        <v>308</v>
      </c>
      <c r="K84" t="s">
        <v>260</v>
      </c>
      <c r="L84" s="566">
        <v>3.3831244944140026E-2</v>
      </c>
    </row>
    <row r="85" spans="2:12">
      <c r="I85" t="s">
        <v>172</v>
      </c>
      <c r="J85" t="s">
        <v>309</v>
      </c>
      <c r="K85" t="s">
        <v>260</v>
      </c>
      <c r="L85" s="566">
        <v>7.4875627106392173E-3</v>
      </c>
    </row>
    <row r="86" spans="2:12">
      <c r="I86" t="s">
        <v>172</v>
      </c>
      <c r="J86" t="s">
        <v>310</v>
      </c>
      <c r="K86" t="s">
        <v>260</v>
      </c>
      <c r="L86" s="566">
        <v>2.2762880627460458E-2</v>
      </c>
    </row>
  </sheetData>
  <autoFilter ref="I3:L86" xr:uid="{2E60C529-9FAA-429E-80E7-BCBC79CE6FFA}"/>
  <pageMargins left="0.7" right="0.7" top="0.75" bottom="0.75" header="0.3" footer="0.3"/>
  <pageSetup orientation="portrait"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7030A0"/>
  </sheetPr>
  <dimension ref="A1:AO85"/>
  <sheetViews>
    <sheetView showGridLines="0" zoomScale="80" zoomScaleNormal="80" workbookViewId="0">
      <pane xSplit="2" ySplit="1" topLeftCell="C2" activePane="bottomRight" state="frozen"/>
      <selection pane="topRight"/>
      <selection pane="bottomLeft"/>
      <selection pane="bottomRight" activeCell="C18" sqref="C18"/>
    </sheetView>
  </sheetViews>
  <sheetFormatPr defaultColWidth="8.75" defaultRowHeight="14.25"/>
  <cols>
    <col min="1" max="1" width="3.875" style="840" customWidth="1"/>
    <col min="2" max="2" width="38.875" style="31" customWidth="1"/>
    <col min="3" max="3" width="20.25" style="31" customWidth="1"/>
    <col min="4" max="31" width="12.625" style="864" customWidth="1"/>
    <col min="32" max="41" width="10.375" style="31" bestFit="1" customWidth="1"/>
    <col min="42" max="16384" width="8.75" style="31"/>
  </cols>
  <sheetData>
    <row r="1" spans="1:41" s="841" customFormat="1" ht="15">
      <c r="A1" s="840"/>
      <c r="B1" s="146" t="s">
        <v>313</v>
      </c>
      <c r="C1" s="147"/>
      <c r="D1" s="861">
        <f>Base.Year</f>
        <v>2022</v>
      </c>
      <c r="E1" s="861">
        <f t="shared" ref="E1" si="0">D1+1</f>
        <v>2023</v>
      </c>
      <c r="F1" s="861">
        <f t="shared" ref="F1" si="1">E1+1</f>
        <v>2024</v>
      </c>
      <c r="G1" s="861">
        <f t="shared" ref="G1" si="2">F1+1</f>
        <v>2025</v>
      </c>
      <c r="H1" s="861">
        <f t="shared" ref="H1" si="3">G1+1</f>
        <v>2026</v>
      </c>
      <c r="I1" s="861">
        <f t="shared" ref="I1" si="4">H1+1</f>
        <v>2027</v>
      </c>
      <c r="J1" s="861">
        <f t="shared" ref="J1" si="5">I1+1</f>
        <v>2028</v>
      </c>
      <c r="K1" s="861">
        <f t="shared" ref="K1" si="6">J1+1</f>
        <v>2029</v>
      </c>
      <c r="L1" s="861">
        <f t="shared" ref="L1" si="7">K1+1</f>
        <v>2030</v>
      </c>
      <c r="M1" s="861">
        <f t="shared" ref="M1" si="8">L1+1</f>
        <v>2031</v>
      </c>
      <c r="N1" s="861">
        <f t="shared" ref="N1" si="9">M1+1</f>
        <v>2032</v>
      </c>
      <c r="O1" s="861">
        <f t="shared" ref="O1" si="10">N1+1</f>
        <v>2033</v>
      </c>
      <c r="P1" s="861">
        <f t="shared" ref="P1" si="11">O1+1</f>
        <v>2034</v>
      </c>
      <c r="Q1" s="861">
        <f t="shared" ref="Q1" si="12">P1+1</f>
        <v>2035</v>
      </c>
      <c r="R1" s="861">
        <f t="shared" ref="R1" si="13">Q1+1</f>
        <v>2036</v>
      </c>
      <c r="S1" s="861">
        <f t="shared" ref="S1" si="14">R1+1</f>
        <v>2037</v>
      </c>
      <c r="T1" s="861">
        <f t="shared" ref="T1" si="15">S1+1</f>
        <v>2038</v>
      </c>
      <c r="U1" s="861">
        <f t="shared" ref="U1" si="16">T1+1</f>
        <v>2039</v>
      </c>
      <c r="V1" s="861">
        <f t="shared" ref="V1" si="17">U1+1</f>
        <v>2040</v>
      </c>
      <c r="W1" s="861">
        <f t="shared" ref="W1" si="18">V1+1</f>
        <v>2041</v>
      </c>
      <c r="X1" s="861">
        <f t="shared" ref="X1" si="19">W1+1</f>
        <v>2042</v>
      </c>
      <c r="Y1" s="861">
        <f t="shared" ref="Y1" si="20">X1+1</f>
        <v>2043</v>
      </c>
      <c r="Z1" s="861">
        <f t="shared" ref="Z1" si="21">Y1+1</f>
        <v>2044</v>
      </c>
      <c r="AA1" s="861">
        <f t="shared" ref="AA1" si="22">Z1+1</f>
        <v>2045</v>
      </c>
      <c r="AB1" s="861">
        <f t="shared" ref="AB1" si="23">AA1+1</f>
        <v>2046</v>
      </c>
      <c r="AC1" s="861">
        <f t="shared" ref="AC1" si="24">AB1+1</f>
        <v>2047</v>
      </c>
      <c r="AD1" s="861">
        <f t="shared" ref="AD1:AE1" si="25">AC1+1</f>
        <v>2048</v>
      </c>
      <c r="AE1" s="861">
        <f t="shared" si="25"/>
        <v>2049</v>
      </c>
      <c r="AF1" s="861">
        <f t="shared" ref="AF1" si="26">AE1+1</f>
        <v>2050</v>
      </c>
      <c r="AG1" s="861">
        <f t="shared" ref="AG1" si="27">AF1+1</f>
        <v>2051</v>
      </c>
      <c r="AH1" s="861">
        <f t="shared" ref="AH1" si="28">AG1+1</f>
        <v>2052</v>
      </c>
      <c r="AI1" s="861">
        <f t="shared" ref="AI1" si="29">AH1+1</f>
        <v>2053</v>
      </c>
      <c r="AJ1" s="861">
        <f t="shared" ref="AJ1" si="30">AI1+1</f>
        <v>2054</v>
      </c>
      <c r="AK1" s="861">
        <f t="shared" ref="AK1" si="31">AJ1+1</f>
        <v>2055</v>
      </c>
      <c r="AL1" s="861">
        <f t="shared" ref="AL1" si="32">AK1+1</f>
        <v>2056</v>
      </c>
      <c r="AM1" s="861">
        <f t="shared" ref="AM1" si="33">AL1+1</f>
        <v>2057</v>
      </c>
      <c r="AN1" s="861">
        <f t="shared" ref="AN1" si="34">AM1+1</f>
        <v>2058</v>
      </c>
      <c r="AO1" s="861">
        <f t="shared" ref="AO1" si="35">AN1+1</f>
        <v>2059</v>
      </c>
    </row>
    <row r="2" spans="1:41" s="841" customFormat="1" ht="15">
      <c r="A2" s="840"/>
      <c r="B2" s="146" t="s">
        <v>314</v>
      </c>
      <c r="C2" s="147"/>
      <c r="D2" s="861">
        <f t="shared" ref="D2:AB2" si="36">IF(D1&gt;=First.Year,1,0)</f>
        <v>0</v>
      </c>
      <c r="E2" s="861">
        <f t="shared" si="36"/>
        <v>0</v>
      </c>
      <c r="F2" s="861">
        <f t="shared" si="36"/>
        <v>0</v>
      </c>
      <c r="G2" s="861">
        <f t="shared" si="36"/>
        <v>0</v>
      </c>
      <c r="H2" s="861">
        <f t="shared" si="36"/>
        <v>0</v>
      </c>
      <c r="I2" s="861">
        <f t="shared" si="36"/>
        <v>0</v>
      </c>
      <c r="J2" s="861">
        <f t="shared" si="36"/>
        <v>0</v>
      </c>
      <c r="K2" s="861">
        <f t="shared" si="36"/>
        <v>0</v>
      </c>
      <c r="L2" s="861">
        <f t="shared" si="36"/>
        <v>1</v>
      </c>
      <c r="M2" s="861">
        <f t="shared" si="36"/>
        <v>1</v>
      </c>
      <c r="N2" s="861">
        <f t="shared" si="36"/>
        <v>1</v>
      </c>
      <c r="O2" s="861">
        <f t="shared" si="36"/>
        <v>1</v>
      </c>
      <c r="P2" s="861">
        <f t="shared" si="36"/>
        <v>1</v>
      </c>
      <c r="Q2" s="861">
        <f t="shared" si="36"/>
        <v>1</v>
      </c>
      <c r="R2" s="861">
        <f t="shared" si="36"/>
        <v>1</v>
      </c>
      <c r="S2" s="861">
        <f t="shared" si="36"/>
        <v>1</v>
      </c>
      <c r="T2" s="861">
        <f t="shared" si="36"/>
        <v>1</v>
      </c>
      <c r="U2" s="861">
        <f t="shared" si="36"/>
        <v>1</v>
      </c>
      <c r="V2" s="861">
        <f t="shared" si="36"/>
        <v>1</v>
      </c>
      <c r="W2" s="861">
        <f t="shared" si="36"/>
        <v>1</v>
      </c>
      <c r="X2" s="861">
        <f t="shared" si="36"/>
        <v>1</v>
      </c>
      <c r="Y2" s="861">
        <f t="shared" si="36"/>
        <v>1</v>
      </c>
      <c r="Z2" s="861">
        <f t="shared" si="36"/>
        <v>1</v>
      </c>
      <c r="AA2" s="861">
        <f t="shared" si="36"/>
        <v>1</v>
      </c>
      <c r="AB2" s="861">
        <f t="shared" si="36"/>
        <v>1</v>
      </c>
      <c r="AC2" s="861">
        <f t="shared" ref="AC2:AE2" si="37">IF(AC1&gt;=First.Year,1,0)</f>
        <v>1</v>
      </c>
      <c r="AD2" s="861">
        <f t="shared" si="37"/>
        <v>1</v>
      </c>
      <c r="AE2" s="861">
        <f t="shared" si="37"/>
        <v>1</v>
      </c>
      <c r="AF2" s="861">
        <f t="shared" ref="AF2:AO2" si="38">IF(AF1&gt;=First.Year,1,0)</f>
        <v>1</v>
      </c>
      <c r="AG2" s="861">
        <f t="shared" si="38"/>
        <v>1</v>
      </c>
      <c r="AH2" s="861">
        <f t="shared" si="38"/>
        <v>1</v>
      </c>
      <c r="AI2" s="861">
        <f t="shared" si="38"/>
        <v>1</v>
      </c>
      <c r="AJ2" s="861">
        <f t="shared" si="38"/>
        <v>1</v>
      </c>
      <c r="AK2" s="861">
        <f t="shared" si="38"/>
        <v>1</v>
      </c>
      <c r="AL2" s="861">
        <f t="shared" si="38"/>
        <v>1</v>
      </c>
      <c r="AM2" s="861">
        <f t="shared" si="38"/>
        <v>1</v>
      </c>
      <c r="AN2" s="861">
        <f t="shared" si="38"/>
        <v>1</v>
      </c>
      <c r="AO2" s="861">
        <f t="shared" si="38"/>
        <v>1</v>
      </c>
    </row>
    <row r="3" spans="1:41" s="841" customFormat="1" ht="15">
      <c r="A3" s="840"/>
      <c r="B3" s="146" t="s">
        <v>315</v>
      </c>
      <c r="C3" s="760">
        <f>DiversionData!$C$60</f>
        <v>4</v>
      </c>
      <c r="D3" s="861">
        <f t="shared" ref="D3:M4" si="39">IF(D$1&gt;=(First.Year+$C3),1,0)</f>
        <v>0</v>
      </c>
      <c r="E3" s="861">
        <f t="shared" si="39"/>
        <v>0</v>
      </c>
      <c r="F3" s="861">
        <f t="shared" si="39"/>
        <v>0</v>
      </c>
      <c r="G3" s="861">
        <f t="shared" si="39"/>
        <v>0</v>
      </c>
      <c r="H3" s="861">
        <f t="shared" si="39"/>
        <v>0</v>
      </c>
      <c r="I3" s="861">
        <f t="shared" si="39"/>
        <v>0</v>
      </c>
      <c r="J3" s="861">
        <f t="shared" si="39"/>
        <v>0</v>
      </c>
      <c r="K3" s="861">
        <f t="shared" si="39"/>
        <v>0</v>
      </c>
      <c r="L3" s="861">
        <f t="shared" si="39"/>
        <v>0</v>
      </c>
      <c r="M3" s="861">
        <f t="shared" si="39"/>
        <v>0</v>
      </c>
      <c r="N3" s="861">
        <f t="shared" ref="N3:W4" si="40">IF(N$1&gt;=(First.Year+$C3),1,0)</f>
        <v>0</v>
      </c>
      <c r="O3" s="861">
        <f t="shared" si="40"/>
        <v>0</v>
      </c>
      <c r="P3" s="861">
        <f t="shared" si="40"/>
        <v>1</v>
      </c>
      <c r="Q3" s="861">
        <f t="shared" si="40"/>
        <v>1</v>
      </c>
      <c r="R3" s="861">
        <f t="shared" si="40"/>
        <v>1</v>
      </c>
      <c r="S3" s="861">
        <f t="shared" si="40"/>
        <v>1</v>
      </c>
      <c r="T3" s="861">
        <f t="shared" si="40"/>
        <v>1</v>
      </c>
      <c r="U3" s="861">
        <f t="shared" si="40"/>
        <v>1</v>
      </c>
      <c r="V3" s="861">
        <f t="shared" si="40"/>
        <v>1</v>
      </c>
      <c r="W3" s="861">
        <f t="shared" si="40"/>
        <v>1</v>
      </c>
      <c r="X3" s="861">
        <f t="shared" ref="X3:AM4" si="41">IF(X$1&gt;=(First.Year+$C3),1,0)</f>
        <v>1</v>
      </c>
      <c r="Y3" s="861">
        <f t="shared" si="41"/>
        <v>1</v>
      </c>
      <c r="Z3" s="861">
        <f t="shared" si="41"/>
        <v>1</v>
      </c>
      <c r="AA3" s="861">
        <f t="shared" si="41"/>
        <v>1</v>
      </c>
      <c r="AB3" s="861">
        <f t="shared" si="41"/>
        <v>1</v>
      </c>
      <c r="AC3" s="861">
        <f t="shared" si="41"/>
        <v>1</v>
      </c>
      <c r="AD3" s="861">
        <f t="shared" si="41"/>
        <v>1</v>
      </c>
      <c r="AE3" s="861">
        <f t="shared" si="41"/>
        <v>1</v>
      </c>
      <c r="AF3" s="861">
        <f t="shared" si="41"/>
        <v>1</v>
      </c>
      <c r="AG3" s="861">
        <f t="shared" si="41"/>
        <v>1</v>
      </c>
      <c r="AH3" s="861">
        <f t="shared" si="41"/>
        <v>1</v>
      </c>
      <c r="AI3" s="861">
        <f t="shared" si="41"/>
        <v>1</v>
      </c>
      <c r="AJ3" s="861">
        <f t="shared" si="41"/>
        <v>1</v>
      </c>
      <c r="AK3" s="861">
        <f t="shared" si="41"/>
        <v>1</v>
      </c>
      <c r="AL3" s="861">
        <f t="shared" si="41"/>
        <v>1</v>
      </c>
      <c r="AM3" s="861">
        <f t="shared" si="41"/>
        <v>1</v>
      </c>
      <c r="AN3" s="861">
        <f t="shared" ref="AF3:AO4" si="42">IF(AN$1&gt;=(First.Year+$C3),1,0)</f>
        <v>1</v>
      </c>
      <c r="AO3" s="861">
        <f t="shared" si="42"/>
        <v>1</v>
      </c>
    </row>
    <row r="4" spans="1:41" s="841" customFormat="1" ht="15">
      <c r="A4" s="840"/>
      <c r="B4" s="146" t="s">
        <v>316</v>
      </c>
      <c r="C4" s="760">
        <f>DiversionData!$C$59</f>
        <v>2</v>
      </c>
      <c r="D4" s="861">
        <f t="shared" si="39"/>
        <v>0</v>
      </c>
      <c r="E4" s="861">
        <f t="shared" si="39"/>
        <v>0</v>
      </c>
      <c r="F4" s="861">
        <f t="shared" si="39"/>
        <v>0</v>
      </c>
      <c r="G4" s="861">
        <f t="shared" si="39"/>
        <v>0</v>
      </c>
      <c r="H4" s="861">
        <f t="shared" si="39"/>
        <v>0</v>
      </c>
      <c r="I4" s="861">
        <f t="shared" si="39"/>
        <v>0</v>
      </c>
      <c r="J4" s="861">
        <f t="shared" si="39"/>
        <v>0</v>
      </c>
      <c r="K4" s="861">
        <f t="shared" si="39"/>
        <v>0</v>
      </c>
      <c r="L4" s="861">
        <f t="shared" si="39"/>
        <v>0</v>
      </c>
      <c r="M4" s="861">
        <f t="shared" si="39"/>
        <v>0</v>
      </c>
      <c r="N4" s="861">
        <f t="shared" si="40"/>
        <v>1</v>
      </c>
      <c r="O4" s="861">
        <f t="shared" si="40"/>
        <v>1</v>
      </c>
      <c r="P4" s="861">
        <f t="shared" si="40"/>
        <v>1</v>
      </c>
      <c r="Q4" s="861">
        <f t="shared" si="40"/>
        <v>1</v>
      </c>
      <c r="R4" s="861">
        <f t="shared" si="40"/>
        <v>1</v>
      </c>
      <c r="S4" s="861">
        <f t="shared" si="40"/>
        <v>1</v>
      </c>
      <c r="T4" s="861">
        <f t="shared" si="40"/>
        <v>1</v>
      </c>
      <c r="U4" s="861">
        <f t="shared" si="40"/>
        <v>1</v>
      </c>
      <c r="V4" s="861">
        <f t="shared" si="40"/>
        <v>1</v>
      </c>
      <c r="W4" s="861">
        <f t="shared" si="40"/>
        <v>1</v>
      </c>
      <c r="X4" s="861">
        <f t="shared" si="41"/>
        <v>1</v>
      </c>
      <c r="Y4" s="861">
        <f t="shared" si="41"/>
        <v>1</v>
      </c>
      <c r="Z4" s="861">
        <f t="shared" si="41"/>
        <v>1</v>
      </c>
      <c r="AA4" s="861">
        <f t="shared" si="41"/>
        <v>1</v>
      </c>
      <c r="AB4" s="861">
        <f t="shared" si="41"/>
        <v>1</v>
      </c>
      <c r="AC4" s="861">
        <f t="shared" si="41"/>
        <v>1</v>
      </c>
      <c r="AD4" s="861">
        <f t="shared" si="41"/>
        <v>1</v>
      </c>
      <c r="AE4" s="861">
        <f t="shared" si="41"/>
        <v>1</v>
      </c>
      <c r="AF4" s="861">
        <f t="shared" si="42"/>
        <v>1</v>
      </c>
      <c r="AG4" s="861">
        <f t="shared" si="42"/>
        <v>1</v>
      </c>
      <c r="AH4" s="861">
        <f t="shared" si="42"/>
        <v>1</v>
      </c>
      <c r="AI4" s="861">
        <f t="shared" si="42"/>
        <v>1</v>
      </c>
      <c r="AJ4" s="861">
        <f t="shared" si="42"/>
        <v>1</v>
      </c>
      <c r="AK4" s="861">
        <f t="shared" si="42"/>
        <v>1</v>
      </c>
      <c r="AL4" s="861">
        <f t="shared" si="42"/>
        <v>1</v>
      </c>
      <c r="AM4" s="861">
        <f t="shared" si="42"/>
        <v>1</v>
      </c>
      <c r="AN4" s="861">
        <f t="shared" si="42"/>
        <v>1</v>
      </c>
      <c r="AO4" s="861">
        <f t="shared" si="42"/>
        <v>1</v>
      </c>
    </row>
    <row r="5" spans="1:41" ht="15">
      <c r="B5" s="67" t="s">
        <v>317</v>
      </c>
      <c r="C5" s="163"/>
      <c r="D5" s="862">
        <f>Base.Year</f>
        <v>2022</v>
      </c>
      <c r="E5" s="862">
        <f t="shared" ref="E5:T5" si="43">D5+1</f>
        <v>2023</v>
      </c>
      <c r="F5" s="862">
        <f t="shared" si="43"/>
        <v>2024</v>
      </c>
      <c r="G5" s="862">
        <f t="shared" si="43"/>
        <v>2025</v>
      </c>
      <c r="H5" s="862">
        <f t="shared" si="43"/>
        <v>2026</v>
      </c>
      <c r="I5" s="862">
        <f t="shared" si="43"/>
        <v>2027</v>
      </c>
      <c r="J5" s="862">
        <f t="shared" si="43"/>
        <v>2028</v>
      </c>
      <c r="K5" s="862">
        <f t="shared" si="43"/>
        <v>2029</v>
      </c>
      <c r="L5" s="862">
        <f t="shared" si="43"/>
        <v>2030</v>
      </c>
      <c r="M5" s="862">
        <f t="shared" si="43"/>
        <v>2031</v>
      </c>
      <c r="N5" s="862">
        <f t="shared" si="43"/>
        <v>2032</v>
      </c>
      <c r="O5" s="862">
        <f t="shared" si="43"/>
        <v>2033</v>
      </c>
      <c r="P5" s="862">
        <f t="shared" si="43"/>
        <v>2034</v>
      </c>
      <c r="Q5" s="862">
        <f t="shared" si="43"/>
        <v>2035</v>
      </c>
      <c r="R5" s="862">
        <f t="shared" si="43"/>
        <v>2036</v>
      </c>
      <c r="S5" s="862">
        <f t="shared" si="43"/>
        <v>2037</v>
      </c>
      <c r="T5" s="862">
        <f t="shared" si="43"/>
        <v>2038</v>
      </c>
      <c r="U5" s="862">
        <f t="shared" ref="U5" si="44">T5+1</f>
        <v>2039</v>
      </c>
      <c r="V5" s="862">
        <f t="shared" ref="V5" si="45">U5+1</f>
        <v>2040</v>
      </c>
      <c r="W5" s="862">
        <f t="shared" ref="W5" si="46">V5+1</f>
        <v>2041</v>
      </c>
      <c r="X5" s="862">
        <f t="shared" ref="X5" si="47">W5+1</f>
        <v>2042</v>
      </c>
      <c r="Y5" s="862">
        <f t="shared" ref="Y5" si="48">X5+1</f>
        <v>2043</v>
      </c>
      <c r="Z5" s="862">
        <f t="shared" ref="Z5" si="49">Y5+1</f>
        <v>2044</v>
      </c>
      <c r="AA5" s="862">
        <f t="shared" ref="AA5" si="50">Z5+1</f>
        <v>2045</v>
      </c>
      <c r="AB5" s="862">
        <f t="shared" ref="AB5" si="51">AA5+1</f>
        <v>2046</v>
      </c>
      <c r="AC5" s="862">
        <f t="shared" ref="AC5" si="52">AB5+1</f>
        <v>2047</v>
      </c>
      <c r="AD5" s="862">
        <f t="shared" ref="AD5" si="53">AC5+1</f>
        <v>2048</v>
      </c>
      <c r="AE5" s="862">
        <f t="shared" ref="AE5" si="54">AD5+1</f>
        <v>2049</v>
      </c>
      <c r="AF5" s="862">
        <f t="shared" ref="AF5" si="55">AE5+1</f>
        <v>2050</v>
      </c>
      <c r="AG5" s="862">
        <f t="shared" ref="AG5" si="56">AF5+1</f>
        <v>2051</v>
      </c>
      <c r="AH5" s="862">
        <f t="shared" ref="AH5" si="57">AG5+1</f>
        <v>2052</v>
      </c>
      <c r="AI5" s="862">
        <f t="shared" ref="AI5" si="58">AH5+1</f>
        <v>2053</v>
      </c>
      <c r="AJ5" s="862">
        <f t="shared" ref="AJ5" si="59">AI5+1</f>
        <v>2054</v>
      </c>
      <c r="AK5" s="862">
        <f t="shared" ref="AK5" si="60">AJ5+1</f>
        <v>2055</v>
      </c>
      <c r="AL5" s="862">
        <f t="shared" ref="AL5" si="61">AK5+1</f>
        <v>2056</v>
      </c>
      <c r="AM5" s="862">
        <f t="shared" ref="AM5" si="62">AL5+1</f>
        <v>2057</v>
      </c>
      <c r="AN5" s="862">
        <f t="shared" ref="AN5" si="63">AM5+1</f>
        <v>2058</v>
      </c>
      <c r="AO5" s="862">
        <f t="shared" ref="AO5" si="64">AN5+1</f>
        <v>2059</v>
      </c>
    </row>
    <row r="6" spans="1:41" ht="15">
      <c r="B6" s="842"/>
      <c r="C6" s="843"/>
      <c r="D6" s="863"/>
      <c r="E6" s="863"/>
      <c r="F6" s="863"/>
      <c r="G6" s="863"/>
      <c r="H6" s="863"/>
      <c r="I6" s="863"/>
      <c r="J6" s="863"/>
      <c r="K6" s="863"/>
      <c r="L6" s="863"/>
      <c r="M6" s="863"/>
      <c r="N6" s="863"/>
      <c r="O6" s="863"/>
      <c r="P6" s="863"/>
      <c r="Q6" s="863"/>
      <c r="R6" s="863"/>
      <c r="S6" s="863"/>
      <c r="T6" s="863"/>
      <c r="U6" s="863"/>
      <c r="V6" s="863"/>
      <c r="W6" s="863"/>
      <c r="X6" s="863"/>
      <c r="Y6" s="863"/>
      <c r="Z6" s="863"/>
      <c r="AA6" s="863"/>
      <c r="AB6" s="863"/>
      <c r="AC6" s="863"/>
      <c r="AD6" s="863"/>
      <c r="AE6" s="863"/>
      <c r="AF6" s="863"/>
      <c r="AG6" s="863"/>
      <c r="AH6" s="863"/>
      <c r="AI6" s="863"/>
      <c r="AJ6" s="863"/>
      <c r="AK6" s="863"/>
      <c r="AL6" s="863"/>
      <c r="AM6" s="863"/>
      <c r="AN6" s="863"/>
      <c r="AO6" s="863"/>
    </row>
    <row r="7" spans="1:41">
      <c r="AF7" s="864"/>
      <c r="AG7" s="864"/>
      <c r="AH7" s="864"/>
      <c r="AI7" s="864"/>
      <c r="AJ7" s="864"/>
      <c r="AK7" s="864"/>
      <c r="AL7" s="864"/>
      <c r="AM7" s="864"/>
      <c r="AN7" s="864"/>
      <c r="AO7" s="864"/>
    </row>
    <row r="8" spans="1:41" ht="15">
      <c r="B8" s="844" t="s">
        <v>318</v>
      </c>
      <c r="AF8" s="864"/>
      <c r="AG8" s="864"/>
      <c r="AH8" s="864"/>
      <c r="AI8" s="864"/>
      <c r="AJ8" s="864"/>
      <c r="AK8" s="864"/>
      <c r="AL8" s="864"/>
      <c r="AM8" s="864"/>
      <c r="AN8" s="864"/>
      <c r="AO8" s="864"/>
    </row>
    <row r="9" spans="1:41" s="847" customFormat="1">
      <c r="A9" s="840"/>
      <c r="B9" s="858" t="s">
        <v>123</v>
      </c>
      <c r="C9" s="845">
        <f>ShipperData!$V$44</f>
        <v>3.1667000419901216E-3</v>
      </c>
      <c r="D9" s="865">
        <f>ShipperData!E5</f>
        <v>1157950</v>
      </c>
      <c r="E9" s="866">
        <f>D9*(1+$C9)</f>
        <v>1161616.8803136225</v>
      </c>
      <c r="F9" s="866">
        <f>E9*(1+$C9)</f>
        <v>1165295.3725372881</v>
      </c>
      <c r="G9" s="866">
        <f t="shared" ref="G9:AB9" si="65">F9*(1+$C9)</f>
        <v>1168985.513442433</v>
      </c>
      <c r="H9" s="866">
        <f t="shared" si="65"/>
        <v>1172687.3399169371</v>
      </c>
      <c r="I9" s="866">
        <f t="shared" si="65"/>
        <v>1176400.8889654933</v>
      </c>
      <c r="J9" s="866">
        <f t="shared" si="65"/>
        <v>1180126.1977099776</v>
      </c>
      <c r="K9" s="866">
        <f t="shared" si="65"/>
        <v>1183863.3033898196</v>
      </c>
      <c r="L9" s="866">
        <f t="shared" si="65"/>
        <v>1187612.2433623746</v>
      </c>
      <c r="M9" s="866">
        <f t="shared" si="65"/>
        <v>1191373.0551032983</v>
      </c>
      <c r="N9" s="866">
        <f t="shared" si="65"/>
        <v>1195145.7762069199</v>
      </c>
      <c r="O9" s="866">
        <f t="shared" si="65"/>
        <v>1198930.4443866187</v>
      </c>
      <c r="P9" s="866">
        <f t="shared" si="65"/>
        <v>1202727.0974752011</v>
      </c>
      <c r="Q9" s="866">
        <f t="shared" si="65"/>
        <v>1206535.7734252785</v>
      </c>
      <c r="R9" s="866">
        <f t="shared" si="65"/>
        <v>1210356.5103096468</v>
      </c>
      <c r="S9" s="866">
        <f t="shared" si="65"/>
        <v>1214189.3463216675</v>
      </c>
      <c r="T9" s="866">
        <f t="shared" si="65"/>
        <v>1218034.3197756484</v>
      </c>
      <c r="U9" s="866">
        <f t="shared" si="65"/>
        <v>1221891.4691072274</v>
      </c>
      <c r="V9" s="866">
        <f t="shared" si="65"/>
        <v>1225760.8328737568</v>
      </c>
      <c r="W9" s="866">
        <f t="shared" si="65"/>
        <v>1229642.449754688</v>
      </c>
      <c r="X9" s="866">
        <f t="shared" si="65"/>
        <v>1233536.358551959</v>
      </c>
      <c r="Y9" s="866">
        <f t="shared" si="65"/>
        <v>1237442.5981903819</v>
      </c>
      <c r="Z9" s="866">
        <f t="shared" si="65"/>
        <v>1241361.2077180317</v>
      </c>
      <c r="AA9" s="866">
        <f t="shared" si="65"/>
        <v>1245292.2263066373</v>
      </c>
      <c r="AB9" s="866">
        <f t="shared" si="65"/>
        <v>1249235.6932519726</v>
      </c>
      <c r="AC9" s="866">
        <f t="shared" ref="AC9" si="66">AB9*(1+$C9)</f>
        <v>1253191.6479742492</v>
      </c>
      <c r="AD9" s="866">
        <f t="shared" ref="AD9" si="67">AC9*(1+$C9)</f>
        <v>1257160.1300185111</v>
      </c>
      <c r="AE9" s="866">
        <f t="shared" ref="AE9" si="68">AD9*(1+$C9)</f>
        <v>1261141.1790550291</v>
      </c>
      <c r="AF9" s="866">
        <f t="shared" ref="AF9" si="69">AE9*(1+$C9)</f>
        <v>1265134.8348796982</v>
      </c>
      <c r="AG9" s="866">
        <f t="shared" ref="AG9" si="70">AF9*(1+$C9)</f>
        <v>1269141.1374144349</v>
      </c>
      <c r="AH9" s="866">
        <f t="shared" ref="AH9" si="71">AG9*(1+$C9)</f>
        <v>1273160.1267075767</v>
      </c>
      <c r="AI9" s="866">
        <f t="shared" ref="AI9" si="72">AH9*(1+$C9)</f>
        <v>1277191.8429342818</v>
      </c>
      <c r="AJ9" s="866">
        <f t="shared" ref="AJ9" si="73">AI9*(1+$C9)</f>
        <v>1281236.3263969312</v>
      </c>
      <c r="AK9" s="866">
        <f t="shared" ref="AK9" si="74">AJ9*(1+$C9)</f>
        <v>1285293.6175255317</v>
      </c>
      <c r="AL9" s="866">
        <f t="shared" ref="AL9" si="75">AK9*(1+$C9)</f>
        <v>1289363.7568781194</v>
      </c>
      <c r="AM9" s="866">
        <f t="shared" ref="AM9" si="76">AL9*(1+$C9)</f>
        <v>1293446.7851411661</v>
      </c>
      <c r="AN9" s="866">
        <f t="shared" ref="AN9" si="77">AM9*(1+$C9)</f>
        <v>1297542.7431299847</v>
      </c>
      <c r="AO9" s="866">
        <f t="shared" ref="AO9" si="78">AN9*(1+$C9)</f>
        <v>1301651.6717891383</v>
      </c>
    </row>
    <row r="10" spans="1:41" s="847" customFormat="1">
      <c r="A10" s="840"/>
      <c r="B10" s="858" t="s">
        <v>319</v>
      </c>
      <c r="C10" s="31"/>
      <c r="D10" s="867">
        <f>0</f>
        <v>0</v>
      </c>
      <c r="E10" s="867">
        <f>0</f>
        <v>0</v>
      </c>
      <c r="F10" s="867">
        <f>0</f>
        <v>0</v>
      </c>
      <c r="G10" s="867">
        <f>0</f>
        <v>0</v>
      </c>
      <c r="H10" s="867">
        <f>0</f>
        <v>0</v>
      </c>
      <c r="I10" s="867">
        <f>0</f>
        <v>0</v>
      </c>
      <c r="J10" s="867">
        <f>0</f>
        <v>0</v>
      </c>
      <c r="K10" s="867">
        <f>0</f>
        <v>0</v>
      </c>
      <c r="L10" s="867">
        <f>0</f>
        <v>0</v>
      </c>
      <c r="M10" s="867">
        <f>0</f>
        <v>0</v>
      </c>
      <c r="N10" s="867">
        <f>0</f>
        <v>0</v>
      </c>
      <c r="O10" s="867">
        <f>0</f>
        <v>0</v>
      </c>
      <c r="P10" s="867">
        <f>0</f>
        <v>0</v>
      </c>
      <c r="Q10" s="867">
        <f>0</f>
        <v>0</v>
      </c>
      <c r="R10" s="867">
        <f>0</f>
        <v>0</v>
      </c>
      <c r="S10" s="867">
        <f>0</f>
        <v>0</v>
      </c>
      <c r="T10" s="867">
        <f>0</f>
        <v>0</v>
      </c>
      <c r="U10" s="867">
        <f>0</f>
        <v>0</v>
      </c>
      <c r="V10" s="867">
        <f>0</f>
        <v>0</v>
      </c>
      <c r="W10" s="867">
        <f>0</f>
        <v>0</v>
      </c>
      <c r="X10" s="867">
        <f>0</f>
        <v>0</v>
      </c>
      <c r="Y10" s="867">
        <f>0</f>
        <v>0</v>
      </c>
      <c r="Z10" s="867">
        <f>0</f>
        <v>0</v>
      </c>
      <c r="AA10" s="867">
        <f>0</f>
        <v>0</v>
      </c>
      <c r="AB10" s="867">
        <f>0</f>
        <v>0</v>
      </c>
      <c r="AC10" s="867">
        <f>0</f>
        <v>0</v>
      </c>
      <c r="AD10" s="867">
        <f>0</f>
        <v>0</v>
      </c>
      <c r="AE10" s="867">
        <f>0</f>
        <v>0</v>
      </c>
      <c r="AF10" s="867">
        <f>0</f>
        <v>0</v>
      </c>
      <c r="AG10" s="867">
        <f>0</f>
        <v>0</v>
      </c>
      <c r="AH10" s="867">
        <f>0</f>
        <v>0</v>
      </c>
      <c r="AI10" s="867">
        <f>0</f>
        <v>0</v>
      </c>
      <c r="AJ10" s="867">
        <f>0</f>
        <v>0</v>
      </c>
      <c r="AK10" s="867">
        <f>0</f>
        <v>0</v>
      </c>
      <c r="AL10" s="867">
        <f>0</f>
        <v>0</v>
      </c>
      <c r="AM10" s="867">
        <f>0</f>
        <v>0</v>
      </c>
      <c r="AN10" s="867">
        <f>0</f>
        <v>0</v>
      </c>
      <c r="AO10" s="867">
        <f>0</f>
        <v>0</v>
      </c>
    </row>
    <row r="11" spans="1:41">
      <c r="B11" s="859" t="s">
        <v>320</v>
      </c>
      <c r="D11" s="867">
        <f>D10/ShipperData!$D$8</f>
        <v>0</v>
      </c>
      <c r="E11" s="867">
        <f>E10/ShipperData!$D$8</f>
        <v>0</v>
      </c>
      <c r="F11" s="867">
        <f>F10/ShipperData!$D$8</f>
        <v>0</v>
      </c>
      <c r="G11" s="867">
        <f>G10/ShipperData!$D$8</f>
        <v>0</v>
      </c>
      <c r="H11" s="867">
        <f>H10/ShipperData!$D$8</f>
        <v>0</v>
      </c>
      <c r="I11" s="867">
        <f>I10/ShipperData!$D$8</f>
        <v>0</v>
      </c>
      <c r="J11" s="867">
        <f>J10/ShipperData!$D$8</f>
        <v>0</v>
      </c>
      <c r="K11" s="867">
        <f>K10/ShipperData!$D$8</f>
        <v>0</v>
      </c>
      <c r="L11" s="867">
        <f>L10/ShipperData!$D$8</f>
        <v>0</v>
      </c>
      <c r="M11" s="867">
        <f>M10/ShipperData!$D$8</f>
        <v>0</v>
      </c>
      <c r="N11" s="867">
        <f>N10/ShipperData!$D$8</f>
        <v>0</v>
      </c>
      <c r="O11" s="867">
        <f>O10/ShipperData!$D$8</f>
        <v>0</v>
      </c>
      <c r="P11" s="867">
        <f>P10/ShipperData!$D$8</f>
        <v>0</v>
      </c>
      <c r="Q11" s="867">
        <f>Q10/ShipperData!$D$8</f>
        <v>0</v>
      </c>
      <c r="R11" s="867">
        <f>R10/ShipperData!$D$8</f>
        <v>0</v>
      </c>
      <c r="S11" s="867">
        <f>S10/ShipperData!$D$8</f>
        <v>0</v>
      </c>
      <c r="T11" s="867">
        <f>T10/ShipperData!$D$8</f>
        <v>0</v>
      </c>
      <c r="U11" s="867">
        <f>U10/ShipperData!$D$8</f>
        <v>0</v>
      </c>
      <c r="V11" s="867">
        <f>V10/ShipperData!$D$8</f>
        <v>0</v>
      </c>
      <c r="W11" s="867">
        <f>W10/ShipperData!$D$8</f>
        <v>0</v>
      </c>
      <c r="X11" s="867">
        <f>X10/ShipperData!$D$8</f>
        <v>0</v>
      </c>
      <c r="Y11" s="867">
        <f>Y10/ShipperData!$D$8</f>
        <v>0</v>
      </c>
      <c r="Z11" s="867">
        <f>Z10/ShipperData!$D$8</f>
        <v>0</v>
      </c>
      <c r="AA11" s="867">
        <f>AA10/ShipperData!$D$8</f>
        <v>0</v>
      </c>
      <c r="AB11" s="867">
        <f>AB10/ShipperData!$D$8</f>
        <v>0</v>
      </c>
      <c r="AC11" s="867">
        <f>AC10/ShipperData!$D$8</f>
        <v>0</v>
      </c>
      <c r="AD11" s="867">
        <f>AD10/ShipperData!$D$8</f>
        <v>0</v>
      </c>
      <c r="AE11" s="867">
        <f>AE10/ShipperData!$D$8</f>
        <v>0</v>
      </c>
      <c r="AF11" s="867">
        <f>AF10/ShipperData!$D$8</f>
        <v>0</v>
      </c>
      <c r="AG11" s="867">
        <f>AG10/ShipperData!$D$8</f>
        <v>0</v>
      </c>
      <c r="AH11" s="867">
        <f>AH10/ShipperData!$D$8</f>
        <v>0</v>
      </c>
      <c r="AI11" s="867">
        <f>AI10/ShipperData!$D$8</f>
        <v>0</v>
      </c>
      <c r="AJ11" s="867">
        <f>AJ10/ShipperData!$D$8</f>
        <v>0</v>
      </c>
      <c r="AK11" s="867">
        <f>AK10/ShipperData!$D$8</f>
        <v>0</v>
      </c>
      <c r="AL11" s="867">
        <f>AL10/ShipperData!$D$8</f>
        <v>0</v>
      </c>
      <c r="AM11" s="867">
        <f>AM10/ShipperData!$D$8</f>
        <v>0</v>
      </c>
      <c r="AN11" s="867">
        <f>AN10/ShipperData!$D$8</f>
        <v>0</v>
      </c>
      <c r="AO11" s="867">
        <f>AO10/ShipperData!$D$8</f>
        <v>0</v>
      </c>
    </row>
    <row r="12" spans="1:41" s="847" customFormat="1">
      <c r="A12" s="840"/>
      <c r="B12" s="858" t="s">
        <v>321</v>
      </c>
      <c r="C12" s="31"/>
      <c r="D12" s="865">
        <f>ShipperData!$E$6</f>
        <v>46318</v>
      </c>
      <c r="E12" s="868">
        <f>D12/D$9*E$9</f>
        <v>46464.675212544906</v>
      </c>
      <c r="F12" s="868">
        <f>E12/E$9*F$9</f>
        <v>46611.814901491525</v>
      </c>
      <c r="G12" s="868">
        <f t="shared" ref="G12:T12" si="79">F12/F$9*G$9</f>
        <v>46759.420537697319</v>
      </c>
      <c r="H12" s="868">
        <f t="shared" si="79"/>
        <v>46907.493596677486</v>
      </c>
      <c r="I12" s="868">
        <f t="shared" si="79"/>
        <v>47056.035558619733</v>
      </c>
      <c r="J12" s="868">
        <f t="shared" si="79"/>
        <v>47205.047908399109</v>
      </c>
      <c r="K12" s="868">
        <f t="shared" si="79"/>
        <v>47354.532135592781</v>
      </c>
      <c r="L12" s="868">
        <f t="shared" si="79"/>
        <v>47504.489734494986</v>
      </c>
      <c r="M12" s="868">
        <f t="shared" si="79"/>
        <v>47654.92220413193</v>
      </c>
      <c r="N12" s="868">
        <f t="shared" si="79"/>
        <v>47805.831048276799</v>
      </c>
      <c r="O12" s="868">
        <f t="shared" si="79"/>
        <v>47957.217775464749</v>
      </c>
      <c r="P12" s="868">
        <f t="shared" si="79"/>
        <v>48109.083899008045</v>
      </c>
      <c r="Q12" s="868">
        <f t="shared" si="79"/>
        <v>48261.430937011137</v>
      </c>
      <c r="R12" s="868">
        <f t="shared" si="79"/>
        <v>48414.260412385876</v>
      </c>
      <c r="S12" s="868">
        <f t="shared" si="79"/>
        <v>48567.573852866706</v>
      </c>
      <c r="T12" s="868">
        <f t="shared" si="79"/>
        <v>48721.37279102594</v>
      </c>
      <c r="U12" s="868">
        <f t="shared" ref="U12:AB12" si="80">T12/T$9*U$9</f>
        <v>48875.658764289095</v>
      </c>
      <c r="V12" s="868">
        <f t="shared" si="80"/>
        <v>49030.433314950271</v>
      </c>
      <c r="W12" s="868">
        <f t="shared" si="80"/>
        <v>49185.697990187517</v>
      </c>
      <c r="X12" s="868">
        <f t="shared" si="80"/>
        <v>49341.454342078359</v>
      </c>
      <c r="Y12" s="868">
        <f t="shared" si="80"/>
        <v>49497.703927615279</v>
      </c>
      <c r="Z12" s="868">
        <f t="shared" si="80"/>
        <v>49654.448308721272</v>
      </c>
      <c r="AA12" s="868">
        <f t="shared" si="80"/>
        <v>49811.689052265494</v>
      </c>
      <c r="AB12" s="868">
        <f t="shared" si="80"/>
        <v>49969.427730078904</v>
      </c>
      <c r="AC12" s="868">
        <f t="shared" ref="AC12" si="81">AB12/AB$9*AC$9</f>
        <v>50127.665918969971</v>
      </c>
      <c r="AD12" s="868">
        <f t="shared" ref="AD12" si="82">AC12/AC$9*AD$9</f>
        <v>50286.405200740446</v>
      </c>
      <c r="AE12" s="868">
        <f t="shared" ref="AE12" si="83">AD12/AD$9*AE$9</f>
        <v>50445.647162201167</v>
      </c>
      <c r="AF12" s="868">
        <f t="shared" ref="AF12" si="84">AE12/AE$9*AF$9</f>
        <v>50605.39339518793</v>
      </c>
      <c r="AG12" s="868">
        <f t="shared" ref="AG12" si="85">AF12/AF$9*AG$9</f>
        <v>50765.645496577396</v>
      </c>
      <c r="AH12" s="868">
        <f t="shared" ref="AH12" si="86">AG12/AG$9*AH$9</f>
        <v>50926.405068303065</v>
      </c>
      <c r="AI12" s="868">
        <f t="shared" ref="AI12" si="87">AH12/AH$9*AI$9</f>
        <v>51087.673717371275</v>
      </c>
      <c r="AJ12" s="868">
        <f t="shared" ref="AJ12" si="88">AI12/AI$9*AJ$9</f>
        <v>51249.453055877246</v>
      </c>
      <c r="AK12" s="868">
        <f t="shared" ref="AK12" si="89">AJ12/AJ$9*AK$9</f>
        <v>51411.744701021271</v>
      </c>
      <c r="AL12" s="868">
        <f t="shared" ref="AL12" si="90">AK12/AK$9*AL$9</f>
        <v>51574.550275124777</v>
      </c>
      <c r="AM12" s="868">
        <f t="shared" ref="AM12" si="91">AL12/AL$9*AM$9</f>
        <v>51737.871405646642</v>
      </c>
      <c r="AN12" s="868">
        <f t="shared" ref="AN12" si="92">AM12/AM$9*AN$9</f>
        <v>51901.709725199391</v>
      </c>
      <c r="AO12" s="868">
        <f t="shared" ref="AO12" si="93">AN12/AN$9*AO$9</f>
        <v>52066.066871565534</v>
      </c>
    </row>
    <row r="13" spans="1:41">
      <c r="B13" s="859" t="s">
        <v>322</v>
      </c>
      <c r="C13" s="849">
        <f>ShipperData!$O$44</f>
        <v>0</v>
      </c>
      <c r="D13" s="869">
        <f>IF(D11&gt;0,$C13*D$9,0)</f>
        <v>0</v>
      </c>
      <c r="E13" s="869">
        <f>IF(E11&gt;0,$C13*E$9,0)</f>
        <v>0</v>
      </c>
      <c r="F13" s="869">
        <f t="shared" ref="F13:T13" si="94">IF(F11&gt;0,$C13*F$9,0)</f>
        <v>0</v>
      </c>
      <c r="G13" s="869">
        <f t="shared" si="94"/>
        <v>0</v>
      </c>
      <c r="H13" s="869">
        <f t="shared" si="94"/>
        <v>0</v>
      </c>
      <c r="I13" s="869">
        <f t="shared" si="94"/>
        <v>0</v>
      </c>
      <c r="J13" s="869">
        <f t="shared" si="94"/>
        <v>0</v>
      </c>
      <c r="K13" s="869">
        <f t="shared" si="94"/>
        <v>0</v>
      </c>
      <c r="L13" s="869">
        <f t="shared" si="94"/>
        <v>0</v>
      </c>
      <c r="M13" s="869">
        <f t="shared" si="94"/>
        <v>0</v>
      </c>
      <c r="N13" s="869">
        <f t="shared" si="94"/>
        <v>0</v>
      </c>
      <c r="O13" s="869">
        <f t="shared" si="94"/>
        <v>0</v>
      </c>
      <c r="P13" s="869">
        <f t="shared" si="94"/>
        <v>0</v>
      </c>
      <c r="Q13" s="869">
        <f t="shared" si="94"/>
        <v>0</v>
      </c>
      <c r="R13" s="869">
        <f t="shared" si="94"/>
        <v>0</v>
      </c>
      <c r="S13" s="869">
        <f t="shared" si="94"/>
        <v>0</v>
      </c>
      <c r="T13" s="869">
        <f t="shared" si="94"/>
        <v>0</v>
      </c>
      <c r="U13" s="869">
        <f t="shared" ref="U13:AB13" si="95">IF(U11&gt;0,$C13*U$9,0)</f>
        <v>0</v>
      </c>
      <c r="V13" s="869">
        <f t="shared" si="95"/>
        <v>0</v>
      </c>
      <c r="W13" s="869">
        <f t="shared" si="95"/>
        <v>0</v>
      </c>
      <c r="X13" s="869">
        <f t="shared" si="95"/>
        <v>0</v>
      </c>
      <c r="Y13" s="869">
        <f t="shared" si="95"/>
        <v>0</v>
      </c>
      <c r="Z13" s="869">
        <f t="shared" si="95"/>
        <v>0</v>
      </c>
      <c r="AA13" s="869">
        <f t="shared" si="95"/>
        <v>0</v>
      </c>
      <c r="AB13" s="869">
        <f t="shared" si="95"/>
        <v>0</v>
      </c>
      <c r="AC13" s="869">
        <f t="shared" ref="AC13:AE13" si="96">IF(AC11&gt;0,$C13*AC$9,0)</f>
        <v>0</v>
      </c>
      <c r="AD13" s="869">
        <f t="shared" si="96"/>
        <v>0</v>
      </c>
      <c r="AE13" s="869">
        <f t="shared" si="96"/>
        <v>0</v>
      </c>
      <c r="AF13" s="869">
        <f t="shared" ref="AF13:AO13" si="97">IF(AF11&gt;0,$C13*AF$9,0)</f>
        <v>0</v>
      </c>
      <c r="AG13" s="869">
        <f t="shared" si="97"/>
        <v>0</v>
      </c>
      <c r="AH13" s="869">
        <f t="shared" si="97"/>
        <v>0</v>
      </c>
      <c r="AI13" s="869">
        <f t="shared" si="97"/>
        <v>0</v>
      </c>
      <c r="AJ13" s="869">
        <f t="shared" si="97"/>
        <v>0</v>
      </c>
      <c r="AK13" s="869">
        <f t="shared" si="97"/>
        <v>0</v>
      </c>
      <c r="AL13" s="869">
        <f t="shared" si="97"/>
        <v>0</v>
      </c>
      <c r="AM13" s="869">
        <f t="shared" si="97"/>
        <v>0</v>
      </c>
      <c r="AN13" s="869">
        <f t="shared" si="97"/>
        <v>0</v>
      </c>
      <c r="AO13" s="869">
        <f t="shared" si="97"/>
        <v>0</v>
      </c>
    </row>
    <row r="14" spans="1:41">
      <c r="B14" s="859" t="s">
        <v>323</v>
      </c>
      <c r="C14" s="849">
        <f>ShipperData!$N$44</f>
        <v>834</v>
      </c>
      <c r="D14" s="869">
        <f>$C14*D$9</f>
        <v>965730300</v>
      </c>
      <c r="E14" s="869">
        <f>$C14*E$9</f>
        <v>968788478.18156123</v>
      </c>
      <c r="F14" s="869">
        <f t="shared" ref="F14" si="98">$C14*F$9</f>
        <v>971856340.69609833</v>
      </c>
      <c r="G14" s="869">
        <f>$C14*G$9</f>
        <v>974933918.21098912</v>
      </c>
      <c r="H14" s="869">
        <f t="shared" ref="H14:AO14" si="99">$C14*H$9</f>
        <v>978021241.49072552</v>
      </c>
      <c r="I14" s="869">
        <f t="shared" si="99"/>
        <v>981118341.39722145</v>
      </c>
      <c r="J14" s="869">
        <f t="shared" si="99"/>
        <v>984225248.89012134</v>
      </c>
      <c r="K14" s="869">
        <f t="shared" si="99"/>
        <v>987341995.0271095</v>
      </c>
      <c r="L14" s="869">
        <f t="shared" si="99"/>
        <v>990468610.9642204</v>
      </c>
      <c r="M14" s="869">
        <f t="shared" si="99"/>
        <v>993605127.95615077</v>
      </c>
      <c r="N14" s="869">
        <f>$C14*N$9</f>
        <v>996751577.3565712</v>
      </c>
      <c r="O14" s="869">
        <f t="shared" si="99"/>
        <v>999907990.61844003</v>
      </c>
      <c r="P14" s="869">
        <f t="shared" si="99"/>
        <v>1003074399.2943177</v>
      </c>
      <c r="Q14" s="869">
        <f t="shared" si="99"/>
        <v>1006250835.0366822</v>
      </c>
      <c r="R14" s="869">
        <f t="shared" si="99"/>
        <v>1009437329.5982455</v>
      </c>
      <c r="S14" s="869">
        <f t="shared" si="99"/>
        <v>1012633914.8322707</v>
      </c>
      <c r="T14" s="869">
        <f t="shared" si="99"/>
        <v>1015840622.6928908</v>
      </c>
      <c r="U14" s="869">
        <f t="shared" si="99"/>
        <v>1019057485.2354276</v>
      </c>
      <c r="V14" s="869">
        <f t="shared" si="99"/>
        <v>1022284534.6167132</v>
      </c>
      <c r="W14" s="869">
        <f t="shared" si="99"/>
        <v>1025521803.0954098</v>
      </c>
      <c r="X14" s="869">
        <f t="shared" si="99"/>
        <v>1028769323.0323339</v>
      </c>
      <c r="Y14" s="869">
        <f t="shared" si="99"/>
        <v>1032027126.8907785</v>
      </c>
      <c r="Z14" s="869">
        <f t="shared" si="99"/>
        <v>1035295247.2368385</v>
      </c>
      <c r="AA14" s="869">
        <f t="shared" si="99"/>
        <v>1038573716.7397355</v>
      </c>
      <c r="AB14" s="869">
        <f t="shared" si="99"/>
        <v>1041862568.1721451</v>
      </c>
      <c r="AC14" s="869">
        <f t="shared" si="99"/>
        <v>1045161834.4105239</v>
      </c>
      <c r="AD14" s="869">
        <f t="shared" si="99"/>
        <v>1048471548.4354383</v>
      </c>
      <c r="AE14" s="869">
        <f t="shared" si="99"/>
        <v>1051791743.3318943</v>
      </c>
      <c r="AF14" s="869">
        <f t="shared" si="99"/>
        <v>1055122452.2896683</v>
      </c>
      <c r="AG14" s="869">
        <f t="shared" si="99"/>
        <v>1058463708.6036388</v>
      </c>
      <c r="AH14" s="869">
        <f t="shared" si="99"/>
        <v>1061815545.674119</v>
      </c>
      <c r="AI14" s="869">
        <f t="shared" si="99"/>
        <v>1065177997.0071911</v>
      </c>
      <c r="AJ14" s="869">
        <f t="shared" si="99"/>
        <v>1068551096.2150406</v>
      </c>
      <c r="AK14" s="869">
        <f t="shared" si="99"/>
        <v>1071934877.0162934</v>
      </c>
      <c r="AL14" s="869">
        <f t="shared" si="99"/>
        <v>1075329373.2363515</v>
      </c>
      <c r="AM14" s="869">
        <f t="shared" si="99"/>
        <v>1078734618.8077326</v>
      </c>
      <c r="AN14" s="869">
        <f t="shared" si="99"/>
        <v>1082150647.7704072</v>
      </c>
      <c r="AO14" s="869">
        <f t="shared" si="99"/>
        <v>1085577494.2721415</v>
      </c>
    </row>
    <row r="15" spans="1:41">
      <c r="B15" s="848"/>
      <c r="C15" s="125"/>
      <c r="AF15" s="864"/>
      <c r="AG15" s="864"/>
      <c r="AH15" s="864"/>
      <c r="AI15" s="864"/>
      <c r="AJ15" s="864"/>
      <c r="AK15" s="864"/>
      <c r="AL15" s="864"/>
      <c r="AM15" s="864"/>
      <c r="AN15" s="864"/>
      <c r="AO15" s="864"/>
    </row>
    <row r="16" spans="1:41">
      <c r="B16" s="859" t="s">
        <v>324</v>
      </c>
      <c r="C16" s="849">
        <f>ShipperData!$N$44</f>
        <v>834</v>
      </c>
      <c r="D16" s="869">
        <f>D12*$C16</f>
        <v>38629212</v>
      </c>
      <c r="E16" s="869">
        <f t="shared" ref="E16:AE16" si="100">E12*$C16</f>
        <v>38751539.127262451</v>
      </c>
      <c r="F16" s="869">
        <f t="shared" si="100"/>
        <v>38874253.627843931</v>
      </c>
      <c r="G16" s="869">
        <f t="shared" si="100"/>
        <v>38997356.728439562</v>
      </c>
      <c r="H16" s="869">
        <f t="shared" si="100"/>
        <v>39120849.659629025</v>
      </c>
      <c r="I16" s="869">
        <f t="shared" si="100"/>
        <v>39244733.655888855</v>
      </c>
      <c r="J16" s="869">
        <f t="shared" si="100"/>
        <v>39369009.955604859</v>
      </c>
      <c r="K16" s="869">
        <f t="shared" si="100"/>
        <v>39493679.801084377</v>
      </c>
      <c r="L16" s="869">
        <f t="shared" si="100"/>
        <v>39618744.438568816</v>
      </c>
      <c r="M16" s="869">
        <f t="shared" si="100"/>
        <v>39744205.118246026</v>
      </c>
      <c r="N16" s="869">
        <f t="shared" si="100"/>
        <v>39870063.094262853</v>
      </c>
      <c r="O16" s="869">
        <f t="shared" si="100"/>
        <v>39996319.624737598</v>
      </c>
      <c r="P16" s="869">
        <f t="shared" si="100"/>
        <v>40122975.971772708</v>
      </c>
      <c r="Q16" s="869">
        <f t="shared" si="100"/>
        <v>40250033.401467286</v>
      </c>
      <c r="R16" s="869">
        <f t="shared" si="100"/>
        <v>40377493.183929823</v>
      </c>
      <c r="S16" s="869">
        <f t="shared" si="100"/>
        <v>40505356.593290836</v>
      </c>
      <c r="T16" s="869">
        <f t="shared" si="100"/>
        <v>40633624.907715634</v>
      </c>
      <c r="U16" s="869">
        <f t="shared" si="100"/>
        <v>40762299.409417108</v>
      </c>
      <c r="V16" s="869">
        <f t="shared" si="100"/>
        <v>40891381.384668529</v>
      </c>
      <c r="W16" s="869">
        <f t="shared" si="100"/>
        <v>41020872.123816386</v>
      </c>
      <c r="X16" s="869">
        <f t="shared" si="100"/>
        <v>41150772.921293348</v>
      </c>
      <c r="Y16" s="869">
        <f t="shared" si="100"/>
        <v>41281085.075631142</v>
      </c>
      <c r="Z16" s="869">
        <f t="shared" si="100"/>
        <v>41411809.889473543</v>
      </c>
      <c r="AA16" s="869">
        <f t="shared" si="100"/>
        <v>41542948.669589423</v>
      </c>
      <c r="AB16" s="869">
        <f t="shared" si="100"/>
        <v>41674502.726885803</v>
      </c>
      <c r="AC16" s="869">
        <f t="shared" si="100"/>
        <v>41806473.376420952</v>
      </c>
      <c r="AD16" s="869">
        <f t="shared" si="100"/>
        <v>41938861.93741753</v>
      </c>
      <c r="AE16" s="869">
        <f t="shared" si="100"/>
        <v>42071669.733275771</v>
      </c>
      <c r="AF16" s="869">
        <f t="shared" ref="AF16:AO16" si="101">AF12*$C16</f>
        <v>42204898.091586731</v>
      </c>
      <c r="AG16" s="869">
        <f t="shared" si="101"/>
        <v>42338548.344145551</v>
      </c>
      <c r="AH16" s="869">
        <f t="shared" si="101"/>
        <v>42472621.826964758</v>
      </c>
      <c r="AI16" s="869">
        <f t="shared" si="101"/>
        <v>42607119.880287647</v>
      </c>
      <c r="AJ16" s="869">
        <f t="shared" si="101"/>
        <v>42742043.848601624</v>
      </c>
      <c r="AK16" s="869">
        <f t="shared" si="101"/>
        <v>42877395.080651738</v>
      </c>
      <c r="AL16" s="869">
        <f t="shared" si="101"/>
        <v>43013174.929454066</v>
      </c>
      <c r="AM16" s="869">
        <f t="shared" si="101"/>
        <v>43149384.7523093</v>
      </c>
      <c r="AN16" s="869">
        <f t="shared" si="101"/>
        <v>43286025.910816289</v>
      </c>
      <c r="AO16" s="869">
        <f t="shared" si="101"/>
        <v>43423099.770885654</v>
      </c>
    </row>
    <row r="17" spans="1:41">
      <c r="B17" s="859" t="s">
        <v>325</v>
      </c>
      <c r="C17" s="845">
        <f>Inputs!E21</f>
        <v>0</v>
      </c>
      <c r="D17" s="869">
        <f>D16*$C17</f>
        <v>0</v>
      </c>
      <c r="E17" s="869">
        <f t="shared" ref="E17" si="102">E16*$C17</f>
        <v>0</v>
      </c>
      <c r="F17" s="869">
        <f t="shared" ref="F17" si="103">F16*$C17</f>
        <v>0</v>
      </c>
      <c r="G17" s="869">
        <f t="shared" ref="G17" si="104">G16*$C17</f>
        <v>0</v>
      </c>
      <c r="H17" s="869">
        <f t="shared" ref="H17" si="105">H16*$C17</f>
        <v>0</v>
      </c>
      <c r="I17" s="869">
        <f t="shared" ref="I17" si="106">I16*$C17</f>
        <v>0</v>
      </c>
      <c r="J17" s="869">
        <f t="shared" ref="J17" si="107">J16*$C17</f>
        <v>0</v>
      </c>
      <c r="K17" s="869">
        <f t="shared" ref="K17" si="108">K16*$C17</f>
        <v>0</v>
      </c>
      <c r="L17" s="869">
        <f t="shared" ref="L17" si="109">L16*$C17</f>
        <v>0</v>
      </c>
      <c r="M17" s="869">
        <f t="shared" ref="M17" si="110">M16*$C17</f>
        <v>0</v>
      </c>
      <c r="N17" s="869">
        <f t="shared" ref="N17" si="111">N16*$C17</f>
        <v>0</v>
      </c>
      <c r="O17" s="869">
        <f t="shared" ref="O17" si="112">O16*$C17</f>
        <v>0</v>
      </c>
      <c r="P17" s="869">
        <f t="shared" ref="P17" si="113">P16*$C17</f>
        <v>0</v>
      </c>
      <c r="Q17" s="869">
        <f t="shared" ref="Q17" si="114">Q16*$C17</f>
        <v>0</v>
      </c>
      <c r="R17" s="869">
        <f t="shared" ref="R17" si="115">R16*$C17</f>
        <v>0</v>
      </c>
      <c r="S17" s="869">
        <f t="shared" ref="S17" si="116">S16*$C17</f>
        <v>0</v>
      </c>
      <c r="T17" s="869">
        <f t="shared" ref="T17" si="117">T16*$C17</f>
        <v>0</v>
      </c>
      <c r="U17" s="869">
        <f t="shared" ref="U17" si="118">U16*$C17</f>
        <v>0</v>
      </c>
      <c r="V17" s="869">
        <f t="shared" ref="V17" si="119">V16*$C17</f>
        <v>0</v>
      </c>
      <c r="W17" s="869">
        <f t="shared" ref="W17" si="120">W16*$C17</f>
        <v>0</v>
      </c>
      <c r="X17" s="869">
        <f t="shared" ref="X17" si="121">X16*$C17</f>
        <v>0</v>
      </c>
      <c r="Y17" s="869">
        <f t="shared" ref="Y17" si="122">Y16*$C17</f>
        <v>0</v>
      </c>
      <c r="Z17" s="869">
        <f t="shared" ref="Z17" si="123">Z16*$C17</f>
        <v>0</v>
      </c>
      <c r="AA17" s="869">
        <f t="shared" ref="AA17" si="124">AA16*$C17</f>
        <v>0</v>
      </c>
      <c r="AB17" s="869">
        <f t="shared" ref="AB17" si="125">AB16*$C17</f>
        <v>0</v>
      </c>
      <c r="AC17" s="869">
        <f t="shared" ref="AC17" si="126">AC16*$C17</f>
        <v>0</v>
      </c>
      <c r="AD17" s="869">
        <f t="shared" ref="AD17" si="127">AD16*$C17</f>
        <v>0</v>
      </c>
      <c r="AE17" s="869">
        <f t="shared" ref="AE17:AO17" si="128">AE16*$C17</f>
        <v>0</v>
      </c>
      <c r="AF17" s="869">
        <f t="shared" si="128"/>
        <v>0</v>
      </c>
      <c r="AG17" s="869">
        <f t="shared" si="128"/>
        <v>0</v>
      </c>
      <c r="AH17" s="869">
        <f t="shared" si="128"/>
        <v>0</v>
      </c>
      <c r="AI17" s="869">
        <f t="shared" si="128"/>
        <v>0</v>
      </c>
      <c r="AJ17" s="869">
        <f t="shared" si="128"/>
        <v>0</v>
      </c>
      <c r="AK17" s="869">
        <f t="shared" si="128"/>
        <v>0</v>
      </c>
      <c r="AL17" s="869">
        <f t="shared" si="128"/>
        <v>0</v>
      </c>
      <c r="AM17" s="869">
        <f t="shared" si="128"/>
        <v>0</v>
      </c>
      <c r="AN17" s="869">
        <f t="shared" si="128"/>
        <v>0</v>
      </c>
      <c r="AO17" s="869">
        <f t="shared" si="128"/>
        <v>0</v>
      </c>
    </row>
    <row r="18" spans="1:41">
      <c r="B18" s="859" t="s">
        <v>326</v>
      </c>
      <c r="D18" s="1065">
        <f>SUM(D16:D17)</f>
        <v>38629212</v>
      </c>
      <c r="E18" s="1065">
        <f t="shared" ref="E18:AE18" si="129">SUM(E16:E17)</f>
        <v>38751539.127262451</v>
      </c>
      <c r="F18" s="1065">
        <f t="shared" si="129"/>
        <v>38874253.627843931</v>
      </c>
      <c r="G18" s="1065">
        <f t="shared" si="129"/>
        <v>38997356.728439562</v>
      </c>
      <c r="H18" s="1065">
        <f t="shared" si="129"/>
        <v>39120849.659629025</v>
      </c>
      <c r="I18" s="1065">
        <f t="shared" si="129"/>
        <v>39244733.655888855</v>
      </c>
      <c r="J18" s="1065">
        <f t="shared" si="129"/>
        <v>39369009.955604859</v>
      </c>
      <c r="K18" s="1065">
        <f t="shared" si="129"/>
        <v>39493679.801084377</v>
      </c>
      <c r="L18" s="1065">
        <f t="shared" si="129"/>
        <v>39618744.438568816</v>
      </c>
      <c r="M18" s="1065">
        <f t="shared" si="129"/>
        <v>39744205.118246026</v>
      </c>
      <c r="N18" s="1065">
        <f t="shared" si="129"/>
        <v>39870063.094262853</v>
      </c>
      <c r="O18" s="1065">
        <f t="shared" si="129"/>
        <v>39996319.624737598</v>
      </c>
      <c r="P18" s="1065">
        <f t="shared" si="129"/>
        <v>40122975.971772708</v>
      </c>
      <c r="Q18" s="1065">
        <f t="shared" si="129"/>
        <v>40250033.401467286</v>
      </c>
      <c r="R18" s="1065">
        <f t="shared" si="129"/>
        <v>40377493.183929823</v>
      </c>
      <c r="S18" s="1065">
        <f t="shared" si="129"/>
        <v>40505356.593290836</v>
      </c>
      <c r="T18" s="1065">
        <f t="shared" si="129"/>
        <v>40633624.907715634</v>
      </c>
      <c r="U18" s="1065">
        <f t="shared" si="129"/>
        <v>40762299.409417108</v>
      </c>
      <c r="V18" s="1065">
        <f t="shared" si="129"/>
        <v>40891381.384668529</v>
      </c>
      <c r="W18" s="1065">
        <f t="shared" si="129"/>
        <v>41020872.123816386</v>
      </c>
      <c r="X18" s="1065">
        <f t="shared" si="129"/>
        <v>41150772.921293348</v>
      </c>
      <c r="Y18" s="1065">
        <f t="shared" si="129"/>
        <v>41281085.075631142</v>
      </c>
      <c r="Z18" s="1065">
        <f t="shared" si="129"/>
        <v>41411809.889473543</v>
      </c>
      <c r="AA18" s="1065">
        <f t="shared" si="129"/>
        <v>41542948.669589423</v>
      </c>
      <c r="AB18" s="1065">
        <f t="shared" si="129"/>
        <v>41674502.726885803</v>
      </c>
      <c r="AC18" s="1065">
        <f t="shared" si="129"/>
        <v>41806473.376420952</v>
      </c>
      <c r="AD18" s="1065">
        <f t="shared" si="129"/>
        <v>41938861.93741753</v>
      </c>
      <c r="AE18" s="1065">
        <f t="shared" si="129"/>
        <v>42071669.733275771</v>
      </c>
      <c r="AF18" s="1065">
        <f t="shared" ref="AF18:AO18" si="130">SUM(AF16:AF17)</f>
        <v>42204898.091586731</v>
      </c>
      <c r="AG18" s="1065">
        <f t="shared" si="130"/>
        <v>42338548.344145551</v>
      </c>
      <c r="AH18" s="1065">
        <f t="shared" si="130"/>
        <v>42472621.826964758</v>
      </c>
      <c r="AI18" s="1065">
        <f t="shared" si="130"/>
        <v>42607119.880287647</v>
      </c>
      <c r="AJ18" s="1065">
        <f t="shared" si="130"/>
        <v>42742043.848601624</v>
      </c>
      <c r="AK18" s="1065">
        <f t="shared" si="130"/>
        <v>42877395.080651738</v>
      </c>
      <c r="AL18" s="1065">
        <f t="shared" si="130"/>
        <v>43013174.929454066</v>
      </c>
      <c r="AM18" s="1065">
        <f t="shared" si="130"/>
        <v>43149384.7523093</v>
      </c>
      <c r="AN18" s="1065">
        <f t="shared" si="130"/>
        <v>43286025.910816289</v>
      </c>
      <c r="AO18" s="1065">
        <f t="shared" si="130"/>
        <v>43423099.770885654</v>
      </c>
    </row>
    <row r="19" spans="1:41">
      <c r="AF19" s="864"/>
      <c r="AG19" s="864"/>
      <c r="AH19" s="864"/>
      <c r="AI19" s="864"/>
      <c r="AJ19" s="864"/>
      <c r="AK19" s="864"/>
      <c r="AL19" s="864"/>
      <c r="AM19" s="864"/>
      <c r="AN19" s="864"/>
      <c r="AO19" s="864"/>
    </row>
    <row r="20" spans="1:41">
      <c r="B20" s="859" t="s">
        <v>327</v>
      </c>
      <c r="C20" s="879">
        <f>Inputs!E23</f>
        <v>500</v>
      </c>
      <c r="D20" s="864">
        <f>IFERROR(D13/$C20,0)</f>
        <v>0</v>
      </c>
      <c r="E20" s="864">
        <f t="shared" ref="E20:AE20" si="131">IFERROR(E13/$C20,0)</f>
        <v>0</v>
      </c>
      <c r="F20" s="864">
        <f t="shared" si="131"/>
        <v>0</v>
      </c>
      <c r="G20" s="864">
        <f t="shared" si="131"/>
        <v>0</v>
      </c>
      <c r="H20" s="864">
        <f t="shared" si="131"/>
        <v>0</v>
      </c>
      <c r="I20" s="864">
        <f t="shared" si="131"/>
        <v>0</v>
      </c>
      <c r="J20" s="864">
        <f t="shared" si="131"/>
        <v>0</v>
      </c>
      <c r="K20" s="864">
        <f t="shared" si="131"/>
        <v>0</v>
      </c>
      <c r="L20" s="864">
        <f t="shared" si="131"/>
        <v>0</v>
      </c>
      <c r="M20" s="864">
        <f t="shared" si="131"/>
        <v>0</v>
      </c>
      <c r="N20" s="864">
        <f t="shared" si="131"/>
        <v>0</v>
      </c>
      <c r="O20" s="864">
        <f t="shared" si="131"/>
        <v>0</v>
      </c>
      <c r="P20" s="864">
        <f t="shared" si="131"/>
        <v>0</v>
      </c>
      <c r="Q20" s="864">
        <f t="shared" si="131"/>
        <v>0</v>
      </c>
      <c r="R20" s="864">
        <f t="shared" si="131"/>
        <v>0</v>
      </c>
      <c r="S20" s="864">
        <f t="shared" si="131"/>
        <v>0</v>
      </c>
      <c r="T20" s="864">
        <f t="shared" si="131"/>
        <v>0</v>
      </c>
      <c r="U20" s="864">
        <f t="shared" si="131"/>
        <v>0</v>
      </c>
      <c r="V20" s="864">
        <f t="shared" si="131"/>
        <v>0</v>
      </c>
      <c r="W20" s="864">
        <f t="shared" si="131"/>
        <v>0</v>
      </c>
      <c r="X20" s="864">
        <f t="shared" si="131"/>
        <v>0</v>
      </c>
      <c r="Y20" s="864">
        <f t="shared" si="131"/>
        <v>0</v>
      </c>
      <c r="Z20" s="864">
        <f t="shared" si="131"/>
        <v>0</v>
      </c>
      <c r="AA20" s="864">
        <f t="shared" si="131"/>
        <v>0</v>
      </c>
      <c r="AB20" s="864">
        <f t="shared" si="131"/>
        <v>0</v>
      </c>
      <c r="AC20" s="864">
        <f t="shared" si="131"/>
        <v>0</v>
      </c>
      <c r="AD20" s="864">
        <f t="shared" si="131"/>
        <v>0</v>
      </c>
      <c r="AE20" s="864">
        <f t="shared" si="131"/>
        <v>0</v>
      </c>
      <c r="AF20" s="864">
        <f t="shared" ref="AF20:AO20" si="132">IFERROR(AF13/$C20,0)</f>
        <v>0</v>
      </c>
      <c r="AG20" s="864">
        <f t="shared" si="132"/>
        <v>0</v>
      </c>
      <c r="AH20" s="864">
        <f t="shared" si="132"/>
        <v>0</v>
      </c>
      <c r="AI20" s="864">
        <f t="shared" si="132"/>
        <v>0</v>
      </c>
      <c r="AJ20" s="864">
        <f t="shared" si="132"/>
        <v>0</v>
      </c>
      <c r="AK20" s="864">
        <f t="shared" si="132"/>
        <v>0</v>
      </c>
      <c r="AL20" s="864">
        <f t="shared" si="132"/>
        <v>0</v>
      </c>
      <c r="AM20" s="864">
        <f t="shared" si="132"/>
        <v>0</v>
      </c>
      <c r="AN20" s="864">
        <f t="shared" si="132"/>
        <v>0</v>
      </c>
      <c r="AO20" s="864">
        <f t="shared" si="132"/>
        <v>0</v>
      </c>
    </row>
    <row r="21" spans="1:41">
      <c r="B21" s="859" t="s">
        <v>328</v>
      </c>
      <c r="C21" s="1234">
        <f>Inputs!E24</f>
        <v>11.5</v>
      </c>
      <c r="D21" s="878">
        <f>IFERROR(D18/$C21,0)</f>
        <v>3359061.913043478</v>
      </c>
      <c r="E21" s="878">
        <f t="shared" ref="E21:AE21" si="133">IFERROR(E18/$C21,0)</f>
        <v>3369699.0545445611</v>
      </c>
      <c r="F21" s="878">
        <f t="shared" si="133"/>
        <v>3380369.880682081</v>
      </c>
      <c r="G21" s="878">
        <f t="shared" si="133"/>
        <v>3391074.4981251792</v>
      </c>
      <c r="H21" s="878">
        <f t="shared" si="133"/>
        <v>3401813.0138807846</v>
      </c>
      <c r="I21" s="878">
        <f t="shared" si="133"/>
        <v>3412585.5352946832</v>
      </c>
      <c r="J21" s="878">
        <f t="shared" si="133"/>
        <v>3423392.1700525964</v>
      </c>
      <c r="K21" s="878">
        <f t="shared" si="133"/>
        <v>3434233.0261812503</v>
      </c>
      <c r="L21" s="878">
        <f t="shared" si="133"/>
        <v>3445108.2120494624</v>
      </c>
      <c r="M21" s="878">
        <f t="shared" si="133"/>
        <v>3456017.8363692197</v>
      </c>
      <c r="N21" s="878">
        <f t="shared" si="133"/>
        <v>3466962.0081967697</v>
      </c>
      <c r="O21" s="878">
        <f t="shared" si="133"/>
        <v>3477940.8369337041</v>
      </c>
      <c r="P21" s="878">
        <f t="shared" si="133"/>
        <v>3488954.4323280617</v>
      </c>
      <c r="Q21" s="878">
        <f t="shared" si="133"/>
        <v>3500002.9044754161</v>
      </c>
      <c r="R21" s="878">
        <f t="shared" si="133"/>
        <v>3511086.3638199847</v>
      </c>
      <c r="S21" s="878">
        <f t="shared" si="133"/>
        <v>3522204.9211557247</v>
      </c>
      <c r="T21" s="878">
        <f t="shared" si="133"/>
        <v>3533358.6876274464</v>
      </c>
      <c r="U21" s="878">
        <f t="shared" si="133"/>
        <v>3544547.7747319224</v>
      </c>
      <c r="V21" s="878">
        <f t="shared" si="133"/>
        <v>3555772.2943190024</v>
      </c>
      <c r="W21" s="878">
        <f t="shared" si="133"/>
        <v>3567032.3585927291</v>
      </c>
      <c r="X21" s="878">
        <f t="shared" si="133"/>
        <v>3578328.0801124652</v>
      </c>
      <c r="Y21" s="878">
        <f t="shared" si="133"/>
        <v>3589659.5717940121</v>
      </c>
      <c r="Z21" s="878">
        <f t="shared" si="133"/>
        <v>3601026.9469107427</v>
      </c>
      <c r="AA21" s="878">
        <f t="shared" si="133"/>
        <v>3612430.3190947324</v>
      </c>
      <c r="AB21" s="878">
        <f t="shared" si="133"/>
        <v>3623869.8023378961</v>
      </c>
      <c r="AC21" s="878">
        <f t="shared" si="133"/>
        <v>3635345.5109931263</v>
      </c>
      <c r="AD21" s="878">
        <f t="shared" si="133"/>
        <v>3646857.5597754372</v>
      </c>
      <c r="AE21" s="878">
        <f t="shared" si="133"/>
        <v>3658406.0637631104</v>
      </c>
      <c r="AF21" s="878">
        <f t="shared" ref="AF21:AO21" si="134">IFERROR(AF18/$C21,0)</f>
        <v>3669991.1383988461</v>
      </c>
      <c r="AG21" s="878">
        <f t="shared" si="134"/>
        <v>3681612.8994909176</v>
      </c>
      <c r="AH21" s="878">
        <f t="shared" si="134"/>
        <v>3693271.4632143266</v>
      </c>
      <c r="AI21" s="878">
        <f t="shared" si="134"/>
        <v>3704966.9461119692</v>
      </c>
      <c r="AJ21" s="878">
        <f t="shared" si="134"/>
        <v>3716699.4650957934</v>
      </c>
      <c r="AK21" s="878">
        <f t="shared" si="134"/>
        <v>3728469.137447977</v>
      </c>
      <c r="AL21" s="878">
        <f t="shared" si="134"/>
        <v>3740276.0808220925</v>
      </c>
      <c r="AM21" s="878">
        <f t="shared" si="134"/>
        <v>3752120.413244287</v>
      </c>
      <c r="AN21" s="878">
        <f t="shared" si="134"/>
        <v>3764002.25311446</v>
      </c>
      <c r="AO21" s="878">
        <f t="shared" si="134"/>
        <v>3775921.719207448</v>
      </c>
    </row>
    <row r="22" spans="1:41">
      <c r="B22" s="848"/>
      <c r="C22" s="125"/>
      <c r="AF22" s="864"/>
      <c r="AG22" s="864"/>
      <c r="AH22" s="864"/>
      <c r="AI22" s="864"/>
      <c r="AJ22" s="864"/>
      <c r="AK22" s="864"/>
      <c r="AL22" s="864"/>
      <c r="AM22" s="864"/>
      <c r="AN22" s="864"/>
      <c r="AO22" s="864"/>
    </row>
    <row r="23" spans="1:41" ht="15">
      <c r="B23" s="844" t="s">
        <v>329</v>
      </c>
      <c r="C23" s="125" t="s">
        <v>330</v>
      </c>
      <c r="D23" s="870">
        <f>D24/ShipperData!$D$6</f>
        <v>200</v>
      </c>
      <c r="E23" s="868"/>
      <c r="F23" s="868"/>
      <c r="G23" s="868"/>
      <c r="AF23" s="864"/>
      <c r="AG23" s="864"/>
      <c r="AH23" s="864"/>
      <c r="AI23" s="864"/>
      <c r="AJ23" s="864"/>
      <c r="AK23" s="864"/>
      <c r="AL23" s="864"/>
      <c r="AM23" s="864"/>
      <c r="AN23" s="864"/>
      <c r="AO23" s="864"/>
    </row>
    <row r="24" spans="1:41" s="847" customFormat="1">
      <c r="A24" s="840"/>
      <c r="B24" s="858" t="s">
        <v>123</v>
      </c>
      <c r="C24" s="850">
        <f>C9</f>
        <v>3.1667000419901216E-3</v>
      </c>
      <c r="D24" s="865">
        <f>(IF(D$2=1,ShipperData!$D$5,D9))</f>
        <v>1157950</v>
      </c>
      <c r="E24" s="866">
        <f>D24*(1+$C24)</f>
        <v>1161616.8803136225</v>
      </c>
      <c r="F24" s="866">
        <f t="shared" ref="F24:AB24" si="135">E24*(1+$C24)</f>
        <v>1165295.3725372881</v>
      </c>
      <c r="G24" s="866">
        <f t="shared" si="135"/>
        <v>1168985.513442433</v>
      </c>
      <c r="H24" s="866">
        <f t="shared" si="135"/>
        <v>1172687.3399169371</v>
      </c>
      <c r="I24" s="866">
        <f t="shared" si="135"/>
        <v>1176400.8889654933</v>
      </c>
      <c r="J24" s="866">
        <f t="shared" si="135"/>
        <v>1180126.1977099776</v>
      </c>
      <c r="K24" s="866">
        <f t="shared" si="135"/>
        <v>1183863.3033898196</v>
      </c>
      <c r="L24" s="866">
        <f t="shared" si="135"/>
        <v>1187612.2433623746</v>
      </c>
      <c r="M24" s="866">
        <f t="shared" si="135"/>
        <v>1191373.0551032983</v>
      </c>
      <c r="N24" s="866">
        <f>M24*(1+$C24)</f>
        <v>1195145.7762069199</v>
      </c>
      <c r="O24" s="866">
        <f t="shared" si="135"/>
        <v>1198930.4443866187</v>
      </c>
      <c r="P24" s="866">
        <f t="shared" si="135"/>
        <v>1202727.0974752011</v>
      </c>
      <c r="Q24" s="866">
        <f t="shared" si="135"/>
        <v>1206535.7734252785</v>
      </c>
      <c r="R24" s="866">
        <f t="shared" si="135"/>
        <v>1210356.5103096468</v>
      </c>
      <c r="S24" s="866">
        <f t="shared" si="135"/>
        <v>1214189.3463216675</v>
      </c>
      <c r="T24" s="866">
        <f t="shared" si="135"/>
        <v>1218034.3197756484</v>
      </c>
      <c r="U24" s="866">
        <f t="shared" si="135"/>
        <v>1221891.4691072274</v>
      </c>
      <c r="V24" s="866">
        <f t="shared" si="135"/>
        <v>1225760.8328737568</v>
      </c>
      <c r="W24" s="866">
        <f t="shared" si="135"/>
        <v>1229642.449754688</v>
      </c>
      <c r="X24" s="866">
        <f t="shared" si="135"/>
        <v>1233536.358551959</v>
      </c>
      <c r="Y24" s="866">
        <f t="shared" si="135"/>
        <v>1237442.5981903819</v>
      </c>
      <c r="Z24" s="866">
        <f t="shared" si="135"/>
        <v>1241361.2077180317</v>
      </c>
      <c r="AA24" s="866">
        <f t="shared" si="135"/>
        <v>1245292.2263066373</v>
      </c>
      <c r="AB24" s="866">
        <f t="shared" si="135"/>
        <v>1249235.6932519726</v>
      </c>
      <c r="AC24" s="866">
        <f t="shared" ref="AC24" si="136">AB24*(1+$C24)</f>
        <v>1253191.6479742492</v>
      </c>
      <c r="AD24" s="866">
        <f t="shared" ref="AD24" si="137">AC24*(1+$C24)</f>
        <v>1257160.1300185111</v>
      </c>
      <c r="AE24" s="866">
        <f t="shared" ref="AE24" si="138">AD24*(1+$C24)</f>
        <v>1261141.1790550291</v>
      </c>
      <c r="AF24" s="866">
        <f t="shared" ref="AF24" si="139">AE24*(1+$C24)</f>
        <v>1265134.8348796982</v>
      </c>
      <c r="AG24" s="866">
        <f t="shared" ref="AG24" si="140">AF24*(1+$C24)</f>
        <v>1269141.1374144349</v>
      </c>
      <c r="AH24" s="866">
        <f t="shared" ref="AH24" si="141">AG24*(1+$C24)</f>
        <v>1273160.1267075767</v>
      </c>
      <c r="AI24" s="866">
        <f t="shared" ref="AI24" si="142">AH24*(1+$C24)</f>
        <v>1277191.8429342818</v>
      </c>
      <c r="AJ24" s="866">
        <f t="shared" ref="AJ24" si="143">AI24*(1+$C24)</f>
        <v>1281236.3263969312</v>
      </c>
      <c r="AK24" s="866">
        <f t="shared" ref="AK24" si="144">AJ24*(1+$C24)</f>
        <v>1285293.6175255317</v>
      </c>
      <c r="AL24" s="866">
        <f t="shared" ref="AL24" si="145">AK24*(1+$C24)</f>
        <v>1289363.7568781194</v>
      </c>
      <c r="AM24" s="866">
        <f t="shared" ref="AM24" si="146">AL24*(1+$C24)</f>
        <v>1293446.7851411661</v>
      </c>
      <c r="AN24" s="866">
        <f t="shared" ref="AN24" si="147">AM24*(1+$C24)</f>
        <v>1297542.7431299847</v>
      </c>
      <c r="AO24" s="866">
        <f t="shared" ref="AO24" si="148">AN24*(1+$C24)</f>
        <v>1301651.6717891383</v>
      </c>
    </row>
    <row r="25" spans="1:41" s="847" customFormat="1">
      <c r="A25" s="840"/>
      <c r="B25" s="858" t="s">
        <v>331</v>
      </c>
      <c r="C25" s="851"/>
      <c r="D25" s="871">
        <f>SUM(D26:D28)</f>
        <v>0</v>
      </c>
      <c r="E25" s="871">
        <f t="shared" ref="E25:AB25" si="149">SUM(E26:E28)</f>
        <v>0</v>
      </c>
      <c r="F25" s="871">
        <f t="shared" si="149"/>
        <v>0</v>
      </c>
      <c r="G25" s="871">
        <f t="shared" si="149"/>
        <v>0</v>
      </c>
      <c r="H25" s="871">
        <f t="shared" si="149"/>
        <v>0</v>
      </c>
      <c r="I25" s="871">
        <f t="shared" si="149"/>
        <v>0</v>
      </c>
      <c r="J25" s="871">
        <f t="shared" si="149"/>
        <v>0</v>
      </c>
      <c r="K25" s="871">
        <f t="shared" si="149"/>
        <v>0</v>
      </c>
      <c r="L25" s="871">
        <f t="shared" si="149"/>
        <v>4375</v>
      </c>
      <c r="M25" s="871">
        <f t="shared" si="149"/>
        <v>4375</v>
      </c>
      <c r="N25" s="871">
        <f t="shared" si="149"/>
        <v>248125</v>
      </c>
      <c r="O25" s="871">
        <f t="shared" si="149"/>
        <v>248125</v>
      </c>
      <c r="P25" s="871">
        <f t="shared" si="149"/>
        <v>321475</v>
      </c>
      <c r="Q25" s="871">
        <f t="shared" si="149"/>
        <v>321475</v>
      </c>
      <c r="R25" s="871">
        <f t="shared" si="149"/>
        <v>321475</v>
      </c>
      <c r="S25" s="871">
        <f t="shared" si="149"/>
        <v>321475</v>
      </c>
      <c r="T25" s="871">
        <f t="shared" si="149"/>
        <v>321475</v>
      </c>
      <c r="U25" s="871">
        <f t="shared" si="149"/>
        <v>321475</v>
      </c>
      <c r="V25" s="871">
        <f t="shared" si="149"/>
        <v>321475</v>
      </c>
      <c r="W25" s="871">
        <f t="shared" si="149"/>
        <v>321475</v>
      </c>
      <c r="X25" s="871">
        <f t="shared" si="149"/>
        <v>321475</v>
      </c>
      <c r="Y25" s="871">
        <f t="shared" si="149"/>
        <v>321475</v>
      </c>
      <c r="Z25" s="871">
        <f t="shared" si="149"/>
        <v>321475</v>
      </c>
      <c r="AA25" s="871">
        <f t="shared" si="149"/>
        <v>321475</v>
      </c>
      <c r="AB25" s="871">
        <f t="shared" si="149"/>
        <v>321475</v>
      </c>
      <c r="AC25" s="871">
        <f t="shared" ref="AC25:AE25" si="150">SUM(AC26:AC28)</f>
        <v>321475</v>
      </c>
      <c r="AD25" s="871">
        <f t="shared" si="150"/>
        <v>321475</v>
      </c>
      <c r="AE25" s="871">
        <f t="shared" si="150"/>
        <v>321475</v>
      </c>
      <c r="AF25" s="871">
        <f t="shared" ref="AF25:AO25" si="151">SUM(AF26:AF28)</f>
        <v>321475</v>
      </c>
      <c r="AG25" s="871">
        <f t="shared" si="151"/>
        <v>321475</v>
      </c>
      <c r="AH25" s="871">
        <f t="shared" si="151"/>
        <v>321475</v>
      </c>
      <c r="AI25" s="871">
        <f t="shared" si="151"/>
        <v>321475</v>
      </c>
      <c r="AJ25" s="871">
        <f t="shared" si="151"/>
        <v>321475</v>
      </c>
      <c r="AK25" s="871">
        <f t="shared" si="151"/>
        <v>321475</v>
      </c>
      <c r="AL25" s="871">
        <f t="shared" si="151"/>
        <v>321475</v>
      </c>
      <c r="AM25" s="871">
        <f t="shared" si="151"/>
        <v>321475</v>
      </c>
      <c r="AN25" s="871">
        <f t="shared" si="151"/>
        <v>321475</v>
      </c>
      <c r="AO25" s="871">
        <f t="shared" si="151"/>
        <v>321475</v>
      </c>
    </row>
    <row r="26" spans="1:41" s="847" customFormat="1">
      <c r="A26" s="840"/>
      <c r="B26" s="860" t="s">
        <v>332</v>
      </c>
      <c r="C26" s="852">
        <f>SUM(ShipperData!$R$30:$R$30,ShipperData!$R$31:$R$31)</f>
        <v>73350</v>
      </c>
      <c r="D26" s="872">
        <f>$C26*D$3</f>
        <v>0</v>
      </c>
      <c r="E26" s="872">
        <f>$C26*E$3</f>
        <v>0</v>
      </c>
      <c r="F26" s="872">
        <f>$C26*F$3</f>
        <v>0</v>
      </c>
      <c r="G26" s="872">
        <f>$C26*G$3</f>
        <v>0</v>
      </c>
      <c r="H26" s="872">
        <f t="shared" ref="H26:AO26" si="152">$C26*H$3</f>
        <v>0</v>
      </c>
      <c r="I26" s="872">
        <f t="shared" si="152"/>
        <v>0</v>
      </c>
      <c r="J26" s="872">
        <f t="shared" si="152"/>
        <v>0</v>
      </c>
      <c r="K26" s="872">
        <f t="shared" si="152"/>
        <v>0</v>
      </c>
      <c r="L26" s="872">
        <f t="shared" si="152"/>
        <v>0</v>
      </c>
      <c r="M26" s="872">
        <f t="shared" si="152"/>
        <v>0</v>
      </c>
      <c r="N26" s="872">
        <f t="shared" si="152"/>
        <v>0</v>
      </c>
      <c r="O26" s="872">
        <f t="shared" si="152"/>
        <v>0</v>
      </c>
      <c r="P26" s="872">
        <f t="shared" si="152"/>
        <v>73350</v>
      </c>
      <c r="Q26" s="872">
        <f t="shared" si="152"/>
        <v>73350</v>
      </c>
      <c r="R26" s="872">
        <f t="shared" si="152"/>
        <v>73350</v>
      </c>
      <c r="S26" s="872">
        <f t="shared" si="152"/>
        <v>73350</v>
      </c>
      <c r="T26" s="872">
        <f t="shared" si="152"/>
        <v>73350</v>
      </c>
      <c r="U26" s="872">
        <f t="shared" si="152"/>
        <v>73350</v>
      </c>
      <c r="V26" s="872">
        <f t="shared" si="152"/>
        <v>73350</v>
      </c>
      <c r="W26" s="872">
        <f t="shared" si="152"/>
        <v>73350</v>
      </c>
      <c r="X26" s="872">
        <f t="shared" si="152"/>
        <v>73350</v>
      </c>
      <c r="Y26" s="872">
        <f t="shared" si="152"/>
        <v>73350</v>
      </c>
      <c r="Z26" s="872">
        <f t="shared" si="152"/>
        <v>73350</v>
      </c>
      <c r="AA26" s="872">
        <f t="shared" si="152"/>
        <v>73350</v>
      </c>
      <c r="AB26" s="872">
        <f t="shared" si="152"/>
        <v>73350</v>
      </c>
      <c r="AC26" s="872">
        <f t="shared" si="152"/>
        <v>73350</v>
      </c>
      <c r="AD26" s="872">
        <f t="shared" si="152"/>
        <v>73350</v>
      </c>
      <c r="AE26" s="872">
        <f t="shared" si="152"/>
        <v>73350</v>
      </c>
      <c r="AF26" s="872">
        <f t="shared" si="152"/>
        <v>73350</v>
      </c>
      <c r="AG26" s="872">
        <f t="shared" si="152"/>
        <v>73350</v>
      </c>
      <c r="AH26" s="872">
        <f t="shared" si="152"/>
        <v>73350</v>
      </c>
      <c r="AI26" s="872">
        <f t="shared" si="152"/>
        <v>73350</v>
      </c>
      <c r="AJ26" s="872">
        <f t="shared" si="152"/>
        <v>73350</v>
      </c>
      <c r="AK26" s="872">
        <f t="shared" si="152"/>
        <v>73350</v>
      </c>
      <c r="AL26" s="872">
        <f t="shared" si="152"/>
        <v>73350</v>
      </c>
      <c r="AM26" s="872">
        <f t="shared" si="152"/>
        <v>73350</v>
      </c>
      <c r="AN26" s="872">
        <f t="shared" si="152"/>
        <v>73350</v>
      </c>
      <c r="AO26" s="872">
        <f t="shared" si="152"/>
        <v>73350</v>
      </c>
    </row>
    <row r="27" spans="1:41" s="847" customFormat="1">
      <c r="A27" s="840"/>
      <c r="B27" s="860" t="s">
        <v>146</v>
      </c>
      <c r="C27" s="852">
        <f>SUM(ShipperData!R32)</f>
        <v>243750</v>
      </c>
      <c r="D27" s="872">
        <f>$C27*D$4</f>
        <v>0</v>
      </c>
      <c r="E27" s="872">
        <f t="shared" ref="E27:AO27" si="153">$C27*E$4</f>
        <v>0</v>
      </c>
      <c r="F27" s="872">
        <f t="shared" si="153"/>
        <v>0</v>
      </c>
      <c r="G27" s="872">
        <f t="shared" si="153"/>
        <v>0</v>
      </c>
      <c r="H27" s="872">
        <f t="shared" si="153"/>
        <v>0</v>
      </c>
      <c r="I27" s="872">
        <f t="shared" si="153"/>
        <v>0</v>
      </c>
      <c r="J27" s="872">
        <f t="shared" si="153"/>
        <v>0</v>
      </c>
      <c r="K27" s="872">
        <f t="shared" si="153"/>
        <v>0</v>
      </c>
      <c r="L27" s="872">
        <f t="shared" si="153"/>
        <v>0</v>
      </c>
      <c r="M27" s="872">
        <f t="shared" si="153"/>
        <v>0</v>
      </c>
      <c r="N27" s="872">
        <f t="shared" si="153"/>
        <v>243750</v>
      </c>
      <c r="O27" s="872">
        <f t="shared" si="153"/>
        <v>243750</v>
      </c>
      <c r="P27" s="872">
        <f t="shared" si="153"/>
        <v>243750</v>
      </c>
      <c r="Q27" s="872">
        <f t="shared" si="153"/>
        <v>243750</v>
      </c>
      <c r="R27" s="872">
        <f t="shared" si="153"/>
        <v>243750</v>
      </c>
      <c r="S27" s="872">
        <f t="shared" si="153"/>
        <v>243750</v>
      </c>
      <c r="T27" s="872">
        <f t="shared" si="153"/>
        <v>243750</v>
      </c>
      <c r="U27" s="872">
        <f t="shared" si="153"/>
        <v>243750</v>
      </c>
      <c r="V27" s="872">
        <f t="shared" si="153"/>
        <v>243750</v>
      </c>
      <c r="W27" s="872">
        <f t="shared" si="153"/>
        <v>243750</v>
      </c>
      <c r="X27" s="872">
        <f t="shared" si="153"/>
        <v>243750</v>
      </c>
      <c r="Y27" s="872">
        <f t="shared" si="153"/>
        <v>243750</v>
      </c>
      <c r="Z27" s="872">
        <f t="shared" si="153"/>
        <v>243750</v>
      </c>
      <c r="AA27" s="872">
        <f t="shared" si="153"/>
        <v>243750</v>
      </c>
      <c r="AB27" s="872">
        <f t="shared" si="153"/>
        <v>243750</v>
      </c>
      <c r="AC27" s="872">
        <f t="shared" si="153"/>
        <v>243750</v>
      </c>
      <c r="AD27" s="872">
        <f t="shared" si="153"/>
        <v>243750</v>
      </c>
      <c r="AE27" s="872">
        <f t="shared" si="153"/>
        <v>243750</v>
      </c>
      <c r="AF27" s="872">
        <f t="shared" si="153"/>
        <v>243750</v>
      </c>
      <c r="AG27" s="872">
        <f t="shared" si="153"/>
        <v>243750</v>
      </c>
      <c r="AH27" s="872">
        <f t="shared" si="153"/>
        <v>243750</v>
      </c>
      <c r="AI27" s="872">
        <f t="shared" si="153"/>
        <v>243750</v>
      </c>
      <c r="AJ27" s="872">
        <f t="shared" si="153"/>
        <v>243750</v>
      </c>
      <c r="AK27" s="872">
        <f t="shared" si="153"/>
        <v>243750</v>
      </c>
      <c r="AL27" s="872">
        <f t="shared" si="153"/>
        <v>243750</v>
      </c>
      <c r="AM27" s="872">
        <f t="shared" si="153"/>
        <v>243750</v>
      </c>
      <c r="AN27" s="872">
        <f t="shared" si="153"/>
        <v>243750</v>
      </c>
      <c r="AO27" s="872">
        <f t="shared" si="153"/>
        <v>243750</v>
      </c>
    </row>
    <row r="28" spans="1:41" s="847" customFormat="1">
      <c r="A28" s="840"/>
      <c r="B28" s="860" t="s">
        <v>333</v>
      </c>
      <c r="C28" s="852">
        <f>SUM(ShipperData!R33)</f>
        <v>4375</v>
      </c>
      <c r="D28" s="872">
        <f>$C28*D$2</f>
        <v>0</v>
      </c>
      <c r="E28" s="872">
        <f t="shared" ref="E28:AO28" si="154">$C28*E$2</f>
        <v>0</v>
      </c>
      <c r="F28" s="872">
        <f t="shared" si="154"/>
        <v>0</v>
      </c>
      <c r="G28" s="872">
        <f t="shared" si="154"/>
        <v>0</v>
      </c>
      <c r="H28" s="872">
        <f t="shared" si="154"/>
        <v>0</v>
      </c>
      <c r="I28" s="872">
        <f t="shared" si="154"/>
        <v>0</v>
      </c>
      <c r="J28" s="872">
        <f t="shared" si="154"/>
        <v>0</v>
      </c>
      <c r="K28" s="872">
        <f t="shared" si="154"/>
        <v>0</v>
      </c>
      <c r="L28" s="872">
        <f t="shared" si="154"/>
        <v>4375</v>
      </c>
      <c r="M28" s="872">
        <f t="shared" si="154"/>
        <v>4375</v>
      </c>
      <c r="N28" s="872">
        <f t="shared" si="154"/>
        <v>4375</v>
      </c>
      <c r="O28" s="872">
        <f t="shared" si="154"/>
        <v>4375</v>
      </c>
      <c r="P28" s="872">
        <f t="shared" si="154"/>
        <v>4375</v>
      </c>
      <c r="Q28" s="872">
        <f t="shared" si="154"/>
        <v>4375</v>
      </c>
      <c r="R28" s="872">
        <f t="shared" si="154"/>
        <v>4375</v>
      </c>
      <c r="S28" s="872">
        <f t="shared" si="154"/>
        <v>4375</v>
      </c>
      <c r="T28" s="872">
        <f t="shared" si="154"/>
        <v>4375</v>
      </c>
      <c r="U28" s="872">
        <f t="shared" si="154"/>
        <v>4375</v>
      </c>
      <c r="V28" s="872">
        <f t="shared" si="154"/>
        <v>4375</v>
      </c>
      <c r="W28" s="872">
        <f t="shared" si="154"/>
        <v>4375</v>
      </c>
      <c r="X28" s="872">
        <f t="shared" si="154"/>
        <v>4375</v>
      </c>
      <c r="Y28" s="872">
        <f t="shared" si="154"/>
        <v>4375</v>
      </c>
      <c r="Z28" s="872">
        <f t="shared" si="154"/>
        <v>4375</v>
      </c>
      <c r="AA28" s="872">
        <f t="shared" si="154"/>
        <v>4375</v>
      </c>
      <c r="AB28" s="872">
        <f t="shared" si="154"/>
        <v>4375</v>
      </c>
      <c r="AC28" s="872">
        <f t="shared" si="154"/>
        <v>4375</v>
      </c>
      <c r="AD28" s="872">
        <f t="shared" si="154"/>
        <v>4375</v>
      </c>
      <c r="AE28" s="872">
        <f t="shared" si="154"/>
        <v>4375</v>
      </c>
      <c r="AF28" s="872">
        <f t="shared" si="154"/>
        <v>4375</v>
      </c>
      <c r="AG28" s="872">
        <f t="shared" si="154"/>
        <v>4375</v>
      </c>
      <c r="AH28" s="872">
        <f t="shared" si="154"/>
        <v>4375</v>
      </c>
      <c r="AI28" s="872">
        <f t="shared" si="154"/>
        <v>4375</v>
      </c>
      <c r="AJ28" s="872">
        <f t="shared" si="154"/>
        <v>4375</v>
      </c>
      <c r="AK28" s="872">
        <f t="shared" si="154"/>
        <v>4375</v>
      </c>
      <c r="AL28" s="872">
        <f t="shared" si="154"/>
        <v>4375</v>
      </c>
      <c r="AM28" s="872">
        <f t="shared" si="154"/>
        <v>4375</v>
      </c>
      <c r="AN28" s="872">
        <f t="shared" si="154"/>
        <v>4375</v>
      </c>
      <c r="AO28" s="872">
        <f t="shared" si="154"/>
        <v>4375</v>
      </c>
    </row>
    <row r="29" spans="1:41" s="847" customFormat="1">
      <c r="A29" s="840"/>
      <c r="B29" s="858" t="s">
        <v>334</v>
      </c>
      <c r="C29" s="851"/>
      <c r="D29" s="873">
        <f>D24-D25</f>
        <v>1157950</v>
      </c>
      <c r="E29" s="873">
        <f>E24-E25</f>
        <v>1161616.8803136225</v>
      </c>
      <c r="F29" s="873">
        <f>F24-F25</f>
        <v>1165295.3725372881</v>
      </c>
      <c r="G29" s="873">
        <f t="shared" ref="G29:AB29" si="155">G24-G25</f>
        <v>1168985.513442433</v>
      </c>
      <c r="H29" s="873">
        <f t="shared" si="155"/>
        <v>1172687.3399169371</v>
      </c>
      <c r="I29" s="873">
        <f>I24-I25</f>
        <v>1176400.8889654933</v>
      </c>
      <c r="J29" s="873">
        <f t="shared" si="155"/>
        <v>1180126.1977099776</v>
      </c>
      <c r="K29" s="873">
        <f t="shared" si="155"/>
        <v>1183863.3033898196</v>
      </c>
      <c r="L29" s="873">
        <f t="shared" si="155"/>
        <v>1183237.2433623746</v>
      </c>
      <c r="M29" s="873">
        <f t="shared" si="155"/>
        <v>1186998.0551032983</v>
      </c>
      <c r="N29" s="873">
        <f t="shared" si="155"/>
        <v>947020.77620691992</v>
      </c>
      <c r="O29" s="873">
        <f t="shared" si="155"/>
        <v>950805.44438661868</v>
      </c>
      <c r="P29" s="873">
        <f t="shared" si="155"/>
        <v>881252.09747520112</v>
      </c>
      <c r="Q29" s="873">
        <f t="shared" si="155"/>
        <v>885060.77342527849</v>
      </c>
      <c r="R29" s="873">
        <f t="shared" si="155"/>
        <v>888881.51030964684</v>
      </c>
      <c r="S29" s="873">
        <f t="shared" si="155"/>
        <v>892714.34632166754</v>
      </c>
      <c r="T29" s="873">
        <f t="shared" si="155"/>
        <v>896559.31977564842</v>
      </c>
      <c r="U29" s="873">
        <f t="shared" si="155"/>
        <v>900416.4691072274</v>
      </c>
      <c r="V29" s="873">
        <f t="shared" si="155"/>
        <v>904285.83287375676</v>
      </c>
      <c r="W29" s="873">
        <f t="shared" si="155"/>
        <v>908167.44975468796</v>
      </c>
      <c r="X29" s="873">
        <f t="shared" si="155"/>
        <v>912061.35855195904</v>
      </c>
      <c r="Y29" s="873">
        <f t="shared" si="155"/>
        <v>915967.59819038189</v>
      </c>
      <c r="Z29" s="873">
        <f t="shared" si="155"/>
        <v>919886.20771803171</v>
      </c>
      <c r="AA29" s="873">
        <f t="shared" si="155"/>
        <v>923817.22630663728</v>
      </c>
      <c r="AB29" s="873">
        <f t="shared" si="155"/>
        <v>927760.69325197255</v>
      </c>
      <c r="AC29" s="873">
        <f t="shared" ref="AC29:AE29" si="156">AC24-AC25</f>
        <v>931716.64797424921</v>
      </c>
      <c r="AD29" s="873">
        <f t="shared" si="156"/>
        <v>935685.13001851109</v>
      </c>
      <c r="AE29" s="873">
        <f t="shared" si="156"/>
        <v>939666.17905502906</v>
      </c>
      <c r="AF29" s="873">
        <f t="shared" ref="AF29:AO29" si="157">AF24-AF25</f>
        <v>943659.83487969823</v>
      </c>
      <c r="AG29" s="873">
        <f t="shared" si="157"/>
        <v>947666.13741443492</v>
      </c>
      <c r="AH29" s="873">
        <f t="shared" si="157"/>
        <v>951685.12670757668</v>
      </c>
      <c r="AI29" s="873">
        <f t="shared" si="157"/>
        <v>955716.8429342818</v>
      </c>
      <c r="AJ29" s="873">
        <f t="shared" si="157"/>
        <v>959761.3263969312</v>
      </c>
      <c r="AK29" s="873">
        <f t="shared" si="157"/>
        <v>963818.61752553168</v>
      </c>
      <c r="AL29" s="873">
        <f t="shared" si="157"/>
        <v>967888.75687811943</v>
      </c>
      <c r="AM29" s="873">
        <f t="shared" si="157"/>
        <v>971971.78514116607</v>
      </c>
      <c r="AN29" s="873">
        <f t="shared" si="157"/>
        <v>976067.74312998471</v>
      </c>
      <c r="AO29" s="873">
        <f t="shared" si="157"/>
        <v>980176.67178913835</v>
      </c>
    </row>
    <row r="30" spans="1:41" s="847" customFormat="1">
      <c r="A30" s="840"/>
      <c r="B30" s="858" t="s">
        <v>319</v>
      </c>
      <c r="C30" s="31"/>
      <c r="D30" s="867">
        <f t="shared" ref="D30:AB30" si="158">D$2*D$25/$D23+(1-D$2)*D10</f>
        <v>0</v>
      </c>
      <c r="E30" s="867">
        <f t="shared" si="158"/>
        <v>0</v>
      </c>
      <c r="F30" s="867">
        <f t="shared" si="158"/>
        <v>0</v>
      </c>
      <c r="G30" s="867">
        <f t="shared" si="158"/>
        <v>0</v>
      </c>
      <c r="H30" s="867">
        <f t="shared" si="158"/>
        <v>0</v>
      </c>
      <c r="I30" s="867">
        <f t="shared" si="158"/>
        <v>0</v>
      </c>
      <c r="J30" s="867">
        <f t="shared" si="158"/>
        <v>0</v>
      </c>
      <c r="K30" s="867">
        <f t="shared" si="158"/>
        <v>0</v>
      </c>
      <c r="L30" s="867">
        <f t="shared" si="158"/>
        <v>21.875</v>
      </c>
      <c r="M30" s="867">
        <f t="shared" si="158"/>
        <v>21.875</v>
      </c>
      <c r="N30" s="867">
        <f t="shared" si="158"/>
        <v>1240.625</v>
      </c>
      <c r="O30" s="867">
        <f t="shared" si="158"/>
        <v>1240.625</v>
      </c>
      <c r="P30" s="867">
        <f t="shared" si="158"/>
        <v>1607.375</v>
      </c>
      <c r="Q30" s="867">
        <f t="shared" si="158"/>
        <v>1607.375</v>
      </c>
      <c r="R30" s="867">
        <f t="shared" si="158"/>
        <v>1607.375</v>
      </c>
      <c r="S30" s="867">
        <f t="shared" si="158"/>
        <v>1607.375</v>
      </c>
      <c r="T30" s="867">
        <f t="shared" si="158"/>
        <v>1607.375</v>
      </c>
      <c r="U30" s="867">
        <f t="shared" si="158"/>
        <v>1607.375</v>
      </c>
      <c r="V30" s="867">
        <f t="shared" si="158"/>
        <v>1607.375</v>
      </c>
      <c r="W30" s="867">
        <f t="shared" si="158"/>
        <v>1607.375</v>
      </c>
      <c r="X30" s="867">
        <f t="shared" si="158"/>
        <v>1607.375</v>
      </c>
      <c r="Y30" s="867">
        <f t="shared" si="158"/>
        <v>1607.375</v>
      </c>
      <c r="Z30" s="867">
        <f t="shared" si="158"/>
        <v>1607.375</v>
      </c>
      <c r="AA30" s="867">
        <f t="shared" si="158"/>
        <v>1607.375</v>
      </c>
      <c r="AB30" s="867">
        <f t="shared" si="158"/>
        <v>1607.375</v>
      </c>
      <c r="AC30" s="867">
        <f t="shared" ref="AC30:AE30" si="159">AC$2*AC$25/$D23+(1-AC$2)*AC10</f>
        <v>1607.375</v>
      </c>
      <c r="AD30" s="867">
        <f t="shared" si="159"/>
        <v>1607.375</v>
      </c>
      <c r="AE30" s="867">
        <f t="shared" si="159"/>
        <v>1607.375</v>
      </c>
      <c r="AF30" s="867">
        <f t="shared" ref="AF30:AO30" si="160">AF$2*AF$25/$D23+(1-AF$2)*AF10</f>
        <v>1607.375</v>
      </c>
      <c r="AG30" s="867">
        <f t="shared" si="160"/>
        <v>1607.375</v>
      </c>
      <c r="AH30" s="867">
        <f t="shared" si="160"/>
        <v>1607.375</v>
      </c>
      <c r="AI30" s="867">
        <f t="shared" si="160"/>
        <v>1607.375</v>
      </c>
      <c r="AJ30" s="867">
        <f t="shared" si="160"/>
        <v>1607.375</v>
      </c>
      <c r="AK30" s="867">
        <f t="shared" si="160"/>
        <v>1607.375</v>
      </c>
      <c r="AL30" s="867">
        <f t="shared" si="160"/>
        <v>1607.375</v>
      </c>
      <c r="AM30" s="867">
        <f t="shared" si="160"/>
        <v>1607.375</v>
      </c>
      <c r="AN30" s="867">
        <f t="shared" si="160"/>
        <v>1607.375</v>
      </c>
      <c r="AO30" s="867">
        <f t="shared" si="160"/>
        <v>1607.375</v>
      </c>
    </row>
    <row r="31" spans="1:41">
      <c r="B31" s="859" t="s">
        <v>320</v>
      </c>
      <c r="C31" s="846"/>
      <c r="D31" s="867">
        <f>D30/ShipperData!$D$8</f>
        <v>0</v>
      </c>
      <c r="E31" s="867">
        <f>E30/ShipperData!$D$8</f>
        <v>0</v>
      </c>
      <c r="F31" s="867">
        <f>F30/ShipperData!$D$8</f>
        <v>0</v>
      </c>
      <c r="G31" s="867">
        <f>G30/ShipperData!$D$8</f>
        <v>0</v>
      </c>
      <c r="H31" s="867">
        <f>H30/ShipperData!$D$8</f>
        <v>0</v>
      </c>
      <c r="I31" s="867">
        <f>I30/ShipperData!$D$8</f>
        <v>0</v>
      </c>
      <c r="J31" s="867">
        <f>J30/ShipperData!$D$8</f>
        <v>0</v>
      </c>
      <c r="K31" s="867">
        <f>K30/ShipperData!$D$8</f>
        <v>0</v>
      </c>
      <c r="L31" s="867">
        <f>L30/ShipperData!$D$8</f>
        <v>0.21875</v>
      </c>
      <c r="M31" s="867">
        <f>M30/ShipperData!$D$8</f>
        <v>0.21875</v>
      </c>
      <c r="N31" s="867">
        <f>N30/ShipperData!$D$8</f>
        <v>12.40625</v>
      </c>
      <c r="O31" s="867">
        <f>O30/ShipperData!$D$8</f>
        <v>12.40625</v>
      </c>
      <c r="P31" s="867">
        <f>P30/ShipperData!$D$8</f>
        <v>16.07375</v>
      </c>
      <c r="Q31" s="867">
        <f>Q30/ShipperData!$D$8</f>
        <v>16.07375</v>
      </c>
      <c r="R31" s="867">
        <f>R30/ShipperData!$D$8</f>
        <v>16.07375</v>
      </c>
      <c r="S31" s="867">
        <f>S30/ShipperData!$D$8</f>
        <v>16.07375</v>
      </c>
      <c r="T31" s="867">
        <f>T30/ShipperData!$D$8</f>
        <v>16.07375</v>
      </c>
      <c r="U31" s="867">
        <f>U30/ShipperData!$D$8</f>
        <v>16.07375</v>
      </c>
      <c r="V31" s="867">
        <f>V30/ShipperData!$D$8</f>
        <v>16.07375</v>
      </c>
      <c r="W31" s="867">
        <f>W30/ShipperData!$D$8</f>
        <v>16.07375</v>
      </c>
      <c r="X31" s="867">
        <f>X30/ShipperData!$D$8</f>
        <v>16.07375</v>
      </c>
      <c r="Y31" s="867">
        <f>Y30/ShipperData!$D$8</f>
        <v>16.07375</v>
      </c>
      <c r="Z31" s="867">
        <f>Z30/ShipperData!$D$8</f>
        <v>16.07375</v>
      </c>
      <c r="AA31" s="867">
        <f>AA30/ShipperData!$D$8</f>
        <v>16.07375</v>
      </c>
      <c r="AB31" s="867">
        <f>AB30/ShipperData!$D$8</f>
        <v>16.07375</v>
      </c>
      <c r="AC31" s="867">
        <f>AC30/ShipperData!$D$8</f>
        <v>16.07375</v>
      </c>
      <c r="AD31" s="867">
        <f>AD30/ShipperData!$D$8</f>
        <v>16.07375</v>
      </c>
      <c r="AE31" s="867">
        <f>AE30/ShipperData!$D$8</f>
        <v>16.07375</v>
      </c>
      <c r="AF31" s="867">
        <f>AF30/ShipperData!$D$8</f>
        <v>16.07375</v>
      </c>
      <c r="AG31" s="867">
        <f>AG30/ShipperData!$D$8</f>
        <v>16.07375</v>
      </c>
      <c r="AH31" s="867">
        <f>AH30/ShipperData!$D$8</f>
        <v>16.07375</v>
      </c>
      <c r="AI31" s="867">
        <f>AI30/ShipperData!$D$8</f>
        <v>16.07375</v>
      </c>
      <c r="AJ31" s="867">
        <f>AJ30/ShipperData!$D$8</f>
        <v>16.07375</v>
      </c>
      <c r="AK31" s="867">
        <f>AK30/ShipperData!$D$8</f>
        <v>16.07375</v>
      </c>
      <c r="AL31" s="867">
        <f>AL30/ShipperData!$D$8</f>
        <v>16.07375</v>
      </c>
      <c r="AM31" s="867">
        <f>AM30/ShipperData!$D$8</f>
        <v>16.07375</v>
      </c>
      <c r="AN31" s="867">
        <f>AN30/ShipperData!$D$8</f>
        <v>16.07375</v>
      </c>
      <c r="AO31" s="867">
        <f>AO30/ShipperData!$D$8</f>
        <v>16.07375</v>
      </c>
    </row>
    <row r="32" spans="1:41" s="847" customFormat="1">
      <c r="A32" s="840"/>
      <c r="B32" s="858" t="s">
        <v>321</v>
      </c>
      <c r="C32" s="853">
        <f>ShipperData!E7</f>
        <v>25</v>
      </c>
      <c r="D32" s="868">
        <f t="shared" ref="D32:AB32" si="161">(D29/$C$32)</f>
        <v>46318</v>
      </c>
      <c r="E32" s="868">
        <f t="shared" si="161"/>
        <v>46464.675212544898</v>
      </c>
      <c r="F32" s="868">
        <f t="shared" si="161"/>
        <v>46611.814901491525</v>
      </c>
      <c r="G32" s="868">
        <f t="shared" si="161"/>
        <v>46759.420537697319</v>
      </c>
      <c r="H32" s="868">
        <f t="shared" si="161"/>
        <v>46907.493596677479</v>
      </c>
      <c r="I32" s="868">
        <f t="shared" si="161"/>
        <v>47056.035558619733</v>
      </c>
      <c r="J32" s="868">
        <f t="shared" si="161"/>
        <v>47205.047908399109</v>
      </c>
      <c r="K32" s="868">
        <f t="shared" si="161"/>
        <v>47354.532135592781</v>
      </c>
      <c r="L32" s="868">
        <f t="shared" si="161"/>
        <v>47329.489734494986</v>
      </c>
      <c r="M32" s="868">
        <f t="shared" si="161"/>
        <v>47479.92220413193</v>
      </c>
      <c r="N32" s="868">
        <f t="shared" si="161"/>
        <v>37880.831048276799</v>
      </c>
      <c r="O32" s="868">
        <f t="shared" si="161"/>
        <v>38032.217775464749</v>
      </c>
      <c r="P32" s="868">
        <f t="shared" si="161"/>
        <v>35250.083899008045</v>
      </c>
      <c r="Q32" s="868">
        <f t="shared" si="161"/>
        <v>35402.430937011137</v>
      </c>
      <c r="R32" s="868">
        <f t="shared" si="161"/>
        <v>35555.260412385876</v>
      </c>
      <c r="S32" s="868">
        <f t="shared" si="161"/>
        <v>35708.573852866699</v>
      </c>
      <c r="T32" s="868">
        <f t="shared" si="161"/>
        <v>35862.372791025933</v>
      </c>
      <c r="U32" s="868">
        <f t="shared" si="161"/>
        <v>36016.658764289095</v>
      </c>
      <c r="V32" s="868">
        <f t="shared" si="161"/>
        <v>36171.433314950271</v>
      </c>
      <c r="W32" s="868">
        <f t="shared" si="161"/>
        <v>36326.697990187517</v>
      </c>
      <c r="X32" s="868">
        <f t="shared" si="161"/>
        <v>36482.454342078359</v>
      </c>
      <c r="Y32" s="868">
        <f t="shared" si="161"/>
        <v>36638.703927615279</v>
      </c>
      <c r="Z32" s="868">
        <f t="shared" si="161"/>
        <v>36795.448308721272</v>
      </c>
      <c r="AA32" s="868">
        <f t="shared" si="161"/>
        <v>36952.689052265494</v>
      </c>
      <c r="AB32" s="868">
        <f t="shared" si="161"/>
        <v>37110.427730078904</v>
      </c>
      <c r="AC32" s="868">
        <f t="shared" ref="AC32:AE32" si="162">(AC29/$C$32)</f>
        <v>37268.665918969971</v>
      </c>
      <c r="AD32" s="868">
        <f t="shared" si="162"/>
        <v>37427.405200740446</v>
      </c>
      <c r="AE32" s="868">
        <f t="shared" si="162"/>
        <v>37586.64716220116</v>
      </c>
      <c r="AF32" s="868">
        <f t="shared" ref="AF32:AO32" si="163">(AF29/$C$32)</f>
        <v>37746.39339518793</v>
      </c>
      <c r="AG32" s="868">
        <f t="shared" si="163"/>
        <v>37906.645496577396</v>
      </c>
      <c r="AH32" s="868">
        <f t="shared" si="163"/>
        <v>38067.405068303065</v>
      </c>
      <c r="AI32" s="868">
        <f t="shared" si="163"/>
        <v>38228.673717371275</v>
      </c>
      <c r="AJ32" s="868">
        <f t="shared" si="163"/>
        <v>38390.453055877246</v>
      </c>
      <c r="AK32" s="868">
        <f t="shared" si="163"/>
        <v>38552.744701021264</v>
      </c>
      <c r="AL32" s="868">
        <f t="shared" si="163"/>
        <v>38715.550275124777</v>
      </c>
      <c r="AM32" s="868">
        <f t="shared" si="163"/>
        <v>38878.871405646642</v>
      </c>
      <c r="AN32" s="868">
        <f t="shared" si="163"/>
        <v>39042.709725199391</v>
      </c>
      <c r="AO32" s="868">
        <f t="shared" si="163"/>
        <v>39207.066871565534</v>
      </c>
    </row>
    <row r="33" spans="1:41">
      <c r="B33" s="859" t="s">
        <v>322</v>
      </c>
      <c r="C33" s="854">
        <f>ShipperData!$Q$44</f>
        <v>834</v>
      </c>
      <c r="D33" s="869">
        <f t="shared" ref="D33:AO33" si="164">D$2*$C33*D$25</f>
        <v>0</v>
      </c>
      <c r="E33" s="869">
        <f t="shared" si="164"/>
        <v>0</v>
      </c>
      <c r="F33" s="869">
        <f t="shared" si="164"/>
        <v>0</v>
      </c>
      <c r="G33" s="869">
        <f t="shared" si="164"/>
        <v>0</v>
      </c>
      <c r="H33" s="869">
        <f t="shared" si="164"/>
        <v>0</v>
      </c>
      <c r="I33" s="869">
        <f t="shared" si="164"/>
        <v>0</v>
      </c>
      <c r="J33" s="869">
        <f t="shared" si="164"/>
        <v>0</v>
      </c>
      <c r="K33" s="869">
        <f t="shared" si="164"/>
        <v>0</v>
      </c>
      <c r="L33" s="869">
        <f t="shared" si="164"/>
        <v>3648750</v>
      </c>
      <c r="M33" s="869">
        <f t="shared" si="164"/>
        <v>3648750</v>
      </c>
      <c r="N33" s="869">
        <f t="shared" si="164"/>
        <v>206936250</v>
      </c>
      <c r="O33" s="869">
        <f t="shared" si="164"/>
        <v>206936250</v>
      </c>
      <c r="P33" s="869">
        <f t="shared" si="164"/>
        <v>268110150</v>
      </c>
      <c r="Q33" s="869">
        <f t="shared" si="164"/>
        <v>268110150</v>
      </c>
      <c r="R33" s="869">
        <f t="shared" si="164"/>
        <v>268110150</v>
      </c>
      <c r="S33" s="869">
        <f t="shared" si="164"/>
        <v>268110150</v>
      </c>
      <c r="T33" s="869">
        <f t="shared" si="164"/>
        <v>268110150</v>
      </c>
      <c r="U33" s="869">
        <f t="shared" si="164"/>
        <v>268110150</v>
      </c>
      <c r="V33" s="869">
        <f t="shared" si="164"/>
        <v>268110150</v>
      </c>
      <c r="W33" s="869">
        <f t="shared" si="164"/>
        <v>268110150</v>
      </c>
      <c r="X33" s="869">
        <f t="shared" si="164"/>
        <v>268110150</v>
      </c>
      <c r="Y33" s="869">
        <f t="shared" si="164"/>
        <v>268110150</v>
      </c>
      <c r="Z33" s="869">
        <f t="shared" si="164"/>
        <v>268110150</v>
      </c>
      <c r="AA33" s="869">
        <f t="shared" si="164"/>
        <v>268110150</v>
      </c>
      <c r="AB33" s="869">
        <f t="shared" si="164"/>
        <v>268110150</v>
      </c>
      <c r="AC33" s="869">
        <f t="shared" si="164"/>
        <v>268110150</v>
      </c>
      <c r="AD33" s="869">
        <f t="shared" si="164"/>
        <v>268110150</v>
      </c>
      <c r="AE33" s="869">
        <f t="shared" si="164"/>
        <v>268110150</v>
      </c>
      <c r="AF33" s="869">
        <f t="shared" si="164"/>
        <v>268110150</v>
      </c>
      <c r="AG33" s="869">
        <f t="shared" si="164"/>
        <v>268110150</v>
      </c>
      <c r="AH33" s="869">
        <f t="shared" si="164"/>
        <v>268110150</v>
      </c>
      <c r="AI33" s="869">
        <f t="shared" si="164"/>
        <v>268110150</v>
      </c>
      <c r="AJ33" s="869">
        <f t="shared" si="164"/>
        <v>268110150</v>
      </c>
      <c r="AK33" s="869">
        <f t="shared" si="164"/>
        <v>268110150</v>
      </c>
      <c r="AL33" s="869">
        <f t="shared" si="164"/>
        <v>268110150</v>
      </c>
      <c r="AM33" s="869">
        <f t="shared" si="164"/>
        <v>268110150</v>
      </c>
      <c r="AN33" s="869">
        <f t="shared" si="164"/>
        <v>268110150</v>
      </c>
      <c r="AO33" s="869">
        <f t="shared" si="164"/>
        <v>268110150</v>
      </c>
    </row>
    <row r="34" spans="1:41">
      <c r="B34" s="859" t="s">
        <v>323</v>
      </c>
      <c r="C34" s="854">
        <f>ShipperData!$P$44</f>
        <v>834</v>
      </c>
      <c r="D34" s="869">
        <f t="shared" ref="D34:AB34" si="165">IF(D1&lt;First.Year,D14,$C34*D$29*D2)</f>
        <v>965730300</v>
      </c>
      <c r="E34" s="869">
        <f t="shared" si="165"/>
        <v>968788478.18156123</v>
      </c>
      <c r="F34" s="869">
        <f t="shared" si="165"/>
        <v>971856340.69609833</v>
      </c>
      <c r="G34" s="869">
        <f t="shared" si="165"/>
        <v>974933918.21098912</v>
      </c>
      <c r="H34" s="869">
        <f t="shared" si="165"/>
        <v>978021241.49072552</v>
      </c>
      <c r="I34" s="869">
        <f t="shared" si="165"/>
        <v>981118341.39722145</v>
      </c>
      <c r="J34" s="869">
        <f t="shared" si="165"/>
        <v>984225248.89012134</v>
      </c>
      <c r="K34" s="869">
        <f t="shared" si="165"/>
        <v>987341995.0271095</v>
      </c>
      <c r="L34" s="869">
        <f t="shared" si="165"/>
        <v>986819860.9642204</v>
      </c>
      <c r="M34" s="869">
        <f t="shared" si="165"/>
        <v>989956377.95615077</v>
      </c>
      <c r="N34" s="869">
        <f t="shared" si="165"/>
        <v>789815327.3565712</v>
      </c>
      <c r="O34" s="869">
        <f t="shared" si="165"/>
        <v>792971740.61844003</v>
      </c>
      <c r="P34" s="869">
        <f t="shared" si="165"/>
        <v>734964249.29431772</v>
      </c>
      <c r="Q34" s="869">
        <f t="shared" si="165"/>
        <v>738140685.03668225</v>
      </c>
      <c r="R34" s="869">
        <f t="shared" si="165"/>
        <v>741327179.5982455</v>
      </c>
      <c r="S34" s="869">
        <f t="shared" si="165"/>
        <v>744523764.83227074</v>
      </c>
      <c r="T34" s="869">
        <f t="shared" si="165"/>
        <v>747730472.69289076</v>
      </c>
      <c r="U34" s="869">
        <f t="shared" si="165"/>
        <v>750947335.23542762</v>
      </c>
      <c r="V34" s="869">
        <f t="shared" si="165"/>
        <v>754174384.61671317</v>
      </c>
      <c r="W34" s="869">
        <f t="shared" si="165"/>
        <v>757411653.09540975</v>
      </c>
      <c r="X34" s="869">
        <f t="shared" si="165"/>
        <v>760659173.03233385</v>
      </c>
      <c r="Y34" s="869">
        <f t="shared" si="165"/>
        <v>763916976.89077854</v>
      </c>
      <c r="Z34" s="869">
        <f t="shared" si="165"/>
        <v>767185097.23683846</v>
      </c>
      <c r="AA34" s="869">
        <f t="shared" si="165"/>
        <v>770463566.73973548</v>
      </c>
      <c r="AB34" s="869">
        <f t="shared" si="165"/>
        <v>773752418.17214513</v>
      </c>
      <c r="AC34" s="869">
        <f t="shared" ref="AC34:AE34" si="166">IF(AC1&lt;First.Year,AC14,$C34*AC$29*AC2)</f>
        <v>777051684.41052389</v>
      </c>
      <c r="AD34" s="869">
        <f t="shared" si="166"/>
        <v>780361398.43543828</v>
      </c>
      <c r="AE34" s="869">
        <f t="shared" si="166"/>
        <v>783681593.33189428</v>
      </c>
      <c r="AF34" s="869">
        <f t="shared" ref="AF34:AO34" si="167">IF(AF1&lt;First.Year,AF14,$C34*AF$29*AF2)</f>
        <v>787012302.28966832</v>
      </c>
      <c r="AG34" s="869">
        <f t="shared" si="167"/>
        <v>790353558.60363877</v>
      </c>
      <c r="AH34" s="869">
        <f t="shared" si="167"/>
        <v>793705395.674119</v>
      </c>
      <c r="AI34" s="869">
        <f t="shared" si="167"/>
        <v>797067847.00719106</v>
      </c>
      <c r="AJ34" s="869">
        <f t="shared" si="167"/>
        <v>800440946.21504056</v>
      </c>
      <c r="AK34" s="869">
        <f t="shared" si="167"/>
        <v>803824727.01629341</v>
      </c>
      <c r="AL34" s="869">
        <f t="shared" si="167"/>
        <v>807219223.23635161</v>
      </c>
      <c r="AM34" s="869">
        <f t="shared" si="167"/>
        <v>810624468.80773246</v>
      </c>
      <c r="AN34" s="869">
        <f t="shared" si="167"/>
        <v>814040497.7704072</v>
      </c>
      <c r="AO34" s="869">
        <f t="shared" si="167"/>
        <v>817467344.27214134</v>
      </c>
    </row>
    <row r="35" spans="1:41">
      <c r="C35" s="125"/>
      <c r="I35" s="866"/>
      <c r="AF35" s="864"/>
      <c r="AG35" s="864"/>
      <c r="AH35" s="864"/>
      <c r="AI35" s="864"/>
      <c r="AJ35" s="864"/>
      <c r="AK35" s="864"/>
      <c r="AL35" s="864"/>
      <c r="AM35" s="864"/>
      <c r="AN35" s="864"/>
      <c r="AO35" s="864"/>
    </row>
    <row r="36" spans="1:41">
      <c r="B36" s="859" t="s">
        <v>324</v>
      </c>
      <c r="C36" s="849">
        <f>ShipperData!$P$44</f>
        <v>834</v>
      </c>
      <c r="D36" s="869">
        <f t="shared" ref="D36:AE36" si="168">IF(D$1&gt;=First.Year,D32*$C36,D16)</f>
        <v>38629212</v>
      </c>
      <c r="E36" s="869">
        <f t="shared" si="168"/>
        <v>38751539.127262451</v>
      </c>
      <c r="F36" s="869">
        <f t="shared" si="168"/>
        <v>38874253.627843931</v>
      </c>
      <c r="G36" s="869">
        <f t="shared" si="168"/>
        <v>38997356.728439562</v>
      </c>
      <c r="H36" s="869">
        <f t="shared" si="168"/>
        <v>39120849.659629025</v>
      </c>
      <c r="I36" s="869">
        <f t="shared" si="168"/>
        <v>39244733.655888855</v>
      </c>
      <c r="J36" s="869">
        <f t="shared" si="168"/>
        <v>39369009.955604859</v>
      </c>
      <c r="K36" s="869">
        <f t="shared" si="168"/>
        <v>39493679.801084377</v>
      </c>
      <c r="L36" s="869">
        <f t="shared" si="168"/>
        <v>39472794.438568816</v>
      </c>
      <c r="M36" s="869">
        <f t="shared" si="168"/>
        <v>39598255.118246026</v>
      </c>
      <c r="N36" s="869">
        <f t="shared" si="168"/>
        <v>31592613.09426285</v>
      </c>
      <c r="O36" s="869">
        <f t="shared" si="168"/>
        <v>31718869.624737602</v>
      </c>
      <c r="P36" s="869">
        <f t="shared" si="168"/>
        <v>29398569.971772708</v>
      </c>
      <c r="Q36" s="869">
        <f t="shared" si="168"/>
        <v>29525627.40146729</v>
      </c>
      <c r="R36" s="869">
        <f t="shared" si="168"/>
        <v>29653087.18392982</v>
      </c>
      <c r="S36" s="869">
        <f t="shared" si="168"/>
        <v>29780950.593290828</v>
      </c>
      <c r="T36" s="869">
        <f t="shared" si="168"/>
        <v>29909218.90771563</v>
      </c>
      <c r="U36" s="869">
        <f t="shared" si="168"/>
        <v>30037893.409417104</v>
      </c>
      <c r="V36" s="869">
        <f t="shared" si="168"/>
        <v>30166975.384668525</v>
      </c>
      <c r="W36" s="869">
        <f t="shared" si="168"/>
        <v>30296466.12381639</v>
      </c>
      <c r="X36" s="869">
        <f t="shared" si="168"/>
        <v>30426366.921293352</v>
      </c>
      <c r="Y36" s="869">
        <f t="shared" si="168"/>
        <v>30556679.075631142</v>
      </c>
      <c r="Z36" s="869">
        <f t="shared" si="168"/>
        <v>30687403.889473543</v>
      </c>
      <c r="AA36" s="869">
        <f t="shared" si="168"/>
        <v>30818542.669589423</v>
      </c>
      <c r="AB36" s="869">
        <f t="shared" si="168"/>
        <v>30950096.726885807</v>
      </c>
      <c r="AC36" s="869">
        <f t="shared" si="168"/>
        <v>31082067.376420956</v>
      </c>
      <c r="AD36" s="869">
        <f t="shared" si="168"/>
        <v>31214455.937417533</v>
      </c>
      <c r="AE36" s="869">
        <f t="shared" si="168"/>
        <v>31347263.733275767</v>
      </c>
      <c r="AF36" s="869">
        <f t="shared" ref="AF36:AO36" si="169">IF(AF$1&gt;=First.Year,AF32*$C36,AF16)</f>
        <v>31480492.091586735</v>
      </c>
      <c r="AG36" s="869">
        <f t="shared" si="169"/>
        <v>31614142.344145548</v>
      </c>
      <c r="AH36" s="869">
        <f t="shared" si="169"/>
        <v>31748215.826964758</v>
      </c>
      <c r="AI36" s="869">
        <f t="shared" si="169"/>
        <v>31882713.880287644</v>
      </c>
      <c r="AJ36" s="869">
        <f t="shared" si="169"/>
        <v>32017637.848601624</v>
      </c>
      <c r="AK36" s="869">
        <f t="shared" si="169"/>
        <v>32152989.080651734</v>
      </c>
      <c r="AL36" s="869">
        <f t="shared" si="169"/>
        <v>32288768.929454062</v>
      </c>
      <c r="AM36" s="869">
        <f t="shared" si="169"/>
        <v>32424978.7523093</v>
      </c>
      <c r="AN36" s="869">
        <f t="shared" si="169"/>
        <v>32561619.910816293</v>
      </c>
      <c r="AO36" s="869">
        <f t="shared" si="169"/>
        <v>32698693.770885654</v>
      </c>
    </row>
    <row r="37" spans="1:41">
      <c r="B37" s="859" t="s">
        <v>325</v>
      </c>
      <c r="C37" s="845">
        <v>0</v>
      </c>
      <c r="D37" s="869">
        <f>D36*$C37</f>
        <v>0</v>
      </c>
      <c r="E37" s="869">
        <f t="shared" ref="E37:AE37" si="170">E36*$C37</f>
        <v>0</v>
      </c>
      <c r="F37" s="869">
        <f t="shared" si="170"/>
        <v>0</v>
      </c>
      <c r="G37" s="869">
        <f t="shared" si="170"/>
        <v>0</v>
      </c>
      <c r="H37" s="869">
        <f t="shared" si="170"/>
        <v>0</v>
      </c>
      <c r="I37" s="869">
        <f t="shared" si="170"/>
        <v>0</v>
      </c>
      <c r="J37" s="869">
        <f t="shared" si="170"/>
        <v>0</v>
      </c>
      <c r="K37" s="869">
        <f t="shared" si="170"/>
        <v>0</v>
      </c>
      <c r="L37" s="869">
        <f t="shared" si="170"/>
        <v>0</v>
      </c>
      <c r="M37" s="869">
        <f t="shared" si="170"/>
        <v>0</v>
      </c>
      <c r="N37" s="869">
        <f t="shared" si="170"/>
        <v>0</v>
      </c>
      <c r="O37" s="869">
        <f t="shared" si="170"/>
        <v>0</v>
      </c>
      <c r="P37" s="869">
        <f t="shared" si="170"/>
        <v>0</v>
      </c>
      <c r="Q37" s="869">
        <f t="shared" si="170"/>
        <v>0</v>
      </c>
      <c r="R37" s="869">
        <f t="shared" si="170"/>
        <v>0</v>
      </c>
      <c r="S37" s="869">
        <f t="shared" si="170"/>
        <v>0</v>
      </c>
      <c r="T37" s="869">
        <f t="shared" si="170"/>
        <v>0</v>
      </c>
      <c r="U37" s="869">
        <f t="shared" si="170"/>
        <v>0</v>
      </c>
      <c r="V37" s="869">
        <f t="shared" si="170"/>
        <v>0</v>
      </c>
      <c r="W37" s="869">
        <f t="shared" si="170"/>
        <v>0</v>
      </c>
      <c r="X37" s="869">
        <f t="shared" si="170"/>
        <v>0</v>
      </c>
      <c r="Y37" s="869">
        <f t="shared" si="170"/>
        <v>0</v>
      </c>
      <c r="Z37" s="869">
        <f t="shared" si="170"/>
        <v>0</v>
      </c>
      <c r="AA37" s="869">
        <f t="shared" si="170"/>
        <v>0</v>
      </c>
      <c r="AB37" s="869">
        <f t="shared" si="170"/>
        <v>0</v>
      </c>
      <c r="AC37" s="869">
        <f t="shared" si="170"/>
        <v>0</v>
      </c>
      <c r="AD37" s="869">
        <f t="shared" si="170"/>
        <v>0</v>
      </c>
      <c r="AE37" s="869">
        <f t="shared" si="170"/>
        <v>0</v>
      </c>
      <c r="AF37" s="869">
        <f t="shared" ref="AF37:AO37" si="171">AF36*$C37</f>
        <v>0</v>
      </c>
      <c r="AG37" s="869">
        <f t="shared" si="171"/>
        <v>0</v>
      </c>
      <c r="AH37" s="869">
        <f t="shared" si="171"/>
        <v>0</v>
      </c>
      <c r="AI37" s="869">
        <f t="shared" si="171"/>
        <v>0</v>
      </c>
      <c r="AJ37" s="869">
        <f t="shared" si="171"/>
        <v>0</v>
      </c>
      <c r="AK37" s="869">
        <f t="shared" si="171"/>
        <v>0</v>
      </c>
      <c r="AL37" s="869">
        <f t="shared" si="171"/>
        <v>0</v>
      </c>
      <c r="AM37" s="869">
        <f t="shared" si="171"/>
        <v>0</v>
      </c>
      <c r="AN37" s="869">
        <f t="shared" si="171"/>
        <v>0</v>
      </c>
      <c r="AO37" s="869">
        <f t="shared" si="171"/>
        <v>0</v>
      </c>
    </row>
    <row r="38" spans="1:41">
      <c r="B38" s="859" t="s">
        <v>326</v>
      </c>
      <c r="D38" s="1065">
        <f>SUM(D36:D37)</f>
        <v>38629212</v>
      </c>
      <c r="E38" s="1065">
        <f t="shared" ref="E38:AE38" si="172">SUM(E36:E37)</f>
        <v>38751539.127262451</v>
      </c>
      <c r="F38" s="1065">
        <f t="shared" si="172"/>
        <v>38874253.627843931</v>
      </c>
      <c r="G38" s="1065">
        <f t="shared" si="172"/>
        <v>38997356.728439562</v>
      </c>
      <c r="H38" s="1065">
        <f t="shared" si="172"/>
        <v>39120849.659629025</v>
      </c>
      <c r="I38" s="1065">
        <f t="shared" si="172"/>
        <v>39244733.655888855</v>
      </c>
      <c r="J38" s="1065">
        <f t="shared" si="172"/>
        <v>39369009.955604859</v>
      </c>
      <c r="K38" s="1065">
        <f t="shared" si="172"/>
        <v>39493679.801084377</v>
      </c>
      <c r="L38" s="1065">
        <f t="shared" si="172"/>
        <v>39472794.438568816</v>
      </c>
      <c r="M38" s="1065">
        <f t="shared" si="172"/>
        <v>39598255.118246026</v>
      </c>
      <c r="N38" s="1065">
        <f t="shared" si="172"/>
        <v>31592613.09426285</v>
      </c>
      <c r="O38" s="1065">
        <f t="shared" si="172"/>
        <v>31718869.624737602</v>
      </c>
      <c r="P38" s="1065">
        <f t="shared" si="172"/>
        <v>29398569.971772708</v>
      </c>
      <c r="Q38" s="1065">
        <f t="shared" si="172"/>
        <v>29525627.40146729</v>
      </c>
      <c r="R38" s="1065">
        <f t="shared" si="172"/>
        <v>29653087.18392982</v>
      </c>
      <c r="S38" s="1065">
        <f t="shared" si="172"/>
        <v>29780950.593290828</v>
      </c>
      <c r="T38" s="1065">
        <f t="shared" si="172"/>
        <v>29909218.90771563</v>
      </c>
      <c r="U38" s="1065">
        <f t="shared" si="172"/>
        <v>30037893.409417104</v>
      </c>
      <c r="V38" s="1065">
        <f t="shared" si="172"/>
        <v>30166975.384668525</v>
      </c>
      <c r="W38" s="1065">
        <f t="shared" si="172"/>
        <v>30296466.12381639</v>
      </c>
      <c r="X38" s="1065">
        <f t="shared" si="172"/>
        <v>30426366.921293352</v>
      </c>
      <c r="Y38" s="1065">
        <f t="shared" si="172"/>
        <v>30556679.075631142</v>
      </c>
      <c r="Z38" s="1065">
        <f t="shared" si="172"/>
        <v>30687403.889473543</v>
      </c>
      <c r="AA38" s="1065">
        <f t="shared" si="172"/>
        <v>30818542.669589423</v>
      </c>
      <c r="AB38" s="1065">
        <f t="shared" si="172"/>
        <v>30950096.726885807</v>
      </c>
      <c r="AC38" s="1065">
        <f t="shared" si="172"/>
        <v>31082067.376420956</v>
      </c>
      <c r="AD38" s="1065">
        <f t="shared" si="172"/>
        <v>31214455.937417533</v>
      </c>
      <c r="AE38" s="1065">
        <f t="shared" si="172"/>
        <v>31347263.733275767</v>
      </c>
      <c r="AF38" s="1065">
        <f t="shared" ref="AF38:AO38" si="173">SUM(AF36:AF37)</f>
        <v>31480492.091586735</v>
      </c>
      <c r="AG38" s="1065">
        <f t="shared" si="173"/>
        <v>31614142.344145548</v>
      </c>
      <c r="AH38" s="1065">
        <f t="shared" si="173"/>
        <v>31748215.826964758</v>
      </c>
      <c r="AI38" s="1065">
        <f t="shared" si="173"/>
        <v>31882713.880287644</v>
      </c>
      <c r="AJ38" s="1065">
        <f t="shared" si="173"/>
        <v>32017637.848601624</v>
      </c>
      <c r="AK38" s="1065">
        <f t="shared" si="173"/>
        <v>32152989.080651734</v>
      </c>
      <c r="AL38" s="1065">
        <f t="shared" si="173"/>
        <v>32288768.929454062</v>
      </c>
      <c r="AM38" s="1065">
        <f t="shared" si="173"/>
        <v>32424978.7523093</v>
      </c>
      <c r="AN38" s="1065">
        <f t="shared" si="173"/>
        <v>32561619.910816293</v>
      </c>
      <c r="AO38" s="1065">
        <f t="shared" si="173"/>
        <v>32698693.770885654</v>
      </c>
    </row>
    <row r="39" spans="1:41">
      <c r="AF39" s="864"/>
      <c r="AG39" s="864"/>
      <c r="AH39" s="864"/>
      <c r="AI39" s="864"/>
      <c r="AJ39" s="864"/>
      <c r="AK39" s="864"/>
      <c r="AL39" s="864"/>
      <c r="AM39" s="864"/>
      <c r="AN39" s="864"/>
      <c r="AO39" s="864"/>
    </row>
    <row r="40" spans="1:41">
      <c r="B40" s="859" t="s">
        <v>327</v>
      </c>
      <c r="C40" s="879">
        <f>C20</f>
        <v>500</v>
      </c>
      <c r="D40" s="864">
        <f>IFERROR(D33/$C40,0)</f>
        <v>0</v>
      </c>
      <c r="E40" s="864">
        <f t="shared" ref="E40:AE40" si="174">IFERROR(E33/$C40,0)</f>
        <v>0</v>
      </c>
      <c r="F40" s="864">
        <f t="shared" si="174"/>
        <v>0</v>
      </c>
      <c r="G40" s="864">
        <f t="shared" si="174"/>
        <v>0</v>
      </c>
      <c r="H40" s="864">
        <f t="shared" si="174"/>
        <v>0</v>
      </c>
      <c r="I40" s="864">
        <f t="shared" si="174"/>
        <v>0</v>
      </c>
      <c r="J40" s="864">
        <f t="shared" si="174"/>
        <v>0</v>
      </c>
      <c r="K40" s="864">
        <f t="shared" si="174"/>
        <v>0</v>
      </c>
      <c r="L40" s="864">
        <f t="shared" si="174"/>
        <v>7297.5</v>
      </c>
      <c r="M40" s="864">
        <f t="shared" si="174"/>
        <v>7297.5</v>
      </c>
      <c r="N40" s="864">
        <f t="shared" si="174"/>
        <v>413872.5</v>
      </c>
      <c r="O40" s="864">
        <f t="shared" si="174"/>
        <v>413872.5</v>
      </c>
      <c r="P40" s="864">
        <f t="shared" si="174"/>
        <v>536220.30000000005</v>
      </c>
      <c r="Q40" s="864">
        <f t="shared" si="174"/>
        <v>536220.30000000005</v>
      </c>
      <c r="R40" s="864">
        <f t="shared" si="174"/>
        <v>536220.30000000005</v>
      </c>
      <c r="S40" s="864">
        <f t="shared" si="174"/>
        <v>536220.30000000005</v>
      </c>
      <c r="T40" s="864">
        <f t="shared" si="174"/>
        <v>536220.30000000005</v>
      </c>
      <c r="U40" s="864">
        <f t="shared" si="174"/>
        <v>536220.30000000005</v>
      </c>
      <c r="V40" s="864">
        <f t="shared" si="174"/>
        <v>536220.30000000005</v>
      </c>
      <c r="W40" s="864">
        <f t="shared" si="174"/>
        <v>536220.30000000005</v>
      </c>
      <c r="X40" s="864">
        <f t="shared" si="174"/>
        <v>536220.30000000005</v>
      </c>
      <c r="Y40" s="864">
        <f t="shared" si="174"/>
        <v>536220.30000000005</v>
      </c>
      <c r="Z40" s="864">
        <f t="shared" si="174"/>
        <v>536220.30000000005</v>
      </c>
      <c r="AA40" s="864">
        <f t="shared" si="174"/>
        <v>536220.30000000005</v>
      </c>
      <c r="AB40" s="864">
        <f t="shared" si="174"/>
        <v>536220.30000000005</v>
      </c>
      <c r="AC40" s="864">
        <f t="shared" si="174"/>
        <v>536220.30000000005</v>
      </c>
      <c r="AD40" s="864">
        <f t="shared" si="174"/>
        <v>536220.30000000005</v>
      </c>
      <c r="AE40" s="864">
        <f t="shared" si="174"/>
        <v>536220.30000000005</v>
      </c>
      <c r="AF40" s="864">
        <f t="shared" ref="AF40:AO40" si="175">IFERROR(AF33/$C40,0)</f>
        <v>536220.30000000005</v>
      </c>
      <c r="AG40" s="864">
        <f t="shared" si="175"/>
        <v>536220.30000000005</v>
      </c>
      <c r="AH40" s="864">
        <f t="shared" si="175"/>
        <v>536220.30000000005</v>
      </c>
      <c r="AI40" s="864">
        <f t="shared" si="175"/>
        <v>536220.30000000005</v>
      </c>
      <c r="AJ40" s="864">
        <f t="shared" si="175"/>
        <v>536220.30000000005</v>
      </c>
      <c r="AK40" s="864">
        <f t="shared" si="175"/>
        <v>536220.30000000005</v>
      </c>
      <c r="AL40" s="864">
        <f t="shared" si="175"/>
        <v>536220.30000000005</v>
      </c>
      <c r="AM40" s="864">
        <f t="shared" si="175"/>
        <v>536220.30000000005</v>
      </c>
      <c r="AN40" s="864">
        <f t="shared" si="175"/>
        <v>536220.30000000005</v>
      </c>
      <c r="AO40" s="864">
        <f t="shared" si="175"/>
        <v>536220.30000000005</v>
      </c>
    </row>
    <row r="41" spans="1:41">
      <c r="B41" s="859" t="s">
        <v>328</v>
      </c>
      <c r="C41" s="1234">
        <f>C21</f>
        <v>11.5</v>
      </c>
      <c r="D41" s="878">
        <f>IFERROR(D38/$C41,0)</f>
        <v>3359061.913043478</v>
      </c>
      <c r="E41" s="878">
        <f t="shared" ref="E41:AE41" si="176">IFERROR(E38/$C41,0)</f>
        <v>3369699.0545445611</v>
      </c>
      <c r="F41" s="878">
        <f t="shared" si="176"/>
        <v>3380369.880682081</v>
      </c>
      <c r="G41" s="878">
        <f t="shared" si="176"/>
        <v>3391074.4981251792</v>
      </c>
      <c r="H41" s="878">
        <f t="shared" si="176"/>
        <v>3401813.0138807846</v>
      </c>
      <c r="I41" s="878">
        <f t="shared" si="176"/>
        <v>3412585.5352946832</v>
      </c>
      <c r="J41" s="878">
        <f t="shared" si="176"/>
        <v>3423392.1700525964</v>
      </c>
      <c r="K41" s="878">
        <f t="shared" si="176"/>
        <v>3434233.0261812503</v>
      </c>
      <c r="L41" s="878">
        <f t="shared" si="176"/>
        <v>3432416.9077016362</v>
      </c>
      <c r="M41" s="878">
        <f t="shared" si="176"/>
        <v>3443326.5320213935</v>
      </c>
      <c r="N41" s="878">
        <f t="shared" si="176"/>
        <v>2747183.7473272043</v>
      </c>
      <c r="O41" s="878">
        <f t="shared" si="176"/>
        <v>2758162.5760641391</v>
      </c>
      <c r="P41" s="878">
        <f t="shared" si="176"/>
        <v>2556397.3888498009</v>
      </c>
      <c r="Q41" s="878">
        <f t="shared" si="176"/>
        <v>2567445.8609971558</v>
      </c>
      <c r="R41" s="878">
        <f t="shared" si="176"/>
        <v>2578529.3203417235</v>
      </c>
      <c r="S41" s="878">
        <f t="shared" si="176"/>
        <v>2589647.8776774635</v>
      </c>
      <c r="T41" s="878">
        <f t="shared" si="176"/>
        <v>2600801.6441491852</v>
      </c>
      <c r="U41" s="878">
        <f t="shared" si="176"/>
        <v>2611990.7312536612</v>
      </c>
      <c r="V41" s="878">
        <f t="shared" si="176"/>
        <v>2623215.2508407412</v>
      </c>
      <c r="W41" s="878">
        <f t="shared" si="176"/>
        <v>2634475.3151144688</v>
      </c>
      <c r="X41" s="878">
        <f t="shared" si="176"/>
        <v>2645771.0366342044</v>
      </c>
      <c r="Y41" s="878">
        <f t="shared" si="176"/>
        <v>2657102.5283157513</v>
      </c>
      <c r="Z41" s="878">
        <f t="shared" si="176"/>
        <v>2668469.9034324819</v>
      </c>
      <c r="AA41" s="878">
        <f t="shared" si="176"/>
        <v>2679873.2756164717</v>
      </c>
      <c r="AB41" s="878">
        <f t="shared" si="176"/>
        <v>2691312.7588596353</v>
      </c>
      <c r="AC41" s="878">
        <f t="shared" si="176"/>
        <v>2702788.4675148656</v>
      </c>
      <c r="AD41" s="878">
        <f t="shared" si="176"/>
        <v>2714300.5162971769</v>
      </c>
      <c r="AE41" s="878">
        <f t="shared" si="176"/>
        <v>2725849.0202848492</v>
      </c>
      <c r="AF41" s="878">
        <f t="shared" ref="AF41:AO41" si="177">IFERROR(AF38/$C41,0)</f>
        <v>2737434.0949205859</v>
      </c>
      <c r="AG41" s="878">
        <f t="shared" si="177"/>
        <v>2749055.8560126564</v>
      </c>
      <c r="AH41" s="878">
        <f t="shared" si="177"/>
        <v>2760714.4197360659</v>
      </c>
      <c r="AI41" s="878">
        <f t="shared" si="177"/>
        <v>2772409.902633708</v>
      </c>
      <c r="AJ41" s="878">
        <f t="shared" si="177"/>
        <v>2784142.4216175326</v>
      </c>
      <c r="AK41" s="878">
        <f t="shared" si="177"/>
        <v>2795912.0939697162</v>
      </c>
      <c r="AL41" s="878">
        <f t="shared" si="177"/>
        <v>2807719.0373438313</v>
      </c>
      <c r="AM41" s="878">
        <f t="shared" si="177"/>
        <v>2819563.3697660263</v>
      </c>
      <c r="AN41" s="878">
        <f t="shared" si="177"/>
        <v>2831445.2096361993</v>
      </c>
      <c r="AO41" s="878">
        <f t="shared" si="177"/>
        <v>2843364.6757291872</v>
      </c>
    </row>
    <row r="42" spans="1:41">
      <c r="B42" s="859"/>
      <c r="C42" s="864"/>
      <c r="I42" s="866"/>
      <c r="AF42" s="864"/>
      <c r="AG42" s="864"/>
      <c r="AH42" s="864"/>
      <c r="AI42" s="864"/>
      <c r="AJ42" s="864"/>
      <c r="AK42" s="864"/>
      <c r="AL42" s="864"/>
      <c r="AM42" s="864"/>
      <c r="AN42" s="864"/>
      <c r="AO42" s="864"/>
    </row>
    <row r="43" spans="1:41" ht="15">
      <c r="B43" s="844" t="s">
        <v>335</v>
      </c>
      <c r="C43" s="125"/>
      <c r="AF43" s="864"/>
      <c r="AG43" s="864"/>
      <c r="AH43" s="864"/>
      <c r="AI43" s="864"/>
      <c r="AJ43" s="864"/>
      <c r="AK43" s="864"/>
      <c r="AL43" s="864"/>
      <c r="AM43" s="864"/>
      <c r="AN43" s="864"/>
      <c r="AO43" s="864"/>
    </row>
    <row r="44" spans="1:41" s="847" customFormat="1">
      <c r="A44" s="840"/>
      <c r="B44" s="858" t="s">
        <v>123</v>
      </c>
      <c r="C44" s="855">
        <f>C24-C9</f>
        <v>0</v>
      </c>
      <c r="D44" s="874">
        <f t="shared" ref="D44:AB44" si="178">D24-D9</f>
        <v>0</v>
      </c>
      <c r="E44" s="868">
        <f>E24-E9</f>
        <v>0</v>
      </c>
      <c r="F44" s="868">
        <f t="shared" si="178"/>
        <v>0</v>
      </c>
      <c r="G44" s="868">
        <f t="shared" si="178"/>
        <v>0</v>
      </c>
      <c r="H44" s="868">
        <f t="shared" si="178"/>
        <v>0</v>
      </c>
      <c r="I44" s="868">
        <f t="shared" si="178"/>
        <v>0</v>
      </c>
      <c r="J44" s="868">
        <f t="shared" si="178"/>
        <v>0</v>
      </c>
      <c r="K44" s="868">
        <f t="shared" si="178"/>
        <v>0</v>
      </c>
      <c r="L44" s="868">
        <f t="shared" si="178"/>
        <v>0</v>
      </c>
      <c r="M44" s="868">
        <f t="shared" si="178"/>
        <v>0</v>
      </c>
      <c r="N44" s="868">
        <f t="shared" si="178"/>
        <v>0</v>
      </c>
      <c r="O44" s="868">
        <f t="shared" si="178"/>
        <v>0</v>
      </c>
      <c r="P44" s="868">
        <f t="shared" si="178"/>
        <v>0</v>
      </c>
      <c r="Q44" s="868">
        <f t="shared" si="178"/>
        <v>0</v>
      </c>
      <c r="R44" s="868">
        <f t="shared" si="178"/>
        <v>0</v>
      </c>
      <c r="S44" s="868">
        <f t="shared" si="178"/>
        <v>0</v>
      </c>
      <c r="T44" s="868">
        <f t="shared" si="178"/>
        <v>0</v>
      </c>
      <c r="U44" s="868">
        <f t="shared" si="178"/>
        <v>0</v>
      </c>
      <c r="V44" s="868">
        <f t="shared" si="178"/>
        <v>0</v>
      </c>
      <c r="W44" s="868">
        <f t="shared" si="178"/>
        <v>0</v>
      </c>
      <c r="X44" s="868">
        <f t="shared" si="178"/>
        <v>0</v>
      </c>
      <c r="Y44" s="868">
        <f t="shared" si="178"/>
        <v>0</v>
      </c>
      <c r="Z44" s="868">
        <f t="shared" si="178"/>
        <v>0</v>
      </c>
      <c r="AA44" s="868">
        <f t="shared" si="178"/>
        <v>0</v>
      </c>
      <c r="AB44" s="868">
        <f t="shared" si="178"/>
        <v>0</v>
      </c>
      <c r="AC44" s="868">
        <f t="shared" ref="AC44:AE44" si="179">AC24-AC9</f>
        <v>0</v>
      </c>
      <c r="AD44" s="868">
        <f t="shared" si="179"/>
        <v>0</v>
      </c>
      <c r="AE44" s="868">
        <f t="shared" si="179"/>
        <v>0</v>
      </c>
      <c r="AF44" s="868">
        <f t="shared" ref="AF44:AO44" si="180">AF24-AF9</f>
        <v>0</v>
      </c>
      <c r="AG44" s="868">
        <f t="shared" si="180"/>
        <v>0</v>
      </c>
      <c r="AH44" s="868">
        <f t="shared" si="180"/>
        <v>0</v>
      </c>
      <c r="AI44" s="868">
        <f t="shared" si="180"/>
        <v>0</v>
      </c>
      <c r="AJ44" s="868">
        <f t="shared" si="180"/>
        <v>0</v>
      </c>
      <c r="AK44" s="868">
        <f t="shared" si="180"/>
        <v>0</v>
      </c>
      <c r="AL44" s="868">
        <f t="shared" si="180"/>
        <v>0</v>
      </c>
      <c r="AM44" s="868">
        <f t="shared" si="180"/>
        <v>0</v>
      </c>
      <c r="AN44" s="868">
        <f t="shared" si="180"/>
        <v>0</v>
      </c>
      <c r="AO44" s="868">
        <f t="shared" si="180"/>
        <v>0</v>
      </c>
    </row>
    <row r="45" spans="1:41" s="847" customFormat="1">
      <c r="A45" s="840"/>
      <c r="B45" s="858" t="s">
        <v>319</v>
      </c>
      <c r="C45" s="855">
        <f>C30-C10</f>
        <v>0</v>
      </c>
      <c r="D45" s="874">
        <f t="shared" ref="D45:AB45" si="181">D30-D10</f>
        <v>0</v>
      </c>
      <c r="E45" s="868">
        <f>E30-E10</f>
        <v>0</v>
      </c>
      <c r="F45" s="868">
        <f t="shared" si="181"/>
        <v>0</v>
      </c>
      <c r="G45" s="868">
        <f t="shared" si="181"/>
        <v>0</v>
      </c>
      <c r="H45" s="868">
        <f t="shared" si="181"/>
        <v>0</v>
      </c>
      <c r="I45" s="868">
        <f t="shared" si="181"/>
        <v>0</v>
      </c>
      <c r="J45" s="868">
        <f t="shared" si="181"/>
        <v>0</v>
      </c>
      <c r="K45" s="868">
        <f t="shared" si="181"/>
        <v>0</v>
      </c>
      <c r="L45" s="868">
        <f>L30-L10</f>
        <v>21.875</v>
      </c>
      <c r="M45" s="868">
        <f t="shared" si="181"/>
        <v>21.875</v>
      </c>
      <c r="N45" s="868">
        <f t="shared" si="181"/>
        <v>1240.625</v>
      </c>
      <c r="O45" s="868">
        <f t="shared" si="181"/>
        <v>1240.625</v>
      </c>
      <c r="P45" s="868">
        <f t="shared" si="181"/>
        <v>1607.375</v>
      </c>
      <c r="Q45" s="868">
        <f t="shared" si="181"/>
        <v>1607.375</v>
      </c>
      <c r="R45" s="868">
        <f t="shared" si="181"/>
        <v>1607.375</v>
      </c>
      <c r="S45" s="868">
        <f t="shared" si="181"/>
        <v>1607.375</v>
      </c>
      <c r="T45" s="868">
        <f t="shared" si="181"/>
        <v>1607.375</v>
      </c>
      <c r="U45" s="868">
        <f t="shared" si="181"/>
        <v>1607.375</v>
      </c>
      <c r="V45" s="868">
        <f t="shared" si="181"/>
        <v>1607.375</v>
      </c>
      <c r="W45" s="868">
        <f t="shared" si="181"/>
        <v>1607.375</v>
      </c>
      <c r="X45" s="868">
        <f t="shared" si="181"/>
        <v>1607.375</v>
      </c>
      <c r="Y45" s="868">
        <f t="shared" si="181"/>
        <v>1607.375</v>
      </c>
      <c r="Z45" s="868">
        <f t="shared" si="181"/>
        <v>1607.375</v>
      </c>
      <c r="AA45" s="868">
        <f t="shared" si="181"/>
        <v>1607.375</v>
      </c>
      <c r="AB45" s="868">
        <f t="shared" si="181"/>
        <v>1607.375</v>
      </c>
      <c r="AC45" s="868">
        <f t="shared" ref="AC45:AE45" si="182">AC30-AC10</f>
        <v>1607.375</v>
      </c>
      <c r="AD45" s="868">
        <f t="shared" si="182"/>
        <v>1607.375</v>
      </c>
      <c r="AE45" s="868">
        <f t="shared" si="182"/>
        <v>1607.375</v>
      </c>
      <c r="AF45" s="868">
        <f t="shared" ref="AF45:AO45" si="183">AF30-AF10</f>
        <v>1607.375</v>
      </c>
      <c r="AG45" s="868">
        <f t="shared" si="183"/>
        <v>1607.375</v>
      </c>
      <c r="AH45" s="868">
        <f t="shared" si="183"/>
        <v>1607.375</v>
      </c>
      <c r="AI45" s="868">
        <f t="shared" si="183"/>
        <v>1607.375</v>
      </c>
      <c r="AJ45" s="868">
        <f t="shared" si="183"/>
        <v>1607.375</v>
      </c>
      <c r="AK45" s="868">
        <f t="shared" si="183"/>
        <v>1607.375</v>
      </c>
      <c r="AL45" s="868">
        <f t="shared" si="183"/>
        <v>1607.375</v>
      </c>
      <c r="AM45" s="868">
        <f t="shared" si="183"/>
        <v>1607.375</v>
      </c>
      <c r="AN45" s="868">
        <f t="shared" si="183"/>
        <v>1607.375</v>
      </c>
      <c r="AO45" s="868">
        <f t="shared" si="183"/>
        <v>1607.375</v>
      </c>
    </row>
    <row r="46" spans="1:41">
      <c r="B46" s="859" t="s">
        <v>320</v>
      </c>
      <c r="C46" s="855">
        <f t="shared" ref="C46:AB46" si="184">C31-C11</f>
        <v>0</v>
      </c>
      <c r="D46" s="874">
        <f t="shared" si="184"/>
        <v>0</v>
      </c>
      <c r="E46" s="868">
        <f>E31-E11</f>
        <v>0</v>
      </c>
      <c r="F46" s="868">
        <f t="shared" si="184"/>
        <v>0</v>
      </c>
      <c r="G46" s="868">
        <f t="shared" si="184"/>
        <v>0</v>
      </c>
      <c r="H46" s="868">
        <f t="shared" si="184"/>
        <v>0</v>
      </c>
      <c r="I46" s="868">
        <f t="shared" si="184"/>
        <v>0</v>
      </c>
      <c r="J46" s="868">
        <f t="shared" si="184"/>
        <v>0</v>
      </c>
      <c r="K46" s="868">
        <f t="shared" si="184"/>
        <v>0</v>
      </c>
      <c r="L46" s="868">
        <f t="shared" si="184"/>
        <v>0.21875</v>
      </c>
      <c r="M46" s="868">
        <f t="shared" si="184"/>
        <v>0.21875</v>
      </c>
      <c r="N46" s="868">
        <f t="shared" si="184"/>
        <v>12.40625</v>
      </c>
      <c r="O46" s="868">
        <f t="shared" si="184"/>
        <v>12.40625</v>
      </c>
      <c r="P46" s="868">
        <f t="shared" si="184"/>
        <v>16.07375</v>
      </c>
      <c r="Q46" s="868">
        <f t="shared" si="184"/>
        <v>16.07375</v>
      </c>
      <c r="R46" s="868">
        <f t="shared" si="184"/>
        <v>16.07375</v>
      </c>
      <c r="S46" s="868">
        <f t="shared" si="184"/>
        <v>16.07375</v>
      </c>
      <c r="T46" s="868">
        <f t="shared" si="184"/>
        <v>16.07375</v>
      </c>
      <c r="U46" s="868">
        <f t="shared" si="184"/>
        <v>16.07375</v>
      </c>
      <c r="V46" s="868">
        <f t="shared" si="184"/>
        <v>16.07375</v>
      </c>
      <c r="W46" s="868">
        <f t="shared" si="184"/>
        <v>16.07375</v>
      </c>
      <c r="X46" s="868">
        <f t="shared" si="184"/>
        <v>16.07375</v>
      </c>
      <c r="Y46" s="868">
        <f t="shared" si="184"/>
        <v>16.07375</v>
      </c>
      <c r="Z46" s="868">
        <f t="shared" si="184"/>
        <v>16.07375</v>
      </c>
      <c r="AA46" s="868">
        <f t="shared" si="184"/>
        <v>16.07375</v>
      </c>
      <c r="AB46" s="868">
        <f t="shared" si="184"/>
        <v>16.07375</v>
      </c>
      <c r="AC46" s="868">
        <f t="shared" ref="AC46:AE46" si="185">AC31-AC11</f>
        <v>16.07375</v>
      </c>
      <c r="AD46" s="868">
        <f t="shared" si="185"/>
        <v>16.07375</v>
      </c>
      <c r="AE46" s="868">
        <f t="shared" si="185"/>
        <v>16.07375</v>
      </c>
      <c r="AF46" s="868">
        <f t="shared" ref="AF46:AO46" si="186">AF31-AF11</f>
        <v>16.07375</v>
      </c>
      <c r="AG46" s="868">
        <f t="shared" si="186"/>
        <v>16.07375</v>
      </c>
      <c r="AH46" s="868">
        <f t="shared" si="186"/>
        <v>16.07375</v>
      </c>
      <c r="AI46" s="868">
        <f t="shared" si="186"/>
        <v>16.07375</v>
      </c>
      <c r="AJ46" s="868">
        <f t="shared" si="186"/>
        <v>16.07375</v>
      </c>
      <c r="AK46" s="868">
        <f t="shared" si="186"/>
        <v>16.07375</v>
      </c>
      <c r="AL46" s="868">
        <f t="shared" si="186"/>
        <v>16.07375</v>
      </c>
      <c r="AM46" s="868">
        <f t="shared" si="186"/>
        <v>16.07375</v>
      </c>
      <c r="AN46" s="868">
        <f t="shared" si="186"/>
        <v>16.07375</v>
      </c>
      <c r="AO46" s="868">
        <f t="shared" si="186"/>
        <v>16.07375</v>
      </c>
    </row>
    <row r="47" spans="1:41" s="847" customFormat="1">
      <c r="A47" s="840"/>
      <c r="B47" s="858" t="s">
        <v>321</v>
      </c>
      <c r="C47" s="855">
        <f t="shared" ref="C47:AB47" si="187">C32-C12</f>
        <v>25</v>
      </c>
      <c r="D47" s="874">
        <f t="shared" si="187"/>
        <v>0</v>
      </c>
      <c r="E47" s="868">
        <f>E32-E12</f>
        <v>0</v>
      </c>
      <c r="F47" s="868">
        <f t="shared" si="187"/>
        <v>0</v>
      </c>
      <c r="G47" s="868">
        <f t="shared" si="187"/>
        <v>0</v>
      </c>
      <c r="H47" s="868">
        <f t="shared" si="187"/>
        <v>0</v>
      </c>
      <c r="I47" s="868">
        <f t="shared" si="187"/>
        <v>0</v>
      </c>
      <c r="J47" s="868">
        <f t="shared" si="187"/>
        <v>0</v>
      </c>
      <c r="K47" s="868">
        <f t="shared" si="187"/>
        <v>0</v>
      </c>
      <c r="L47" s="868">
        <f>L32-L12</f>
        <v>-175</v>
      </c>
      <c r="M47" s="868">
        <f t="shared" si="187"/>
        <v>-175</v>
      </c>
      <c r="N47" s="868">
        <f t="shared" si="187"/>
        <v>-9925</v>
      </c>
      <c r="O47" s="868">
        <f t="shared" si="187"/>
        <v>-9925</v>
      </c>
      <c r="P47" s="868">
        <f t="shared" si="187"/>
        <v>-12859</v>
      </c>
      <c r="Q47" s="868">
        <f t="shared" si="187"/>
        <v>-12859</v>
      </c>
      <c r="R47" s="868">
        <f t="shared" si="187"/>
        <v>-12859</v>
      </c>
      <c r="S47" s="868">
        <f t="shared" si="187"/>
        <v>-12859.000000000007</v>
      </c>
      <c r="T47" s="868">
        <f t="shared" si="187"/>
        <v>-12859.000000000007</v>
      </c>
      <c r="U47" s="868">
        <f t="shared" si="187"/>
        <v>-12859</v>
      </c>
      <c r="V47" s="868">
        <f t="shared" si="187"/>
        <v>-12859</v>
      </c>
      <c r="W47" s="868">
        <f t="shared" si="187"/>
        <v>-12859</v>
      </c>
      <c r="X47" s="868">
        <f t="shared" si="187"/>
        <v>-12859</v>
      </c>
      <c r="Y47" s="868">
        <f t="shared" si="187"/>
        <v>-12859</v>
      </c>
      <c r="Z47" s="868">
        <f t="shared" si="187"/>
        <v>-12859</v>
      </c>
      <c r="AA47" s="868">
        <f t="shared" si="187"/>
        <v>-12859</v>
      </c>
      <c r="AB47" s="868">
        <f t="shared" si="187"/>
        <v>-12859</v>
      </c>
      <c r="AC47" s="868">
        <f t="shared" ref="AC47:AE47" si="188">AC32-AC12</f>
        <v>-12859</v>
      </c>
      <c r="AD47" s="868">
        <f t="shared" si="188"/>
        <v>-12859</v>
      </c>
      <c r="AE47" s="868">
        <f t="shared" si="188"/>
        <v>-12859.000000000007</v>
      </c>
      <c r="AF47" s="868">
        <f t="shared" ref="AF47:AO47" si="189">AF32-AF12</f>
        <v>-12859</v>
      </c>
      <c r="AG47" s="868">
        <f t="shared" si="189"/>
        <v>-12859</v>
      </c>
      <c r="AH47" s="868">
        <f t="shared" si="189"/>
        <v>-12859</v>
      </c>
      <c r="AI47" s="868">
        <f t="shared" si="189"/>
        <v>-12859</v>
      </c>
      <c r="AJ47" s="868">
        <f t="shared" si="189"/>
        <v>-12859</v>
      </c>
      <c r="AK47" s="868">
        <f t="shared" si="189"/>
        <v>-12859.000000000007</v>
      </c>
      <c r="AL47" s="868">
        <f t="shared" si="189"/>
        <v>-12859</v>
      </c>
      <c r="AM47" s="868">
        <f t="shared" si="189"/>
        <v>-12859</v>
      </c>
      <c r="AN47" s="868">
        <f t="shared" si="189"/>
        <v>-12859</v>
      </c>
      <c r="AO47" s="868">
        <f t="shared" si="189"/>
        <v>-12859</v>
      </c>
    </row>
    <row r="48" spans="1:41">
      <c r="B48" s="859" t="s">
        <v>322</v>
      </c>
      <c r="C48" s="856">
        <f t="shared" ref="C48:AB48" si="190">C33-C13</f>
        <v>834</v>
      </c>
      <c r="D48" s="875">
        <f t="shared" si="190"/>
        <v>0</v>
      </c>
      <c r="E48" s="869">
        <f>E33-E13</f>
        <v>0</v>
      </c>
      <c r="F48" s="869">
        <f t="shared" si="190"/>
        <v>0</v>
      </c>
      <c r="G48" s="869">
        <f t="shared" si="190"/>
        <v>0</v>
      </c>
      <c r="H48" s="869">
        <f t="shared" si="190"/>
        <v>0</v>
      </c>
      <c r="I48" s="869">
        <f t="shared" si="190"/>
        <v>0</v>
      </c>
      <c r="J48" s="869">
        <f t="shared" si="190"/>
        <v>0</v>
      </c>
      <c r="K48" s="869">
        <f t="shared" si="190"/>
        <v>0</v>
      </c>
      <c r="L48" s="869">
        <f>L33-L13</f>
        <v>3648750</v>
      </c>
      <c r="M48" s="869">
        <f t="shared" si="190"/>
        <v>3648750</v>
      </c>
      <c r="N48" s="869">
        <f t="shared" si="190"/>
        <v>206936250</v>
      </c>
      <c r="O48" s="869">
        <f t="shared" si="190"/>
        <v>206936250</v>
      </c>
      <c r="P48" s="869">
        <f t="shared" si="190"/>
        <v>268110150</v>
      </c>
      <c r="Q48" s="869">
        <f t="shared" si="190"/>
        <v>268110150</v>
      </c>
      <c r="R48" s="869">
        <f t="shared" si="190"/>
        <v>268110150</v>
      </c>
      <c r="S48" s="869">
        <f t="shared" si="190"/>
        <v>268110150</v>
      </c>
      <c r="T48" s="869">
        <f t="shared" si="190"/>
        <v>268110150</v>
      </c>
      <c r="U48" s="869">
        <f t="shared" si="190"/>
        <v>268110150</v>
      </c>
      <c r="V48" s="869">
        <f t="shared" si="190"/>
        <v>268110150</v>
      </c>
      <c r="W48" s="869">
        <f t="shared" si="190"/>
        <v>268110150</v>
      </c>
      <c r="X48" s="869">
        <f t="shared" si="190"/>
        <v>268110150</v>
      </c>
      <c r="Y48" s="869">
        <f t="shared" si="190"/>
        <v>268110150</v>
      </c>
      <c r="Z48" s="869">
        <f t="shared" si="190"/>
        <v>268110150</v>
      </c>
      <c r="AA48" s="869">
        <f t="shared" si="190"/>
        <v>268110150</v>
      </c>
      <c r="AB48" s="869">
        <f t="shared" si="190"/>
        <v>268110150</v>
      </c>
      <c r="AC48" s="869">
        <f t="shared" ref="AC48:AE48" si="191">AC33-AC13</f>
        <v>268110150</v>
      </c>
      <c r="AD48" s="869">
        <f t="shared" si="191"/>
        <v>268110150</v>
      </c>
      <c r="AE48" s="869">
        <f t="shared" si="191"/>
        <v>268110150</v>
      </c>
      <c r="AF48" s="869">
        <f t="shared" ref="AF48:AO48" si="192">AF33-AF13</f>
        <v>268110150</v>
      </c>
      <c r="AG48" s="869">
        <f t="shared" si="192"/>
        <v>268110150</v>
      </c>
      <c r="AH48" s="869">
        <f t="shared" si="192"/>
        <v>268110150</v>
      </c>
      <c r="AI48" s="869">
        <f t="shared" si="192"/>
        <v>268110150</v>
      </c>
      <c r="AJ48" s="869">
        <f t="shared" si="192"/>
        <v>268110150</v>
      </c>
      <c r="AK48" s="869">
        <f t="shared" si="192"/>
        <v>268110150</v>
      </c>
      <c r="AL48" s="869">
        <f t="shared" si="192"/>
        <v>268110150</v>
      </c>
      <c r="AM48" s="869">
        <f t="shared" si="192"/>
        <v>268110150</v>
      </c>
      <c r="AN48" s="869">
        <f t="shared" si="192"/>
        <v>268110150</v>
      </c>
      <c r="AO48" s="869">
        <f t="shared" si="192"/>
        <v>268110150</v>
      </c>
    </row>
    <row r="49" spans="2:41">
      <c r="B49" s="859" t="s">
        <v>323</v>
      </c>
      <c r="C49" s="856">
        <f t="shared" ref="C49:AB49" si="193">C34-C14</f>
        <v>0</v>
      </c>
      <c r="D49" s="875">
        <f t="shared" si="193"/>
        <v>0</v>
      </c>
      <c r="E49" s="869">
        <f>E34-E14</f>
        <v>0</v>
      </c>
      <c r="F49" s="869">
        <f t="shared" si="193"/>
        <v>0</v>
      </c>
      <c r="G49" s="869">
        <f t="shared" si="193"/>
        <v>0</v>
      </c>
      <c r="H49" s="869">
        <f t="shared" si="193"/>
        <v>0</v>
      </c>
      <c r="I49" s="869">
        <f t="shared" si="193"/>
        <v>0</v>
      </c>
      <c r="J49" s="869">
        <f t="shared" si="193"/>
        <v>0</v>
      </c>
      <c r="K49" s="869">
        <f t="shared" si="193"/>
        <v>0</v>
      </c>
      <c r="L49" s="869">
        <f>L34-L14</f>
        <v>-3648750</v>
      </c>
      <c r="M49" s="869">
        <f t="shared" si="193"/>
        <v>-3648750</v>
      </c>
      <c r="N49" s="869">
        <f t="shared" si="193"/>
        <v>-206936250</v>
      </c>
      <c r="O49" s="869">
        <f t="shared" si="193"/>
        <v>-206936250</v>
      </c>
      <c r="P49" s="869">
        <f t="shared" si="193"/>
        <v>-268110150</v>
      </c>
      <c r="Q49" s="869">
        <f t="shared" si="193"/>
        <v>-268110150</v>
      </c>
      <c r="R49" s="869">
        <f t="shared" si="193"/>
        <v>-268110150</v>
      </c>
      <c r="S49" s="869">
        <f t="shared" si="193"/>
        <v>-268110150</v>
      </c>
      <c r="T49" s="869">
        <f t="shared" si="193"/>
        <v>-268110150</v>
      </c>
      <c r="U49" s="869">
        <f t="shared" si="193"/>
        <v>-268110150</v>
      </c>
      <c r="V49" s="869">
        <f t="shared" si="193"/>
        <v>-268110150</v>
      </c>
      <c r="W49" s="869">
        <f t="shared" si="193"/>
        <v>-268110150</v>
      </c>
      <c r="X49" s="869">
        <f t="shared" si="193"/>
        <v>-268110150</v>
      </c>
      <c r="Y49" s="869">
        <f t="shared" si="193"/>
        <v>-268110150</v>
      </c>
      <c r="Z49" s="869">
        <f t="shared" si="193"/>
        <v>-268110150</v>
      </c>
      <c r="AA49" s="869">
        <f t="shared" si="193"/>
        <v>-268110150</v>
      </c>
      <c r="AB49" s="869">
        <f t="shared" si="193"/>
        <v>-268110150</v>
      </c>
      <c r="AC49" s="869">
        <f t="shared" ref="AC49:AE49" si="194">AC34-AC14</f>
        <v>-268110150</v>
      </c>
      <c r="AD49" s="869">
        <f t="shared" si="194"/>
        <v>-268110150</v>
      </c>
      <c r="AE49" s="869">
        <f t="shared" si="194"/>
        <v>-268110150</v>
      </c>
      <c r="AF49" s="869">
        <f t="shared" ref="AF49:AO49" si="195">AF34-AF14</f>
        <v>-268110150</v>
      </c>
      <c r="AG49" s="869">
        <f t="shared" si="195"/>
        <v>-268110150</v>
      </c>
      <c r="AH49" s="869">
        <f t="shared" si="195"/>
        <v>-268110150</v>
      </c>
      <c r="AI49" s="869">
        <f t="shared" si="195"/>
        <v>-268110150</v>
      </c>
      <c r="AJ49" s="869">
        <f t="shared" si="195"/>
        <v>-268110150</v>
      </c>
      <c r="AK49" s="869">
        <f t="shared" si="195"/>
        <v>-268110150</v>
      </c>
      <c r="AL49" s="869">
        <f t="shared" si="195"/>
        <v>-268110149.99999988</v>
      </c>
      <c r="AM49" s="869">
        <f t="shared" si="195"/>
        <v>-268110150.00000012</v>
      </c>
      <c r="AN49" s="869">
        <f t="shared" si="195"/>
        <v>-268110150</v>
      </c>
      <c r="AO49" s="869">
        <f t="shared" si="195"/>
        <v>-268110150.00000012</v>
      </c>
    </row>
    <row r="50" spans="2:41">
      <c r="C50" s="125"/>
      <c r="AF50" s="864"/>
      <c r="AG50" s="864"/>
      <c r="AH50" s="864"/>
      <c r="AI50" s="864"/>
      <c r="AJ50" s="864"/>
      <c r="AK50" s="864"/>
      <c r="AL50" s="864"/>
      <c r="AM50" s="864"/>
      <c r="AN50" s="864"/>
      <c r="AO50" s="864"/>
    </row>
    <row r="51" spans="2:41" ht="15" hidden="1">
      <c r="B51" s="842" t="s">
        <v>336</v>
      </c>
      <c r="C51" s="843"/>
      <c r="D51" s="863"/>
      <c r="E51" s="863"/>
      <c r="F51" s="863"/>
      <c r="G51" s="863"/>
      <c r="H51" s="863"/>
      <c r="I51" s="863"/>
      <c r="J51" s="863"/>
      <c r="K51" s="863"/>
      <c r="L51" s="863"/>
      <c r="M51" s="863"/>
      <c r="N51" s="863"/>
      <c r="O51" s="863"/>
      <c r="P51" s="863"/>
      <c r="Q51" s="863"/>
      <c r="R51" s="863"/>
      <c r="S51" s="863"/>
      <c r="T51" s="863"/>
      <c r="U51" s="863"/>
      <c r="V51" s="863"/>
      <c r="W51" s="863"/>
      <c r="X51" s="863"/>
      <c r="Y51" s="863"/>
      <c r="Z51" s="863"/>
      <c r="AA51" s="863"/>
      <c r="AB51" s="863"/>
      <c r="AC51" s="863"/>
      <c r="AD51" s="863"/>
      <c r="AE51" s="863"/>
      <c r="AF51" s="863"/>
      <c r="AG51" s="863"/>
      <c r="AH51" s="863"/>
      <c r="AI51" s="863"/>
      <c r="AJ51" s="863"/>
      <c r="AK51" s="863"/>
      <c r="AL51" s="863"/>
      <c r="AM51" s="863"/>
      <c r="AN51" s="863"/>
      <c r="AO51" s="863"/>
    </row>
    <row r="52" spans="2:41" hidden="1">
      <c r="J52" s="868"/>
      <c r="K52" s="868"/>
      <c r="L52" s="868"/>
      <c r="AF52" s="864"/>
      <c r="AG52" s="864"/>
      <c r="AH52" s="864"/>
      <c r="AI52" s="864"/>
      <c r="AJ52" s="864"/>
      <c r="AK52" s="864"/>
      <c r="AL52" s="864"/>
      <c r="AM52" s="864"/>
      <c r="AN52" s="864"/>
      <c r="AO52" s="864"/>
    </row>
    <row r="53" spans="2:41" ht="15" hidden="1">
      <c r="B53" s="844" t="s">
        <v>318</v>
      </c>
      <c r="C53" s="857"/>
      <c r="D53" s="876"/>
      <c r="E53" s="877"/>
      <c r="I53" s="878"/>
      <c r="J53" s="868"/>
      <c r="K53" s="868"/>
      <c r="L53" s="868"/>
      <c r="AF53" s="864"/>
      <c r="AG53" s="864"/>
      <c r="AH53" s="864"/>
      <c r="AI53" s="864"/>
      <c r="AJ53" s="864"/>
      <c r="AK53" s="864"/>
      <c r="AL53" s="864"/>
      <c r="AM53" s="864"/>
      <c r="AN53" s="864"/>
      <c r="AO53" s="864"/>
    </row>
    <row r="54" spans="2:41" hidden="1">
      <c r="B54" s="858" t="s">
        <v>123</v>
      </c>
      <c r="C54" s="845">
        <v>0</v>
      </c>
      <c r="D54" s="865">
        <f>ShipperData!E52</f>
        <v>0</v>
      </c>
      <c r="E54" s="866">
        <f>D54*(1+$C54)</f>
        <v>0</v>
      </c>
      <c r="F54" s="866">
        <f>E54*(1+$C54)</f>
        <v>0</v>
      </c>
      <c r="G54" s="866">
        <f t="shared" ref="G54" si="196">F54*(1+$C54)</f>
        <v>0</v>
      </c>
      <c r="H54" s="866">
        <f t="shared" ref="H54" si="197">G54*(1+$C54)</f>
        <v>0</v>
      </c>
      <c r="I54" s="866">
        <f t="shared" ref="I54" si="198">H54*(1+$C54)</f>
        <v>0</v>
      </c>
      <c r="J54" s="866">
        <f t="shared" ref="J54" si="199">I54*(1+$C54)</f>
        <v>0</v>
      </c>
      <c r="K54" s="866">
        <f t="shared" ref="K54" si="200">J54*(1+$C54)</f>
        <v>0</v>
      </c>
      <c r="L54" s="866">
        <f t="shared" ref="L54" si="201">K54*(1+$C54)</f>
        <v>0</v>
      </c>
      <c r="M54" s="866">
        <f t="shared" ref="M54" si="202">L54*(1+$C54)</f>
        <v>0</v>
      </c>
      <c r="N54" s="866">
        <f t="shared" ref="N54" si="203">M54*(1+$C54)</f>
        <v>0</v>
      </c>
      <c r="O54" s="866">
        <f t="shared" ref="O54" si="204">N54*(1+$C54)</f>
        <v>0</v>
      </c>
      <c r="P54" s="866">
        <f t="shared" ref="P54" si="205">O54*(1+$C54)</f>
        <v>0</v>
      </c>
      <c r="Q54" s="866">
        <f t="shared" ref="Q54" si="206">P54*(1+$C54)</f>
        <v>0</v>
      </c>
      <c r="R54" s="866">
        <f t="shared" ref="R54" si="207">Q54*(1+$C54)</f>
        <v>0</v>
      </c>
      <c r="S54" s="866">
        <f t="shared" ref="S54" si="208">R54*(1+$C54)</f>
        <v>0</v>
      </c>
      <c r="T54" s="866">
        <f t="shared" ref="T54" si="209">S54*(1+$C54)</f>
        <v>0</v>
      </c>
      <c r="U54" s="866">
        <f t="shared" ref="U54" si="210">T54*(1+$C54)</f>
        <v>0</v>
      </c>
      <c r="V54" s="866">
        <f t="shared" ref="V54" si="211">U54*(1+$C54)</f>
        <v>0</v>
      </c>
      <c r="W54" s="866">
        <f t="shared" ref="W54" si="212">V54*(1+$C54)</f>
        <v>0</v>
      </c>
      <c r="X54" s="866">
        <f t="shared" ref="X54" si="213">W54*(1+$C54)</f>
        <v>0</v>
      </c>
      <c r="Y54" s="866">
        <f t="shared" ref="Y54" si="214">X54*(1+$C54)</f>
        <v>0</v>
      </c>
      <c r="Z54" s="866">
        <f t="shared" ref="Z54" si="215">Y54*(1+$C54)</f>
        <v>0</v>
      </c>
      <c r="AA54" s="866">
        <f t="shared" ref="AA54" si="216">Z54*(1+$C54)</f>
        <v>0</v>
      </c>
      <c r="AB54" s="866">
        <f t="shared" ref="AB54" si="217">AA54*(1+$C54)</f>
        <v>0</v>
      </c>
      <c r="AC54" s="866">
        <f t="shared" ref="AC54" si="218">AB54*(1+$C54)</f>
        <v>0</v>
      </c>
      <c r="AD54" s="866">
        <f t="shared" ref="AD54" si="219">AC54*(1+$C54)</f>
        <v>0</v>
      </c>
      <c r="AE54" s="866">
        <f t="shared" ref="AE54" si="220">AD54*(1+$C54)</f>
        <v>0</v>
      </c>
      <c r="AF54" s="866">
        <f t="shared" ref="AF54" si="221">AE54*(1+$C54)</f>
        <v>0</v>
      </c>
      <c r="AG54" s="866">
        <f t="shared" ref="AG54" si="222">AF54*(1+$C54)</f>
        <v>0</v>
      </c>
      <c r="AH54" s="866">
        <f t="shared" ref="AH54" si="223">AG54*(1+$C54)</f>
        <v>0</v>
      </c>
      <c r="AI54" s="866">
        <f t="shared" ref="AI54" si="224">AH54*(1+$C54)</f>
        <v>0</v>
      </c>
      <c r="AJ54" s="866">
        <f t="shared" ref="AJ54" si="225">AI54*(1+$C54)</f>
        <v>0</v>
      </c>
      <c r="AK54" s="866">
        <f t="shared" ref="AK54" si="226">AJ54*(1+$C54)</f>
        <v>0</v>
      </c>
      <c r="AL54" s="866">
        <f t="shared" ref="AL54" si="227">AK54*(1+$C54)</f>
        <v>0</v>
      </c>
      <c r="AM54" s="866">
        <f t="shared" ref="AM54" si="228">AL54*(1+$C54)</f>
        <v>0</v>
      </c>
      <c r="AN54" s="866">
        <f t="shared" ref="AN54" si="229">AM54*(1+$C54)</f>
        <v>0</v>
      </c>
      <c r="AO54" s="866">
        <f t="shared" ref="AO54" si="230">AN54*(1+$C54)</f>
        <v>0</v>
      </c>
    </row>
    <row r="55" spans="2:41" hidden="1">
      <c r="B55" s="858" t="s">
        <v>319</v>
      </c>
      <c r="D55" s="867"/>
      <c r="E55" s="867"/>
      <c r="F55" s="867"/>
      <c r="G55" s="867"/>
      <c r="H55" s="867"/>
      <c r="I55" s="867"/>
      <c r="J55" s="867"/>
      <c r="K55" s="867"/>
      <c r="L55" s="867"/>
      <c r="M55" s="867"/>
      <c r="N55" s="867"/>
      <c r="O55" s="867"/>
      <c r="P55" s="867"/>
      <c r="Q55" s="867"/>
      <c r="R55" s="867"/>
      <c r="S55" s="867"/>
      <c r="T55" s="867"/>
      <c r="U55" s="867"/>
      <c r="V55" s="867"/>
      <c r="W55" s="867"/>
      <c r="X55" s="867"/>
      <c r="Y55" s="867"/>
      <c r="Z55" s="867"/>
      <c r="AA55" s="867"/>
      <c r="AB55" s="867"/>
      <c r="AC55" s="867"/>
      <c r="AD55" s="867"/>
      <c r="AE55" s="867"/>
      <c r="AF55" s="867"/>
      <c r="AG55" s="867"/>
      <c r="AH55" s="867"/>
      <c r="AI55" s="867"/>
      <c r="AJ55" s="867"/>
      <c r="AK55" s="867"/>
      <c r="AL55" s="867"/>
      <c r="AM55" s="867"/>
      <c r="AN55" s="867"/>
      <c r="AO55" s="867"/>
    </row>
    <row r="56" spans="2:41" hidden="1">
      <c r="B56" s="859" t="s">
        <v>320</v>
      </c>
      <c r="D56" s="867"/>
      <c r="E56" s="867"/>
      <c r="F56" s="867"/>
      <c r="G56" s="867"/>
      <c r="H56" s="867"/>
      <c r="I56" s="867"/>
      <c r="J56" s="867"/>
      <c r="K56" s="867"/>
      <c r="L56" s="867"/>
      <c r="M56" s="867"/>
      <c r="N56" s="867"/>
      <c r="O56" s="867"/>
      <c r="P56" s="867"/>
      <c r="Q56" s="867"/>
      <c r="R56" s="867"/>
      <c r="S56" s="867"/>
      <c r="T56" s="867"/>
      <c r="U56" s="867"/>
      <c r="V56" s="867"/>
      <c r="W56" s="867"/>
      <c r="X56" s="867"/>
      <c r="Y56" s="867"/>
      <c r="Z56" s="867"/>
      <c r="AA56" s="867"/>
      <c r="AB56" s="867"/>
      <c r="AC56" s="867"/>
      <c r="AD56" s="867"/>
      <c r="AE56" s="867"/>
      <c r="AF56" s="867"/>
      <c r="AG56" s="867"/>
      <c r="AH56" s="867"/>
      <c r="AI56" s="867"/>
      <c r="AJ56" s="867"/>
      <c r="AK56" s="867"/>
      <c r="AL56" s="867"/>
      <c r="AM56" s="867"/>
      <c r="AN56" s="867"/>
      <c r="AO56" s="867"/>
    </row>
    <row r="57" spans="2:41" hidden="1">
      <c r="B57" s="858" t="s">
        <v>321</v>
      </c>
      <c r="D57" s="865">
        <v>25718</v>
      </c>
      <c r="E57" s="868">
        <f>D57/D$9*E$9</f>
        <v>25799.441191679904</v>
      </c>
      <c r="F57" s="868">
        <f>E57/E$9*F$9</f>
        <v>25881.140283184919</v>
      </c>
      <c r="G57" s="868">
        <f t="shared" ref="G57" si="231">F57/F$9*G$9</f>
        <v>25963.098091206437</v>
      </c>
      <c r="H57" s="868">
        <f t="shared" ref="H57" si="232">G57/G$9*H$9</f>
        <v>26045.315435022054</v>
      </c>
      <c r="I57" s="868">
        <f t="shared" ref="I57" si="233">H57/H$9*I$9</f>
        <v>26127.793136503784</v>
      </c>
      <c r="J57" s="868">
        <f t="shared" ref="J57" si="234">I57/I$9*J$9</f>
        <v>26210.532020126262</v>
      </c>
      <c r="K57" s="868">
        <f t="shared" ref="K57" si="235">J57/J$9*K$9</f>
        <v>26293.532912974984</v>
      </c>
      <c r="L57" s="868">
        <f t="shared" ref="L57" si="236">K57/K$9*L$9</f>
        <v>26376.79664475457</v>
      </c>
      <c r="M57" s="868">
        <f t="shared" ref="M57" si="237">L57/L$9*M$9</f>
        <v>26460.324047797079</v>
      </c>
      <c r="N57" s="868">
        <f t="shared" ref="N57" si="238">M57/M$9*N$9</f>
        <v>26544.115957070313</v>
      </c>
      <c r="O57" s="868">
        <f t="shared" ref="O57" si="239">N57/N$9*O$9</f>
        <v>26628.173210186156</v>
      </c>
      <c r="P57" s="868">
        <f t="shared" ref="P57" si="240">O57/O$9*P$9</f>
        <v>26712.496647408978</v>
      </c>
      <c r="Q57" s="868">
        <f t="shared" ref="Q57" si="241">P57/P$9*Q$9</f>
        <v>26797.087111663986</v>
      </c>
      <c r="R57" s="868">
        <f t="shared" ref="R57" si="242">Q57/Q$9*R$9</f>
        <v>26881.945448545706</v>
      </c>
      <c r="S57" s="868">
        <f t="shared" ref="S57" si="243">R57/R$9*S$9</f>
        <v>26967.072506326393</v>
      </c>
      <c r="T57" s="868">
        <f t="shared" ref="T57" si="244">S57/S$9*T$9</f>
        <v>27052.469135964529</v>
      </c>
      <c r="U57" s="868">
        <f t="shared" ref="U57" si="245">T57/T$9*U$9</f>
        <v>27138.136191113328</v>
      </c>
      <c r="V57" s="868">
        <f t="shared" ref="V57" si="246">U57/U$9*V$9</f>
        <v>27224.074528129262</v>
      </c>
      <c r="W57" s="868">
        <f t="shared" ref="W57" si="247">V57/V$9*W$9</f>
        <v>27310.28500608063</v>
      </c>
      <c r="X57" s="868">
        <f t="shared" ref="X57" si="248">W57/W$9*X$9</f>
        <v>27396.768486756151</v>
      </c>
      <c r="Y57" s="868">
        <f t="shared" ref="Y57" si="249">X57/X$9*Y$9</f>
        <v>27483.525834673554</v>
      </c>
      <c r="Z57" s="868">
        <f t="shared" ref="Z57" si="250">Y57/Y$9*Z$9</f>
        <v>27570.557917088252</v>
      </c>
      <c r="AA57" s="868">
        <f t="shared" ref="AA57" si="251">Z57/Z$9*AA$9</f>
        <v>27657.865604001985</v>
      </c>
      <c r="AB57" s="868">
        <f t="shared" ref="AB57" si="252">AA57/AA$9*AB$9</f>
        <v>27745.449768171537</v>
      </c>
      <c r="AC57" s="868">
        <f t="shared" ref="AC57" si="253">AB57/AB$9*AC$9</f>
        <v>27833.311285117445</v>
      </c>
      <c r="AD57" s="868">
        <f t="shared" ref="AD57" si="254">AC57/AC$9*AD$9</f>
        <v>27921.451033132751</v>
      </c>
      <c r="AE57" s="868">
        <f t="shared" ref="AE57" si="255">AD57/AD$9*AE$9</f>
        <v>28009.869893291801</v>
      </c>
      <c r="AF57" s="868">
        <f t="shared" ref="AF57" si="256">AE57/AE$9*AF$9</f>
        <v>28098.568749459027</v>
      </c>
      <c r="AG57" s="868">
        <f t="shared" ref="AG57" si="257">AF57/AF$9*AG$9</f>
        <v>28187.548488297802</v>
      </c>
      <c r="AH57" s="868">
        <f t="shared" ref="AH57" si="258">AG57/AG$9*AH$9</f>
        <v>28276.809999279296</v>
      </c>
      <c r="AI57" s="868">
        <f t="shared" ref="AI57" si="259">AH57/AH$9*AI$9</f>
        <v>28366.354174691362</v>
      </c>
      <c r="AJ57" s="868">
        <f t="shared" ref="AJ57" si="260">AI57/AI$9*AJ$9</f>
        <v>28456.181909647461</v>
      </c>
      <c r="AK57" s="868">
        <f t="shared" ref="AK57" si="261">AJ57/AJ$9*AK$9</f>
        <v>28546.29410209562</v>
      </c>
      <c r="AL57" s="868">
        <f t="shared" ref="AL57" si="262">AK57/AK$9*AL$9</f>
        <v>28636.69165282739</v>
      </c>
      <c r="AM57" s="868">
        <f t="shared" ref="AM57" si="263">AL57/AL$9*AM$9</f>
        <v>28727.375465486861</v>
      </c>
      <c r="AN57" s="868">
        <f t="shared" ref="AN57" si="264">AM57/AM$9*AN$9</f>
        <v>28818.346446579686</v>
      </c>
      <c r="AO57" s="868">
        <f t="shared" ref="AO57" si="265">AN57/AN$9*AO$9</f>
        <v>28909.605505482155</v>
      </c>
    </row>
    <row r="58" spans="2:41" hidden="1">
      <c r="B58" s="858"/>
      <c r="D58" s="865"/>
      <c r="E58" s="868"/>
      <c r="F58" s="868"/>
      <c r="G58" s="868"/>
      <c r="H58" s="868"/>
      <c r="I58" s="868"/>
      <c r="J58" s="868"/>
      <c r="K58" s="868"/>
      <c r="L58" s="868"/>
      <c r="M58" s="868"/>
      <c r="N58" s="868"/>
      <c r="O58" s="868"/>
      <c r="P58" s="868"/>
      <c r="Q58" s="868"/>
      <c r="R58" s="868"/>
      <c r="S58" s="868"/>
      <c r="T58" s="868"/>
      <c r="U58" s="868"/>
      <c r="V58" s="868"/>
      <c r="W58" s="868"/>
      <c r="X58" s="868"/>
      <c r="Y58" s="868"/>
      <c r="Z58" s="868"/>
      <c r="AA58" s="868"/>
      <c r="AB58" s="868"/>
      <c r="AC58" s="868"/>
      <c r="AD58" s="868"/>
      <c r="AE58" s="868"/>
      <c r="AF58" s="868"/>
      <c r="AG58" s="868"/>
      <c r="AH58" s="868"/>
      <c r="AI58" s="868"/>
      <c r="AJ58" s="868"/>
      <c r="AK58" s="868"/>
      <c r="AL58" s="868"/>
      <c r="AM58" s="868"/>
      <c r="AN58" s="868"/>
      <c r="AO58" s="868"/>
    </row>
    <row r="59" spans="2:41" hidden="1">
      <c r="B59" s="859" t="s">
        <v>322</v>
      </c>
      <c r="C59" s="849">
        <v>0</v>
      </c>
      <c r="D59" s="869">
        <f>D54*$C59</f>
        <v>0</v>
      </c>
      <c r="E59" s="869">
        <f t="shared" ref="E59:AE59" si="266">E54*$C59</f>
        <v>0</v>
      </c>
      <c r="F59" s="869">
        <f t="shared" si="266"/>
        <v>0</v>
      </c>
      <c r="G59" s="869">
        <f t="shared" si="266"/>
        <v>0</v>
      </c>
      <c r="H59" s="869">
        <f t="shared" si="266"/>
        <v>0</v>
      </c>
      <c r="I59" s="869">
        <f t="shared" si="266"/>
        <v>0</v>
      </c>
      <c r="J59" s="869">
        <f t="shared" si="266"/>
        <v>0</v>
      </c>
      <c r="K59" s="869">
        <f t="shared" si="266"/>
        <v>0</v>
      </c>
      <c r="L59" s="869">
        <f t="shared" si="266"/>
        <v>0</v>
      </c>
      <c r="M59" s="869">
        <f t="shared" si="266"/>
        <v>0</v>
      </c>
      <c r="N59" s="869">
        <f t="shared" si="266"/>
        <v>0</v>
      </c>
      <c r="O59" s="869">
        <f t="shared" si="266"/>
        <v>0</v>
      </c>
      <c r="P59" s="869">
        <f t="shared" si="266"/>
        <v>0</v>
      </c>
      <c r="Q59" s="869">
        <f t="shared" si="266"/>
        <v>0</v>
      </c>
      <c r="R59" s="869">
        <f t="shared" si="266"/>
        <v>0</v>
      </c>
      <c r="S59" s="869">
        <f t="shared" si="266"/>
        <v>0</v>
      </c>
      <c r="T59" s="869">
        <f t="shared" si="266"/>
        <v>0</v>
      </c>
      <c r="U59" s="869">
        <f t="shared" si="266"/>
        <v>0</v>
      </c>
      <c r="V59" s="869">
        <f t="shared" si="266"/>
        <v>0</v>
      </c>
      <c r="W59" s="869">
        <f t="shared" si="266"/>
        <v>0</v>
      </c>
      <c r="X59" s="869">
        <f t="shared" si="266"/>
        <v>0</v>
      </c>
      <c r="Y59" s="869">
        <f t="shared" si="266"/>
        <v>0</v>
      </c>
      <c r="Z59" s="869">
        <f t="shared" si="266"/>
        <v>0</v>
      </c>
      <c r="AA59" s="869">
        <f t="shared" si="266"/>
        <v>0</v>
      </c>
      <c r="AB59" s="869">
        <f t="shared" si="266"/>
        <v>0</v>
      </c>
      <c r="AC59" s="869">
        <f t="shared" si="266"/>
        <v>0</v>
      </c>
      <c r="AD59" s="869">
        <f t="shared" si="266"/>
        <v>0</v>
      </c>
      <c r="AE59" s="869">
        <f t="shared" si="266"/>
        <v>0</v>
      </c>
      <c r="AF59" s="869">
        <f t="shared" ref="AF59:AO59" si="267">AF54*$C59</f>
        <v>0</v>
      </c>
      <c r="AG59" s="869">
        <f t="shared" si="267"/>
        <v>0</v>
      </c>
      <c r="AH59" s="869">
        <f t="shared" si="267"/>
        <v>0</v>
      </c>
      <c r="AI59" s="869">
        <f t="shared" si="267"/>
        <v>0</v>
      </c>
      <c r="AJ59" s="869">
        <f t="shared" si="267"/>
        <v>0</v>
      </c>
      <c r="AK59" s="869">
        <f t="shared" si="267"/>
        <v>0</v>
      </c>
      <c r="AL59" s="869">
        <f t="shared" si="267"/>
        <v>0</v>
      </c>
      <c r="AM59" s="869">
        <f t="shared" si="267"/>
        <v>0</v>
      </c>
      <c r="AN59" s="869">
        <f t="shared" si="267"/>
        <v>0</v>
      </c>
      <c r="AO59" s="869">
        <f t="shared" si="267"/>
        <v>0</v>
      </c>
    </row>
    <row r="60" spans="2:41" hidden="1">
      <c r="B60" s="859" t="s">
        <v>323</v>
      </c>
      <c r="C60" s="849">
        <v>0</v>
      </c>
      <c r="D60" s="869">
        <f>D54*$C60</f>
        <v>0</v>
      </c>
      <c r="E60" s="869">
        <f t="shared" ref="E60:AE60" si="268">E54*$C60</f>
        <v>0</v>
      </c>
      <c r="F60" s="869">
        <f t="shared" si="268"/>
        <v>0</v>
      </c>
      <c r="G60" s="869">
        <f t="shared" si="268"/>
        <v>0</v>
      </c>
      <c r="H60" s="869">
        <f t="shared" si="268"/>
        <v>0</v>
      </c>
      <c r="I60" s="869">
        <f t="shared" si="268"/>
        <v>0</v>
      </c>
      <c r="J60" s="869">
        <f t="shared" si="268"/>
        <v>0</v>
      </c>
      <c r="K60" s="869">
        <f t="shared" si="268"/>
        <v>0</v>
      </c>
      <c r="L60" s="869">
        <f t="shared" si="268"/>
        <v>0</v>
      </c>
      <c r="M60" s="869">
        <f t="shared" si="268"/>
        <v>0</v>
      </c>
      <c r="N60" s="869">
        <f t="shared" si="268"/>
        <v>0</v>
      </c>
      <c r="O60" s="869">
        <f t="shared" si="268"/>
        <v>0</v>
      </c>
      <c r="P60" s="869">
        <f t="shared" si="268"/>
        <v>0</v>
      </c>
      <c r="Q60" s="869">
        <f t="shared" si="268"/>
        <v>0</v>
      </c>
      <c r="R60" s="869">
        <f t="shared" si="268"/>
        <v>0</v>
      </c>
      <c r="S60" s="869">
        <f t="shared" si="268"/>
        <v>0</v>
      </c>
      <c r="T60" s="869">
        <f t="shared" si="268"/>
        <v>0</v>
      </c>
      <c r="U60" s="869">
        <f t="shared" si="268"/>
        <v>0</v>
      </c>
      <c r="V60" s="869">
        <f t="shared" si="268"/>
        <v>0</v>
      </c>
      <c r="W60" s="869">
        <f t="shared" si="268"/>
        <v>0</v>
      </c>
      <c r="X60" s="869">
        <f t="shared" si="268"/>
        <v>0</v>
      </c>
      <c r="Y60" s="869">
        <f t="shared" si="268"/>
        <v>0</v>
      </c>
      <c r="Z60" s="869">
        <f t="shared" si="268"/>
        <v>0</v>
      </c>
      <c r="AA60" s="869">
        <f t="shared" si="268"/>
        <v>0</v>
      </c>
      <c r="AB60" s="869">
        <f t="shared" si="268"/>
        <v>0</v>
      </c>
      <c r="AC60" s="869">
        <f t="shared" si="268"/>
        <v>0</v>
      </c>
      <c r="AD60" s="869">
        <f t="shared" si="268"/>
        <v>0</v>
      </c>
      <c r="AE60" s="869">
        <f t="shared" si="268"/>
        <v>0</v>
      </c>
      <c r="AF60" s="869">
        <f t="shared" ref="AF60:AO60" si="269">AF54*$C60</f>
        <v>0</v>
      </c>
      <c r="AG60" s="869">
        <f t="shared" si="269"/>
        <v>0</v>
      </c>
      <c r="AH60" s="869">
        <f t="shared" si="269"/>
        <v>0</v>
      </c>
      <c r="AI60" s="869">
        <f t="shared" si="269"/>
        <v>0</v>
      </c>
      <c r="AJ60" s="869">
        <f t="shared" si="269"/>
        <v>0</v>
      </c>
      <c r="AK60" s="869">
        <f t="shared" si="269"/>
        <v>0</v>
      </c>
      <c r="AL60" s="869">
        <f t="shared" si="269"/>
        <v>0</v>
      </c>
      <c r="AM60" s="869">
        <f t="shared" si="269"/>
        <v>0</v>
      </c>
      <c r="AN60" s="869">
        <f t="shared" si="269"/>
        <v>0</v>
      </c>
      <c r="AO60" s="869">
        <f t="shared" si="269"/>
        <v>0</v>
      </c>
    </row>
    <row r="61" spans="2:41" hidden="1">
      <c r="B61" s="859"/>
      <c r="AF61" s="864"/>
      <c r="AG61" s="864"/>
      <c r="AH61" s="864"/>
      <c r="AI61" s="864"/>
      <c r="AJ61" s="864"/>
      <c r="AK61" s="864"/>
      <c r="AL61" s="864"/>
      <c r="AM61" s="864"/>
      <c r="AN61" s="864"/>
      <c r="AO61" s="864"/>
    </row>
    <row r="62" spans="2:41" hidden="1">
      <c r="B62" s="859" t="s">
        <v>324</v>
      </c>
      <c r="C62" s="849">
        <v>0</v>
      </c>
      <c r="D62" s="868">
        <f t="shared" ref="D62:AE62" si="270">D57*$C62</f>
        <v>0</v>
      </c>
      <c r="E62" s="868">
        <f t="shared" si="270"/>
        <v>0</v>
      </c>
      <c r="F62" s="868">
        <f t="shared" si="270"/>
        <v>0</v>
      </c>
      <c r="G62" s="868">
        <f t="shared" si="270"/>
        <v>0</v>
      </c>
      <c r="H62" s="868">
        <f t="shared" si="270"/>
        <v>0</v>
      </c>
      <c r="I62" s="868">
        <f t="shared" si="270"/>
        <v>0</v>
      </c>
      <c r="J62" s="868">
        <f t="shared" si="270"/>
        <v>0</v>
      </c>
      <c r="K62" s="868">
        <f t="shared" si="270"/>
        <v>0</v>
      </c>
      <c r="L62" s="868">
        <f t="shared" si="270"/>
        <v>0</v>
      </c>
      <c r="M62" s="868">
        <f t="shared" si="270"/>
        <v>0</v>
      </c>
      <c r="N62" s="868">
        <f t="shared" si="270"/>
        <v>0</v>
      </c>
      <c r="O62" s="868">
        <f t="shared" si="270"/>
        <v>0</v>
      </c>
      <c r="P62" s="868">
        <f t="shared" si="270"/>
        <v>0</v>
      </c>
      <c r="Q62" s="868">
        <f t="shared" si="270"/>
        <v>0</v>
      </c>
      <c r="R62" s="868">
        <f t="shared" si="270"/>
        <v>0</v>
      </c>
      <c r="S62" s="868">
        <f t="shared" si="270"/>
        <v>0</v>
      </c>
      <c r="T62" s="868">
        <f t="shared" si="270"/>
        <v>0</v>
      </c>
      <c r="U62" s="868">
        <f t="shared" si="270"/>
        <v>0</v>
      </c>
      <c r="V62" s="868">
        <f t="shared" si="270"/>
        <v>0</v>
      </c>
      <c r="W62" s="868">
        <f t="shared" si="270"/>
        <v>0</v>
      </c>
      <c r="X62" s="868">
        <f t="shared" si="270"/>
        <v>0</v>
      </c>
      <c r="Y62" s="868">
        <f t="shared" si="270"/>
        <v>0</v>
      </c>
      <c r="Z62" s="868">
        <f t="shared" si="270"/>
        <v>0</v>
      </c>
      <c r="AA62" s="868">
        <f t="shared" si="270"/>
        <v>0</v>
      </c>
      <c r="AB62" s="868">
        <f t="shared" si="270"/>
        <v>0</v>
      </c>
      <c r="AC62" s="868">
        <f t="shared" si="270"/>
        <v>0</v>
      </c>
      <c r="AD62" s="868">
        <f t="shared" si="270"/>
        <v>0</v>
      </c>
      <c r="AE62" s="868">
        <f t="shared" si="270"/>
        <v>0</v>
      </c>
      <c r="AF62" s="868">
        <f t="shared" ref="AF62:AO62" si="271">AF57*$C62</f>
        <v>0</v>
      </c>
      <c r="AG62" s="868">
        <f t="shared" si="271"/>
        <v>0</v>
      </c>
      <c r="AH62" s="868">
        <f t="shared" si="271"/>
        <v>0</v>
      </c>
      <c r="AI62" s="868">
        <f t="shared" si="271"/>
        <v>0</v>
      </c>
      <c r="AJ62" s="868">
        <f t="shared" si="271"/>
        <v>0</v>
      </c>
      <c r="AK62" s="868">
        <f t="shared" si="271"/>
        <v>0</v>
      </c>
      <c r="AL62" s="868">
        <f t="shared" si="271"/>
        <v>0</v>
      </c>
      <c r="AM62" s="868">
        <f t="shared" si="271"/>
        <v>0</v>
      </c>
      <c r="AN62" s="868">
        <f t="shared" si="271"/>
        <v>0</v>
      </c>
      <c r="AO62" s="868">
        <f t="shared" si="271"/>
        <v>0</v>
      </c>
    </row>
    <row r="63" spans="2:41" hidden="1">
      <c r="B63" s="859" t="s">
        <v>325</v>
      </c>
      <c r="C63" s="845">
        <v>0</v>
      </c>
      <c r="D63" s="864">
        <f>D62*(1+$C63)</f>
        <v>0</v>
      </c>
      <c r="E63" s="864">
        <f t="shared" ref="E63:AE63" si="272">E62*(1+$C63)</f>
        <v>0</v>
      </c>
      <c r="F63" s="864">
        <f t="shared" si="272"/>
        <v>0</v>
      </c>
      <c r="G63" s="864">
        <f t="shared" si="272"/>
        <v>0</v>
      </c>
      <c r="H63" s="864">
        <f t="shared" si="272"/>
        <v>0</v>
      </c>
      <c r="I63" s="864">
        <f t="shared" si="272"/>
        <v>0</v>
      </c>
      <c r="J63" s="864">
        <f t="shared" si="272"/>
        <v>0</v>
      </c>
      <c r="K63" s="864">
        <f t="shared" si="272"/>
        <v>0</v>
      </c>
      <c r="L63" s="864">
        <f t="shared" si="272"/>
        <v>0</v>
      </c>
      <c r="M63" s="864">
        <f t="shared" si="272"/>
        <v>0</v>
      </c>
      <c r="N63" s="864">
        <f t="shared" si="272"/>
        <v>0</v>
      </c>
      <c r="O63" s="864">
        <f t="shared" si="272"/>
        <v>0</v>
      </c>
      <c r="P63" s="864">
        <f t="shared" si="272"/>
        <v>0</v>
      </c>
      <c r="Q63" s="864">
        <f t="shared" si="272"/>
        <v>0</v>
      </c>
      <c r="R63" s="864">
        <f t="shared" si="272"/>
        <v>0</v>
      </c>
      <c r="S63" s="864">
        <f t="shared" si="272"/>
        <v>0</v>
      </c>
      <c r="T63" s="864">
        <f t="shared" si="272"/>
        <v>0</v>
      </c>
      <c r="U63" s="864">
        <f t="shared" si="272"/>
        <v>0</v>
      </c>
      <c r="V63" s="864">
        <f t="shared" si="272"/>
        <v>0</v>
      </c>
      <c r="W63" s="864">
        <f t="shared" si="272"/>
        <v>0</v>
      </c>
      <c r="X63" s="864">
        <f t="shared" si="272"/>
        <v>0</v>
      </c>
      <c r="Y63" s="864">
        <f t="shared" si="272"/>
        <v>0</v>
      </c>
      <c r="Z63" s="864">
        <f t="shared" si="272"/>
        <v>0</v>
      </c>
      <c r="AA63" s="864">
        <f t="shared" si="272"/>
        <v>0</v>
      </c>
      <c r="AB63" s="864">
        <f t="shared" si="272"/>
        <v>0</v>
      </c>
      <c r="AC63" s="864">
        <f t="shared" si="272"/>
        <v>0</v>
      </c>
      <c r="AD63" s="864">
        <f t="shared" si="272"/>
        <v>0</v>
      </c>
      <c r="AE63" s="864">
        <f t="shared" si="272"/>
        <v>0</v>
      </c>
      <c r="AF63" s="864">
        <f t="shared" ref="AF63:AO63" si="273">AF62*(1+$C63)</f>
        <v>0</v>
      </c>
      <c r="AG63" s="864">
        <f t="shared" si="273"/>
        <v>0</v>
      </c>
      <c r="AH63" s="864">
        <f t="shared" si="273"/>
        <v>0</v>
      </c>
      <c r="AI63" s="864">
        <f t="shared" si="273"/>
        <v>0</v>
      </c>
      <c r="AJ63" s="864">
        <f t="shared" si="273"/>
        <v>0</v>
      </c>
      <c r="AK63" s="864">
        <f t="shared" si="273"/>
        <v>0</v>
      </c>
      <c r="AL63" s="864">
        <f t="shared" si="273"/>
        <v>0</v>
      </c>
      <c r="AM63" s="864">
        <f t="shared" si="273"/>
        <v>0</v>
      </c>
      <c r="AN63" s="864">
        <f t="shared" si="273"/>
        <v>0</v>
      </c>
      <c r="AO63" s="864">
        <f t="shared" si="273"/>
        <v>0</v>
      </c>
    </row>
    <row r="64" spans="2:41" hidden="1">
      <c r="B64" s="859" t="s">
        <v>326</v>
      </c>
      <c r="D64" s="866">
        <f>SUM(D62:D63)</f>
        <v>0</v>
      </c>
      <c r="E64" s="866">
        <f t="shared" ref="E64:AE64" si="274">SUM(E62:E63)</f>
        <v>0</v>
      </c>
      <c r="F64" s="866">
        <f t="shared" si="274"/>
        <v>0</v>
      </c>
      <c r="G64" s="866">
        <f t="shared" si="274"/>
        <v>0</v>
      </c>
      <c r="H64" s="866">
        <f t="shared" si="274"/>
        <v>0</v>
      </c>
      <c r="I64" s="866">
        <f t="shared" si="274"/>
        <v>0</v>
      </c>
      <c r="J64" s="866">
        <f t="shared" si="274"/>
        <v>0</v>
      </c>
      <c r="K64" s="866">
        <f t="shared" si="274"/>
        <v>0</v>
      </c>
      <c r="L64" s="866">
        <f t="shared" si="274"/>
        <v>0</v>
      </c>
      <c r="M64" s="866">
        <f t="shared" si="274"/>
        <v>0</v>
      </c>
      <c r="N64" s="866">
        <f t="shared" si="274"/>
        <v>0</v>
      </c>
      <c r="O64" s="866">
        <f t="shared" si="274"/>
        <v>0</v>
      </c>
      <c r="P64" s="866">
        <f t="shared" si="274"/>
        <v>0</v>
      </c>
      <c r="Q64" s="866">
        <f t="shared" si="274"/>
        <v>0</v>
      </c>
      <c r="R64" s="866">
        <f t="shared" si="274"/>
        <v>0</v>
      </c>
      <c r="S64" s="866">
        <f t="shared" si="274"/>
        <v>0</v>
      </c>
      <c r="T64" s="866">
        <f t="shared" si="274"/>
        <v>0</v>
      </c>
      <c r="U64" s="866">
        <f t="shared" si="274"/>
        <v>0</v>
      </c>
      <c r="V64" s="866">
        <f t="shared" si="274"/>
        <v>0</v>
      </c>
      <c r="W64" s="866">
        <f t="shared" si="274"/>
        <v>0</v>
      </c>
      <c r="X64" s="866">
        <f t="shared" si="274"/>
        <v>0</v>
      </c>
      <c r="Y64" s="866">
        <f t="shared" si="274"/>
        <v>0</v>
      </c>
      <c r="Z64" s="866">
        <f t="shared" si="274"/>
        <v>0</v>
      </c>
      <c r="AA64" s="866">
        <f t="shared" si="274"/>
        <v>0</v>
      </c>
      <c r="AB64" s="866">
        <f t="shared" si="274"/>
        <v>0</v>
      </c>
      <c r="AC64" s="866">
        <f t="shared" si="274"/>
        <v>0</v>
      </c>
      <c r="AD64" s="866">
        <f t="shared" si="274"/>
        <v>0</v>
      </c>
      <c r="AE64" s="866">
        <f t="shared" si="274"/>
        <v>0</v>
      </c>
      <c r="AF64" s="866">
        <f t="shared" ref="AF64:AO64" si="275">SUM(AF62:AF63)</f>
        <v>0</v>
      </c>
      <c r="AG64" s="866">
        <f t="shared" si="275"/>
        <v>0</v>
      </c>
      <c r="AH64" s="866">
        <f t="shared" si="275"/>
        <v>0</v>
      </c>
      <c r="AI64" s="866">
        <f t="shared" si="275"/>
        <v>0</v>
      </c>
      <c r="AJ64" s="866">
        <f t="shared" si="275"/>
        <v>0</v>
      </c>
      <c r="AK64" s="866">
        <f t="shared" si="275"/>
        <v>0</v>
      </c>
      <c r="AL64" s="866">
        <f t="shared" si="275"/>
        <v>0</v>
      </c>
      <c r="AM64" s="866">
        <f t="shared" si="275"/>
        <v>0</v>
      </c>
      <c r="AN64" s="866">
        <f t="shared" si="275"/>
        <v>0</v>
      </c>
      <c r="AO64" s="866">
        <f t="shared" si="275"/>
        <v>0</v>
      </c>
    </row>
    <row r="65" spans="2:41" hidden="1">
      <c r="AF65" s="864"/>
      <c r="AG65" s="864"/>
      <c r="AH65" s="864"/>
      <c r="AI65" s="864"/>
      <c r="AJ65" s="864"/>
      <c r="AK65" s="864"/>
      <c r="AL65" s="864"/>
      <c r="AM65" s="864"/>
      <c r="AN65" s="864"/>
      <c r="AO65" s="864"/>
    </row>
    <row r="66" spans="2:41" hidden="1">
      <c r="B66" s="859" t="s">
        <v>327</v>
      </c>
      <c r="C66" s="879">
        <v>0</v>
      </c>
      <c r="D66" s="864">
        <f>IFERROR(D59/$C66,0)</f>
        <v>0</v>
      </c>
      <c r="E66" s="864">
        <f t="shared" ref="E66:AE66" si="276">IFERROR(E59/$C66,0)</f>
        <v>0</v>
      </c>
      <c r="F66" s="864">
        <f t="shared" si="276"/>
        <v>0</v>
      </c>
      <c r="G66" s="864">
        <f t="shared" si="276"/>
        <v>0</v>
      </c>
      <c r="H66" s="864">
        <f t="shared" si="276"/>
        <v>0</v>
      </c>
      <c r="I66" s="864">
        <f t="shared" si="276"/>
        <v>0</v>
      </c>
      <c r="J66" s="864">
        <f t="shared" si="276"/>
        <v>0</v>
      </c>
      <c r="K66" s="864">
        <f t="shared" si="276"/>
        <v>0</v>
      </c>
      <c r="L66" s="864">
        <f t="shared" si="276"/>
        <v>0</v>
      </c>
      <c r="M66" s="864">
        <f t="shared" si="276"/>
        <v>0</v>
      </c>
      <c r="N66" s="864">
        <f t="shared" si="276"/>
        <v>0</v>
      </c>
      <c r="O66" s="864">
        <f t="shared" si="276"/>
        <v>0</v>
      </c>
      <c r="P66" s="864">
        <f t="shared" si="276"/>
        <v>0</v>
      </c>
      <c r="Q66" s="864">
        <f t="shared" si="276"/>
        <v>0</v>
      </c>
      <c r="R66" s="864">
        <f t="shared" si="276"/>
        <v>0</v>
      </c>
      <c r="S66" s="864">
        <f t="shared" si="276"/>
        <v>0</v>
      </c>
      <c r="T66" s="864">
        <f t="shared" si="276"/>
        <v>0</v>
      </c>
      <c r="U66" s="864">
        <f t="shared" si="276"/>
        <v>0</v>
      </c>
      <c r="V66" s="864">
        <f t="shared" si="276"/>
        <v>0</v>
      </c>
      <c r="W66" s="864">
        <f t="shared" si="276"/>
        <v>0</v>
      </c>
      <c r="X66" s="864">
        <f t="shared" si="276"/>
        <v>0</v>
      </c>
      <c r="Y66" s="864">
        <f t="shared" si="276"/>
        <v>0</v>
      </c>
      <c r="Z66" s="864">
        <f t="shared" si="276"/>
        <v>0</v>
      </c>
      <c r="AA66" s="864">
        <f t="shared" si="276"/>
        <v>0</v>
      </c>
      <c r="AB66" s="864">
        <f t="shared" si="276"/>
        <v>0</v>
      </c>
      <c r="AC66" s="864">
        <f t="shared" si="276"/>
        <v>0</v>
      </c>
      <c r="AD66" s="864">
        <f t="shared" si="276"/>
        <v>0</v>
      </c>
      <c r="AE66" s="864">
        <f t="shared" si="276"/>
        <v>0</v>
      </c>
      <c r="AF66" s="864">
        <f t="shared" ref="AF66:AO66" si="277">IFERROR(AF59/$C66,0)</f>
        <v>0</v>
      </c>
      <c r="AG66" s="864">
        <f t="shared" si="277"/>
        <v>0</v>
      </c>
      <c r="AH66" s="864">
        <f t="shared" si="277"/>
        <v>0</v>
      </c>
      <c r="AI66" s="864">
        <f t="shared" si="277"/>
        <v>0</v>
      </c>
      <c r="AJ66" s="864">
        <f t="shared" si="277"/>
        <v>0</v>
      </c>
      <c r="AK66" s="864">
        <f t="shared" si="277"/>
        <v>0</v>
      </c>
      <c r="AL66" s="864">
        <f t="shared" si="277"/>
        <v>0</v>
      </c>
      <c r="AM66" s="864">
        <f t="shared" si="277"/>
        <v>0</v>
      </c>
      <c r="AN66" s="864">
        <f t="shared" si="277"/>
        <v>0</v>
      </c>
      <c r="AO66" s="864">
        <f t="shared" si="277"/>
        <v>0</v>
      </c>
    </row>
    <row r="67" spans="2:41" hidden="1">
      <c r="B67" s="859" t="s">
        <v>328</v>
      </c>
      <c r="C67" s="1020">
        <v>0</v>
      </c>
      <c r="D67" s="864">
        <f>IFERROR(D64/$C67,0)</f>
        <v>0</v>
      </c>
      <c r="E67" s="864">
        <f t="shared" ref="E67:AE67" si="278">IFERROR(E64/$C67,0)</f>
        <v>0</v>
      </c>
      <c r="F67" s="864">
        <f t="shared" si="278"/>
        <v>0</v>
      </c>
      <c r="G67" s="864">
        <f t="shared" si="278"/>
        <v>0</v>
      </c>
      <c r="H67" s="864">
        <f t="shared" si="278"/>
        <v>0</v>
      </c>
      <c r="I67" s="864">
        <f t="shared" si="278"/>
        <v>0</v>
      </c>
      <c r="J67" s="864">
        <f t="shared" si="278"/>
        <v>0</v>
      </c>
      <c r="K67" s="864">
        <f t="shared" si="278"/>
        <v>0</v>
      </c>
      <c r="L67" s="864">
        <f t="shared" si="278"/>
        <v>0</v>
      </c>
      <c r="M67" s="864">
        <f t="shared" si="278"/>
        <v>0</v>
      </c>
      <c r="N67" s="864">
        <f t="shared" si="278"/>
        <v>0</v>
      </c>
      <c r="O67" s="864">
        <f t="shared" si="278"/>
        <v>0</v>
      </c>
      <c r="P67" s="864">
        <f t="shared" si="278"/>
        <v>0</v>
      </c>
      <c r="Q67" s="864">
        <f t="shared" si="278"/>
        <v>0</v>
      </c>
      <c r="R67" s="864">
        <f t="shared" si="278"/>
        <v>0</v>
      </c>
      <c r="S67" s="864">
        <f t="shared" si="278"/>
        <v>0</v>
      </c>
      <c r="T67" s="864">
        <f t="shared" si="278"/>
        <v>0</v>
      </c>
      <c r="U67" s="864">
        <f t="shared" si="278"/>
        <v>0</v>
      </c>
      <c r="V67" s="864">
        <f t="shared" si="278"/>
        <v>0</v>
      </c>
      <c r="W67" s="864">
        <f t="shared" si="278"/>
        <v>0</v>
      </c>
      <c r="X67" s="864">
        <f t="shared" si="278"/>
        <v>0</v>
      </c>
      <c r="Y67" s="864">
        <f t="shared" si="278"/>
        <v>0</v>
      </c>
      <c r="Z67" s="864">
        <f t="shared" si="278"/>
        <v>0</v>
      </c>
      <c r="AA67" s="864">
        <f t="shared" si="278"/>
        <v>0</v>
      </c>
      <c r="AB67" s="864">
        <f t="shared" si="278"/>
        <v>0</v>
      </c>
      <c r="AC67" s="864">
        <f t="shared" si="278"/>
        <v>0</v>
      </c>
      <c r="AD67" s="864">
        <f t="shared" si="278"/>
        <v>0</v>
      </c>
      <c r="AE67" s="864">
        <f t="shared" si="278"/>
        <v>0</v>
      </c>
      <c r="AF67" s="864">
        <f t="shared" ref="AF67:AO67" si="279">IFERROR(AF64/$C67,0)</f>
        <v>0</v>
      </c>
      <c r="AG67" s="864">
        <f t="shared" si="279"/>
        <v>0</v>
      </c>
      <c r="AH67" s="864">
        <f t="shared" si="279"/>
        <v>0</v>
      </c>
      <c r="AI67" s="864">
        <f t="shared" si="279"/>
        <v>0</v>
      </c>
      <c r="AJ67" s="864">
        <f t="shared" si="279"/>
        <v>0</v>
      </c>
      <c r="AK67" s="864">
        <f t="shared" si="279"/>
        <v>0</v>
      </c>
      <c r="AL67" s="864">
        <f t="shared" si="279"/>
        <v>0</v>
      </c>
      <c r="AM67" s="864">
        <f t="shared" si="279"/>
        <v>0</v>
      </c>
      <c r="AN67" s="864">
        <f t="shared" si="279"/>
        <v>0</v>
      </c>
      <c r="AO67" s="864">
        <f t="shared" si="279"/>
        <v>0</v>
      </c>
    </row>
    <row r="68" spans="2:41" hidden="1">
      <c r="AF68" s="864"/>
      <c r="AG68" s="864"/>
      <c r="AH68" s="864"/>
      <c r="AI68" s="864"/>
      <c r="AJ68" s="864"/>
      <c r="AK68" s="864"/>
      <c r="AL68" s="864"/>
      <c r="AM68" s="864"/>
      <c r="AN68" s="864"/>
      <c r="AO68" s="864"/>
    </row>
    <row r="69" spans="2:41" hidden="1">
      <c r="AF69" s="864"/>
      <c r="AG69" s="864"/>
      <c r="AH69" s="864"/>
      <c r="AI69" s="864"/>
      <c r="AJ69" s="864"/>
      <c r="AK69" s="864"/>
      <c r="AL69" s="864"/>
      <c r="AM69" s="864"/>
      <c r="AN69" s="864"/>
      <c r="AO69" s="864"/>
    </row>
    <row r="70" spans="2:41" ht="15" hidden="1">
      <c r="B70" s="844" t="s">
        <v>329</v>
      </c>
      <c r="C70" s="857"/>
      <c r="D70" s="876"/>
      <c r="E70" s="877"/>
      <c r="I70" s="878"/>
      <c r="J70" s="868"/>
      <c r="K70" s="868"/>
      <c r="L70" s="868"/>
      <c r="AF70" s="864"/>
      <c r="AG70" s="864"/>
      <c r="AH70" s="864"/>
      <c r="AI70" s="864"/>
      <c r="AJ70" s="864"/>
      <c r="AK70" s="864"/>
      <c r="AL70" s="864"/>
      <c r="AM70" s="864"/>
      <c r="AN70" s="864"/>
      <c r="AO70" s="864"/>
    </row>
    <row r="71" spans="2:41" hidden="1">
      <c r="B71" s="858" t="s">
        <v>123</v>
      </c>
      <c r="C71" s="845">
        <v>0</v>
      </c>
      <c r="D71" s="865">
        <f>ShipperData!E64</f>
        <v>0</v>
      </c>
      <c r="E71" s="866">
        <f>D71*(1+$C71)</f>
        <v>0</v>
      </c>
      <c r="F71" s="866">
        <f>E71*(1+$C71)</f>
        <v>0</v>
      </c>
      <c r="G71" s="866">
        <f t="shared" ref="G71" si="280">F71*(1+$C71)</f>
        <v>0</v>
      </c>
      <c r="H71" s="866">
        <f t="shared" ref="H71" si="281">G71*(1+$C71)</f>
        <v>0</v>
      </c>
      <c r="I71" s="866">
        <f t="shared" ref="I71" si="282">H71*(1+$C71)</f>
        <v>0</v>
      </c>
      <c r="J71" s="866">
        <f t="shared" ref="J71" si="283">I71*(1+$C71)</f>
        <v>0</v>
      </c>
      <c r="K71" s="866">
        <f t="shared" ref="K71" si="284">J71*(1+$C71)</f>
        <v>0</v>
      </c>
      <c r="L71" s="866">
        <f t="shared" ref="L71" si="285">K71*(1+$C71)</f>
        <v>0</v>
      </c>
      <c r="M71" s="866">
        <f t="shared" ref="M71" si="286">L71*(1+$C71)</f>
        <v>0</v>
      </c>
      <c r="N71" s="866">
        <f t="shared" ref="N71" si="287">M71*(1+$C71)</f>
        <v>0</v>
      </c>
      <c r="O71" s="866">
        <f t="shared" ref="O71" si="288">N71*(1+$C71)</f>
        <v>0</v>
      </c>
      <c r="P71" s="866">
        <f t="shared" ref="P71" si="289">O71*(1+$C71)</f>
        <v>0</v>
      </c>
      <c r="Q71" s="866">
        <f t="shared" ref="Q71" si="290">P71*(1+$C71)</f>
        <v>0</v>
      </c>
      <c r="R71" s="866">
        <f t="shared" ref="R71" si="291">Q71*(1+$C71)</f>
        <v>0</v>
      </c>
      <c r="S71" s="866">
        <f t="shared" ref="S71" si="292">R71*(1+$C71)</f>
        <v>0</v>
      </c>
      <c r="T71" s="866">
        <f t="shared" ref="T71" si="293">S71*(1+$C71)</f>
        <v>0</v>
      </c>
      <c r="U71" s="866">
        <f t="shared" ref="U71" si="294">T71*(1+$C71)</f>
        <v>0</v>
      </c>
      <c r="V71" s="866">
        <f t="shared" ref="V71" si="295">U71*(1+$C71)</f>
        <v>0</v>
      </c>
      <c r="W71" s="866">
        <f t="shared" ref="W71" si="296">V71*(1+$C71)</f>
        <v>0</v>
      </c>
      <c r="X71" s="866">
        <f t="shared" ref="X71" si="297">W71*(1+$C71)</f>
        <v>0</v>
      </c>
      <c r="Y71" s="866">
        <f t="shared" ref="Y71" si="298">X71*(1+$C71)</f>
        <v>0</v>
      </c>
      <c r="Z71" s="866">
        <f t="shared" ref="Z71" si="299">Y71*(1+$C71)</f>
        <v>0</v>
      </c>
      <c r="AA71" s="866">
        <f t="shared" ref="AA71" si="300">Z71*(1+$C71)</f>
        <v>0</v>
      </c>
      <c r="AB71" s="866">
        <f t="shared" ref="AB71" si="301">AA71*(1+$C71)</f>
        <v>0</v>
      </c>
      <c r="AC71" s="866">
        <f t="shared" ref="AC71" si="302">AB71*(1+$C71)</f>
        <v>0</v>
      </c>
      <c r="AD71" s="866">
        <f t="shared" ref="AD71" si="303">AC71*(1+$C71)</f>
        <v>0</v>
      </c>
      <c r="AE71" s="866">
        <f t="shared" ref="AE71" si="304">AD71*(1+$C71)</f>
        <v>0</v>
      </c>
      <c r="AF71" s="866">
        <f t="shared" ref="AF71" si="305">AE71*(1+$C71)</f>
        <v>0</v>
      </c>
      <c r="AG71" s="866">
        <f t="shared" ref="AG71" si="306">AF71*(1+$C71)</f>
        <v>0</v>
      </c>
      <c r="AH71" s="866">
        <f t="shared" ref="AH71" si="307">AG71*(1+$C71)</f>
        <v>0</v>
      </c>
      <c r="AI71" s="866">
        <f t="shared" ref="AI71" si="308">AH71*(1+$C71)</f>
        <v>0</v>
      </c>
      <c r="AJ71" s="866">
        <f t="shared" ref="AJ71" si="309">AI71*(1+$C71)</f>
        <v>0</v>
      </c>
      <c r="AK71" s="866">
        <f t="shared" ref="AK71" si="310">AJ71*(1+$C71)</f>
        <v>0</v>
      </c>
      <c r="AL71" s="866">
        <f t="shared" ref="AL71" si="311">AK71*(1+$C71)</f>
        <v>0</v>
      </c>
      <c r="AM71" s="866">
        <f t="shared" ref="AM71" si="312">AL71*(1+$C71)</f>
        <v>0</v>
      </c>
      <c r="AN71" s="866">
        <f t="shared" ref="AN71" si="313">AM71*(1+$C71)</f>
        <v>0</v>
      </c>
      <c r="AO71" s="866">
        <f t="shared" ref="AO71" si="314">AN71*(1+$C71)</f>
        <v>0</v>
      </c>
    </row>
    <row r="72" spans="2:41" hidden="1">
      <c r="B72" s="858" t="s">
        <v>319</v>
      </c>
      <c r="D72" s="867"/>
      <c r="E72" s="867"/>
      <c r="F72" s="867"/>
      <c r="G72" s="867"/>
      <c r="H72" s="867"/>
      <c r="I72" s="867"/>
      <c r="J72" s="867"/>
      <c r="K72" s="867"/>
      <c r="L72" s="867"/>
      <c r="M72" s="867"/>
      <c r="N72" s="867"/>
      <c r="O72" s="867"/>
      <c r="P72" s="867"/>
      <c r="Q72" s="867"/>
      <c r="R72" s="867"/>
      <c r="S72" s="867"/>
      <c r="T72" s="867"/>
      <c r="U72" s="867"/>
      <c r="V72" s="867"/>
      <c r="W72" s="867"/>
      <c r="X72" s="867"/>
      <c r="Y72" s="867"/>
      <c r="Z72" s="867"/>
      <c r="AA72" s="867"/>
      <c r="AB72" s="867"/>
      <c r="AC72" s="867"/>
      <c r="AD72" s="867"/>
      <c r="AE72" s="867"/>
      <c r="AF72" s="867"/>
      <c r="AG72" s="867"/>
      <c r="AH72" s="867"/>
      <c r="AI72" s="867"/>
      <c r="AJ72" s="867"/>
      <c r="AK72" s="867"/>
      <c r="AL72" s="867"/>
      <c r="AM72" s="867"/>
      <c r="AN72" s="867"/>
      <c r="AO72" s="867"/>
    </row>
    <row r="73" spans="2:41" hidden="1">
      <c r="B73" s="859" t="s">
        <v>320</v>
      </c>
      <c r="D73" s="867"/>
      <c r="E73" s="867"/>
      <c r="F73" s="867"/>
      <c r="G73" s="867"/>
      <c r="H73" s="867"/>
      <c r="I73" s="867"/>
      <c r="J73" s="867"/>
      <c r="K73" s="867"/>
      <c r="L73" s="867"/>
      <c r="M73" s="867"/>
      <c r="N73" s="867"/>
      <c r="O73" s="867"/>
      <c r="P73" s="867"/>
      <c r="Q73" s="867"/>
      <c r="R73" s="867"/>
      <c r="S73" s="867"/>
      <c r="T73" s="867"/>
      <c r="U73" s="867"/>
      <c r="V73" s="867"/>
      <c r="W73" s="867"/>
      <c r="X73" s="867"/>
      <c r="Y73" s="867"/>
      <c r="Z73" s="867"/>
      <c r="AA73" s="867"/>
      <c r="AB73" s="867"/>
      <c r="AC73" s="867"/>
      <c r="AD73" s="867"/>
      <c r="AE73" s="867"/>
      <c r="AF73" s="867"/>
      <c r="AG73" s="867"/>
      <c r="AH73" s="867"/>
      <c r="AI73" s="867"/>
      <c r="AJ73" s="867"/>
      <c r="AK73" s="867"/>
      <c r="AL73" s="867"/>
      <c r="AM73" s="867"/>
      <c r="AN73" s="867"/>
      <c r="AO73" s="867"/>
    </row>
    <row r="74" spans="2:41" hidden="1">
      <c r="B74" s="858" t="s">
        <v>321</v>
      </c>
      <c r="D74" s="868">
        <f>IF(D$1&gt;=First.Year,0,D57)</f>
        <v>25718</v>
      </c>
      <c r="E74" s="868">
        <f t="shared" ref="E74:AE74" si="315">IF(E$2&gt;=First.Year,0,E57)</f>
        <v>25799.441191679904</v>
      </c>
      <c r="F74" s="868">
        <f t="shared" si="315"/>
        <v>25881.140283184919</v>
      </c>
      <c r="G74" s="868">
        <f t="shared" si="315"/>
        <v>25963.098091206437</v>
      </c>
      <c r="H74" s="868">
        <f t="shared" si="315"/>
        <v>26045.315435022054</v>
      </c>
      <c r="I74" s="868">
        <f t="shared" si="315"/>
        <v>26127.793136503784</v>
      </c>
      <c r="J74" s="868">
        <f t="shared" si="315"/>
        <v>26210.532020126262</v>
      </c>
      <c r="K74" s="868">
        <f t="shared" si="315"/>
        <v>26293.532912974984</v>
      </c>
      <c r="L74" s="868">
        <f t="shared" si="315"/>
        <v>26376.79664475457</v>
      </c>
      <c r="M74" s="868">
        <f t="shared" si="315"/>
        <v>26460.324047797079</v>
      </c>
      <c r="N74" s="868">
        <f t="shared" si="315"/>
        <v>26544.115957070313</v>
      </c>
      <c r="O74" s="868">
        <f t="shared" si="315"/>
        <v>26628.173210186156</v>
      </c>
      <c r="P74" s="868">
        <f t="shared" si="315"/>
        <v>26712.496647408978</v>
      </c>
      <c r="Q74" s="868">
        <f t="shared" si="315"/>
        <v>26797.087111663986</v>
      </c>
      <c r="R74" s="868">
        <f t="shared" si="315"/>
        <v>26881.945448545706</v>
      </c>
      <c r="S74" s="868">
        <f t="shared" si="315"/>
        <v>26967.072506326393</v>
      </c>
      <c r="T74" s="868">
        <f t="shared" si="315"/>
        <v>27052.469135964529</v>
      </c>
      <c r="U74" s="868">
        <f t="shared" si="315"/>
        <v>27138.136191113328</v>
      </c>
      <c r="V74" s="868">
        <f t="shared" si="315"/>
        <v>27224.074528129262</v>
      </c>
      <c r="W74" s="868">
        <f t="shared" si="315"/>
        <v>27310.28500608063</v>
      </c>
      <c r="X74" s="868">
        <f t="shared" si="315"/>
        <v>27396.768486756151</v>
      </c>
      <c r="Y74" s="868">
        <f t="shared" si="315"/>
        <v>27483.525834673554</v>
      </c>
      <c r="Z74" s="868">
        <f t="shared" si="315"/>
        <v>27570.557917088252</v>
      </c>
      <c r="AA74" s="868">
        <f t="shared" si="315"/>
        <v>27657.865604001985</v>
      </c>
      <c r="AB74" s="868">
        <f t="shared" si="315"/>
        <v>27745.449768171537</v>
      </c>
      <c r="AC74" s="868">
        <f t="shared" si="315"/>
        <v>27833.311285117445</v>
      </c>
      <c r="AD74" s="868">
        <f t="shared" si="315"/>
        <v>27921.451033132751</v>
      </c>
      <c r="AE74" s="868">
        <f t="shared" si="315"/>
        <v>28009.869893291801</v>
      </c>
      <c r="AF74" s="868">
        <f t="shared" ref="AF74:AO74" si="316">IF(AF$2&gt;=First.Year,0,AF57)</f>
        <v>28098.568749459027</v>
      </c>
      <c r="AG74" s="868">
        <f t="shared" si="316"/>
        <v>28187.548488297802</v>
      </c>
      <c r="AH74" s="868">
        <f t="shared" si="316"/>
        <v>28276.809999279296</v>
      </c>
      <c r="AI74" s="868">
        <f t="shared" si="316"/>
        <v>28366.354174691362</v>
      </c>
      <c r="AJ74" s="868">
        <f t="shared" si="316"/>
        <v>28456.181909647461</v>
      </c>
      <c r="AK74" s="868">
        <f t="shared" si="316"/>
        <v>28546.29410209562</v>
      </c>
      <c r="AL74" s="868">
        <f t="shared" si="316"/>
        <v>28636.69165282739</v>
      </c>
      <c r="AM74" s="868">
        <f t="shared" si="316"/>
        <v>28727.375465486861</v>
      </c>
      <c r="AN74" s="868">
        <f t="shared" si="316"/>
        <v>28818.346446579686</v>
      </c>
      <c r="AO74" s="868">
        <f t="shared" si="316"/>
        <v>28909.605505482155</v>
      </c>
    </row>
    <row r="75" spans="2:41" hidden="1">
      <c r="B75" s="858"/>
      <c r="D75" s="865"/>
      <c r="E75" s="868"/>
      <c r="F75" s="868"/>
      <c r="G75" s="868"/>
      <c r="H75" s="868"/>
      <c r="I75" s="868"/>
      <c r="J75" s="868"/>
      <c r="K75" s="868"/>
      <c r="L75" s="868"/>
      <c r="M75" s="868"/>
      <c r="N75" s="868"/>
      <c r="O75" s="868"/>
      <c r="P75" s="868"/>
      <c r="Q75" s="868"/>
      <c r="R75" s="868"/>
      <c r="S75" s="868"/>
      <c r="T75" s="868"/>
      <c r="U75" s="868"/>
      <c r="V75" s="868"/>
      <c r="W75" s="868"/>
      <c r="X75" s="868"/>
      <c r="Y75" s="868"/>
      <c r="Z75" s="868"/>
      <c r="AA75" s="868"/>
      <c r="AB75" s="868"/>
      <c r="AC75" s="868"/>
      <c r="AD75" s="868"/>
      <c r="AE75" s="868"/>
      <c r="AF75" s="868"/>
      <c r="AG75" s="868"/>
      <c r="AH75" s="868"/>
      <c r="AI75" s="868"/>
      <c r="AJ75" s="868"/>
      <c r="AK75" s="868"/>
      <c r="AL75" s="868"/>
      <c r="AM75" s="868"/>
      <c r="AN75" s="868"/>
      <c r="AO75" s="868"/>
    </row>
    <row r="76" spans="2:41" hidden="1">
      <c r="B76" s="859" t="s">
        <v>322</v>
      </c>
      <c r="C76" s="849">
        <v>0</v>
      </c>
      <c r="D76" s="869">
        <f t="shared" ref="D76:AE76" si="317">IF(D$1&gt;=First.Year,D71*$C76,D59)</f>
        <v>0</v>
      </c>
      <c r="E76" s="869">
        <f t="shared" si="317"/>
        <v>0</v>
      </c>
      <c r="F76" s="869">
        <f t="shared" si="317"/>
        <v>0</v>
      </c>
      <c r="G76" s="869">
        <f t="shared" si="317"/>
        <v>0</v>
      </c>
      <c r="H76" s="869">
        <f t="shared" si="317"/>
        <v>0</v>
      </c>
      <c r="I76" s="869">
        <f t="shared" si="317"/>
        <v>0</v>
      </c>
      <c r="J76" s="869">
        <f t="shared" si="317"/>
        <v>0</v>
      </c>
      <c r="K76" s="869">
        <f t="shared" si="317"/>
        <v>0</v>
      </c>
      <c r="L76" s="869">
        <f t="shared" si="317"/>
        <v>0</v>
      </c>
      <c r="M76" s="869">
        <f t="shared" si="317"/>
        <v>0</v>
      </c>
      <c r="N76" s="869">
        <f t="shared" si="317"/>
        <v>0</v>
      </c>
      <c r="O76" s="869">
        <f t="shared" si="317"/>
        <v>0</v>
      </c>
      <c r="P76" s="869">
        <f t="shared" si="317"/>
        <v>0</v>
      </c>
      <c r="Q76" s="869">
        <f t="shared" si="317"/>
        <v>0</v>
      </c>
      <c r="R76" s="869">
        <f t="shared" si="317"/>
        <v>0</v>
      </c>
      <c r="S76" s="869">
        <f t="shared" si="317"/>
        <v>0</v>
      </c>
      <c r="T76" s="869">
        <f t="shared" si="317"/>
        <v>0</v>
      </c>
      <c r="U76" s="869">
        <f t="shared" si="317"/>
        <v>0</v>
      </c>
      <c r="V76" s="869">
        <f t="shared" si="317"/>
        <v>0</v>
      </c>
      <c r="W76" s="869">
        <f t="shared" si="317"/>
        <v>0</v>
      </c>
      <c r="X76" s="869">
        <f t="shared" si="317"/>
        <v>0</v>
      </c>
      <c r="Y76" s="869">
        <f t="shared" si="317"/>
        <v>0</v>
      </c>
      <c r="Z76" s="869">
        <f t="shared" si="317"/>
        <v>0</v>
      </c>
      <c r="AA76" s="869">
        <f t="shared" si="317"/>
        <v>0</v>
      </c>
      <c r="AB76" s="869">
        <f t="shared" si="317"/>
        <v>0</v>
      </c>
      <c r="AC76" s="869">
        <f t="shared" si="317"/>
        <v>0</v>
      </c>
      <c r="AD76" s="869">
        <f t="shared" si="317"/>
        <v>0</v>
      </c>
      <c r="AE76" s="869">
        <f t="shared" si="317"/>
        <v>0</v>
      </c>
      <c r="AF76" s="869">
        <f t="shared" ref="AF76:AO76" si="318">IF(AF$1&gt;=First.Year,AF71*$C76,AF59)</f>
        <v>0</v>
      </c>
      <c r="AG76" s="869">
        <f t="shared" si="318"/>
        <v>0</v>
      </c>
      <c r="AH76" s="869">
        <f t="shared" si="318"/>
        <v>0</v>
      </c>
      <c r="AI76" s="869">
        <f t="shared" si="318"/>
        <v>0</v>
      </c>
      <c r="AJ76" s="869">
        <f t="shared" si="318"/>
        <v>0</v>
      </c>
      <c r="AK76" s="869">
        <f t="shared" si="318"/>
        <v>0</v>
      </c>
      <c r="AL76" s="869">
        <f t="shared" si="318"/>
        <v>0</v>
      </c>
      <c r="AM76" s="869">
        <f t="shared" si="318"/>
        <v>0</v>
      </c>
      <c r="AN76" s="869">
        <f t="shared" si="318"/>
        <v>0</v>
      </c>
      <c r="AO76" s="869">
        <f t="shared" si="318"/>
        <v>0</v>
      </c>
    </row>
    <row r="77" spans="2:41" hidden="1">
      <c r="B77" s="859" t="s">
        <v>323</v>
      </c>
      <c r="C77" s="849">
        <v>0</v>
      </c>
      <c r="D77" s="869">
        <f t="shared" ref="D77:AE77" si="319">IF(D$1&gt;=First.Year,D71*$C77,D60)</f>
        <v>0</v>
      </c>
      <c r="E77" s="869">
        <f t="shared" si="319"/>
        <v>0</v>
      </c>
      <c r="F77" s="869">
        <f t="shared" si="319"/>
        <v>0</v>
      </c>
      <c r="G77" s="869">
        <f t="shared" si="319"/>
        <v>0</v>
      </c>
      <c r="H77" s="869">
        <f t="shared" si="319"/>
        <v>0</v>
      </c>
      <c r="I77" s="869">
        <f t="shared" si="319"/>
        <v>0</v>
      </c>
      <c r="J77" s="869">
        <f t="shared" si="319"/>
        <v>0</v>
      </c>
      <c r="K77" s="869">
        <f t="shared" si="319"/>
        <v>0</v>
      </c>
      <c r="L77" s="869">
        <f t="shared" si="319"/>
        <v>0</v>
      </c>
      <c r="M77" s="869">
        <f t="shared" si="319"/>
        <v>0</v>
      </c>
      <c r="N77" s="869">
        <f t="shared" si="319"/>
        <v>0</v>
      </c>
      <c r="O77" s="869">
        <f t="shared" si="319"/>
        <v>0</v>
      </c>
      <c r="P77" s="869">
        <f t="shared" si="319"/>
        <v>0</v>
      </c>
      <c r="Q77" s="869">
        <f t="shared" si="319"/>
        <v>0</v>
      </c>
      <c r="R77" s="869">
        <f t="shared" si="319"/>
        <v>0</v>
      </c>
      <c r="S77" s="869">
        <f t="shared" si="319"/>
        <v>0</v>
      </c>
      <c r="T77" s="869">
        <f t="shared" si="319"/>
        <v>0</v>
      </c>
      <c r="U77" s="869">
        <f t="shared" si="319"/>
        <v>0</v>
      </c>
      <c r="V77" s="869">
        <f t="shared" si="319"/>
        <v>0</v>
      </c>
      <c r="W77" s="869">
        <f t="shared" si="319"/>
        <v>0</v>
      </c>
      <c r="X77" s="869">
        <f t="shared" si="319"/>
        <v>0</v>
      </c>
      <c r="Y77" s="869">
        <f t="shared" si="319"/>
        <v>0</v>
      </c>
      <c r="Z77" s="869">
        <f t="shared" si="319"/>
        <v>0</v>
      </c>
      <c r="AA77" s="869">
        <f t="shared" si="319"/>
        <v>0</v>
      </c>
      <c r="AB77" s="869">
        <f t="shared" si="319"/>
        <v>0</v>
      </c>
      <c r="AC77" s="869">
        <f t="shared" si="319"/>
        <v>0</v>
      </c>
      <c r="AD77" s="869">
        <f t="shared" si="319"/>
        <v>0</v>
      </c>
      <c r="AE77" s="869">
        <f t="shared" si="319"/>
        <v>0</v>
      </c>
      <c r="AF77" s="869">
        <f t="shared" ref="AF77:AO77" si="320">IF(AF$1&gt;=First.Year,AF71*$C77,AF60)</f>
        <v>0</v>
      </c>
      <c r="AG77" s="869">
        <f t="shared" si="320"/>
        <v>0</v>
      </c>
      <c r="AH77" s="869">
        <f t="shared" si="320"/>
        <v>0</v>
      </c>
      <c r="AI77" s="869">
        <f t="shared" si="320"/>
        <v>0</v>
      </c>
      <c r="AJ77" s="869">
        <f t="shared" si="320"/>
        <v>0</v>
      </c>
      <c r="AK77" s="869">
        <f t="shared" si="320"/>
        <v>0</v>
      </c>
      <c r="AL77" s="869">
        <f t="shared" si="320"/>
        <v>0</v>
      </c>
      <c r="AM77" s="869">
        <f t="shared" si="320"/>
        <v>0</v>
      </c>
      <c r="AN77" s="869">
        <f t="shared" si="320"/>
        <v>0</v>
      </c>
      <c r="AO77" s="869">
        <f t="shared" si="320"/>
        <v>0</v>
      </c>
    </row>
    <row r="78" spans="2:41" hidden="1">
      <c r="B78" s="859"/>
      <c r="AF78" s="864"/>
      <c r="AG78" s="864"/>
      <c r="AH78" s="864"/>
      <c r="AI78" s="864"/>
      <c r="AJ78" s="864"/>
      <c r="AK78" s="864"/>
      <c r="AL78" s="864"/>
      <c r="AM78" s="864"/>
      <c r="AN78" s="864"/>
      <c r="AO78" s="864"/>
    </row>
    <row r="79" spans="2:41" hidden="1">
      <c r="B79" s="859" t="s">
        <v>324</v>
      </c>
      <c r="C79" s="849">
        <v>0</v>
      </c>
      <c r="D79" s="868">
        <f t="shared" ref="D79:AE79" si="321">IF(D$1&gt;=First.Year,D74*$C79,D62)</f>
        <v>0</v>
      </c>
      <c r="E79" s="868">
        <f t="shared" si="321"/>
        <v>0</v>
      </c>
      <c r="F79" s="868">
        <f t="shared" si="321"/>
        <v>0</v>
      </c>
      <c r="G79" s="868">
        <f t="shared" si="321"/>
        <v>0</v>
      </c>
      <c r="H79" s="868">
        <f t="shared" si="321"/>
        <v>0</v>
      </c>
      <c r="I79" s="868">
        <f t="shared" si="321"/>
        <v>0</v>
      </c>
      <c r="J79" s="868">
        <f t="shared" si="321"/>
        <v>0</v>
      </c>
      <c r="K79" s="868">
        <f t="shared" si="321"/>
        <v>0</v>
      </c>
      <c r="L79" s="868">
        <f t="shared" si="321"/>
        <v>0</v>
      </c>
      <c r="M79" s="868">
        <f t="shared" si="321"/>
        <v>0</v>
      </c>
      <c r="N79" s="868">
        <f t="shared" si="321"/>
        <v>0</v>
      </c>
      <c r="O79" s="868">
        <f t="shared" si="321"/>
        <v>0</v>
      </c>
      <c r="P79" s="868">
        <f t="shared" si="321"/>
        <v>0</v>
      </c>
      <c r="Q79" s="868">
        <f t="shared" si="321"/>
        <v>0</v>
      </c>
      <c r="R79" s="868">
        <f t="shared" si="321"/>
        <v>0</v>
      </c>
      <c r="S79" s="868">
        <f t="shared" si="321"/>
        <v>0</v>
      </c>
      <c r="T79" s="868">
        <f t="shared" si="321"/>
        <v>0</v>
      </c>
      <c r="U79" s="868">
        <f t="shared" si="321"/>
        <v>0</v>
      </c>
      <c r="V79" s="868">
        <f t="shared" si="321"/>
        <v>0</v>
      </c>
      <c r="W79" s="868">
        <f t="shared" si="321"/>
        <v>0</v>
      </c>
      <c r="X79" s="868">
        <f t="shared" si="321"/>
        <v>0</v>
      </c>
      <c r="Y79" s="868">
        <f t="shared" si="321"/>
        <v>0</v>
      </c>
      <c r="Z79" s="868">
        <f t="shared" si="321"/>
        <v>0</v>
      </c>
      <c r="AA79" s="868">
        <f t="shared" si="321"/>
        <v>0</v>
      </c>
      <c r="AB79" s="868">
        <f t="shared" si="321"/>
        <v>0</v>
      </c>
      <c r="AC79" s="868">
        <f t="shared" si="321"/>
        <v>0</v>
      </c>
      <c r="AD79" s="868">
        <f t="shared" si="321"/>
        <v>0</v>
      </c>
      <c r="AE79" s="868">
        <f t="shared" si="321"/>
        <v>0</v>
      </c>
      <c r="AF79" s="868">
        <f t="shared" ref="AF79:AO79" si="322">IF(AF$1&gt;=First.Year,AF74*$C79,AF62)</f>
        <v>0</v>
      </c>
      <c r="AG79" s="868">
        <f t="shared" si="322"/>
        <v>0</v>
      </c>
      <c r="AH79" s="868">
        <f t="shared" si="322"/>
        <v>0</v>
      </c>
      <c r="AI79" s="868">
        <f t="shared" si="322"/>
        <v>0</v>
      </c>
      <c r="AJ79" s="868">
        <f t="shared" si="322"/>
        <v>0</v>
      </c>
      <c r="AK79" s="868">
        <f t="shared" si="322"/>
        <v>0</v>
      </c>
      <c r="AL79" s="868">
        <f t="shared" si="322"/>
        <v>0</v>
      </c>
      <c r="AM79" s="868">
        <f t="shared" si="322"/>
        <v>0</v>
      </c>
      <c r="AN79" s="868">
        <f t="shared" si="322"/>
        <v>0</v>
      </c>
      <c r="AO79" s="868">
        <f t="shared" si="322"/>
        <v>0</v>
      </c>
    </row>
    <row r="80" spans="2:41" hidden="1">
      <c r="B80" s="859" t="s">
        <v>325</v>
      </c>
      <c r="C80" s="845">
        <v>0</v>
      </c>
      <c r="D80" s="864">
        <f>D79*$C80</f>
        <v>0</v>
      </c>
      <c r="E80" s="864">
        <f t="shared" ref="E80:AE80" si="323">E79*$C80</f>
        <v>0</v>
      </c>
      <c r="F80" s="864">
        <f t="shared" si="323"/>
        <v>0</v>
      </c>
      <c r="G80" s="864">
        <f t="shared" si="323"/>
        <v>0</v>
      </c>
      <c r="H80" s="864">
        <f t="shared" si="323"/>
        <v>0</v>
      </c>
      <c r="I80" s="864">
        <f t="shared" si="323"/>
        <v>0</v>
      </c>
      <c r="J80" s="864">
        <f t="shared" si="323"/>
        <v>0</v>
      </c>
      <c r="K80" s="864">
        <f t="shared" si="323"/>
        <v>0</v>
      </c>
      <c r="L80" s="864">
        <f t="shared" si="323"/>
        <v>0</v>
      </c>
      <c r="M80" s="864">
        <f t="shared" si="323"/>
        <v>0</v>
      </c>
      <c r="N80" s="864">
        <f t="shared" si="323"/>
        <v>0</v>
      </c>
      <c r="O80" s="864">
        <f t="shared" si="323"/>
        <v>0</v>
      </c>
      <c r="P80" s="864">
        <f t="shared" si="323"/>
        <v>0</v>
      </c>
      <c r="Q80" s="864">
        <f t="shared" si="323"/>
        <v>0</v>
      </c>
      <c r="R80" s="864">
        <f t="shared" si="323"/>
        <v>0</v>
      </c>
      <c r="S80" s="864">
        <f t="shared" si="323"/>
        <v>0</v>
      </c>
      <c r="T80" s="864">
        <f t="shared" si="323"/>
        <v>0</v>
      </c>
      <c r="U80" s="864">
        <f t="shared" si="323"/>
        <v>0</v>
      </c>
      <c r="V80" s="864">
        <f t="shared" si="323"/>
        <v>0</v>
      </c>
      <c r="W80" s="864">
        <f t="shared" si="323"/>
        <v>0</v>
      </c>
      <c r="X80" s="864">
        <f t="shared" si="323"/>
        <v>0</v>
      </c>
      <c r="Y80" s="864">
        <f t="shared" si="323"/>
        <v>0</v>
      </c>
      <c r="Z80" s="864">
        <f t="shared" si="323"/>
        <v>0</v>
      </c>
      <c r="AA80" s="864">
        <f t="shared" si="323"/>
        <v>0</v>
      </c>
      <c r="AB80" s="864">
        <f t="shared" si="323"/>
        <v>0</v>
      </c>
      <c r="AC80" s="864">
        <f t="shared" si="323"/>
        <v>0</v>
      </c>
      <c r="AD80" s="864">
        <f t="shared" si="323"/>
        <v>0</v>
      </c>
      <c r="AE80" s="864">
        <f t="shared" si="323"/>
        <v>0</v>
      </c>
      <c r="AF80" s="864">
        <f t="shared" ref="AF80:AO80" si="324">AF79*$C80</f>
        <v>0</v>
      </c>
      <c r="AG80" s="864">
        <f t="shared" si="324"/>
        <v>0</v>
      </c>
      <c r="AH80" s="864">
        <f t="shared" si="324"/>
        <v>0</v>
      </c>
      <c r="AI80" s="864">
        <f t="shared" si="324"/>
        <v>0</v>
      </c>
      <c r="AJ80" s="864">
        <f t="shared" si="324"/>
        <v>0</v>
      </c>
      <c r="AK80" s="864">
        <f t="shared" si="324"/>
        <v>0</v>
      </c>
      <c r="AL80" s="864">
        <f t="shared" si="324"/>
        <v>0</v>
      </c>
      <c r="AM80" s="864">
        <f t="shared" si="324"/>
        <v>0</v>
      </c>
      <c r="AN80" s="864">
        <f t="shared" si="324"/>
        <v>0</v>
      </c>
      <c r="AO80" s="864">
        <f t="shared" si="324"/>
        <v>0</v>
      </c>
    </row>
    <row r="81" spans="2:41" hidden="1">
      <c r="B81" s="859" t="s">
        <v>326</v>
      </c>
      <c r="D81" s="866">
        <f>SUM(D79:D80)</f>
        <v>0</v>
      </c>
      <c r="E81" s="866">
        <f t="shared" ref="E81" si="325">SUM(E79:E80)</f>
        <v>0</v>
      </c>
      <c r="F81" s="866">
        <f t="shared" ref="F81" si="326">SUM(F79:F80)</f>
        <v>0</v>
      </c>
      <c r="G81" s="866">
        <f t="shared" ref="G81" si="327">SUM(G79:G80)</f>
        <v>0</v>
      </c>
      <c r="H81" s="866">
        <f t="shared" ref="H81" si="328">SUM(H79:H80)</f>
        <v>0</v>
      </c>
      <c r="I81" s="866">
        <f t="shared" ref="I81" si="329">SUM(I79:I80)</f>
        <v>0</v>
      </c>
      <c r="J81" s="866">
        <f t="shared" ref="J81" si="330">SUM(J79:J80)</f>
        <v>0</v>
      </c>
      <c r="K81" s="866">
        <f t="shared" ref="K81" si="331">SUM(K79:K80)</f>
        <v>0</v>
      </c>
      <c r="L81" s="866">
        <f t="shared" ref="L81" si="332">SUM(L79:L80)</f>
        <v>0</v>
      </c>
      <c r="M81" s="866">
        <f t="shared" ref="M81" si="333">SUM(M79:M80)</f>
        <v>0</v>
      </c>
      <c r="N81" s="866">
        <f t="shared" ref="N81" si="334">SUM(N79:N80)</f>
        <v>0</v>
      </c>
      <c r="O81" s="866">
        <f t="shared" ref="O81" si="335">SUM(O79:O80)</f>
        <v>0</v>
      </c>
      <c r="P81" s="866">
        <f t="shared" ref="P81" si="336">SUM(P79:P80)</f>
        <v>0</v>
      </c>
      <c r="Q81" s="866">
        <f t="shared" ref="Q81" si="337">SUM(Q79:Q80)</f>
        <v>0</v>
      </c>
      <c r="R81" s="866">
        <f t="shared" ref="R81" si="338">SUM(R79:R80)</f>
        <v>0</v>
      </c>
      <c r="S81" s="866">
        <f t="shared" ref="S81" si="339">SUM(S79:S80)</f>
        <v>0</v>
      </c>
      <c r="T81" s="866">
        <f t="shared" ref="T81" si="340">SUM(T79:T80)</f>
        <v>0</v>
      </c>
      <c r="U81" s="866">
        <f t="shared" ref="U81" si="341">SUM(U79:U80)</f>
        <v>0</v>
      </c>
      <c r="V81" s="866">
        <f t="shared" ref="V81" si="342">SUM(V79:V80)</f>
        <v>0</v>
      </c>
      <c r="W81" s="866">
        <f t="shared" ref="W81" si="343">SUM(W79:W80)</f>
        <v>0</v>
      </c>
      <c r="X81" s="866">
        <f t="shared" ref="X81" si="344">SUM(X79:X80)</f>
        <v>0</v>
      </c>
      <c r="Y81" s="866">
        <f t="shared" ref="Y81" si="345">SUM(Y79:Y80)</f>
        <v>0</v>
      </c>
      <c r="Z81" s="866">
        <f t="shared" ref="Z81" si="346">SUM(Z79:Z80)</f>
        <v>0</v>
      </c>
      <c r="AA81" s="866">
        <f t="shared" ref="AA81" si="347">SUM(AA79:AA80)</f>
        <v>0</v>
      </c>
      <c r="AB81" s="866">
        <f t="shared" ref="AB81" si="348">SUM(AB79:AB80)</f>
        <v>0</v>
      </c>
      <c r="AC81" s="866">
        <f t="shared" ref="AC81" si="349">SUM(AC79:AC80)</f>
        <v>0</v>
      </c>
      <c r="AD81" s="866">
        <f t="shared" ref="AD81" si="350">SUM(AD79:AD80)</f>
        <v>0</v>
      </c>
      <c r="AE81" s="866">
        <f t="shared" ref="AE81:AO81" si="351">SUM(AE79:AE80)</f>
        <v>0</v>
      </c>
      <c r="AF81" s="866">
        <f t="shared" si="351"/>
        <v>0</v>
      </c>
      <c r="AG81" s="866">
        <f t="shared" si="351"/>
        <v>0</v>
      </c>
      <c r="AH81" s="866">
        <f t="shared" si="351"/>
        <v>0</v>
      </c>
      <c r="AI81" s="866">
        <f t="shared" si="351"/>
        <v>0</v>
      </c>
      <c r="AJ81" s="866">
        <f t="shared" si="351"/>
        <v>0</v>
      </c>
      <c r="AK81" s="866">
        <f t="shared" si="351"/>
        <v>0</v>
      </c>
      <c r="AL81" s="866">
        <f t="shared" si="351"/>
        <v>0</v>
      </c>
      <c r="AM81" s="866">
        <f t="shared" si="351"/>
        <v>0</v>
      </c>
      <c r="AN81" s="866">
        <f t="shared" si="351"/>
        <v>0</v>
      </c>
      <c r="AO81" s="866">
        <f t="shared" si="351"/>
        <v>0</v>
      </c>
    </row>
    <row r="82" spans="2:41" hidden="1">
      <c r="AF82" s="864"/>
      <c r="AG82" s="864"/>
      <c r="AH82" s="864"/>
      <c r="AI82" s="864"/>
      <c r="AJ82" s="864"/>
      <c r="AK82" s="864"/>
      <c r="AL82" s="864"/>
      <c r="AM82" s="864"/>
      <c r="AN82" s="864"/>
      <c r="AO82" s="864"/>
    </row>
    <row r="83" spans="2:41" hidden="1">
      <c r="B83" s="859" t="s">
        <v>327</v>
      </c>
      <c r="C83" s="879">
        <v>0</v>
      </c>
      <c r="D83" s="864">
        <f>IFERROR(D76/$C83,0)</f>
        <v>0</v>
      </c>
      <c r="E83" s="864">
        <f t="shared" ref="E83:AE83" si="352">IFERROR(E76/$C83,0)</f>
        <v>0</v>
      </c>
      <c r="F83" s="864">
        <f t="shared" si="352"/>
        <v>0</v>
      </c>
      <c r="G83" s="864">
        <f t="shared" si="352"/>
        <v>0</v>
      </c>
      <c r="H83" s="864">
        <f t="shared" si="352"/>
        <v>0</v>
      </c>
      <c r="I83" s="864">
        <f t="shared" si="352"/>
        <v>0</v>
      </c>
      <c r="J83" s="864">
        <f t="shared" si="352"/>
        <v>0</v>
      </c>
      <c r="K83" s="864">
        <f t="shared" si="352"/>
        <v>0</v>
      </c>
      <c r="L83" s="864">
        <f t="shared" si="352"/>
        <v>0</v>
      </c>
      <c r="M83" s="864">
        <f t="shared" si="352"/>
        <v>0</v>
      </c>
      <c r="N83" s="864">
        <f t="shared" si="352"/>
        <v>0</v>
      </c>
      <c r="O83" s="864">
        <f t="shared" si="352"/>
        <v>0</v>
      </c>
      <c r="P83" s="864">
        <f t="shared" si="352"/>
        <v>0</v>
      </c>
      <c r="Q83" s="864">
        <f t="shared" si="352"/>
        <v>0</v>
      </c>
      <c r="R83" s="864">
        <f t="shared" si="352"/>
        <v>0</v>
      </c>
      <c r="S83" s="864">
        <f t="shared" si="352"/>
        <v>0</v>
      </c>
      <c r="T83" s="864">
        <f t="shared" si="352"/>
        <v>0</v>
      </c>
      <c r="U83" s="864">
        <f t="shared" si="352"/>
        <v>0</v>
      </c>
      <c r="V83" s="864">
        <f t="shared" si="352"/>
        <v>0</v>
      </c>
      <c r="W83" s="864">
        <f t="shared" si="352"/>
        <v>0</v>
      </c>
      <c r="X83" s="864">
        <f t="shared" si="352"/>
        <v>0</v>
      </c>
      <c r="Y83" s="864">
        <f t="shared" si="352"/>
        <v>0</v>
      </c>
      <c r="Z83" s="864">
        <f t="shared" si="352"/>
        <v>0</v>
      </c>
      <c r="AA83" s="864">
        <f t="shared" si="352"/>
        <v>0</v>
      </c>
      <c r="AB83" s="864">
        <f t="shared" si="352"/>
        <v>0</v>
      </c>
      <c r="AC83" s="864">
        <f t="shared" si="352"/>
        <v>0</v>
      </c>
      <c r="AD83" s="864">
        <f t="shared" si="352"/>
        <v>0</v>
      </c>
      <c r="AE83" s="864">
        <f t="shared" si="352"/>
        <v>0</v>
      </c>
      <c r="AF83" s="864">
        <f t="shared" ref="AF83:AO83" si="353">IFERROR(AF76/$C83,0)</f>
        <v>0</v>
      </c>
      <c r="AG83" s="864">
        <f t="shared" si="353"/>
        <v>0</v>
      </c>
      <c r="AH83" s="864">
        <f t="shared" si="353"/>
        <v>0</v>
      </c>
      <c r="AI83" s="864">
        <f t="shared" si="353"/>
        <v>0</v>
      </c>
      <c r="AJ83" s="864">
        <f t="shared" si="353"/>
        <v>0</v>
      </c>
      <c r="AK83" s="864">
        <f t="shared" si="353"/>
        <v>0</v>
      </c>
      <c r="AL83" s="864">
        <f t="shared" si="353"/>
        <v>0</v>
      </c>
      <c r="AM83" s="864">
        <f t="shared" si="353"/>
        <v>0</v>
      </c>
      <c r="AN83" s="864">
        <f t="shared" si="353"/>
        <v>0</v>
      </c>
      <c r="AO83" s="864">
        <f t="shared" si="353"/>
        <v>0</v>
      </c>
    </row>
    <row r="84" spans="2:41" hidden="1">
      <c r="B84" s="859" t="s">
        <v>328</v>
      </c>
      <c r="C84" s="1020">
        <v>0</v>
      </c>
      <c r="D84" s="864">
        <f>IFERROR(D81/$C84,0)</f>
        <v>0</v>
      </c>
      <c r="E84" s="864">
        <f t="shared" ref="E84:AE84" si="354">IFERROR(E81/$C84,0)</f>
        <v>0</v>
      </c>
      <c r="F84" s="864">
        <f t="shared" si="354"/>
        <v>0</v>
      </c>
      <c r="G84" s="864">
        <f t="shared" si="354"/>
        <v>0</v>
      </c>
      <c r="H84" s="864">
        <f t="shared" si="354"/>
        <v>0</v>
      </c>
      <c r="I84" s="864">
        <f t="shared" si="354"/>
        <v>0</v>
      </c>
      <c r="J84" s="864">
        <f t="shared" si="354"/>
        <v>0</v>
      </c>
      <c r="K84" s="864">
        <f t="shared" si="354"/>
        <v>0</v>
      </c>
      <c r="L84" s="864">
        <f t="shared" si="354"/>
        <v>0</v>
      </c>
      <c r="M84" s="864">
        <f t="shared" si="354"/>
        <v>0</v>
      </c>
      <c r="N84" s="864">
        <f t="shared" si="354"/>
        <v>0</v>
      </c>
      <c r="O84" s="864">
        <f t="shared" si="354"/>
        <v>0</v>
      </c>
      <c r="P84" s="864">
        <f t="shared" si="354"/>
        <v>0</v>
      </c>
      <c r="Q84" s="864">
        <f t="shared" si="354"/>
        <v>0</v>
      </c>
      <c r="R84" s="864">
        <f t="shared" si="354"/>
        <v>0</v>
      </c>
      <c r="S84" s="864">
        <f t="shared" si="354"/>
        <v>0</v>
      </c>
      <c r="T84" s="864">
        <f t="shared" si="354"/>
        <v>0</v>
      </c>
      <c r="U84" s="864">
        <f t="shared" si="354"/>
        <v>0</v>
      </c>
      <c r="V84" s="864">
        <f t="shared" si="354"/>
        <v>0</v>
      </c>
      <c r="W84" s="864">
        <f t="shared" si="354"/>
        <v>0</v>
      </c>
      <c r="X84" s="864">
        <f t="shared" si="354"/>
        <v>0</v>
      </c>
      <c r="Y84" s="864">
        <f t="shared" si="354"/>
        <v>0</v>
      </c>
      <c r="Z84" s="864">
        <f t="shared" si="354"/>
        <v>0</v>
      </c>
      <c r="AA84" s="864">
        <f t="shared" si="354"/>
        <v>0</v>
      </c>
      <c r="AB84" s="864">
        <f t="shared" si="354"/>
        <v>0</v>
      </c>
      <c r="AC84" s="864">
        <f t="shared" si="354"/>
        <v>0</v>
      </c>
      <c r="AD84" s="864">
        <f t="shared" si="354"/>
        <v>0</v>
      </c>
      <c r="AE84" s="864">
        <f t="shared" si="354"/>
        <v>0</v>
      </c>
      <c r="AF84" s="864">
        <f t="shared" ref="AF84:AO84" si="355">IFERROR(AF81/$C84,0)</f>
        <v>0</v>
      </c>
      <c r="AG84" s="864">
        <f t="shared" si="355"/>
        <v>0</v>
      </c>
      <c r="AH84" s="864">
        <f t="shared" si="355"/>
        <v>0</v>
      </c>
      <c r="AI84" s="864">
        <f t="shared" si="355"/>
        <v>0</v>
      </c>
      <c r="AJ84" s="864">
        <f t="shared" si="355"/>
        <v>0</v>
      </c>
      <c r="AK84" s="864">
        <f t="shared" si="355"/>
        <v>0</v>
      </c>
      <c r="AL84" s="864">
        <f t="shared" si="355"/>
        <v>0</v>
      </c>
      <c r="AM84" s="864">
        <f t="shared" si="355"/>
        <v>0</v>
      </c>
      <c r="AN84" s="864">
        <f t="shared" si="355"/>
        <v>0</v>
      </c>
      <c r="AO84" s="864">
        <f t="shared" si="355"/>
        <v>0</v>
      </c>
    </row>
    <row r="85" spans="2:41" hidden="1"/>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theme="7"/>
  </sheetPr>
  <dimension ref="A2:AX123"/>
  <sheetViews>
    <sheetView showGridLines="0" zoomScale="80" zoomScaleNormal="80" workbookViewId="0">
      <selection activeCell="D4" sqref="D4"/>
    </sheetView>
  </sheetViews>
  <sheetFormatPr defaultColWidth="8.75" defaultRowHeight="14.25"/>
  <cols>
    <col min="1" max="1" width="12.125" customWidth="1"/>
    <col min="2" max="2" width="18.75" customWidth="1"/>
    <col min="3" max="3" width="15.75" bestFit="1" customWidth="1"/>
    <col min="4" max="4" width="17.625" customWidth="1"/>
    <col min="5" max="5" width="21.125" customWidth="1"/>
    <col min="6" max="6" width="12.5" bestFit="1" customWidth="1"/>
    <col min="7" max="7" width="15.125" customWidth="1"/>
    <col min="8" max="8" width="12.75" customWidth="1"/>
    <col min="9" max="9" width="12.375" style="33" customWidth="1"/>
    <col min="10" max="10" width="14" style="33" bestFit="1" customWidth="1"/>
    <col min="11" max="11" width="15.125" style="33" bestFit="1" customWidth="1"/>
    <col min="12" max="12" width="16.5" style="33" customWidth="1"/>
    <col min="13" max="13" width="12.375" style="33" customWidth="1"/>
    <col min="14" max="14" width="10.625" style="33" customWidth="1"/>
    <col min="15" max="15" width="10.125" style="33" bestFit="1" customWidth="1"/>
    <col min="16" max="17" width="12.25" style="33" customWidth="1"/>
    <col min="18" max="18" width="11.25" style="33" customWidth="1"/>
    <col min="19" max="22" width="7.375" style="33" customWidth="1"/>
    <col min="23" max="24" width="8.75" style="33" customWidth="1"/>
    <col min="25" max="27" width="7.375" style="33" customWidth="1"/>
    <col min="28" max="28" width="10.875" style="33" customWidth="1"/>
    <col min="29" max="30" width="7.375" style="33" customWidth="1"/>
    <col min="31" max="31" width="9" style="33" customWidth="1"/>
    <col min="32" max="32" width="7.375" style="33" customWidth="1"/>
    <col min="33" max="33" width="8.625" style="33" customWidth="1"/>
    <col min="34" max="34" width="9.625" style="33" customWidth="1"/>
    <col min="35" max="35" width="7.375" style="33" customWidth="1"/>
    <col min="36" max="36" width="11" style="33" customWidth="1"/>
    <col min="37" max="37" width="9.25" style="33" customWidth="1"/>
    <col min="38" max="39" width="7.375" style="33" customWidth="1"/>
    <col min="40" max="40" width="9.25" style="33" customWidth="1"/>
    <col min="41" max="42" width="7.375" style="33" customWidth="1"/>
    <col min="43" max="43" width="10.5" style="33" customWidth="1"/>
    <col min="46" max="46" width="11.25" customWidth="1"/>
    <col min="49" max="49" width="11.25" customWidth="1"/>
  </cols>
  <sheetData>
    <row r="2" spans="2:49" ht="15">
      <c r="B2" s="162" t="s">
        <v>337</v>
      </c>
      <c r="C2" s="33"/>
      <c r="D2" s="33"/>
      <c r="G2" s="151" t="s">
        <v>65</v>
      </c>
      <c r="H2" s="32">
        <f>I2-1</f>
        <v>2021</v>
      </c>
      <c r="I2" s="32">
        <f>Base.Year</f>
        <v>2022</v>
      </c>
      <c r="J2" s="32">
        <f>I2+1</f>
        <v>2023</v>
      </c>
      <c r="K2" s="32">
        <f t="shared" ref="K2:AQ2" si="0">J2+1</f>
        <v>2024</v>
      </c>
      <c r="L2" s="32">
        <f t="shared" si="0"/>
        <v>2025</v>
      </c>
      <c r="M2" s="32">
        <f t="shared" si="0"/>
        <v>2026</v>
      </c>
      <c r="N2" s="32">
        <f t="shared" si="0"/>
        <v>2027</v>
      </c>
      <c r="O2" s="32">
        <f t="shared" si="0"/>
        <v>2028</v>
      </c>
      <c r="P2" s="32">
        <f t="shared" si="0"/>
        <v>2029</v>
      </c>
      <c r="Q2" s="32">
        <f t="shared" si="0"/>
        <v>2030</v>
      </c>
      <c r="R2" s="32">
        <f t="shared" si="0"/>
        <v>2031</v>
      </c>
      <c r="S2" s="32">
        <f t="shared" si="0"/>
        <v>2032</v>
      </c>
      <c r="T2" s="32">
        <f t="shared" si="0"/>
        <v>2033</v>
      </c>
      <c r="U2" s="32">
        <f t="shared" si="0"/>
        <v>2034</v>
      </c>
      <c r="V2" s="32">
        <f t="shared" si="0"/>
        <v>2035</v>
      </c>
      <c r="W2" s="32">
        <f t="shared" si="0"/>
        <v>2036</v>
      </c>
      <c r="X2" s="32">
        <f t="shared" si="0"/>
        <v>2037</v>
      </c>
      <c r="Y2" s="32">
        <f t="shared" si="0"/>
        <v>2038</v>
      </c>
      <c r="Z2" s="32">
        <f t="shared" si="0"/>
        <v>2039</v>
      </c>
      <c r="AA2" s="32">
        <f t="shared" si="0"/>
        <v>2040</v>
      </c>
      <c r="AB2" s="32">
        <f t="shared" si="0"/>
        <v>2041</v>
      </c>
      <c r="AC2" s="32">
        <f t="shared" si="0"/>
        <v>2042</v>
      </c>
      <c r="AD2" s="32">
        <f t="shared" si="0"/>
        <v>2043</v>
      </c>
      <c r="AE2" s="32">
        <f t="shared" si="0"/>
        <v>2044</v>
      </c>
      <c r="AF2" s="32">
        <f t="shared" si="0"/>
        <v>2045</v>
      </c>
      <c r="AG2" s="32">
        <f t="shared" si="0"/>
        <v>2046</v>
      </c>
      <c r="AH2" s="32">
        <f t="shared" si="0"/>
        <v>2047</v>
      </c>
      <c r="AI2" s="32">
        <f t="shared" si="0"/>
        <v>2048</v>
      </c>
      <c r="AJ2" s="32">
        <f t="shared" si="0"/>
        <v>2049</v>
      </c>
      <c r="AK2" s="32">
        <f t="shared" si="0"/>
        <v>2050</v>
      </c>
      <c r="AL2" s="32">
        <f t="shared" si="0"/>
        <v>2051</v>
      </c>
      <c r="AM2" s="32">
        <f t="shared" si="0"/>
        <v>2052</v>
      </c>
      <c r="AN2" s="32">
        <f t="shared" si="0"/>
        <v>2053</v>
      </c>
      <c r="AO2" s="32">
        <f t="shared" si="0"/>
        <v>2054</v>
      </c>
      <c r="AP2" s="32">
        <f t="shared" si="0"/>
        <v>2055</v>
      </c>
      <c r="AQ2" s="32">
        <f t="shared" si="0"/>
        <v>2056</v>
      </c>
      <c r="AR2" s="32">
        <f t="shared" ref="AR2" si="1">AQ2+1</f>
        <v>2057</v>
      </c>
      <c r="AS2" s="32">
        <f t="shared" ref="AS2" si="2">AR2+1</f>
        <v>2058</v>
      </c>
      <c r="AT2" s="32">
        <f t="shared" ref="AT2" si="3">AS2+1</f>
        <v>2059</v>
      </c>
      <c r="AU2" s="32">
        <f t="shared" ref="AU2" si="4">AT2+1</f>
        <v>2060</v>
      </c>
      <c r="AV2" s="32">
        <f t="shared" ref="AV2" si="5">AU2+1</f>
        <v>2061</v>
      </c>
      <c r="AW2" s="32">
        <f t="shared" ref="AW2" si="6">AV2+1</f>
        <v>2062</v>
      </c>
    </row>
    <row r="3" spans="2:49" ht="15">
      <c r="B3" s="161"/>
      <c r="C3" s="1144" t="s">
        <v>338</v>
      </c>
      <c r="D3" s="160">
        <v>1</v>
      </c>
      <c r="G3" t="s">
        <v>65</v>
      </c>
      <c r="H3" s="170">
        <f>IFERROR(_xlfn.XLOOKUP(H2,$C$33:$J$33,$C$40:$J$40),0)</f>
        <v>0</v>
      </c>
      <c r="I3" s="170">
        <f t="shared" ref="I3:AW3" si="7">IFERROR(_xlfn.XLOOKUP(I2,$C$33:$J$33,$C$40:$J$40),0)</f>
        <v>0</v>
      </c>
      <c r="J3" s="170">
        <f t="shared" si="7"/>
        <v>0</v>
      </c>
      <c r="K3" s="170">
        <f t="shared" si="7"/>
        <v>0</v>
      </c>
      <c r="L3" s="170">
        <f t="shared" si="7"/>
        <v>2425000</v>
      </c>
      <c r="M3" s="170">
        <f t="shared" si="7"/>
        <v>4462000</v>
      </c>
      <c r="N3" s="170">
        <f t="shared" si="7"/>
        <v>32610333</v>
      </c>
      <c r="O3" s="170">
        <f t="shared" si="7"/>
        <v>105997332</v>
      </c>
      <c r="P3" s="170">
        <f t="shared" si="7"/>
        <v>26499333</v>
      </c>
      <c r="Q3" s="170">
        <f t="shared" si="7"/>
        <v>0</v>
      </c>
      <c r="R3" s="170">
        <f t="shared" si="7"/>
        <v>0</v>
      </c>
      <c r="S3" s="170">
        <f t="shared" si="7"/>
        <v>0</v>
      </c>
      <c r="T3" s="170">
        <f t="shared" si="7"/>
        <v>0</v>
      </c>
      <c r="U3" s="170">
        <f t="shared" si="7"/>
        <v>0</v>
      </c>
      <c r="V3" s="170">
        <f t="shared" si="7"/>
        <v>0</v>
      </c>
      <c r="W3" s="170">
        <f t="shared" si="7"/>
        <v>0</v>
      </c>
      <c r="X3" s="170">
        <f t="shared" si="7"/>
        <v>0</v>
      </c>
      <c r="Y3" s="170">
        <f t="shared" si="7"/>
        <v>0</v>
      </c>
      <c r="Z3" s="170">
        <f t="shared" si="7"/>
        <v>0</v>
      </c>
      <c r="AA3" s="170">
        <f t="shared" si="7"/>
        <v>0</v>
      </c>
      <c r="AB3" s="170">
        <f t="shared" si="7"/>
        <v>0</v>
      </c>
      <c r="AC3" s="170">
        <f t="shared" si="7"/>
        <v>0</v>
      </c>
      <c r="AD3" s="170">
        <f t="shared" si="7"/>
        <v>0</v>
      </c>
      <c r="AE3" s="170">
        <f t="shared" si="7"/>
        <v>0</v>
      </c>
      <c r="AF3" s="170">
        <f t="shared" si="7"/>
        <v>0</v>
      </c>
      <c r="AG3" s="170">
        <f t="shared" si="7"/>
        <v>0</v>
      </c>
      <c r="AH3" s="170">
        <f t="shared" si="7"/>
        <v>0</v>
      </c>
      <c r="AI3" s="170">
        <f t="shared" si="7"/>
        <v>0</v>
      </c>
      <c r="AJ3" s="170">
        <f t="shared" si="7"/>
        <v>0</v>
      </c>
      <c r="AK3" s="170">
        <f t="shared" si="7"/>
        <v>0</v>
      </c>
      <c r="AL3" s="170">
        <f t="shared" si="7"/>
        <v>0</v>
      </c>
      <c r="AM3" s="170">
        <f t="shared" si="7"/>
        <v>0</v>
      </c>
      <c r="AN3" s="170">
        <f t="shared" si="7"/>
        <v>0</v>
      </c>
      <c r="AO3" s="170">
        <f t="shared" si="7"/>
        <v>0</v>
      </c>
      <c r="AP3" s="170">
        <f t="shared" si="7"/>
        <v>0</v>
      </c>
      <c r="AQ3" s="170">
        <f t="shared" si="7"/>
        <v>0</v>
      </c>
      <c r="AR3" s="170">
        <f t="shared" si="7"/>
        <v>0</v>
      </c>
      <c r="AS3" s="170">
        <f t="shared" si="7"/>
        <v>0</v>
      </c>
      <c r="AT3" s="170">
        <f t="shared" si="7"/>
        <v>0</v>
      </c>
      <c r="AU3" s="170">
        <f t="shared" si="7"/>
        <v>0</v>
      </c>
      <c r="AV3" s="170">
        <f t="shared" si="7"/>
        <v>0</v>
      </c>
      <c r="AW3" s="170">
        <f t="shared" si="7"/>
        <v>0</v>
      </c>
    </row>
    <row r="4" spans="2:49" ht="15">
      <c r="B4" s="34"/>
      <c r="C4" s="1092"/>
      <c r="D4" s="1090"/>
      <c r="G4" s="150"/>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row>
    <row r="5" spans="2:49" ht="15">
      <c r="C5" s="632"/>
      <c r="D5" s="1094"/>
      <c r="E5" s="1091"/>
      <c r="G5" s="157" t="s">
        <v>339</v>
      </c>
      <c r="H5" s="159">
        <f t="shared" ref="H5:AQ5" si="8">SUM(H3:H4)*$D$3</f>
        <v>0</v>
      </c>
      <c r="I5" s="159">
        <f t="shared" si="8"/>
        <v>0</v>
      </c>
      <c r="J5" s="159">
        <f t="shared" si="8"/>
        <v>0</v>
      </c>
      <c r="K5" s="159">
        <f t="shared" si="8"/>
        <v>0</v>
      </c>
      <c r="L5" s="159">
        <f t="shared" si="8"/>
        <v>2425000</v>
      </c>
      <c r="M5" s="159">
        <f t="shared" si="8"/>
        <v>4462000</v>
      </c>
      <c r="N5" s="159">
        <f t="shared" si="8"/>
        <v>32610333</v>
      </c>
      <c r="O5" s="159">
        <f t="shared" si="8"/>
        <v>105997332</v>
      </c>
      <c r="P5" s="159">
        <f t="shared" si="8"/>
        <v>26499333</v>
      </c>
      <c r="Q5" s="159">
        <f t="shared" si="8"/>
        <v>0</v>
      </c>
      <c r="R5" s="159">
        <f t="shared" si="8"/>
        <v>0</v>
      </c>
      <c r="S5" s="159">
        <f t="shared" si="8"/>
        <v>0</v>
      </c>
      <c r="T5" s="159">
        <f t="shared" si="8"/>
        <v>0</v>
      </c>
      <c r="U5" s="159">
        <f t="shared" si="8"/>
        <v>0</v>
      </c>
      <c r="V5" s="159">
        <f t="shared" si="8"/>
        <v>0</v>
      </c>
      <c r="W5" s="159">
        <f t="shared" si="8"/>
        <v>0</v>
      </c>
      <c r="X5" s="159">
        <f t="shared" si="8"/>
        <v>0</v>
      </c>
      <c r="Y5" s="159">
        <f t="shared" si="8"/>
        <v>0</v>
      </c>
      <c r="Z5" s="159">
        <f t="shared" si="8"/>
        <v>0</v>
      </c>
      <c r="AA5" s="159">
        <f t="shared" si="8"/>
        <v>0</v>
      </c>
      <c r="AB5" s="159">
        <f t="shared" si="8"/>
        <v>0</v>
      </c>
      <c r="AC5" s="159">
        <f t="shared" si="8"/>
        <v>0</v>
      </c>
      <c r="AD5" s="159">
        <f t="shared" si="8"/>
        <v>0</v>
      </c>
      <c r="AE5" s="159">
        <f t="shared" si="8"/>
        <v>0</v>
      </c>
      <c r="AF5" s="159">
        <f t="shared" si="8"/>
        <v>0</v>
      </c>
      <c r="AG5" s="159">
        <f t="shared" si="8"/>
        <v>0</v>
      </c>
      <c r="AH5" s="159">
        <f t="shared" si="8"/>
        <v>0</v>
      </c>
      <c r="AI5" s="159">
        <f t="shared" si="8"/>
        <v>0</v>
      </c>
      <c r="AJ5" s="159">
        <f t="shared" si="8"/>
        <v>0</v>
      </c>
      <c r="AK5" s="159">
        <f t="shared" si="8"/>
        <v>0</v>
      </c>
      <c r="AL5" s="159">
        <f t="shared" si="8"/>
        <v>0</v>
      </c>
      <c r="AM5" s="159">
        <f t="shared" si="8"/>
        <v>0</v>
      </c>
      <c r="AN5" s="159">
        <f t="shared" si="8"/>
        <v>0</v>
      </c>
      <c r="AO5" s="159">
        <f t="shared" si="8"/>
        <v>0</v>
      </c>
      <c r="AP5" s="159">
        <f t="shared" si="8"/>
        <v>0</v>
      </c>
      <c r="AQ5" s="159">
        <f t="shared" si="8"/>
        <v>0</v>
      </c>
      <c r="AR5" s="159">
        <f t="shared" ref="AR5:AW5" si="9">SUM(AR3:AR4)*$D$3</f>
        <v>0</v>
      </c>
      <c r="AS5" s="159">
        <f t="shared" si="9"/>
        <v>0</v>
      </c>
      <c r="AT5" s="159">
        <f t="shared" si="9"/>
        <v>0</v>
      </c>
      <c r="AU5" s="159">
        <f t="shared" si="9"/>
        <v>0</v>
      </c>
      <c r="AV5" s="159">
        <f t="shared" si="9"/>
        <v>0</v>
      </c>
      <c r="AW5" s="159">
        <f t="shared" si="9"/>
        <v>0</v>
      </c>
    </row>
    <row r="6" spans="2:49" ht="15">
      <c r="B6" s="1099"/>
      <c r="C6" s="631"/>
      <c r="D6" s="1092"/>
      <c r="E6" s="1093"/>
      <c r="AR6" s="33"/>
      <c r="AS6" s="33"/>
      <c r="AT6" s="33"/>
      <c r="AU6" s="33"/>
      <c r="AV6" s="33"/>
      <c r="AW6" s="33"/>
    </row>
    <row r="7" spans="2:49" ht="15">
      <c r="B7" s="138"/>
      <c r="D7" s="1092"/>
      <c r="G7" s="151" t="s">
        <v>340</v>
      </c>
      <c r="H7" s="32">
        <f>H2</f>
        <v>2021</v>
      </c>
      <c r="I7" s="32">
        <f t="shared" ref="I7:AQ7" si="10">I2</f>
        <v>2022</v>
      </c>
      <c r="J7" s="32">
        <f t="shared" si="10"/>
        <v>2023</v>
      </c>
      <c r="K7" s="32">
        <f t="shared" si="10"/>
        <v>2024</v>
      </c>
      <c r="L7" s="32">
        <f t="shared" si="10"/>
        <v>2025</v>
      </c>
      <c r="M7" s="32">
        <f t="shared" si="10"/>
        <v>2026</v>
      </c>
      <c r="N7" s="32">
        <f t="shared" si="10"/>
        <v>2027</v>
      </c>
      <c r="O7" s="32">
        <f t="shared" si="10"/>
        <v>2028</v>
      </c>
      <c r="P7" s="32">
        <f t="shared" si="10"/>
        <v>2029</v>
      </c>
      <c r="Q7" s="32">
        <f t="shared" si="10"/>
        <v>2030</v>
      </c>
      <c r="R7" s="32">
        <f t="shared" si="10"/>
        <v>2031</v>
      </c>
      <c r="S7" s="32">
        <f t="shared" si="10"/>
        <v>2032</v>
      </c>
      <c r="T7" s="32">
        <f t="shared" si="10"/>
        <v>2033</v>
      </c>
      <c r="U7" s="32">
        <f t="shared" si="10"/>
        <v>2034</v>
      </c>
      <c r="V7" s="32">
        <f t="shared" si="10"/>
        <v>2035</v>
      </c>
      <c r="W7" s="32">
        <f t="shared" si="10"/>
        <v>2036</v>
      </c>
      <c r="X7" s="32">
        <f t="shared" si="10"/>
        <v>2037</v>
      </c>
      <c r="Y7" s="32">
        <f t="shared" si="10"/>
        <v>2038</v>
      </c>
      <c r="Z7" s="32">
        <f t="shared" si="10"/>
        <v>2039</v>
      </c>
      <c r="AA7" s="32">
        <f t="shared" si="10"/>
        <v>2040</v>
      </c>
      <c r="AB7" s="32">
        <f t="shared" si="10"/>
        <v>2041</v>
      </c>
      <c r="AC7" s="32">
        <f t="shared" si="10"/>
        <v>2042</v>
      </c>
      <c r="AD7" s="32">
        <f t="shared" si="10"/>
        <v>2043</v>
      </c>
      <c r="AE7" s="32">
        <f t="shared" si="10"/>
        <v>2044</v>
      </c>
      <c r="AF7" s="32">
        <f t="shared" si="10"/>
        <v>2045</v>
      </c>
      <c r="AG7" s="32">
        <f t="shared" si="10"/>
        <v>2046</v>
      </c>
      <c r="AH7" s="32">
        <f t="shared" si="10"/>
        <v>2047</v>
      </c>
      <c r="AI7" s="32">
        <f t="shared" si="10"/>
        <v>2048</v>
      </c>
      <c r="AJ7" s="32">
        <f t="shared" si="10"/>
        <v>2049</v>
      </c>
      <c r="AK7" s="32">
        <f t="shared" si="10"/>
        <v>2050</v>
      </c>
      <c r="AL7" s="32">
        <f t="shared" si="10"/>
        <v>2051</v>
      </c>
      <c r="AM7" s="32">
        <f t="shared" si="10"/>
        <v>2052</v>
      </c>
      <c r="AN7" s="32">
        <f t="shared" si="10"/>
        <v>2053</v>
      </c>
      <c r="AO7" s="32">
        <f t="shared" si="10"/>
        <v>2054</v>
      </c>
      <c r="AP7" s="32">
        <f t="shared" si="10"/>
        <v>2055</v>
      </c>
      <c r="AQ7" s="32">
        <f t="shared" si="10"/>
        <v>2056</v>
      </c>
      <c r="AR7" s="32">
        <f t="shared" ref="AR7:AW7" si="11">AR2</f>
        <v>2057</v>
      </c>
      <c r="AS7" s="32">
        <f t="shared" si="11"/>
        <v>2058</v>
      </c>
      <c r="AT7" s="32">
        <f t="shared" si="11"/>
        <v>2059</v>
      </c>
      <c r="AU7" s="32">
        <f t="shared" si="11"/>
        <v>2060</v>
      </c>
      <c r="AV7" s="32">
        <f t="shared" si="11"/>
        <v>2061</v>
      </c>
      <c r="AW7" s="32">
        <f t="shared" si="11"/>
        <v>2062</v>
      </c>
    </row>
    <row r="8" spans="2:49" ht="15">
      <c r="G8" s="157" t="s">
        <v>341</v>
      </c>
      <c r="H8" s="158">
        <f>IFERROR(_xlfn.XLOOKUP(H7,$B$47:$AH$47,$B$50:$AH$50),0)</f>
        <v>0</v>
      </c>
      <c r="I8" s="158">
        <f t="shared" ref="I8:AW8" si="12">IFERROR(_xlfn.XLOOKUP(I7,$B$47:$AH$47,$B$50:$AH$50),0)</f>
        <v>0</v>
      </c>
      <c r="J8" s="158">
        <f t="shared" si="12"/>
        <v>0</v>
      </c>
      <c r="K8" s="158">
        <f t="shared" si="12"/>
        <v>0</v>
      </c>
      <c r="L8" s="158">
        <f t="shared" si="12"/>
        <v>0</v>
      </c>
      <c r="M8" s="158">
        <f t="shared" si="12"/>
        <v>0</v>
      </c>
      <c r="N8" s="158">
        <f t="shared" si="12"/>
        <v>0</v>
      </c>
      <c r="O8" s="158">
        <f t="shared" si="12"/>
        <v>0</v>
      </c>
      <c r="P8" s="158">
        <f t="shared" si="12"/>
        <v>0</v>
      </c>
      <c r="Q8" s="158">
        <f t="shared" si="12"/>
        <v>-283650</v>
      </c>
      <c r="R8" s="158">
        <f t="shared" si="12"/>
        <v>-283650</v>
      </c>
      <c r="S8" s="158">
        <f t="shared" si="12"/>
        <v>-283650</v>
      </c>
      <c r="T8" s="158">
        <f t="shared" si="12"/>
        <v>-307900</v>
      </c>
      <c r="U8" s="158">
        <f t="shared" si="12"/>
        <v>-307900</v>
      </c>
      <c r="V8" s="158">
        <f t="shared" si="12"/>
        <v>-927730</v>
      </c>
      <c r="W8" s="158">
        <f t="shared" si="12"/>
        <v>-307900</v>
      </c>
      <c r="X8" s="158">
        <f t="shared" si="12"/>
        <v>-307900</v>
      </c>
      <c r="Y8" s="158">
        <f t="shared" si="12"/>
        <v>-927730</v>
      </c>
      <c r="Z8" s="158">
        <f t="shared" si="12"/>
        <v>-307900</v>
      </c>
      <c r="AA8" s="158">
        <f t="shared" si="12"/>
        <v>-938250.76923076913</v>
      </c>
      <c r="AB8" s="158">
        <f t="shared" si="12"/>
        <v>-1558080.769230769</v>
      </c>
      <c r="AC8" s="158">
        <f t="shared" si="12"/>
        <v>-938250.76923076913</v>
      </c>
      <c r="AD8" s="158">
        <f t="shared" si="12"/>
        <v>-938250.76923076913</v>
      </c>
      <c r="AE8" s="158">
        <f t="shared" si="12"/>
        <v>-1558080.769230769</v>
      </c>
      <c r="AF8" s="158">
        <f t="shared" si="12"/>
        <v>-938250.76923076913</v>
      </c>
      <c r="AG8" s="158">
        <f t="shared" si="12"/>
        <v>-938250.76923076913</v>
      </c>
      <c r="AH8" s="158">
        <f t="shared" si="12"/>
        <v>-1558080.769230769</v>
      </c>
      <c r="AI8" s="158">
        <f t="shared" si="12"/>
        <v>-938250.76923076913</v>
      </c>
      <c r="AJ8" s="158">
        <f t="shared" si="12"/>
        <v>-938250.76923076913</v>
      </c>
      <c r="AK8" s="158">
        <f t="shared" si="12"/>
        <v>-1558080.769230769</v>
      </c>
      <c r="AL8" s="158">
        <f t="shared" si="12"/>
        <v>-938250.76923076913</v>
      </c>
      <c r="AM8" s="158">
        <f t="shared" si="12"/>
        <v>-938250.76923076913</v>
      </c>
      <c r="AN8" s="158">
        <f t="shared" si="12"/>
        <v>-1558080.769230769</v>
      </c>
      <c r="AO8" s="158">
        <f t="shared" si="12"/>
        <v>-938250.76923076913</v>
      </c>
      <c r="AP8" s="158">
        <f t="shared" si="12"/>
        <v>-938250.76923076913</v>
      </c>
      <c r="AQ8" s="158">
        <f t="shared" si="12"/>
        <v>-1558080.769230769</v>
      </c>
      <c r="AR8" s="158">
        <f t="shared" si="12"/>
        <v>-938250.76923076913</v>
      </c>
      <c r="AS8" s="158">
        <f t="shared" si="12"/>
        <v>-938250.76923076913</v>
      </c>
      <c r="AT8" s="158">
        <f t="shared" si="12"/>
        <v>-1558080.769230769</v>
      </c>
      <c r="AU8" s="158">
        <f t="shared" si="12"/>
        <v>-959846.15384615376</v>
      </c>
      <c r="AV8" s="158">
        <f t="shared" si="12"/>
        <v>-959846.15384615376</v>
      </c>
      <c r="AW8" s="158">
        <f t="shared" si="12"/>
        <v>-1598846.1538461538</v>
      </c>
    </row>
    <row r="9" spans="2:49">
      <c r="B9" s="30"/>
      <c r="C9" s="30"/>
      <c r="AR9" s="33"/>
      <c r="AS9" s="33"/>
      <c r="AT9" s="33"/>
      <c r="AU9" s="33"/>
      <c r="AV9" s="33"/>
      <c r="AW9" s="33"/>
    </row>
    <row r="10" spans="2:49" ht="15">
      <c r="B10" s="30"/>
      <c r="C10" s="30"/>
      <c r="H10" s="1">
        <f>Study.Period</f>
        <v>30</v>
      </c>
      <c r="I10" s="153" t="s">
        <v>342</v>
      </c>
      <c r="AR10" s="33"/>
      <c r="AS10" s="33"/>
      <c r="AT10" s="33"/>
      <c r="AU10" s="33"/>
      <c r="AV10" s="33"/>
      <c r="AW10" s="33"/>
    </row>
    <row r="11" spans="2:49" ht="15">
      <c r="B11" s="30"/>
      <c r="C11" s="30"/>
      <c r="E11" s="1092"/>
      <c r="G11" s="151" t="s">
        <v>343</v>
      </c>
      <c r="H11" s="32" t="s">
        <v>344</v>
      </c>
      <c r="I11" s="32">
        <f>Final.Year</f>
        <v>2059</v>
      </c>
      <c r="AR11" s="33"/>
      <c r="AS11" s="33"/>
      <c r="AT11" s="33"/>
      <c r="AU11" s="33"/>
      <c r="AV11" s="33"/>
      <c r="AW11" s="33"/>
    </row>
    <row r="12" spans="2:49">
      <c r="B12" s="30"/>
      <c r="C12" s="30"/>
      <c r="G12" t="s">
        <v>345</v>
      </c>
      <c r="H12" s="152"/>
      <c r="I12" s="1103"/>
      <c r="AR12" s="33"/>
      <c r="AS12" s="33"/>
      <c r="AT12" s="33"/>
      <c r="AU12" s="33"/>
      <c r="AV12" s="33"/>
      <c r="AW12" s="33"/>
    </row>
    <row r="13" spans="2:49">
      <c r="B13" s="30"/>
      <c r="C13" s="30"/>
      <c r="G13" t="s">
        <v>346</v>
      </c>
      <c r="I13" s="1103"/>
      <c r="AR13" s="33"/>
      <c r="AS13" s="33"/>
      <c r="AT13" s="33"/>
      <c r="AU13" s="33"/>
      <c r="AV13" s="33"/>
      <c r="AW13" s="33"/>
    </row>
    <row r="14" spans="2:49" ht="15">
      <c r="B14" s="30"/>
      <c r="C14" s="30"/>
      <c r="E14" s="1090"/>
      <c r="H14" s="830"/>
      <c r="AR14" s="33"/>
      <c r="AS14" s="33"/>
      <c r="AT14" s="33"/>
      <c r="AU14" s="33"/>
      <c r="AV14" s="33"/>
      <c r="AW14" s="33"/>
    </row>
    <row r="15" spans="2:49">
      <c r="B15" s="30"/>
      <c r="C15" s="30"/>
      <c r="E15" s="1092"/>
      <c r="AR15" s="33"/>
      <c r="AS15" s="33"/>
      <c r="AT15" s="33"/>
      <c r="AU15" s="33"/>
      <c r="AV15" s="33"/>
      <c r="AW15" s="33"/>
    </row>
    <row r="16" spans="2:49" ht="15">
      <c r="B16" s="30"/>
      <c r="C16" s="30"/>
      <c r="E16" s="1089"/>
      <c r="G16" s="151" t="s">
        <v>343</v>
      </c>
      <c r="H16" s="32">
        <f t="shared" ref="H16:AQ16" si="13">H7</f>
        <v>2021</v>
      </c>
      <c r="I16" s="32">
        <f t="shared" si="13"/>
        <v>2022</v>
      </c>
      <c r="J16" s="32">
        <f t="shared" si="13"/>
        <v>2023</v>
      </c>
      <c r="K16" s="32">
        <f t="shared" si="13"/>
        <v>2024</v>
      </c>
      <c r="L16" s="32">
        <f t="shared" si="13"/>
        <v>2025</v>
      </c>
      <c r="M16" s="32">
        <f t="shared" si="13"/>
        <v>2026</v>
      </c>
      <c r="N16" s="32">
        <f t="shared" si="13"/>
        <v>2027</v>
      </c>
      <c r="O16" s="32">
        <f t="shared" si="13"/>
        <v>2028</v>
      </c>
      <c r="P16" s="32">
        <f t="shared" si="13"/>
        <v>2029</v>
      </c>
      <c r="Q16" s="32">
        <f t="shared" si="13"/>
        <v>2030</v>
      </c>
      <c r="R16" s="32">
        <f t="shared" si="13"/>
        <v>2031</v>
      </c>
      <c r="S16" s="32">
        <f t="shared" si="13"/>
        <v>2032</v>
      </c>
      <c r="T16" s="32">
        <f t="shared" si="13"/>
        <v>2033</v>
      </c>
      <c r="U16" s="32">
        <f t="shared" si="13"/>
        <v>2034</v>
      </c>
      <c r="V16" s="32">
        <f t="shared" si="13"/>
        <v>2035</v>
      </c>
      <c r="W16" s="32">
        <f t="shared" si="13"/>
        <v>2036</v>
      </c>
      <c r="X16" s="32">
        <f t="shared" si="13"/>
        <v>2037</v>
      </c>
      <c r="Y16" s="32">
        <f t="shared" si="13"/>
        <v>2038</v>
      </c>
      <c r="Z16" s="32">
        <f t="shared" si="13"/>
        <v>2039</v>
      </c>
      <c r="AA16" s="32">
        <f t="shared" si="13"/>
        <v>2040</v>
      </c>
      <c r="AB16" s="32">
        <f t="shared" si="13"/>
        <v>2041</v>
      </c>
      <c r="AC16" s="32">
        <f t="shared" si="13"/>
        <v>2042</v>
      </c>
      <c r="AD16" s="32">
        <f t="shared" si="13"/>
        <v>2043</v>
      </c>
      <c r="AE16" s="32">
        <f t="shared" si="13"/>
        <v>2044</v>
      </c>
      <c r="AF16" s="32">
        <f t="shared" si="13"/>
        <v>2045</v>
      </c>
      <c r="AG16" s="32">
        <f t="shared" si="13"/>
        <v>2046</v>
      </c>
      <c r="AH16" s="32">
        <f t="shared" si="13"/>
        <v>2047</v>
      </c>
      <c r="AI16" s="32">
        <f t="shared" si="13"/>
        <v>2048</v>
      </c>
      <c r="AJ16" s="32">
        <f t="shared" si="13"/>
        <v>2049</v>
      </c>
      <c r="AK16" s="32">
        <f t="shared" si="13"/>
        <v>2050</v>
      </c>
      <c r="AL16" s="32">
        <f t="shared" si="13"/>
        <v>2051</v>
      </c>
      <c r="AM16" s="32">
        <f t="shared" si="13"/>
        <v>2052</v>
      </c>
      <c r="AN16" s="32">
        <f t="shared" si="13"/>
        <v>2053</v>
      </c>
      <c r="AO16" s="32">
        <f t="shared" si="13"/>
        <v>2054</v>
      </c>
      <c r="AP16" s="32">
        <f t="shared" si="13"/>
        <v>2055</v>
      </c>
      <c r="AQ16" s="32">
        <f t="shared" si="13"/>
        <v>2056</v>
      </c>
      <c r="AR16" s="32">
        <f t="shared" ref="AR16:AW16" si="14">AR7</f>
        <v>2057</v>
      </c>
      <c r="AS16" s="32">
        <f t="shared" si="14"/>
        <v>2058</v>
      </c>
      <c r="AT16" s="32">
        <f t="shared" si="14"/>
        <v>2059</v>
      </c>
      <c r="AU16" s="32">
        <f t="shared" si="14"/>
        <v>2060</v>
      </c>
      <c r="AV16" s="32">
        <f t="shared" si="14"/>
        <v>2061</v>
      </c>
      <c r="AW16" s="32">
        <f t="shared" si="14"/>
        <v>2062</v>
      </c>
    </row>
    <row r="17" spans="1:50" ht="15">
      <c r="B17" s="30"/>
      <c r="C17" s="30"/>
      <c r="E17" s="631"/>
      <c r="G17" s="150" t="s">
        <v>347</v>
      </c>
      <c r="H17" s="155">
        <f>IF(H$16=$I$11,$I$12,0)</f>
        <v>0</v>
      </c>
      <c r="I17" s="155">
        <f t="shared" ref="I17:AW17" si="15">IF(I$16=$I$11,$I$12,0)</f>
        <v>0</v>
      </c>
      <c r="J17" s="155">
        <f t="shared" si="15"/>
        <v>0</v>
      </c>
      <c r="K17" s="155">
        <f t="shared" si="15"/>
        <v>0</v>
      </c>
      <c r="L17" s="155">
        <f t="shared" si="15"/>
        <v>0</v>
      </c>
      <c r="M17" s="155">
        <f t="shared" si="15"/>
        <v>0</v>
      </c>
      <c r="N17" s="155">
        <f t="shared" si="15"/>
        <v>0</v>
      </c>
      <c r="O17" s="155">
        <f t="shared" si="15"/>
        <v>0</v>
      </c>
      <c r="P17" s="155">
        <f t="shared" si="15"/>
        <v>0</v>
      </c>
      <c r="Q17" s="155">
        <f t="shared" si="15"/>
        <v>0</v>
      </c>
      <c r="R17" s="155">
        <f t="shared" si="15"/>
        <v>0</v>
      </c>
      <c r="S17" s="155">
        <f t="shared" si="15"/>
        <v>0</v>
      </c>
      <c r="T17" s="155">
        <f t="shared" si="15"/>
        <v>0</v>
      </c>
      <c r="U17" s="155">
        <f t="shared" si="15"/>
        <v>0</v>
      </c>
      <c r="V17" s="155">
        <f t="shared" si="15"/>
        <v>0</v>
      </c>
      <c r="W17" s="155">
        <f t="shared" si="15"/>
        <v>0</v>
      </c>
      <c r="X17" s="155">
        <f t="shared" si="15"/>
        <v>0</v>
      </c>
      <c r="Y17" s="155">
        <f t="shared" si="15"/>
        <v>0</v>
      </c>
      <c r="Z17" s="155">
        <f t="shared" si="15"/>
        <v>0</v>
      </c>
      <c r="AA17" s="155">
        <f t="shared" si="15"/>
        <v>0</v>
      </c>
      <c r="AB17" s="155">
        <f t="shared" si="15"/>
        <v>0</v>
      </c>
      <c r="AC17" s="155">
        <f t="shared" si="15"/>
        <v>0</v>
      </c>
      <c r="AD17" s="155">
        <f t="shared" si="15"/>
        <v>0</v>
      </c>
      <c r="AE17" s="155">
        <f t="shared" si="15"/>
        <v>0</v>
      </c>
      <c r="AF17" s="155">
        <f t="shared" si="15"/>
        <v>0</v>
      </c>
      <c r="AG17" s="155">
        <f t="shared" si="15"/>
        <v>0</v>
      </c>
      <c r="AH17" s="155">
        <f t="shared" si="15"/>
        <v>0</v>
      </c>
      <c r="AI17" s="155">
        <f t="shared" si="15"/>
        <v>0</v>
      </c>
      <c r="AJ17" s="155">
        <f t="shared" si="15"/>
        <v>0</v>
      </c>
      <c r="AK17" s="155">
        <f t="shared" si="15"/>
        <v>0</v>
      </c>
      <c r="AL17" s="155">
        <f t="shared" si="15"/>
        <v>0</v>
      </c>
      <c r="AM17" s="155">
        <f t="shared" si="15"/>
        <v>0</v>
      </c>
      <c r="AN17" s="155">
        <f t="shared" si="15"/>
        <v>0</v>
      </c>
      <c r="AO17" s="155">
        <f t="shared" si="15"/>
        <v>0</v>
      </c>
      <c r="AP17" s="155">
        <f t="shared" si="15"/>
        <v>0</v>
      </c>
      <c r="AQ17" s="155">
        <f t="shared" si="15"/>
        <v>0</v>
      </c>
      <c r="AR17" s="155">
        <f t="shared" si="15"/>
        <v>0</v>
      </c>
      <c r="AS17" s="155">
        <f t="shared" si="15"/>
        <v>0</v>
      </c>
      <c r="AT17" s="155">
        <f t="shared" si="15"/>
        <v>0</v>
      </c>
      <c r="AU17" s="155">
        <f t="shared" si="15"/>
        <v>0</v>
      </c>
      <c r="AV17" s="155">
        <f t="shared" si="15"/>
        <v>0</v>
      </c>
      <c r="AW17" s="155">
        <f t="shared" si="15"/>
        <v>0</v>
      </c>
    </row>
    <row r="18" spans="1:50" s="148" customFormat="1" ht="15">
      <c r="A18"/>
      <c r="B18" s="30"/>
      <c r="C18" s="30"/>
      <c r="D18"/>
      <c r="E18"/>
      <c r="F18" s="147"/>
      <c r="G18" s="831" t="s">
        <v>348</v>
      </c>
      <c r="H18" s="155">
        <f>IF(H$16=$I$11,$I$13,0)</f>
        <v>0</v>
      </c>
      <c r="I18" s="155">
        <f t="shared" ref="I18:AW18" si="16">IF(I$16=$I$11,$I$13,0)</f>
        <v>0</v>
      </c>
      <c r="J18" s="155">
        <f t="shared" si="16"/>
        <v>0</v>
      </c>
      <c r="K18" s="155">
        <f t="shared" si="16"/>
        <v>0</v>
      </c>
      <c r="L18" s="155">
        <f t="shared" si="16"/>
        <v>0</v>
      </c>
      <c r="M18" s="155">
        <f t="shared" si="16"/>
        <v>0</v>
      </c>
      <c r="N18" s="155">
        <f t="shared" si="16"/>
        <v>0</v>
      </c>
      <c r="O18" s="155">
        <f t="shared" si="16"/>
        <v>0</v>
      </c>
      <c r="P18" s="155">
        <f t="shared" si="16"/>
        <v>0</v>
      </c>
      <c r="Q18" s="155">
        <f t="shared" si="16"/>
        <v>0</v>
      </c>
      <c r="R18" s="155">
        <f t="shared" si="16"/>
        <v>0</v>
      </c>
      <c r="S18" s="155">
        <f t="shared" si="16"/>
        <v>0</v>
      </c>
      <c r="T18" s="155">
        <f t="shared" si="16"/>
        <v>0</v>
      </c>
      <c r="U18" s="155">
        <f t="shared" si="16"/>
        <v>0</v>
      </c>
      <c r="V18" s="155">
        <f t="shared" si="16"/>
        <v>0</v>
      </c>
      <c r="W18" s="155">
        <f t="shared" si="16"/>
        <v>0</v>
      </c>
      <c r="X18" s="155">
        <f t="shared" si="16"/>
        <v>0</v>
      </c>
      <c r="Y18" s="155">
        <f t="shared" si="16"/>
        <v>0</v>
      </c>
      <c r="Z18" s="155">
        <f t="shared" si="16"/>
        <v>0</v>
      </c>
      <c r="AA18" s="155">
        <f t="shared" si="16"/>
        <v>0</v>
      </c>
      <c r="AB18" s="155">
        <f t="shared" si="16"/>
        <v>0</v>
      </c>
      <c r="AC18" s="155">
        <f t="shared" si="16"/>
        <v>0</v>
      </c>
      <c r="AD18" s="155">
        <f t="shared" si="16"/>
        <v>0</v>
      </c>
      <c r="AE18" s="155">
        <f t="shared" si="16"/>
        <v>0</v>
      </c>
      <c r="AF18" s="155">
        <f t="shared" si="16"/>
        <v>0</v>
      </c>
      <c r="AG18" s="155">
        <f t="shared" si="16"/>
        <v>0</v>
      </c>
      <c r="AH18" s="155">
        <f t="shared" si="16"/>
        <v>0</v>
      </c>
      <c r="AI18" s="155">
        <f t="shared" si="16"/>
        <v>0</v>
      </c>
      <c r="AJ18" s="155">
        <f t="shared" si="16"/>
        <v>0</v>
      </c>
      <c r="AK18" s="155">
        <f t="shared" si="16"/>
        <v>0</v>
      </c>
      <c r="AL18" s="155">
        <f t="shared" si="16"/>
        <v>0</v>
      </c>
      <c r="AM18" s="155">
        <f t="shared" si="16"/>
        <v>0</v>
      </c>
      <c r="AN18" s="155">
        <f t="shared" si="16"/>
        <v>0</v>
      </c>
      <c r="AO18" s="155">
        <f t="shared" si="16"/>
        <v>0</v>
      </c>
      <c r="AP18" s="155">
        <f t="shared" si="16"/>
        <v>0</v>
      </c>
      <c r="AQ18" s="155">
        <f t="shared" si="16"/>
        <v>0</v>
      </c>
      <c r="AR18" s="155">
        <f t="shared" si="16"/>
        <v>0</v>
      </c>
      <c r="AS18" s="155">
        <f t="shared" si="16"/>
        <v>0</v>
      </c>
      <c r="AT18" s="155">
        <f t="shared" si="16"/>
        <v>0</v>
      </c>
      <c r="AU18" s="155">
        <f t="shared" si="16"/>
        <v>0</v>
      </c>
      <c r="AV18" s="155">
        <f t="shared" si="16"/>
        <v>0</v>
      </c>
      <c r="AW18" s="155">
        <f t="shared" si="16"/>
        <v>0</v>
      </c>
      <c r="AX18" s="147"/>
    </row>
    <row r="19" spans="1:50" s="148" customFormat="1" ht="15">
      <c r="A19"/>
      <c r="B19" s="30"/>
      <c r="C19" s="1100"/>
      <c r="D19"/>
      <c r="E19"/>
      <c r="F19" s="147"/>
      <c r="G19" s="157" t="s">
        <v>349</v>
      </c>
      <c r="H19" s="159">
        <f>SUM(H17:H18)</f>
        <v>0</v>
      </c>
      <c r="I19" s="159">
        <f t="shared" ref="I19:AQ19" si="17">SUM(I17:I18)</f>
        <v>0</v>
      </c>
      <c r="J19" s="159">
        <f t="shared" si="17"/>
        <v>0</v>
      </c>
      <c r="K19" s="159">
        <f t="shared" si="17"/>
        <v>0</v>
      </c>
      <c r="L19" s="159">
        <f t="shared" si="17"/>
        <v>0</v>
      </c>
      <c r="M19" s="159">
        <f t="shared" si="17"/>
        <v>0</v>
      </c>
      <c r="N19" s="159">
        <f t="shared" si="17"/>
        <v>0</v>
      </c>
      <c r="O19" s="159">
        <f t="shared" si="17"/>
        <v>0</v>
      </c>
      <c r="P19" s="159">
        <f t="shared" si="17"/>
        <v>0</v>
      </c>
      <c r="Q19" s="159">
        <f t="shared" si="17"/>
        <v>0</v>
      </c>
      <c r="R19" s="159">
        <f t="shared" si="17"/>
        <v>0</v>
      </c>
      <c r="S19" s="159">
        <f t="shared" si="17"/>
        <v>0</v>
      </c>
      <c r="T19" s="159">
        <f t="shared" si="17"/>
        <v>0</v>
      </c>
      <c r="U19" s="159">
        <f t="shared" si="17"/>
        <v>0</v>
      </c>
      <c r="V19" s="159">
        <f t="shared" si="17"/>
        <v>0</v>
      </c>
      <c r="W19" s="159">
        <f t="shared" si="17"/>
        <v>0</v>
      </c>
      <c r="X19" s="159">
        <f t="shared" si="17"/>
        <v>0</v>
      </c>
      <c r="Y19" s="159">
        <f t="shared" si="17"/>
        <v>0</v>
      </c>
      <c r="Z19" s="159">
        <f t="shared" si="17"/>
        <v>0</v>
      </c>
      <c r="AA19" s="159">
        <f t="shared" si="17"/>
        <v>0</v>
      </c>
      <c r="AB19" s="159">
        <f t="shared" si="17"/>
        <v>0</v>
      </c>
      <c r="AC19" s="159">
        <f t="shared" si="17"/>
        <v>0</v>
      </c>
      <c r="AD19" s="159">
        <f t="shared" si="17"/>
        <v>0</v>
      </c>
      <c r="AE19" s="159">
        <f t="shared" si="17"/>
        <v>0</v>
      </c>
      <c r="AF19" s="159">
        <f t="shared" si="17"/>
        <v>0</v>
      </c>
      <c r="AG19" s="159">
        <f t="shared" si="17"/>
        <v>0</v>
      </c>
      <c r="AH19" s="159">
        <f t="shared" si="17"/>
        <v>0</v>
      </c>
      <c r="AI19" s="159">
        <f t="shared" si="17"/>
        <v>0</v>
      </c>
      <c r="AJ19" s="159">
        <f t="shared" si="17"/>
        <v>0</v>
      </c>
      <c r="AK19" s="159">
        <f t="shared" si="17"/>
        <v>0</v>
      </c>
      <c r="AL19" s="159">
        <f t="shared" si="17"/>
        <v>0</v>
      </c>
      <c r="AM19" s="159">
        <f t="shared" si="17"/>
        <v>0</v>
      </c>
      <c r="AN19" s="159">
        <f t="shared" si="17"/>
        <v>0</v>
      </c>
      <c r="AO19" s="159">
        <f t="shared" si="17"/>
        <v>0</v>
      </c>
      <c r="AP19" s="159">
        <f t="shared" si="17"/>
        <v>0</v>
      </c>
      <c r="AQ19" s="159">
        <f t="shared" si="17"/>
        <v>0</v>
      </c>
      <c r="AR19" s="159">
        <f t="shared" ref="AR19:AW19" si="18">SUM(AR17:AR18)</f>
        <v>0</v>
      </c>
      <c r="AS19" s="159">
        <f t="shared" si="18"/>
        <v>0</v>
      </c>
      <c r="AT19" s="159">
        <f t="shared" si="18"/>
        <v>0</v>
      </c>
      <c r="AU19" s="159">
        <f t="shared" si="18"/>
        <v>0</v>
      </c>
      <c r="AV19" s="159">
        <f t="shared" si="18"/>
        <v>0</v>
      </c>
      <c r="AW19" s="159">
        <f t="shared" si="18"/>
        <v>0</v>
      </c>
      <c r="AX19" s="147"/>
    </row>
    <row r="20" spans="1:50" s="148" customFormat="1" ht="15">
      <c r="A20"/>
      <c r="B20" s="30"/>
      <c r="C20" s="1100"/>
      <c r="D20"/>
      <c r="E20"/>
      <c r="F20" s="147"/>
      <c r="J20" s="167"/>
      <c r="K20" s="167"/>
      <c r="L20" s="167"/>
      <c r="M20" s="168"/>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47"/>
      <c r="AX20" s="147"/>
    </row>
    <row r="21" spans="1:50" s="148" customFormat="1" ht="15">
      <c r="A21"/>
      <c r="B21" s="30"/>
      <c r="C21" s="1101"/>
      <c r="D21"/>
      <c r="E21" s="1092"/>
      <c r="F21" s="147"/>
      <c r="J21" s="167"/>
      <c r="K21" s="167"/>
      <c r="L21" s="167"/>
      <c r="M21" s="168"/>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47"/>
      <c r="AX21" s="147"/>
    </row>
    <row r="22" spans="1:50" s="148" customFormat="1" ht="15">
      <c r="A22"/>
      <c r="B22" s="33"/>
      <c r="C22" s="1101"/>
      <c r="D22" s="30"/>
      <c r="E22" s="1092"/>
      <c r="F22" s="147"/>
      <c r="G22" s="147"/>
      <c r="H22" s="147"/>
      <c r="I22" s="156"/>
      <c r="J22" s="167"/>
      <c r="K22" s="167"/>
      <c r="L22" s="827"/>
      <c r="M22" s="168"/>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47"/>
      <c r="AX22" s="147"/>
    </row>
    <row r="23" spans="1:50">
      <c r="D23" s="30"/>
      <c r="E23" s="632"/>
    </row>
    <row r="24" spans="1:50" ht="15">
      <c r="D24" s="30"/>
      <c r="E24" s="631"/>
    </row>
    <row r="25" spans="1:50">
      <c r="A25" s="1267" t="s">
        <v>1026</v>
      </c>
      <c r="B25" s="1267"/>
      <c r="C25" s="1267"/>
      <c r="D25" s="1267"/>
      <c r="E25" s="1267"/>
      <c r="F25" s="1267"/>
      <c r="G25" s="1267"/>
      <c r="H25" s="1267"/>
      <c r="I25" s="1267"/>
      <c r="J25" s="1267"/>
      <c r="L25" s="828"/>
    </row>
    <row r="26" spans="1:50" ht="15.75">
      <c r="A26" s="1097" t="s">
        <v>350</v>
      </c>
      <c r="B26" s="1097" t="s">
        <v>351</v>
      </c>
      <c r="C26" s="1097" t="s">
        <v>352</v>
      </c>
      <c r="D26" s="1097" t="s">
        <v>353</v>
      </c>
      <c r="E26" s="1097" t="s">
        <v>354</v>
      </c>
      <c r="F26" s="1097" t="s">
        <v>355</v>
      </c>
      <c r="G26" s="1097" t="s">
        <v>356</v>
      </c>
      <c r="H26" s="1097" t="s">
        <v>357</v>
      </c>
      <c r="I26" s="1098" t="s">
        <v>358</v>
      </c>
      <c r="J26" s="1098"/>
      <c r="L26" s="829"/>
    </row>
    <row r="27" spans="1:50">
      <c r="A27" s="569" t="s">
        <v>359</v>
      </c>
      <c r="B27" s="569">
        <v>18</v>
      </c>
      <c r="C27" s="1096">
        <v>5000000</v>
      </c>
      <c r="D27" s="1096">
        <f>C27*Inputs!$E$12</f>
        <v>4850000</v>
      </c>
      <c r="E27" s="1096">
        <f>D27/B27</f>
        <v>269444.44444444444</v>
      </c>
      <c r="F27" s="569">
        <v>4</v>
      </c>
      <c r="G27" s="569">
        <v>2025</v>
      </c>
      <c r="H27" s="569">
        <v>9</v>
      </c>
      <c r="I27" s="826">
        <v>2026</v>
      </c>
      <c r="J27" s="826"/>
      <c r="K27" s="1108">
        <f>D27/$D$32</f>
        <v>2.8198658420626979E-2</v>
      </c>
    </row>
    <row r="28" spans="1:50">
      <c r="A28" s="569" t="s">
        <v>360</v>
      </c>
      <c r="B28" s="569">
        <v>12</v>
      </c>
      <c r="C28" s="1096">
        <v>2400000</v>
      </c>
      <c r="D28" s="1096">
        <f>C28*Inputs!$E$12</f>
        <v>2328000</v>
      </c>
      <c r="E28" s="1096">
        <f t="shared" ref="E28:E31" si="19">D28/B28</f>
        <v>194000</v>
      </c>
      <c r="F28" s="569">
        <v>10</v>
      </c>
      <c r="G28" s="569">
        <v>2026</v>
      </c>
      <c r="H28" s="569">
        <v>9</v>
      </c>
      <c r="I28" s="826">
        <v>2027</v>
      </c>
      <c r="J28" s="826"/>
      <c r="K28" s="1108">
        <f t="shared" ref="K28:K32" si="20">D28/$D$32</f>
        <v>1.353535604190095E-2</v>
      </c>
    </row>
    <row r="29" spans="1:50">
      <c r="A29" s="569" t="s">
        <v>361</v>
      </c>
      <c r="B29" s="569">
        <v>12</v>
      </c>
      <c r="C29" s="1096">
        <v>6000000</v>
      </c>
      <c r="D29" s="1096">
        <f>C29*Inputs!$E$12</f>
        <v>5820000</v>
      </c>
      <c r="E29" s="1096">
        <f t="shared" si="19"/>
        <v>485000</v>
      </c>
      <c r="F29" s="569">
        <v>10</v>
      </c>
      <c r="G29" s="569">
        <v>2026</v>
      </c>
      <c r="H29" s="569">
        <v>9</v>
      </c>
      <c r="I29" s="826">
        <v>2027</v>
      </c>
      <c r="J29" s="826"/>
      <c r="K29" s="1108">
        <f t="shared" si="20"/>
        <v>3.3838390104752376E-2</v>
      </c>
    </row>
    <row r="30" spans="1:50">
      <c r="A30" s="569" t="s">
        <v>362</v>
      </c>
      <c r="B30" s="569">
        <v>18</v>
      </c>
      <c r="C30" s="1096">
        <v>3600000</v>
      </c>
      <c r="D30" s="1096">
        <f>C30*Inputs!$E$12</f>
        <v>3492000</v>
      </c>
      <c r="E30" s="1096">
        <f t="shared" si="19"/>
        <v>194000</v>
      </c>
      <c r="F30" s="569">
        <v>10</v>
      </c>
      <c r="G30" s="569">
        <v>2027</v>
      </c>
      <c r="H30" s="569">
        <v>3</v>
      </c>
      <c r="I30" s="826">
        <v>2029</v>
      </c>
      <c r="J30" s="826"/>
      <c r="K30" s="1108">
        <f t="shared" si="20"/>
        <v>2.0303034062851427E-2</v>
      </c>
    </row>
    <row r="31" spans="1:50">
      <c r="A31" s="569" t="s">
        <v>347</v>
      </c>
      <c r="B31" s="569">
        <v>18</v>
      </c>
      <c r="C31" s="1096">
        <v>160313400</v>
      </c>
      <c r="D31" s="1096">
        <f>C31*Inputs!$E$12</f>
        <v>155503998</v>
      </c>
      <c r="E31" s="1096">
        <f t="shared" si="19"/>
        <v>8639111</v>
      </c>
      <c r="F31" s="569">
        <v>10</v>
      </c>
      <c r="G31" s="569">
        <v>2027</v>
      </c>
      <c r="H31" s="569">
        <v>3</v>
      </c>
      <c r="I31" s="826">
        <v>2029</v>
      </c>
      <c r="J31" s="826"/>
      <c r="K31" s="1108">
        <f t="shared" si="20"/>
        <v>0.9041245613698683</v>
      </c>
    </row>
    <row r="32" spans="1:50">
      <c r="A32" s="569"/>
      <c r="B32" s="569"/>
      <c r="C32" s="1096">
        <f>SUM(C27:C31)</f>
        <v>177313400</v>
      </c>
      <c r="D32" s="1096">
        <f>SUM(D27:D31)</f>
        <v>171993998</v>
      </c>
      <c r="E32" s="600"/>
      <c r="F32" s="569"/>
      <c r="G32" s="569"/>
      <c r="H32" s="569"/>
      <c r="I32" s="826"/>
      <c r="J32" s="826"/>
      <c r="K32" s="1108">
        <f t="shared" si="20"/>
        <v>1</v>
      </c>
    </row>
    <row r="33" spans="1:34" ht="15.75">
      <c r="B33" s="1097"/>
      <c r="C33" s="1097">
        <v>2024</v>
      </c>
      <c r="D33" s="1097">
        <f>C33+1</f>
        <v>2025</v>
      </c>
      <c r="E33" s="1097">
        <f>D33+1</f>
        <v>2026</v>
      </c>
      <c r="F33" s="1097">
        <f t="shared" ref="F33:J33" si="21">E33+1</f>
        <v>2027</v>
      </c>
      <c r="G33" s="1097">
        <f t="shared" si="21"/>
        <v>2028</v>
      </c>
      <c r="H33" s="1097">
        <f t="shared" si="21"/>
        <v>2029</v>
      </c>
      <c r="I33" s="1098">
        <f t="shared" si="21"/>
        <v>2030</v>
      </c>
      <c r="J33" s="1098">
        <f t="shared" si="21"/>
        <v>2031</v>
      </c>
    </row>
    <row r="34" spans="1:34">
      <c r="B34" s="569" t="str">
        <f>A27</f>
        <v>NEPA and PE</v>
      </c>
      <c r="C34" s="569"/>
      <c r="D34" s="1096">
        <f>(12-F27+1)*E27</f>
        <v>2425000</v>
      </c>
      <c r="E34" s="1096">
        <f>H27*E27</f>
        <v>2425000</v>
      </c>
      <c r="F34" s="569"/>
      <c r="G34" s="569"/>
      <c r="H34" s="569"/>
      <c r="I34" s="826"/>
      <c r="J34" s="826"/>
    </row>
    <row r="35" spans="1:34">
      <c r="B35" s="569" t="str">
        <f>A28</f>
        <v>Final Design</v>
      </c>
      <c r="C35" s="569"/>
      <c r="D35" s="569"/>
      <c r="E35" s="1096">
        <f>(12-F28+1)*E28</f>
        <v>582000</v>
      </c>
      <c r="F35" s="1096">
        <f>H28*E28</f>
        <v>1746000</v>
      </c>
      <c r="G35" s="569"/>
      <c r="H35" s="569"/>
      <c r="I35" s="826"/>
      <c r="J35" s="826"/>
    </row>
    <row r="36" spans="1:34">
      <c r="B36" s="569" t="str">
        <f>A29</f>
        <v>Property Acquisition</v>
      </c>
      <c r="C36" s="569"/>
      <c r="D36" s="569"/>
      <c r="E36" s="1096">
        <f>(12-F29+1)*E29</f>
        <v>1455000</v>
      </c>
      <c r="F36" s="1096">
        <f>H29*E29</f>
        <v>4365000</v>
      </c>
      <c r="G36" s="569"/>
      <c r="H36" s="569"/>
      <c r="I36" s="826"/>
      <c r="J36" s="826"/>
    </row>
    <row r="37" spans="1:34">
      <c r="B37" s="569" t="str">
        <f>A30</f>
        <v>CM</v>
      </c>
      <c r="C37" s="569"/>
      <c r="D37" s="569"/>
      <c r="E37" s="569"/>
      <c r="F37" s="1096">
        <f>(12-F30+1)*E30</f>
        <v>582000</v>
      </c>
      <c r="G37" s="1096">
        <f>12*E30</f>
        <v>2328000</v>
      </c>
      <c r="H37" s="1096">
        <f>H30*E30</f>
        <v>582000</v>
      </c>
      <c r="I37" s="826"/>
      <c r="J37" s="826"/>
    </row>
    <row r="38" spans="1:34">
      <c r="B38" s="569" t="str">
        <f>A31</f>
        <v>Construction</v>
      </c>
      <c r="C38" s="569"/>
      <c r="D38" s="569"/>
      <c r="E38" s="569"/>
      <c r="F38" s="1096">
        <f>(12-F31+1)*E31</f>
        <v>25917333</v>
      </c>
      <c r="G38" s="1096">
        <f>12*E31</f>
        <v>103669332</v>
      </c>
      <c r="H38" s="1096">
        <f>H31*E31</f>
        <v>25917333</v>
      </c>
      <c r="I38" s="826"/>
      <c r="J38" s="826"/>
    </row>
    <row r="39" spans="1:34">
      <c r="B39" s="569"/>
      <c r="C39" s="569"/>
      <c r="D39" s="569"/>
      <c r="E39" s="569"/>
      <c r="F39" s="569"/>
      <c r="G39" s="569"/>
      <c r="H39" s="569"/>
      <c r="I39" s="826"/>
      <c r="J39" s="826"/>
      <c r="K39" s="33" t="s">
        <v>363</v>
      </c>
    </row>
    <row r="40" spans="1:34">
      <c r="C40" s="1096">
        <f>SUM(C34:C39)</f>
        <v>0</v>
      </c>
      <c r="D40" s="1096">
        <f t="shared" ref="D40" si="22">SUM(D34:D39)</f>
        <v>2425000</v>
      </c>
      <c r="E40" s="1096">
        <f t="shared" ref="E40:J40" si="23">SUM(E34:E39)</f>
        <v>4462000</v>
      </c>
      <c r="F40" s="1096">
        <f t="shared" si="23"/>
        <v>32610333</v>
      </c>
      <c r="G40" s="1096">
        <f t="shared" si="23"/>
        <v>105997332</v>
      </c>
      <c r="H40" s="1096">
        <f t="shared" si="23"/>
        <v>26499333</v>
      </c>
      <c r="I40" s="1096">
        <f t="shared" si="23"/>
        <v>0</v>
      </c>
      <c r="J40" s="1096">
        <f t="shared" si="23"/>
        <v>0</v>
      </c>
      <c r="K40" s="1102">
        <f>SUM(C40:J40)</f>
        <v>171993998</v>
      </c>
      <c r="L40" s="34" t="b">
        <f>K40=D32</f>
        <v>1</v>
      </c>
    </row>
    <row r="41" spans="1:34">
      <c r="E41" s="30"/>
    </row>
    <row r="44" spans="1:34">
      <c r="B44" t="s">
        <v>364</v>
      </c>
      <c r="C44">
        <v>2030</v>
      </c>
    </row>
    <row r="46" spans="1:34">
      <c r="B46">
        <v>1</v>
      </c>
      <c r="C46">
        <v>2</v>
      </c>
      <c r="D46">
        <v>3</v>
      </c>
      <c r="E46">
        <v>4</v>
      </c>
      <c r="F46">
        <v>5</v>
      </c>
      <c r="G46">
        <v>6</v>
      </c>
      <c r="H46">
        <v>7</v>
      </c>
      <c r="I46" s="33">
        <v>8</v>
      </c>
      <c r="J46" s="33">
        <v>9</v>
      </c>
      <c r="K46" s="33">
        <v>10</v>
      </c>
      <c r="L46">
        <v>11</v>
      </c>
      <c r="M46">
        <v>12</v>
      </c>
      <c r="N46">
        <v>13</v>
      </c>
      <c r="O46">
        <v>14</v>
      </c>
      <c r="P46">
        <v>15</v>
      </c>
      <c r="Q46">
        <v>16</v>
      </c>
      <c r="R46">
        <v>17</v>
      </c>
      <c r="S46" s="33">
        <v>18</v>
      </c>
      <c r="T46" s="33">
        <v>19</v>
      </c>
      <c r="U46" s="33">
        <v>20</v>
      </c>
      <c r="V46">
        <v>21</v>
      </c>
      <c r="W46">
        <v>22</v>
      </c>
      <c r="X46">
        <v>23</v>
      </c>
      <c r="Y46">
        <v>24</v>
      </c>
      <c r="Z46">
        <v>25</v>
      </c>
      <c r="AA46">
        <v>26</v>
      </c>
      <c r="AB46">
        <v>27</v>
      </c>
      <c r="AC46" s="33">
        <v>28</v>
      </c>
      <c r="AD46" s="33">
        <v>29</v>
      </c>
      <c r="AE46" s="33">
        <v>30</v>
      </c>
      <c r="AF46">
        <v>31</v>
      </c>
      <c r="AG46">
        <v>32</v>
      </c>
      <c r="AH46">
        <v>33</v>
      </c>
    </row>
    <row r="47" spans="1:34">
      <c r="B47">
        <f>C44</f>
        <v>2030</v>
      </c>
      <c r="C47">
        <f>B47+1</f>
        <v>2031</v>
      </c>
      <c r="D47">
        <f t="shared" ref="D47" si="24">C47+1</f>
        <v>2032</v>
      </c>
      <c r="E47">
        <f t="shared" ref="E47:AE47" si="25">D47+1</f>
        <v>2033</v>
      </c>
      <c r="F47">
        <f t="shared" si="25"/>
        <v>2034</v>
      </c>
      <c r="G47">
        <f t="shared" si="25"/>
        <v>2035</v>
      </c>
      <c r="H47">
        <f t="shared" si="25"/>
        <v>2036</v>
      </c>
      <c r="I47">
        <f t="shared" si="25"/>
        <v>2037</v>
      </c>
      <c r="J47">
        <f t="shared" si="25"/>
        <v>2038</v>
      </c>
      <c r="K47">
        <f t="shared" si="25"/>
        <v>2039</v>
      </c>
      <c r="L47">
        <f t="shared" si="25"/>
        <v>2040</v>
      </c>
      <c r="M47">
        <f t="shared" si="25"/>
        <v>2041</v>
      </c>
      <c r="N47">
        <f t="shared" si="25"/>
        <v>2042</v>
      </c>
      <c r="O47">
        <f t="shared" si="25"/>
        <v>2043</v>
      </c>
      <c r="P47">
        <f t="shared" si="25"/>
        <v>2044</v>
      </c>
      <c r="Q47">
        <f t="shared" si="25"/>
        <v>2045</v>
      </c>
      <c r="R47">
        <f t="shared" si="25"/>
        <v>2046</v>
      </c>
      <c r="S47">
        <f t="shared" si="25"/>
        <v>2047</v>
      </c>
      <c r="T47">
        <f t="shared" si="25"/>
        <v>2048</v>
      </c>
      <c r="U47">
        <f t="shared" si="25"/>
        <v>2049</v>
      </c>
      <c r="V47">
        <f t="shared" si="25"/>
        <v>2050</v>
      </c>
      <c r="W47">
        <f t="shared" si="25"/>
        <v>2051</v>
      </c>
      <c r="X47">
        <f t="shared" si="25"/>
        <v>2052</v>
      </c>
      <c r="Y47">
        <f t="shared" si="25"/>
        <v>2053</v>
      </c>
      <c r="Z47">
        <f t="shared" si="25"/>
        <v>2054</v>
      </c>
      <c r="AA47">
        <f t="shared" si="25"/>
        <v>2055</v>
      </c>
      <c r="AB47">
        <f t="shared" si="25"/>
        <v>2056</v>
      </c>
      <c r="AC47">
        <f t="shared" si="25"/>
        <v>2057</v>
      </c>
      <c r="AD47">
        <f t="shared" si="25"/>
        <v>2058</v>
      </c>
      <c r="AE47">
        <f t="shared" si="25"/>
        <v>2059</v>
      </c>
      <c r="AF47">
        <f t="shared" ref="AF47:AG47" si="26">AE47+1</f>
        <v>2060</v>
      </c>
      <c r="AG47">
        <f t="shared" si="26"/>
        <v>2061</v>
      </c>
      <c r="AH47">
        <f t="shared" ref="AH47" si="27">AG47+1</f>
        <v>2062</v>
      </c>
    </row>
    <row r="48" spans="1:34">
      <c r="A48" t="s">
        <v>365</v>
      </c>
      <c r="B48" s="1095">
        <v>-43650</v>
      </c>
      <c r="C48" s="1095">
        <v>-43650</v>
      </c>
      <c r="D48" s="1095">
        <v>-43650</v>
      </c>
      <c r="E48" s="1095">
        <v>-67900</v>
      </c>
      <c r="F48" s="1095">
        <v>-67900</v>
      </c>
      <c r="G48" s="1095">
        <v>-687730</v>
      </c>
      <c r="H48" s="1095">
        <v>-67900</v>
      </c>
      <c r="I48" s="1095">
        <v>-67900</v>
      </c>
      <c r="J48" s="1095">
        <v>-687730</v>
      </c>
      <c r="K48" s="1095">
        <v>-67900</v>
      </c>
      <c r="L48" s="1095">
        <v>-698250.76923076913</v>
      </c>
      <c r="M48" s="1095">
        <v>-1318080.769230769</v>
      </c>
      <c r="N48" s="1095">
        <v>-698250.76923076913</v>
      </c>
      <c r="O48" s="1095">
        <v>-698250.76923076913</v>
      </c>
      <c r="P48" s="1095">
        <v>-1318080.769230769</v>
      </c>
      <c r="Q48" s="1095">
        <v>-698250.76923076913</v>
      </c>
      <c r="R48" s="1095">
        <v>-698250.76923076913</v>
      </c>
      <c r="S48" s="1095">
        <v>-1318080.769230769</v>
      </c>
      <c r="T48" s="1095">
        <v>-698250.76923076913</v>
      </c>
      <c r="U48" s="1095">
        <v>-698250.76923076913</v>
      </c>
      <c r="V48" s="1095">
        <v>-1318080.769230769</v>
      </c>
      <c r="W48" s="1095">
        <v>-698250.76923076913</v>
      </c>
      <c r="X48" s="1095">
        <v>-698250.76923076913</v>
      </c>
      <c r="Y48" s="1095">
        <v>-1318080.769230769</v>
      </c>
      <c r="Z48" s="1095">
        <v>-698250.76923076913</v>
      </c>
      <c r="AA48" s="1095">
        <v>-698250.76923076913</v>
      </c>
      <c r="AB48" s="1095">
        <v>-1318080.769230769</v>
      </c>
      <c r="AC48" s="1095">
        <v>-698250.76923076913</v>
      </c>
      <c r="AD48" s="1095">
        <v>-698250.76923076913</v>
      </c>
      <c r="AE48" s="1095">
        <v>-1318080.769230769</v>
      </c>
      <c r="AF48" s="1095">
        <v>-719846.15384615376</v>
      </c>
      <c r="AG48" s="1095">
        <v>-719846.15384615376</v>
      </c>
      <c r="AH48" s="1095">
        <v>-1358846.1538461538</v>
      </c>
    </row>
    <row r="49" spans="1:34">
      <c r="A49" t="s">
        <v>366</v>
      </c>
      <c r="B49" s="1095">
        <f>$C$54</f>
        <v>-240000</v>
      </c>
      <c r="C49" s="1095">
        <f t="shared" ref="C49:AH49" si="28">$C$54</f>
        <v>-240000</v>
      </c>
      <c r="D49" s="1095">
        <f t="shared" si="28"/>
        <v>-240000</v>
      </c>
      <c r="E49" s="1095">
        <f t="shared" si="28"/>
        <v>-240000</v>
      </c>
      <c r="F49" s="1095">
        <f t="shared" si="28"/>
        <v>-240000</v>
      </c>
      <c r="G49" s="1095">
        <f t="shared" si="28"/>
        <v>-240000</v>
      </c>
      <c r="H49" s="1095">
        <f t="shared" si="28"/>
        <v>-240000</v>
      </c>
      <c r="I49" s="1095">
        <f t="shared" si="28"/>
        <v>-240000</v>
      </c>
      <c r="J49" s="1095">
        <f t="shared" si="28"/>
        <v>-240000</v>
      </c>
      <c r="K49" s="1095">
        <f t="shared" si="28"/>
        <v>-240000</v>
      </c>
      <c r="L49" s="1095">
        <f t="shared" si="28"/>
        <v>-240000</v>
      </c>
      <c r="M49" s="1095">
        <f t="shared" si="28"/>
        <v>-240000</v>
      </c>
      <c r="N49" s="1095">
        <f t="shared" si="28"/>
        <v>-240000</v>
      </c>
      <c r="O49" s="1095">
        <f t="shared" si="28"/>
        <v>-240000</v>
      </c>
      <c r="P49" s="1095">
        <f t="shared" si="28"/>
        <v>-240000</v>
      </c>
      <c r="Q49" s="1095">
        <f t="shared" si="28"/>
        <v>-240000</v>
      </c>
      <c r="R49" s="1095">
        <f t="shared" si="28"/>
        <v>-240000</v>
      </c>
      <c r="S49" s="1095">
        <f t="shared" si="28"/>
        <v>-240000</v>
      </c>
      <c r="T49" s="1095">
        <f t="shared" si="28"/>
        <v>-240000</v>
      </c>
      <c r="U49" s="1095">
        <f t="shared" si="28"/>
        <v>-240000</v>
      </c>
      <c r="V49" s="1095">
        <f t="shared" si="28"/>
        <v>-240000</v>
      </c>
      <c r="W49" s="1095">
        <f t="shared" si="28"/>
        <v>-240000</v>
      </c>
      <c r="X49" s="1095">
        <f t="shared" si="28"/>
        <v>-240000</v>
      </c>
      <c r="Y49" s="1095">
        <f t="shared" si="28"/>
        <v>-240000</v>
      </c>
      <c r="Z49" s="1095">
        <f t="shared" si="28"/>
        <v>-240000</v>
      </c>
      <c r="AA49" s="1095">
        <f t="shared" si="28"/>
        <v>-240000</v>
      </c>
      <c r="AB49" s="1095">
        <f t="shared" si="28"/>
        <v>-240000</v>
      </c>
      <c r="AC49" s="1095">
        <f t="shared" si="28"/>
        <v>-240000</v>
      </c>
      <c r="AD49" s="1095">
        <f t="shared" si="28"/>
        <v>-240000</v>
      </c>
      <c r="AE49" s="1095">
        <f t="shared" si="28"/>
        <v>-240000</v>
      </c>
      <c r="AF49" s="1095">
        <f t="shared" si="28"/>
        <v>-240000</v>
      </c>
      <c r="AG49" s="1095">
        <f t="shared" si="28"/>
        <v>-240000</v>
      </c>
      <c r="AH49" s="1095">
        <f t="shared" si="28"/>
        <v>-240000</v>
      </c>
    </row>
    <row r="50" spans="1:34">
      <c r="A50" t="s">
        <v>78</v>
      </c>
      <c r="B50" s="1095">
        <f>SUM(B48:B49)</f>
        <v>-283650</v>
      </c>
      <c r="C50" s="1095">
        <f t="shared" ref="C50:AH50" si="29">SUM(C48:C49)</f>
        <v>-283650</v>
      </c>
      <c r="D50" s="1095">
        <f t="shared" si="29"/>
        <v>-283650</v>
      </c>
      <c r="E50" s="1095">
        <f>SUM(E48:E49)</f>
        <v>-307900</v>
      </c>
      <c r="F50" s="1095">
        <f t="shared" si="29"/>
        <v>-307900</v>
      </c>
      <c r="G50" s="1095">
        <f t="shared" si="29"/>
        <v>-927730</v>
      </c>
      <c r="H50" s="1095">
        <f t="shared" si="29"/>
        <v>-307900</v>
      </c>
      <c r="I50" s="1095">
        <f t="shared" si="29"/>
        <v>-307900</v>
      </c>
      <c r="J50" s="1095">
        <f t="shared" si="29"/>
        <v>-927730</v>
      </c>
      <c r="K50" s="1095">
        <f t="shared" si="29"/>
        <v>-307900</v>
      </c>
      <c r="L50" s="1095">
        <f t="shared" si="29"/>
        <v>-938250.76923076913</v>
      </c>
      <c r="M50" s="1095">
        <f t="shared" si="29"/>
        <v>-1558080.769230769</v>
      </c>
      <c r="N50" s="1095">
        <f t="shared" si="29"/>
        <v>-938250.76923076913</v>
      </c>
      <c r="O50" s="1095">
        <f t="shared" si="29"/>
        <v>-938250.76923076913</v>
      </c>
      <c r="P50" s="1095">
        <f t="shared" si="29"/>
        <v>-1558080.769230769</v>
      </c>
      <c r="Q50" s="1095">
        <f t="shared" si="29"/>
        <v>-938250.76923076913</v>
      </c>
      <c r="R50" s="1095">
        <f t="shared" si="29"/>
        <v>-938250.76923076913</v>
      </c>
      <c r="S50" s="1095">
        <f t="shared" si="29"/>
        <v>-1558080.769230769</v>
      </c>
      <c r="T50" s="1095">
        <f t="shared" si="29"/>
        <v>-938250.76923076913</v>
      </c>
      <c r="U50" s="1095">
        <f t="shared" si="29"/>
        <v>-938250.76923076913</v>
      </c>
      <c r="V50" s="1095">
        <f t="shared" si="29"/>
        <v>-1558080.769230769</v>
      </c>
      <c r="W50" s="1095">
        <f t="shared" si="29"/>
        <v>-938250.76923076913</v>
      </c>
      <c r="X50" s="1095">
        <f t="shared" si="29"/>
        <v>-938250.76923076913</v>
      </c>
      <c r="Y50" s="1095">
        <f t="shared" si="29"/>
        <v>-1558080.769230769</v>
      </c>
      <c r="Z50" s="1095">
        <f t="shared" si="29"/>
        <v>-938250.76923076913</v>
      </c>
      <c r="AA50" s="1095">
        <f t="shared" si="29"/>
        <v>-938250.76923076913</v>
      </c>
      <c r="AB50" s="1095">
        <f t="shared" si="29"/>
        <v>-1558080.769230769</v>
      </c>
      <c r="AC50" s="1095">
        <f t="shared" si="29"/>
        <v>-938250.76923076913</v>
      </c>
      <c r="AD50" s="1095">
        <f t="shared" si="29"/>
        <v>-938250.76923076913</v>
      </c>
      <c r="AE50" s="1095">
        <f t="shared" si="29"/>
        <v>-1558080.769230769</v>
      </c>
      <c r="AF50" s="1095">
        <f t="shared" si="29"/>
        <v>-959846.15384615376</v>
      </c>
      <c r="AG50" s="1095">
        <f t="shared" si="29"/>
        <v>-959846.15384615376</v>
      </c>
      <c r="AH50" s="1095">
        <f t="shared" si="29"/>
        <v>-1598846.1538461538</v>
      </c>
    </row>
    <row r="52" spans="1:34">
      <c r="C52" s="1095"/>
    </row>
    <row r="53" spans="1:34">
      <c r="C53" s="1095"/>
    </row>
    <row r="54" spans="1:34">
      <c r="B54" t="s">
        <v>366</v>
      </c>
      <c r="C54" s="1095">
        <f>-20000*12</f>
        <v>-240000</v>
      </c>
    </row>
    <row r="58" spans="1:34">
      <c r="B58" t="s">
        <v>1017</v>
      </c>
      <c r="I58"/>
      <c r="J58"/>
    </row>
    <row r="59" spans="1:34">
      <c r="I59"/>
      <c r="J59"/>
    </row>
    <row r="60" spans="1:34">
      <c r="B60" s="6" t="s">
        <v>85</v>
      </c>
      <c r="C60" t="s">
        <v>975</v>
      </c>
      <c r="D60" t="s">
        <v>976</v>
      </c>
      <c r="E60" t="s">
        <v>977</v>
      </c>
      <c r="F60" t="s">
        <v>978</v>
      </c>
      <c r="G60" t="s">
        <v>979</v>
      </c>
      <c r="H60" t="s">
        <v>980</v>
      </c>
      <c r="I60"/>
      <c r="J60"/>
    </row>
    <row r="61" spans="1:34">
      <c r="B61" s="6">
        <v>1</v>
      </c>
      <c r="C61" s="1095">
        <f>30000*Inputs!E12</f>
        <v>29100</v>
      </c>
      <c r="D61" s="1095">
        <f>15000*Inputs!E12</f>
        <v>14550</v>
      </c>
      <c r="E61" s="1095"/>
      <c r="F61" s="1095"/>
      <c r="G61" s="1095"/>
      <c r="H61" s="1095">
        <f>SUM(C61:G61)</f>
        <v>43650</v>
      </c>
      <c r="I61"/>
      <c r="J61"/>
    </row>
    <row r="62" spans="1:34">
      <c r="B62" s="6">
        <f>B61+1</f>
        <v>2</v>
      </c>
      <c r="C62" s="1095">
        <f>C61</f>
        <v>29100</v>
      </c>
      <c r="D62" s="1095">
        <f>D61</f>
        <v>14550</v>
      </c>
      <c r="E62" s="1095"/>
      <c r="F62" s="1095"/>
      <c r="G62" s="1095"/>
      <c r="H62" s="1095">
        <f t="shared" ref="H62:H90" si="30">SUM(C62:G62)</f>
        <v>43650</v>
      </c>
      <c r="I62"/>
      <c r="J62"/>
    </row>
    <row r="63" spans="1:34">
      <c r="B63" s="6">
        <f t="shared" ref="B63:B90" si="31">B62+1</f>
        <v>3</v>
      </c>
      <c r="C63" s="1095">
        <f t="shared" ref="C63:C90" si="32">C62</f>
        <v>29100</v>
      </c>
      <c r="D63" s="1095">
        <f t="shared" ref="D63:D91" si="33">D62</f>
        <v>14550</v>
      </c>
      <c r="E63" s="1095"/>
      <c r="F63" s="1095"/>
      <c r="G63" s="1095"/>
      <c r="H63" s="1095">
        <f t="shared" si="30"/>
        <v>43650</v>
      </c>
      <c r="I63"/>
      <c r="J63"/>
    </row>
    <row r="64" spans="1:34">
      <c r="B64" s="6">
        <f t="shared" si="31"/>
        <v>4</v>
      </c>
      <c r="C64" s="1095">
        <f t="shared" si="32"/>
        <v>29100</v>
      </c>
      <c r="D64" s="1095">
        <f t="shared" si="33"/>
        <v>14550</v>
      </c>
      <c r="E64" s="1095">
        <f>25000*Inputs!E12</f>
        <v>24250</v>
      </c>
      <c r="F64" s="1095"/>
      <c r="G64" s="1095"/>
      <c r="H64" s="1095">
        <f t="shared" si="30"/>
        <v>67900</v>
      </c>
      <c r="I64"/>
      <c r="J64"/>
    </row>
    <row r="65" spans="2:10">
      <c r="B65" s="6">
        <f t="shared" si="31"/>
        <v>5</v>
      </c>
      <c r="C65" s="1095">
        <f t="shared" si="32"/>
        <v>29100</v>
      </c>
      <c r="D65" s="1095">
        <f t="shared" si="33"/>
        <v>14550</v>
      </c>
      <c r="E65" s="1095">
        <f>E64</f>
        <v>24250</v>
      </c>
      <c r="F65" s="1095"/>
      <c r="G65" s="1095"/>
      <c r="H65" s="1095">
        <f t="shared" si="30"/>
        <v>67900</v>
      </c>
      <c r="I65"/>
      <c r="J65"/>
    </row>
    <row r="66" spans="2:10">
      <c r="B66" s="6">
        <f t="shared" si="31"/>
        <v>6</v>
      </c>
      <c r="C66" s="1095">
        <f t="shared" si="32"/>
        <v>29100</v>
      </c>
      <c r="D66" s="1095">
        <f t="shared" si="33"/>
        <v>14550</v>
      </c>
      <c r="E66" s="1095">
        <f>40*5280*1.25*Inputs!E12</f>
        <v>256080</v>
      </c>
      <c r="F66" s="1095">
        <f>400*40*25*Inputs!E12</f>
        <v>388000</v>
      </c>
      <c r="G66" s="1095"/>
      <c r="H66" s="1095">
        <f t="shared" si="30"/>
        <v>687730</v>
      </c>
      <c r="I66"/>
      <c r="J66"/>
    </row>
    <row r="67" spans="2:10">
      <c r="B67" s="6">
        <f t="shared" si="31"/>
        <v>7</v>
      </c>
      <c r="C67" s="1095">
        <f t="shared" si="32"/>
        <v>29100</v>
      </c>
      <c r="D67" s="1095">
        <f t="shared" si="33"/>
        <v>14550</v>
      </c>
      <c r="E67" s="1095">
        <f>E64</f>
        <v>24250</v>
      </c>
      <c r="F67" s="1095"/>
      <c r="G67" s="1095"/>
      <c r="H67" s="1095">
        <f t="shared" si="30"/>
        <v>67900</v>
      </c>
      <c r="I67"/>
      <c r="J67"/>
    </row>
    <row r="68" spans="2:10">
      <c r="B68" s="6">
        <f t="shared" si="31"/>
        <v>8</v>
      </c>
      <c r="C68" s="1095">
        <f t="shared" si="32"/>
        <v>29100</v>
      </c>
      <c r="D68" s="1095">
        <f t="shared" si="33"/>
        <v>14550</v>
      </c>
      <c r="E68" s="1095">
        <f t="shared" ref="E68:E90" si="34">E65</f>
        <v>24250</v>
      </c>
      <c r="F68" s="1095"/>
      <c r="G68" s="1095"/>
      <c r="H68" s="1095">
        <f t="shared" si="30"/>
        <v>67900</v>
      </c>
      <c r="I68"/>
      <c r="J68"/>
    </row>
    <row r="69" spans="2:10">
      <c r="B69" s="6">
        <f t="shared" si="31"/>
        <v>9</v>
      </c>
      <c r="C69" s="1095">
        <f t="shared" si="32"/>
        <v>29100</v>
      </c>
      <c r="D69" s="1095">
        <f t="shared" si="33"/>
        <v>14550</v>
      </c>
      <c r="E69" s="1095">
        <f t="shared" si="34"/>
        <v>256080</v>
      </c>
      <c r="F69" s="1095">
        <f>F66</f>
        <v>388000</v>
      </c>
      <c r="G69" s="1095"/>
      <c r="H69" s="1095">
        <f t="shared" si="30"/>
        <v>687730</v>
      </c>
      <c r="I69"/>
      <c r="J69"/>
    </row>
    <row r="70" spans="2:10">
      <c r="B70" s="6">
        <f t="shared" si="31"/>
        <v>10</v>
      </c>
      <c r="C70" s="1095">
        <f t="shared" si="32"/>
        <v>29100</v>
      </c>
      <c r="D70" s="1095">
        <f t="shared" si="33"/>
        <v>14550</v>
      </c>
      <c r="E70" s="1095">
        <f t="shared" si="34"/>
        <v>24250</v>
      </c>
      <c r="F70" s="1095"/>
      <c r="G70" s="1095"/>
      <c r="H70" s="1095">
        <f t="shared" si="30"/>
        <v>67900</v>
      </c>
      <c r="I70"/>
      <c r="J70"/>
    </row>
    <row r="71" spans="2:10">
      <c r="B71" s="6">
        <f t="shared" si="31"/>
        <v>11</v>
      </c>
      <c r="C71" s="1095">
        <f t="shared" si="32"/>
        <v>29100</v>
      </c>
      <c r="D71" s="1095">
        <f t="shared" si="33"/>
        <v>14550</v>
      </c>
      <c r="E71" s="1095">
        <f t="shared" si="34"/>
        <v>24250</v>
      </c>
      <c r="F71" s="1095"/>
      <c r="G71" s="1095">
        <f>(40*5280/(19.5/12))/20*100*Inputs!E12</f>
        <v>630350.76923076913</v>
      </c>
      <c r="H71" s="1095">
        <f t="shared" si="30"/>
        <v>698250.76923076913</v>
      </c>
      <c r="I71"/>
      <c r="J71"/>
    </row>
    <row r="72" spans="2:10">
      <c r="B72" s="6">
        <f t="shared" si="31"/>
        <v>12</v>
      </c>
      <c r="C72" s="1095">
        <f t="shared" si="32"/>
        <v>29100</v>
      </c>
      <c r="D72" s="1095">
        <f t="shared" si="33"/>
        <v>14550</v>
      </c>
      <c r="E72" s="1095">
        <f t="shared" si="34"/>
        <v>256080</v>
      </c>
      <c r="F72" s="1095">
        <f>F69</f>
        <v>388000</v>
      </c>
      <c r="G72" s="1095">
        <f>G71</f>
        <v>630350.76923076913</v>
      </c>
      <c r="H72" s="1095">
        <f t="shared" si="30"/>
        <v>1318080.769230769</v>
      </c>
      <c r="I72"/>
      <c r="J72"/>
    </row>
    <row r="73" spans="2:10">
      <c r="B73" s="6">
        <f t="shared" si="31"/>
        <v>13</v>
      </c>
      <c r="C73" s="1095">
        <f t="shared" si="32"/>
        <v>29100</v>
      </c>
      <c r="D73" s="1095">
        <f t="shared" si="33"/>
        <v>14550</v>
      </c>
      <c r="E73" s="1095">
        <f t="shared" si="34"/>
        <v>24250</v>
      </c>
      <c r="F73" s="1095"/>
      <c r="G73" s="1095">
        <f t="shared" ref="G73:G90" si="35">G72</f>
        <v>630350.76923076913</v>
      </c>
      <c r="H73" s="1095">
        <f t="shared" si="30"/>
        <v>698250.76923076913</v>
      </c>
      <c r="I73"/>
      <c r="J73"/>
    </row>
    <row r="74" spans="2:10">
      <c r="B74" s="6">
        <f t="shared" si="31"/>
        <v>14</v>
      </c>
      <c r="C74" s="1095">
        <f t="shared" si="32"/>
        <v>29100</v>
      </c>
      <c r="D74" s="1095">
        <f t="shared" si="33"/>
        <v>14550</v>
      </c>
      <c r="E74" s="1095">
        <f t="shared" si="34"/>
        <v>24250</v>
      </c>
      <c r="F74" s="1095"/>
      <c r="G74" s="1095">
        <f t="shared" si="35"/>
        <v>630350.76923076913</v>
      </c>
      <c r="H74" s="1095">
        <f t="shared" si="30"/>
        <v>698250.76923076913</v>
      </c>
      <c r="I74"/>
      <c r="J74"/>
    </row>
    <row r="75" spans="2:10">
      <c r="B75" s="6">
        <f t="shared" si="31"/>
        <v>15</v>
      </c>
      <c r="C75" s="1095">
        <f t="shared" si="32"/>
        <v>29100</v>
      </c>
      <c r="D75" s="1095">
        <f t="shared" si="33"/>
        <v>14550</v>
      </c>
      <c r="E75" s="1095">
        <f t="shared" si="34"/>
        <v>256080</v>
      </c>
      <c r="F75" s="1095">
        <f>F72</f>
        <v>388000</v>
      </c>
      <c r="G75" s="1095">
        <f t="shared" si="35"/>
        <v>630350.76923076913</v>
      </c>
      <c r="H75" s="1095">
        <f t="shared" si="30"/>
        <v>1318080.769230769</v>
      </c>
      <c r="I75"/>
      <c r="J75"/>
    </row>
    <row r="76" spans="2:10">
      <c r="B76" s="6">
        <f t="shared" si="31"/>
        <v>16</v>
      </c>
      <c r="C76" s="1095">
        <f t="shared" si="32"/>
        <v>29100</v>
      </c>
      <c r="D76" s="1095">
        <f t="shared" si="33"/>
        <v>14550</v>
      </c>
      <c r="E76" s="1095">
        <f t="shared" si="34"/>
        <v>24250</v>
      </c>
      <c r="F76" s="1095"/>
      <c r="G76" s="1095">
        <f t="shared" si="35"/>
        <v>630350.76923076913</v>
      </c>
      <c r="H76" s="1095">
        <f t="shared" si="30"/>
        <v>698250.76923076913</v>
      </c>
      <c r="I76"/>
      <c r="J76"/>
    </row>
    <row r="77" spans="2:10">
      <c r="B77" s="6">
        <f t="shared" si="31"/>
        <v>17</v>
      </c>
      <c r="C77" s="1095">
        <f t="shared" si="32"/>
        <v>29100</v>
      </c>
      <c r="D77" s="1095">
        <f t="shared" si="33"/>
        <v>14550</v>
      </c>
      <c r="E77" s="1095">
        <f t="shared" si="34"/>
        <v>24250</v>
      </c>
      <c r="F77" s="1095"/>
      <c r="G77" s="1095">
        <f t="shared" si="35"/>
        <v>630350.76923076913</v>
      </c>
      <c r="H77" s="1095">
        <f t="shared" si="30"/>
        <v>698250.76923076913</v>
      </c>
      <c r="I77" s="599">
        <f>40*5280</f>
        <v>211200</v>
      </c>
      <c r="J77" t="s">
        <v>981</v>
      </c>
    </row>
    <row r="78" spans="2:10">
      <c r="B78" s="6">
        <f t="shared" si="31"/>
        <v>18</v>
      </c>
      <c r="C78" s="1095">
        <f t="shared" si="32"/>
        <v>29100</v>
      </c>
      <c r="D78" s="1095">
        <f t="shared" si="33"/>
        <v>14550</v>
      </c>
      <c r="E78" s="1095">
        <f t="shared" si="34"/>
        <v>256080</v>
      </c>
      <c r="F78" s="1095">
        <f>F75</f>
        <v>388000</v>
      </c>
      <c r="G78" s="1095">
        <f t="shared" si="35"/>
        <v>630350.76923076913</v>
      </c>
      <c r="H78" s="1095">
        <f t="shared" si="30"/>
        <v>1318080.769230769</v>
      </c>
      <c r="I78">
        <f>19.5/12</f>
        <v>1.625</v>
      </c>
      <c r="J78"/>
    </row>
    <row r="79" spans="2:10">
      <c r="B79" s="6">
        <f t="shared" si="31"/>
        <v>19</v>
      </c>
      <c r="C79" s="1095">
        <f t="shared" si="32"/>
        <v>29100</v>
      </c>
      <c r="D79" s="1095">
        <f t="shared" si="33"/>
        <v>14550</v>
      </c>
      <c r="E79" s="1095">
        <f t="shared" si="34"/>
        <v>24250</v>
      </c>
      <c r="F79" s="1095"/>
      <c r="G79" s="1095">
        <f t="shared" si="35"/>
        <v>630350.76923076913</v>
      </c>
      <c r="H79" s="1095">
        <f t="shared" si="30"/>
        <v>698250.76923076913</v>
      </c>
      <c r="I79" s="599">
        <f>I77/I78</f>
        <v>129969.23076923077</v>
      </c>
      <c r="J79" t="s">
        <v>979</v>
      </c>
    </row>
    <row r="80" spans="2:10">
      <c r="B80" s="6">
        <f t="shared" si="31"/>
        <v>20</v>
      </c>
      <c r="C80" s="1095">
        <f t="shared" si="32"/>
        <v>29100</v>
      </c>
      <c r="D80" s="1095">
        <f t="shared" si="33"/>
        <v>14550</v>
      </c>
      <c r="E80" s="1095">
        <f t="shared" si="34"/>
        <v>24250</v>
      </c>
      <c r="F80" s="1095"/>
      <c r="G80" s="1095">
        <f t="shared" si="35"/>
        <v>630350.76923076913</v>
      </c>
      <c r="H80" s="1095">
        <f t="shared" si="30"/>
        <v>698250.76923076913</v>
      </c>
      <c r="I80" s="1227">
        <v>100</v>
      </c>
      <c r="J80" t="s">
        <v>982</v>
      </c>
    </row>
    <row r="81" spans="2:10">
      <c r="B81" s="6">
        <f t="shared" si="31"/>
        <v>21</v>
      </c>
      <c r="C81" s="1095">
        <f t="shared" si="32"/>
        <v>29100</v>
      </c>
      <c r="D81" s="1095">
        <f t="shared" si="33"/>
        <v>14550</v>
      </c>
      <c r="E81" s="1095">
        <f t="shared" si="34"/>
        <v>256080</v>
      </c>
      <c r="F81" s="1095">
        <f>F78</f>
        <v>388000</v>
      </c>
      <c r="G81" s="1095">
        <f t="shared" si="35"/>
        <v>630350.76923076913</v>
      </c>
      <c r="H81" s="1095">
        <f t="shared" si="30"/>
        <v>1318080.769230769</v>
      </c>
      <c r="I81" s="1227">
        <f>I79*I80</f>
        <v>12996923.076923076</v>
      </c>
      <c r="J81"/>
    </row>
    <row r="82" spans="2:10">
      <c r="B82" s="6">
        <f t="shared" si="31"/>
        <v>22</v>
      </c>
      <c r="C82" s="1095">
        <f t="shared" si="32"/>
        <v>29100</v>
      </c>
      <c r="D82" s="1095">
        <f t="shared" si="33"/>
        <v>14550</v>
      </c>
      <c r="E82" s="1095">
        <f t="shared" si="34"/>
        <v>24250</v>
      </c>
      <c r="F82" s="1095"/>
      <c r="G82" s="1095">
        <f t="shared" si="35"/>
        <v>630350.76923076913</v>
      </c>
      <c r="H82" s="1095">
        <f t="shared" si="30"/>
        <v>698250.76923076913</v>
      </c>
      <c r="I82" s="1228">
        <f>I81/20</f>
        <v>649846.15384615376</v>
      </c>
      <c r="J82" t="s">
        <v>983</v>
      </c>
    </row>
    <row r="83" spans="2:10">
      <c r="B83" s="6">
        <f t="shared" si="31"/>
        <v>23</v>
      </c>
      <c r="C83" s="1095">
        <f t="shared" si="32"/>
        <v>29100</v>
      </c>
      <c r="D83" s="1095">
        <f t="shared" si="33"/>
        <v>14550</v>
      </c>
      <c r="E83" s="1095">
        <f t="shared" si="34"/>
        <v>24250</v>
      </c>
      <c r="F83" s="1095"/>
      <c r="G83" s="1095">
        <f t="shared" si="35"/>
        <v>630350.76923076913</v>
      </c>
      <c r="H83" s="1095">
        <f t="shared" si="30"/>
        <v>698250.76923076913</v>
      </c>
      <c r="I83"/>
      <c r="J83"/>
    </row>
    <row r="84" spans="2:10">
      <c r="B84" s="6">
        <f t="shared" si="31"/>
        <v>24</v>
      </c>
      <c r="C84" s="1095">
        <f t="shared" si="32"/>
        <v>29100</v>
      </c>
      <c r="D84" s="1095">
        <f t="shared" si="33"/>
        <v>14550</v>
      </c>
      <c r="E84" s="1095">
        <f t="shared" si="34"/>
        <v>256080</v>
      </c>
      <c r="F84" s="1095">
        <f>F81</f>
        <v>388000</v>
      </c>
      <c r="G84" s="1095">
        <f t="shared" si="35"/>
        <v>630350.76923076913</v>
      </c>
      <c r="H84" s="1095">
        <f t="shared" si="30"/>
        <v>1318080.769230769</v>
      </c>
      <c r="I84"/>
      <c r="J84"/>
    </row>
    <row r="85" spans="2:10">
      <c r="B85" s="6">
        <f t="shared" si="31"/>
        <v>25</v>
      </c>
      <c r="C85" s="1095">
        <f t="shared" si="32"/>
        <v>29100</v>
      </c>
      <c r="D85" s="1095">
        <f t="shared" si="33"/>
        <v>14550</v>
      </c>
      <c r="E85" s="1095">
        <f t="shared" si="34"/>
        <v>24250</v>
      </c>
      <c r="F85" s="1095"/>
      <c r="G85" s="1095">
        <f t="shared" si="35"/>
        <v>630350.76923076913</v>
      </c>
      <c r="H85" s="1095">
        <f t="shared" si="30"/>
        <v>698250.76923076913</v>
      </c>
      <c r="I85"/>
      <c r="J85"/>
    </row>
    <row r="86" spans="2:10">
      <c r="B86" s="6">
        <f t="shared" si="31"/>
        <v>26</v>
      </c>
      <c r="C86" s="1095">
        <f t="shared" si="32"/>
        <v>29100</v>
      </c>
      <c r="D86" s="1095">
        <f t="shared" si="33"/>
        <v>14550</v>
      </c>
      <c r="E86" s="1095">
        <f t="shared" si="34"/>
        <v>24250</v>
      </c>
      <c r="F86" s="1095"/>
      <c r="G86" s="1095">
        <f t="shared" si="35"/>
        <v>630350.76923076913</v>
      </c>
      <c r="H86" s="1095">
        <f t="shared" si="30"/>
        <v>698250.76923076913</v>
      </c>
      <c r="I86"/>
      <c r="J86"/>
    </row>
    <row r="87" spans="2:10">
      <c r="B87" s="6">
        <f t="shared" si="31"/>
        <v>27</v>
      </c>
      <c r="C87" s="1095">
        <f t="shared" si="32"/>
        <v>29100</v>
      </c>
      <c r="D87" s="1095">
        <f t="shared" si="33"/>
        <v>14550</v>
      </c>
      <c r="E87" s="1095">
        <f t="shared" si="34"/>
        <v>256080</v>
      </c>
      <c r="F87" s="1095">
        <f>F84</f>
        <v>388000</v>
      </c>
      <c r="G87" s="1095">
        <f t="shared" si="35"/>
        <v>630350.76923076913</v>
      </c>
      <c r="H87" s="1095">
        <f t="shared" si="30"/>
        <v>1318080.769230769</v>
      </c>
      <c r="I87"/>
      <c r="J87"/>
    </row>
    <row r="88" spans="2:10">
      <c r="B88" s="6">
        <f t="shared" si="31"/>
        <v>28</v>
      </c>
      <c r="C88" s="1095">
        <f t="shared" si="32"/>
        <v>29100</v>
      </c>
      <c r="D88" s="1095">
        <f t="shared" si="33"/>
        <v>14550</v>
      </c>
      <c r="E88" s="1095">
        <f t="shared" si="34"/>
        <v>24250</v>
      </c>
      <c r="F88" s="1095"/>
      <c r="G88" s="1095">
        <f t="shared" si="35"/>
        <v>630350.76923076913</v>
      </c>
      <c r="H88" s="1095">
        <f t="shared" si="30"/>
        <v>698250.76923076913</v>
      </c>
      <c r="I88"/>
      <c r="J88"/>
    </row>
    <row r="89" spans="2:10">
      <c r="B89" s="6">
        <f t="shared" si="31"/>
        <v>29</v>
      </c>
      <c r="C89" s="1095">
        <f t="shared" si="32"/>
        <v>29100</v>
      </c>
      <c r="D89" s="1095">
        <f t="shared" si="33"/>
        <v>14550</v>
      </c>
      <c r="E89" s="1095">
        <f t="shared" si="34"/>
        <v>24250</v>
      </c>
      <c r="F89" s="1095"/>
      <c r="G89" s="1095">
        <f t="shared" si="35"/>
        <v>630350.76923076913</v>
      </c>
      <c r="H89" s="1095">
        <f t="shared" si="30"/>
        <v>698250.76923076913</v>
      </c>
      <c r="I89"/>
      <c r="J89"/>
    </row>
    <row r="90" spans="2:10">
      <c r="B90" s="6">
        <f t="shared" si="31"/>
        <v>30</v>
      </c>
      <c r="C90" s="1095">
        <f t="shared" si="32"/>
        <v>29100</v>
      </c>
      <c r="D90" s="1095">
        <f t="shared" si="33"/>
        <v>14550</v>
      </c>
      <c r="E90" s="1095">
        <f t="shared" si="34"/>
        <v>256080</v>
      </c>
      <c r="F90" s="1095">
        <f>F87</f>
        <v>388000</v>
      </c>
      <c r="G90" s="1095">
        <f t="shared" si="35"/>
        <v>630350.76923076913</v>
      </c>
      <c r="H90" s="1095">
        <f t="shared" si="30"/>
        <v>1318080.769230769</v>
      </c>
      <c r="I90"/>
      <c r="J90"/>
    </row>
    <row r="91" spans="2:10">
      <c r="C91" s="1095">
        <f>SUM(C61:C90)</f>
        <v>873000</v>
      </c>
      <c r="D91" s="1095">
        <f t="shared" si="33"/>
        <v>14550</v>
      </c>
      <c r="E91" s="1095">
        <f t="shared" ref="E91:H91" si="36">SUM(E61:E90)</f>
        <v>2741220</v>
      </c>
      <c r="F91" s="1095">
        <f t="shared" si="36"/>
        <v>3492000</v>
      </c>
      <c r="G91" s="1095">
        <f t="shared" si="36"/>
        <v>12607015.384615388</v>
      </c>
      <c r="H91" s="1095">
        <f t="shared" si="36"/>
        <v>20149735.38461538</v>
      </c>
    </row>
    <row r="94" spans="2:10">
      <c r="H94">
        <v>43650</v>
      </c>
      <c r="I94" s="33">
        <f>H94*-1</f>
        <v>-43650</v>
      </c>
      <c r="J94" s="33">
        <v>-43650</v>
      </c>
    </row>
    <row r="95" spans="2:10">
      <c r="H95">
        <v>43650</v>
      </c>
      <c r="I95" s="33">
        <f t="shared" ref="I95:I123" si="37">H95*-1</f>
        <v>-43650</v>
      </c>
      <c r="J95" s="33">
        <v>-43650</v>
      </c>
    </row>
    <row r="96" spans="2:10">
      <c r="H96">
        <v>43650</v>
      </c>
      <c r="I96" s="33">
        <f t="shared" si="37"/>
        <v>-43650</v>
      </c>
      <c r="J96" s="33">
        <v>-43650</v>
      </c>
    </row>
    <row r="97" spans="8:10">
      <c r="H97">
        <v>67900</v>
      </c>
      <c r="I97" s="33">
        <f t="shared" si="37"/>
        <v>-67900</v>
      </c>
      <c r="J97" s="33">
        <v>-67900</v>
      </c>
    </row>
    <row r="98" spans="8:10">
      <c r="H98">
        <v>67900</v>
      </c>
      <c r="I98" s="33">
        <f t="shared" si="37"/>
        <v>-67900</v>
      </c>
      <c r="J98" s="33">
        <v>-67900</v>
      </c>
    </row>
    <row r="99" spans="8:10">
      <c r="H99">
        <v>687730</v>
      </c>
      <c r="I99" s="33">
        <f t="shared" si="37"/>
        <v>-687730</v>
      </c>
      <c r="J99" s="33">
        <v>-687730</v>
      </c>
    </row>
    <row r="100" spans="8:10">
      <c r="H100">
        <v>67900</v>
      </c>
      <c r="I100" s="33">
        <f t="shared" si="37"/>
        <v>-67900</v>
      </c>
      <c r="J100" s="33">
        <v>-67900</v>
      </c>
    </row>
    <row r="101" spans="8:10">
      <c r="H101">
        <v>67900</v>
      </c>
      <c r="I101" s="33">
        <f t="shared" si="37"/>
        <v>-67900</v>
      </c>
      <c r="J101" s="33">
        <v>-67900</v>
      </c>
    </row>
    <row r="102" spans="8:10">
      <c r="H102">
        <v>687730</v>
      </c>
      <c r="I102" s="33">
        <f t="shared" si="37"/>
        <v>-687730</v>
      </c>
      <c r="J102" s="33">
        <v>-687730</v>
      </c>
    </row>
    <row r="103" spans="8:10">
      <c r="H103">
        <v>67900</v>
      </c>
      <c r="I103" s="33">
        <f t="shared" si="37"/>
        <v>-67900</v>
      </c>
      <c r="J103" s="33">
        <v>-67900</v>
      </c>
    </row>
    <row r="104" spans="8:10">
      <c r="H104">
        <v>698250.76923076913</v>
      </c>
      <c r="I104" s="33">
        <f t="shared" si="37"/>
        <v>-698250.76923076913</v>
      </c>
      <c r="J104" s="33">
        <v>-698250.76923076913</v>
      </c>
    </row>
    <row r="105" spans="8:10">
      <c r="H105">
        <v>1318080.769230769</v>
      </c>
      <c r="I105" s="33">
        <f t="shared" si="37"/>
        <v>-1318080.769230769</v>
      </c>
      <c r="J105" s="33">
        <v>-1318080.769230769</v>
      </c>
    </row>
    <row r="106" spans="8:10">
      <c r="H106">
        <v>698250.76923076913</v>
      </c>
      <c r="I106" s="33">
        <f t="shared" si="37"/>
        <v>-698250.76923076913</v>
      </c>
      <c r="J106" s="33">
        <v>-698250.76923076913</v>
      </c>
    </row>
    <row r="107" spans="8:10">
      <c r="H107">
        <v>698250.76923076913</v>
      </c>
      <c r="I107" s="33">
        <f t="shared" si="37"/>
        <v>-698250.76923076913</v>
      </c>
      <c r="J107" s="33">
        <v>-698250.76923076913</v>
      </c>
    </row>
    <row r="108" spans="8:10">
      <c r="H108">
        <v>1318080.769230769</v>
      </c>
      <c r="I108" s="33">
        <f t="shared" si="37"/>
        <v>-1318080.769230769</v>
      </c>
      <c r="J108" s="33">
        <v>-1318080.769230769</v>
      </c>
    </row>
    <row r="109" spans="8:10">
      <c r="H109">
        <v>698250.76923076913</v>
      </c>
      <c r="I109" s="33">
        <f t="shared" si="37"/>
        <v>-698250.76923076913</v>
      </c>
      <c r="J109" s="33">
        <v>-698250.76923076913</v>
      </c>
    </row>
    <row r="110" spans="8:10">
      <c r="H110">
        <v>698250.76923076913</v>
      </c>
      <c r="I110" s="33">
        <f t="shared" si="37"/>
        <v>-698250.76923076913</v>
      </c>
      <c r="J110" s="33">
        <v>-698250.76923076913</v>
      </c>
    </row>
    <row r="111" spans="8:10">
      <c r="H111">
        <v>1318080.769230769</v>
      </c>
      <c r="I111" s="33">
        <f t="shared" si="37"/>
        <v>-1318080.769230769</v>
      </c>
      <c r="J111" s="33">
        <v>-1318080.769230769</v>
      </c>
    </row>
    <row r="112" spans="8:10">
      <c r="H112">
        <v>698250.76923076913</v>
      </c>
      <c r="I112" s="33">
        <f t="shared" si="37"/>
        <v>-698250.76923076913</v>
      </c>
      <c r="J112" s="33">
        <v>-698250.76923076913</v>
      </c>
    </row>
    <row r="113" spans="8:10">
      <c r="H113">
        <v>698250.76923076913</v>
      </c>
      <c r="I113" s="33">
        <f t="shared" si="37"/>
        <v>-698250.76923076913</v>
      </c>
      <c r="J113" s="33">
        <v>-698250.76923076913</v>
      </c>
    </row>
    <row r="114" spans="8:10">
      <c r="H114">
        <v>1318080.769230769</v>
      </c>
      <c r="I114" s="33">
        <f t="shared" si="37"/>
        <v>-1318080.769230769</v>
      </c>
      <c r="J114" s="33">
        <v>-1318080.769230769</v>
      </c>
    </row>
    <row r="115" spans="8:10">
      <c r="H115">
        <v>698250.76923076913</v>
      </c>
      <c r="I115" s="33">
        <f t="shared" si="37"/>
        <v>-698250.76923076913</v>
      </c>
      <c r="J115" s="33">
        <v>-698250.76923076913</v>
      </c>
    </row>
    <row r="116" spans="8:10">
      <c r="H116">
        <v>698250.76923076913</v>
      </c>
      <c r="I116" s="33">
        <f t="shared" si="37"/>
        <v>-698250.76923076913</v>
      </c>
      <c r="J116" s="33">
        <v>-698250.76923076913</v>
      </c>
    </row>
    <row r="117" spans="8:10">
      <c r="H117">
        <v>1318080.769230769</v>
      </c>
      <c r="I117" s="33">
        <f t="shared" si="37"/>
        <v>-1318080.769230769</v>
      </c>
      <c r="J117" s="33">
        <v>-1318080.769230769</v>
      </c>
    </row>
    <row r="118" spans="8:10">
      <c r="H118">
        <v>698250.76923076913</v>
      </c>
      <c r="I118" s="33">
        <f t="shared" si="37"/>
        <v>-698250.76923076913</v>
      </c>
      <c r="J118" s="33">
        <v>-698250.76923076913</v>
      </c>
    </row>
    <row r="119" spans="8:10">
      <c r="H119">
        <v>698250.76923076913</v>
      </c>
      <c r="I119" s="33">
        <f t="shared" si="37"/>
        <v>-698250.76923076913</v>
      </c>
      <c r="J119" s="33">
        <v>-698250.76923076913</v>
      </c>
    </row>
    <row r="120" spans="8:10">
      <c r="H120">
        <v>1318080.769230769</v>
      </c>
      <c r="I120" s="33">
        <f t="shared" si="37"/>
        <v>-1318080.769230769</v>
      </c>
      <c r="J120" s="33">
        <v>-1318080.769230769</v>
      </c>
    </row>
    <row r="121" spans="8:10">
      <c r="H121">
        <v>698250.76923076913</v>
      </c>
      <c r="I121" s="33">
        <f t="shared" si="37"/>
        <v>-698250.76923076913</v>
      </c>
      <c r="J121" s="33">
        <v>-698250.76923076913</v>
      </c>
    </row>
    <row r="122" spans="8:10">
      <c r="H122">
        <v>698250.76923076913</v>
      </c>
      <c r="I122" s="33">
        <f t="shared" si="37"/>
        <v>-698250.76923076913</v>
      </c>
      <c r="J122" s="33">
        <v>-698250.76923076913</v>
      </c>
    </row>
    <row r="123" spans="8:10">
      <c r="H123">
        <v>1318080.769230769</v>
      </c>
      <c r="I123" s="33">
        <f t="shared" si="37"/>
        <v>-1318080.769230769</v>
      </c>
      <c r="J123" s="33">
        <v>-1318080.769230769</v>
      </c>
    </row>
  </sheetData>
  <mergeCells count="1">
    <mergeCell ref="A25:J25"/>
  </mergeCells>
  <pageMargins left="0.7" right="0.7" top="0.75" bottom="0.75" header="0.3" footer="0.3"/>
  <pageSetup orientation="portrait" r:id="rId1"/>
  <ignoredErrors>
    <ignoredError sqref="C40" formulaRange="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1"/>
  </sheetPr>
  <dimension ref="A1:O406"/>
  <sheetViews>
    <sheetView showGridLines="0" topLeftCell="A6" zoomScale="90" zoomScaleNormal="90" workbookViewId="0">
      <selection activeCell="F13" sqref="F13"/>
    </sheetView>
  </sheetViews>
  <sheetFormatPr defaultColWidth="9.25" defaultRowHeight="14.25"/>
  <cols>
    <col min="1" max="1" width="2.75" style="64" customWidth="1"/>
    <col min="2" max="2" width="56.875" style="40" customWidth="1"/>
    <col min="3" max="3" width="21.75" style="8" customWidth="1"/>
    <col min="4" max="4" width="11.5" style="4" customWidth="1"/>
    <col min="5" max="5" width="12.75" style="37" customWidth="1"/>
    <col min="6" max="6" width="68.75" style="3" customWidth="1"/>
    <col min="7" max="7" width="9.75" style="4" customWidth="1"/>
    <col min="8" max="8" width="11.75" style="4" customWidth="1"/>
    <col min="9" max="9" width="9.5" style="4" customWidth="1"/>
    <col min="10" max="10" width="11.375" style="4" customWidth="1"/>
    <col min="11" max="11" width="7.25" style="4" customWidth="1"/>
    <col min="12" max="12" width="10.75" style="4" customWidth="1"/>
    <col min="13" max="16384" width="9.25" style="4"/>
  </cols>
  <sheetData>
    <row r="1" spans="1:11" s="2" customFormat="1">
      <c r="A1"/>
      <c r="B1" s="38"/>
      <c r="C1" s="41"/>
      <c r="E1" s="30"/>
      <c r="F1" s="3"/>
    </row>
    <row r="2" spans="1:11" s="2" customFormat="1" ht="23.25">
      <c r="A2"/>
      <c r="B2" s="39" t="s">
        <v>367</v>
      </c>
      <c r="C2" s="7"/>
      <c r="E2" s="36"/>
      <c r="F2" s="3"/>
    </row>
    <row r="3" spans="1:11" s="2" customFormat="1">
      <c r="A3"/>
      <c r="B3" s="38"/>
      <c r="C3" s="41"/>
      <c r="E3" s="30"/>
      <c r="F3" s="803"/>
    </row>
    <row r="4" spans="1:11" s="2" customFormat="1" ht="15">
      <c r="A4"/>
      <c r="B4" s="1145" t="s">
        <v>367</v>
      </c>
      <c r="C4" s="1146" t="s">
        <v>90</v>
      </c>
      <c r="D4" s="1146" t="s">
        <v>368</v>
      </c>
      <c r="E4" s="1146" t="s">
        <v>369</v>
      </c>
      <c r="F4" s="1147" t="s">
        <v>370</v>
      </c>
      <c r="H4"/>
      <c r="I4"/>
      <c r="J4"/>
      <c r="K4"/>
    </row>
    <row r="5" spans="1:11">
      <c r="B5" s="1148" t="s">
        <v>371</v>
      </c>
      <c r="C5" s="1105" t="s">
        <v>372</v>
      </c>
      <c r="D5" s="1105" t="s">
        <v>373</v>
      </c>
      <c r="E5" s="1149">
        <v>3.1E-2</v>
      </c>
      <c r="F5" s="1150" t="s">
        <v>374</v>
      </c>
      <c r="H5" s="64"/>
      <c r="I5" s="141"/>
      <c r="J5" s="64"/>
      <c r="K5" s="64"/>
    </row>
    <row r="6" spans="1:11">
      <c r="B6" s="1148" t="s">
        <v>375</v>
      </c>
      <c r="C6" s="560" t="s">
        <v>372</v>
      </c>
      <c r="D6" s="1105" t="s">
        <v>373</v>
      </c>
      <c r="E6" s="1149">
        <v>0.02</v>
      </c>
      <c r="F6" s="1150" t="s">
        <v>374</v>
      </c>
      <c r="H6" s="64"/>
      <c r="I6" s="64"/>
      <c r="J6" s="64"/>
      <c r="K6" s="64"/>
    </row>
    <row r="7" spans="1:11">
      <c r="B7" s="1148" t="s">
        <v>376</v>
      </c>
      <c r="C7" s="1151" t="s">
        <v>377</v>
      </c>
      <c r="D7" s="1105" t="s">
        <v>373</v>
      </c>
      <c r="E7" s="1106">
        <v>2022</v>
      </c>
      <c r="F7" s="1150"/>
      <c r="H7" s="64"/>
      <c r="I7" s="64"/>
      <c r="J7" s="64"/>
      <c r="K7" s="64"/>
    </row>
    <row r="8" spans="1:11">
      <c r="B8" s="1152" t="s">
        <v>378</v>
      </c>
      <c r="C8" s="560" t="s">
        <v>377</v>
      </c>
      <c r="D8" s="1105" t="s">
        <v>373</v>
      </c>
      <c r="E8" s="1153">
        <v>2030</v>
      </c>
      <c r="F8" s="583" t="s">
        <v>379</v>
      </c>
      <c r="H8" s="64"/>
      <c r="I8" s="64"/>
      <c r="J8" s="64"/>
      <c r="K8" s="64"/>
    </row>
    <row r="9" spans="1:11">
      <c r="B9" s="1152" t="s">
        <v>380</v>
      </c>
      <c r="C9" s="560" t="s">
        <v>377</v>
      </c>
      <c r="D9" s="1105" t="s">
        <v>373</v>
      </c>
      <c r="E9" s="1153">
        <f>First.Year+Study.Period-1</f>
        <v>2059</v>
      </c>
      <c r="F9" s="1154" t="s">
        <v>381</v>
      </c>
    </row>
    <row r="10" spans="1:11">
      <c r="B10" s="1104" t="s">
        <v>382</v>
      </c>
      <c r="C10" s="560" t="s">
        <v>241</v>
      </c>
      <c r="D10" s="1105" t="s">
        <v>373</v>
      </c>
      <c r="E10" s="1106">
        <v>30</v>
      </c>
      <c r="F10" s="1154" t="s">
        <v>381</v>
      </c>
      <c r="G10" s="5"/>
    </row>
    <row r="11" spans="1:11">
      <c r="B11" s="1104" t="s">
        <v>383</v>
      </c>
      <c r="C11" s="560" t="s">
        <v>384</v>
      </c>
      <c r="D11" s="1105" t="s">
        <v>373</v>
      </c>
      <c r="E11" s="1106">
        <f>52*5</f>
        <v>260</v>
      </c>
      <c r="F11" s="1107" t="s">
        <v>385</v>
      </c>
      <c r="G11" s="5"/>
    </row>
    <row r="12" spans="1:11">
      <c r="B12" s="1104" t="s">
        <v>386</v>
      </c>
      <c r="C12" s="560" t="s">
        <v>372</v>
      </c>
      <c r="D12" s="1105" t="s">
        <v>373</v>
      </c>
      <c r="E12" s="1106">
        <v>0.97</v>
      </c>
      <c r="F12" s="1107" t="s">
        <v>387</v>
      </c>
      <c r="G12" s="5"/>
    </row>
    <row r="13" spans="1:11">
      <c r="B13" s="1152" t="s">
        <v>388</v>
      </c>
      <c r="C13" s="560" t="s">
        <v>389</v>
      </c>
      <c r="D13" s="1105" t="s">
        <v>373</v>
      </c>
      <c r="E13" s="1155">
        <v>5280</v>
      </c>
      <c r="F13" s="1154" t="s">
        <v>390</v>
      </c>
    </row>
    <row r="14" spans="1:11">
      <c r="B14" s="1148" t="s">
        <v>391</v>
      </c>
      <c r="C14" s="1156" t="s">
        <v>392</v>
      </c>
      <c r="D14" s="1105" t="s">
        <v>373</v>
      </c>
      <c r="E14" s="1157">
        <v>1000000</v>
      </c>
      <c r="F14" s="1154" t="s">
        <v>390</v>
      </c>
    </row>
    <row r="15" spans="1:11" customFormat="1">
      <c r="B15" s="34"/>
      <c r="C15" s="6"/>
      <c r="F15" s="31"/>
    </row>
    <row r="16" spans="1:11" s="2" customFormat="1" ht="15">
      <c r="A16"/>
      <c r="B16" s="1145" t="s">
        <v>393</v>
      </c>
      <c r="C16" s="1146" t="s">
        <v>90</v>
      </c>
      <c r="D16" s="1146" t="s">
        <v>368</v>
      </c>
      <c r="E16" s="1146" t="s">
        <v>369</v>
      </c>
      <c r="F16" s="1147" t="s">
        <v>370</v>
      </c>
    </row>
    <row r="17" spans="1:10" customFormat="1" ht="27" customHeight="1">
      <c r="B17" s="1158" t="s">
        <v>394</v>
      </c>
      <c r="C17" s="1159" t="s">
        <v>250</v>
      </c>
      <c r="D17" s="1160" t="str">
        <f t="shared" ref="D17:D34" si="0">Base.Year&amp;"-"&amp;Final.Year</f>
        <v>2022-2059</v>
      </c>
      <c r="E17" s="1161">
        <f>ShipperData!E7</f>
        <v>25</v>
      </c>
      <c r="F17" s="572" t="s">
        <v>395</v>
      </c>
    </row>
    <row r="18" spans="1:10" customFormat="1" ht="15.95" customHeight="1">
      <c r="B18" s="1158" t="s">
        <v>396</v>
      </c>
      <c r="C18" s="1159" t="s">
        <v>397</v>
      </c>
      <c r="D18" s="1160" t="str">
        <f t="shared" si="0"/>
        <v>2022-2059</v>
      </c>
      <c r="E18" s="1161">
        <f>ShipperData!D7*ShipperData!D8</f>
        <v>10000</v>
      </c>
      <c r="F18" s="583" t="s">
        <v>398</v>
      </c>
    </row>
    <row r="19" spans="1:10" customFormat="1" ht="28.5">
      <c r="B19" s="1148" t="s">
        <v>399</v>
      </c>
      <c r="C19" s="1162" t="s">
        <v>984</v>
      </c>
      <c r="D19" s="1160" t="str">
        <f t="shared" si="0"/>
        <v>2022-2059</v>
      </c>
      <c r="E19" s="1163">
        <f>DiversionData!$B$75</f>
        <v>0.20822843817382367</v>
      </c>
      <c r="F19" s="1152" t="s">
        <v>992</v>
      </c>
      <c r="G19" s="143"/>
    </row>
    <row r="20" spans="1:10">
      <c r="A20" s="4"/>
      <c r="B20" s="1164" t="s">
        <v>1023</v>
      </c>
      <c r="C20" s="1162" t="s">
        <v>985</v>
      </c>
      <c r="D20" s="1160" t="str">
        <f t="shared" si="0"/>
        <v>2022-2059</v>
      </c>
      <c r="E20" s="1165">
        <f>$E$19*$E$17</f>
        <v>5.2057109543455917</v>
      </c>
      <c r="F20" s="1152" t="s">
        <v>400</v>
      </c>
      <c r="G20" s="142"/>
      <c r="I20"/>
      <c r="J20"/>
    </row>
    <row r="21" spans="1:10">
      <c r="A21" s="4"/>
      <c r="B21" s="1164" t="s">
        <v>1022</v>
      </c>
      <c r="C21" s="1162" t="s">
        <v>1025</v>
      </c>
      <c r="D21" s="1160" t="str">
        <f t="shared" si="0"/>
        <v>2022-2059</v>
      </c>
      <c r="E21" s="1238">
        <v>0</v>
      </c>
      <c r="F21" s="1152" t="s">
        <v>1024</v>
      </c>
      <c r="G21" s="142"/>
      <c r="I21"/>
      <c r="J21"/>
    </row>
    <row r="22" spans="1:10" customFormat="1" ht="28.5">
      <c r="B22" s="1148" t="s">
        <v>401</v>
      </c>
      <c r="C22" s="1162" t="s">
        <v>984</v>
      </c>
      <c r="D22" s="1160" t="str">
        <f t="shared" si="0"/>
        <v>2022-2059</v>
      </c>
      <c r="E22" s="1163">
        <f>DiversionData!$C$73</f>
        <v>1.9400000000000001E-2</v>
      </c>
      <c r="F22" s="1152" t="s">
        <v>992</v>
      </c>
      <c r="G22" s="143"/>
    </row>
    <row r="23" spans="1:10" customFormat="1">
      <c r="B23" s="1148" t="s">
        <v>986</v>
      </c>
      <c r="C23" s="1162" t="s">
        <v>987</v>
      </c>
      <c r="D23" s="1160" t="str">
        <f t="shared" si="0"/>
        <v>2022-2059</v>
      </c>
      <c r="E23" s="1161">
        <v>500</v>
      </c>
      <c r="F23" s="1152" t="s">
        <v>990</v>
      </c>
      <c r="G23" s="143"/>
    </row>
    <row r="24" spans="1:10" customFormat="1" ht="28.5">
      <c r="B24" s="1148" t="s">
        <v>988</v>
      </c>
      <c r="C24" s="1162" t="s">
        <v>989</v>
      </c>
      <c r="D24" s="1160" t="str">
        <f t="shared" si="0"/>
        <v>2022-2059</v>
      </c>
      <c r="E24" s="1235">
        <v>11.5</v>
      </c>
      <c r="F24" s="1152" t="s">
        <v>991</v>
      </c>
      <c r="G24" s="143"/>
    </row>
    <row r="25" spans="1:10" ht="57">
      <c r="A25" s="4"/>
      <c r="B25" s="1158" t="s">
        <v>402</v>
      </c>
      <c r="C25" s="1159" t="s">
        <v>985</v>
      </c>
      <c r="D25" s="1160" t="str">
        <f t="shared" si="0"/>
        <v>2022-2059</v>
      </c>
      <c r="E25" s="1166">
        <f>(Miscellaneous!$C$58*0.65+Miscellaneous!$C$59*0.35)*Miscellaneous!$K$74/100</f>
        <v>9.4414738318528105E-2</v>
      </c>
      <c r="F25" s="1152" t="s">
        <v>993</v>
      </c>
      <c r="G25" s="142"/>
      <c r="I25"/>
      <c r="J25"/>
    </row>
    <row r="26" spans="1:10" ht="28.5">
      <c r="A26" s="4"/>
      <c r="B26" s="1158" t="s">
        <v>1028</v>
      </c>
      <c r="C26" s="1159" t="s">
        <v>1029</v>
      </c>
      <c r="D26" s="1160" t="str">
        <f t="shared" si="0"/>
        <v>2022-2059</v>
      </c>
      <c r="E26" s="1166">
        <v>0.08</v>
      </c>
      <c r="F26" s="562" t="s">
        <v>1030</v>
      </c>
      <c r="G26" s="142"/>
      <c r="I26"/>
      <c r="J26"/>
    </row>
    <row r="27" spans="1:10" ht="90" customHeight="1">
      <c r="A27" s="4"/>
      <c r="B27" s="1107" t="s">
        <v>403</v>
      </c>
      <c r="C27" s="1162" t="s">
        <v>210</v>
      </c>
      <c r="D27" s="1160" t="str">
        <f t="shared" si="0"/>
        <v>2022-2059</v>
      </c>
      <c r="E27" s="1167">
        <f>ShipperData!$D$10</f>
        <v>265</v>
      </c>
      <c r="F27" s="562" t="s">
        <v>404</v>
      </c>
      <c r="I27"/>
      <c r="J27"/>
    </row>
    <row r="28" spans="1:10" ht="15" customHeight="1">
      <c r="A28" s="4"/>
      <c r="B28" s="1107" t="s">
        <v>405</v>
      </c>
      <c r="C28" s="1162" t="s">
        <v>406</v>
      </c>
      <c r="D28" s="1160" t="str">
        <f t="shared" si="0"/>
        <v>2022-2059</v>
      </c>
      <c r="E28" s="1168">
        <v>0.47899999999999998</v>
      </c>
      <c r="F28" s="1280" t="s">
        <v>1016</v>
      </c>
      <c r="I28"/>
      <c r="J28"/>
    </row>
    <row r="29" spans="1:10">
      <c r="A29" s="4"/>
      <c r="B29" s="1107" t="s">
        <v>407</v>
      </c>
      <c r="C29" s="1162" t="s">
        <v>406</v>
      </c>
      <c r="D29" s="1160" t="str">
        <f t="shared" si="0"/>
        <v>2022-2059</v>
      </c>
      <c r="E29" s="1168">
        <v>2.2210000000000001</v>
      </c>
      <c r="F29" s="1281"/>
      <c r="I29"/>
      <c r="J29"/>
    </row>
    <row r="30" spans="1:10">
      <c r="A30" s="4"/>
      <c r="B30" s="1107" t="s">
        <v>408</v>
      </c>
      <c r="C30" s="1162" t="s">
        <v>409</v>
      </c>
      <c r="D30" s="1160" t="str">
        <f t="shared" si="0"/>
        <v>2022-2059</v>
      </c>
      <c r="E30" s="1169">
        <v>55.170999999999999</v>
      </c>
      <c r="F30" s="1281"/>
      <c r="I30"/>
      <c r="J30"/>
    </row>
    <row r="31" spans="1:10">
      <c r="A31" s="4"/>
      <c r="B31" s="1107" t="s">
        <v>410</v>
      </c>
      <c r="C31" s="1162" t="s">
        <v>409</v>
      </c>
      <c r="D31" s="1160" t="str">
        <f t="shared" si="0"/>
        <v>2022-2059</v>
      </c>
      <c r="E31" s="1169">
        <v>4.6210000000000004</v>
      </c>
      <c r="F31" s="1281"/>
      <c r="I31"/>
      <c r="J31"/>
    </row>
    <row r="32" spans="1:10">
      <c r="B32" s="1158" t="s">
        <v>411</v>
      </c>
      <c r="C32" s="1162" t="s">
        <v>412</v>
      </c>
      <c r="D32" s="1160" t="str">
        <f t="shared" si="0"/>
        <v>2022-2059</v>
      </c>
      <c r="E32" s="1170">
        <v>12500000</v>
      </c>
      <c r="F32" s="1152" t="s">
        <v>374</v>
      </c>
      <c r="I32"/>
      <c r="J32"/>
    </row>
    <row r="33" spans="1:12">
      <c r="B33" s="1158" t="s">
        <v>413</v>
      </c>
      <c r="C33" s="1162" t="s">
        <v>414</v>
      </c>
      <c r="D33" s="1160" t="str">
        <f t="shared" si="0"/>
        <v>2022-2059</v>
      </c>
      <c r="E33" s="1170">
        <v>217600</v>
      </c>
      <c r="F33" s="1152" t="s">
        <v>374</v>
      </c>
      <c r="I33"/>
      <c r="J33"/>
    </row>
    <row r="34" spans="1:12" ht="42.75">
      <c r="B34" s="1107" t="s">
        <v>415</v>
      </c>
      <c r="C34" s="1160" t="s">
        <v>372</v>
      </c>
      <c r="D34" s="1160" t="str">
        <f t="shared" si="0"/>
        <v>2022-2059</v>
      </c>
      <c r="E34" s="1171">
        <v>0</v>
      </c>
      <c r="F34" s="1172" t="s">
        <v>416</v>
      </c>
    </row>
    <row r="35" spans="1:12" customFormat="1">
      <c r="B35" s="34"/>
      <c r="C35" s="6"/>
      <c r="F35" s="31"/>
      <c r="I35" s="4"/>
    </row>
    <row r="36" spans="1:12" s="2" customFormat="1" ht="12.6" customHeight="1">
      <c r="A36"/>
      <c r="B36" s="1145" t="s">
        <v>417</v>
      </c>
      <c r="C36" s="1146" t="s">
        <v>90</v>
      </c>
      <c r="D36" s="1146" t="s">
        <v>368</v>
      </c>
      <c r="E36" s="1146" t="s">
        <v>369</v>
      </c>
      <c r="F36" s="1147" t="s">
        <v>370</v>
      </c>
    </row>
    <row r="37" spans="1:12" ht="12.6" customHeight="1">
      <c r="A37" s="4"/>
      <c r="B37" s="1273" t="s">
        <v>418</v>
      </c>
      <c r="C37" s="1271" t="s">
        <v>419</v>
      </c>
      <c r="D37" s="560">
        <f>Base.Year</f>
        <v>2022</v>
      </c>
      <c r="E37" s="1173">
        <f>IF($D37&gt;2060,E36,SUMIF('Truck Emissions'!$Q$42:$Q$86,D37,'Truck Emissions'!$S$42:$S$86))</f>
        <v>0.24604769964505416</v>
      </c>
      <c r="F37" s="1269" t="s">
        <v>420</v>
      </c>
    </row>
    <row r="38" spans="1:12" ht="12.6" customHeight="1">
      <c r="A38" s="4"/>
      <c r="B38" s="1274"/>
      <c r="C38" s="1272" t="s">
        <v>419</v>
      </c>
      <c r="D38" s="560">
        <f>D37+1</f>
        <v>2023</v>
      </c>
      <c r="E38" s="1173">
        <f>IF($D38&gt;2060,E37,SUMIF('Truck Emissions'!$Q$42:$Q$86,D38,'Truck Emissions'!$S$42:$S$86))</f>
        <v>0.21898626089195694</v>
      </c>
      <c r="F38" s="1269"/>
      <c r="K38" s="164"/>
      <c r="L38" s="164"/>
    </row>
    <row r="39" spans="1:12" ht="12.6" customHeight="1">
      <c r="A39" s="4"/>
      <c r="B39" s="1274"/>
      <c r="C39" s="1272" t="s">
        <v>419</v>
      </c>
      <c r="D39" s="560">
        <f t="shared" ref="D39:D72" si="1">D38+1</f>
        <v>2024</v>
      </c>
      <c r="E39" s="1173">
        <f>IF($D39&gt;2060,E38,SUMIF('Truck Emissions'!$Q$42:$Q$86,D39,'Truck Emissions'!$S$42:$S$86))</f>
        <v>0.1919248221388597</v>
      </c>
      <c r="F39" s="1269"/>
      <c r="K39" s="164"/>
      <c r="L39" s="164"/>
    </row>
    <row r="40" spans="1:12" ht="12.6" customHeight="1">
      <c r="A40" s="4"/>
      <c r="B40" s="1274"/>
      <c r="C40" s="1272" t="s">
        <v>419</v>
      </c>
      <c r="D40" s="560">
        <f t="shared" si="1"/>
        <v>2025</v>
      </c>
      <c r="E40" s="1173">
        <f>IF($D40&gt;2060,E39,SUMIF('Truck Emissions'!$Q$42:$Q$86,D40,'Truck Emissions'!$S$42:$S$86))</f>
        <v>0.16486338338576248</v>
      </c>
      <c r="F40" s="1269"/>
      <c r="K40" s="164"/>
      <c r="L40" s="164"/>
    </row>
    <row r="41" spans="1:12" ht="12.6" customHeight="1">
      <c r="A41" s="4"/>
      <c r="B41" s="1274"/>
      <c r="C41" s="1272" t="s">
        <v>419</v>
      </c>
      <c r="D41" s="560">
        <f t="shared" si="1"/>
        <v>2026</v>
      </c>
      <c r="E41" s="1173">
        <f>IF($D41&gt;2060,E40,SUMIF('Truck Emissions'!$Q$42:$Q$86,D41,'Truck Emissions'!$S$42:$S$86))</f>
        <v>0.15648895174444391</v>
      </c>
      <c r="F41" s="1269"/>
      <c r="K41" s="164"/>
      <c r="L41" s="164"/>
    </row>
    <row r="42" spans="1:12" ht="12.6" customHeight="1">
      <c r="A42" s="4"/>
      <c r="B42" s="1274"/>
      <c r="C42" s="1272" t="s">
        <v>419</v>
      </c>
      <c r="D42" s="560">
        <f t="shared" si="1"/>
        <v>2027</v>
      </c>
      <c r="E42" s="1173">
        <f>IF($D42&gt;2060,E41,SUMIF('Truck Emissions'!$Q$42:$Q$86,D42,'Truck Emissions'!$S$42:$S$86))</f>
        <v>0.14811452010312262</v>
      </c>
      <c r="F42" s="1269"/>
      <c r="L42" s="165"/>
    </row>
    <row r="43" spans="1:12" ht="12.6" customHeight="1">
      <c r="A43" s="4"/>
      <c r="B43" s="1274"/>
      <c r="C43" s="1272" t="s">
        <v>419</v>
      </c>
      <c r="D43" s="560">
        <f t="shared" si="1"/>
        <v>2028</v>
      </c>
      <c r="E43" s="1173">
        <f>IF($D43&gt;2060,E42,SUMIF('Truck Emissions'!$Q$42:$Q$86,D43,'Truck Emissions'!$S$42:$S$86))</f>
        <v>0.13974008846180405</v>
      </c>
      <c r="F43" s="1269"/>
    </row>
    <row r="44" spans="1:12" ht="12.6" customHeight="1">
      <c r="A44" s="4"/>
      <c r="B44" s="1274"/>
      <c r="C44" s="1272" t="s">
        <v>419</v>
      </c>
      <c r="D44" s="560">
        <f t="shared" si="1"/>
        <v>2029</v>
      </c>
      <c r="E44" s="1173">
        <f>IF($D44&gt;2060,E43,SUMIF('Truck Emissions'!$Q$42:$Q$86,D44,'Truck Emissions'!$S$42:$S$86))</f>
        <v>0.13136565682048554</v>
      </c>
      <c r="F44" s="1269"/>
      <c r="L44" s="166"/>
    </row>
    <row r="45" spans="1:12" ht="12.6" customHeight="1">
      <c r="A45" s="4"/>
      <c r="B45" s="1274"/>
      <c r="C45" s="1272" t="s">
        <v>419</v>
      </c>
      <c r="D45" s="560">
        <f t="shared" si="1"/>
        <v>2030</v>
      </c>
      <c r="E45" s="1173">
        <f>IF($D45&gt;2060,E44,SUMIF('Truck Emissions'!$Q$42:$Q$86,D45,'Truck Emissions'!$S$42:$S$86))</f>
        <v>0.12299122517916422</v>
      </c>
      <c r="F45" s="1269"/>
    </row>
    <row r="46" spans="1:12" ht="12.6" customHeight="1">
      <c r="A46" s="4"/>
      <c r="B46" s="1274"/>
      <c r="C46" s="1272" t="s">
        <v>419</v>
      </c>
      <c r="D46" s="560">
        <f t="shared" si="1"/>
        <v>2031</v>
      </c>
      <c r="E46" s="1173">
        <f>IF($D46&gt;2060,E45,SUMIF('Truck Emissions'!$Q$42:$Q$86,D46,'Truck Emissions'!$S$42:$S$86))</f>
        <v>0.11461679353784565</v>
      </c>
      <c r="F46" s="1269"/>
    </row>
    <row r="47" spans="1:12" ht="12.6" customHeight="1">
      <c r="A47" s="4"/>
      <c r="B47" s="1274"/>
      <c r="C47" s="1272" t="s">
        <v>419</v>
      </c>
      <c r="D47" s="560">
        <f t="shared" si="1"/>
        <v>2032</v>
      </c>
      <c r="E47" s="1173">
        <f>IF($D47&gt;2060,E46,SUMIF('Truck Emissions'!$Q$42:$Q$86,D47,'Truck Emissions'!$S$42:$S$86))</f>
        <v>0.10624236189652436</v>
      </c>
      <c r="F47" s="1269"/>
    </row>
    <row r="48" spans="1:12" ht="12.6" customHeight="1">
      <c r="A48" s="4"/>
      <c r="B48" s="1274"/>
      <c r="C48" s="1272" t="s">
        <v>419</v>
      </c>
      <c r="D48" s="560">
        <f t="shared" si="1"/>
        <v>2033</v>
      </c>
      <c r="E48" s="1173">
        <f>IF($D48&gt;2060,E47,SUMIF('Truck Emissions'!$Q$42:$Q$86,D48,'Truck Emissions'!$S$42:$S$86))</f>
        <v>9.7867930255205793E-2</v>
      </c>
      <c r="F48" s="1269"/>
    </row>
    <row r="49" spans="1:6" ht="12.6" customHeight="1">
      <c r="A49" s="4"/>
      <c r="B49" s="1274"/>
      <c r="C49" s="1272" t="s">
        <v>419</v>
      </c>
      <c r="D49" s="560">
        <f t="shared" si="1"/>
        <v>2034</v>
      </c>
      <c r="E49" s="1173">
        <f>IF($D49&gt;2060,E48,SUMIF('Truck Emissions'!$Q$42:$Q$86,D49,'Truck Emissions'!$S$42:$S$86))</f>
        <v>8.9493498613887251E-2</v>
      </c>
      <c r="F49" s="1269"/>
    </row>
    <row r="50" spans="1:6" ht="12.6" customHeight="1">
      <c r="A50" s="4"/>
      <c r="B50" s="1274"/>
      <c r="C50" s="1272" t="s">
        <v>419</v>
      </c>
      <c r="D50" s="560">
        <f t="shared" si="1"/>
        <v>2035</v>
      </c>
      <c r="E50" s="1173">
        <f>IF($D50&gt;2060,E49,SUMIF('Truck Emissions'!$Q$42:$Q$86,D50,'Truck Emissions'!$S$42:$S$86))</f>
        <v>8.1119066972565781E-2</v>
      </c>
      <c r="F50" s="1269"/>
    </row>
    <row r="51" spans="1:6" ht="12.6" customHeight="1">
      <c r="A51" s="4"/>
      <c r="B51" s="1274"/>
      <c r="C51" s="1272" t="s">
        <v>419</v>
      </c>
      <c r="D51" s="560">
        <f t="shared" si="1"/>
        <v>2036</v>
      </c>
      <c r="E51" s="1173">
        <f>IF($D51&gt;2060,E50,SUMIF('Truck Emissions'!$Q$42:$Q$86,D51,'Truck Emissions'!$S$42:$S$86))</f>
        <v>8.0623539175259357E-2</v>
      </c>
      <c r="F51" s="1269"/>
    </row>
    <row r="52" spans="1:6" ht="12.6" customHeight="1">
      <c r="A52" s="4"/>
      <c r="B52" s="1274"/>
      <c r="C52" s="1272" t="s">
        <v>419</v>
      </c>
      <c r="D52" s="560">
        <f t="shared" si="1"/>
        <v>2037</v>
      </c>
      <c r="E52" s="1173">
        <f>IF($D52&gt;2060,E51,SUMIF('Truck Emissions'!$Q$42:$Q$86,D52,'Truck Emissions'!$S$42:$S$86))</f>
        <v>8.0128011377952946E-2</v>
      </c>
      <c r="F52" s="1269"/>
    </row>
    <row r="53" spans="1:6" ht="12.6" customHeight="1">
      <c r="A53" s="4"/>
      <c r="B53" s="1274"/>
      <c r="C53" s="1272" t="s">
        <v>419</v>
      </c>
      <c r="D53" s="560">
        <f t="shared" si="1"/>
        <v>2038</v>
      </c>
      <c r="E53" s="1173">
        <f>IF($D53&gt;2060,E52,SUMIF('Truck Emissions'!$Q$42:$Q$86,D53,'Truck Emissions'!$S$42:$S$86))</f>
        <v>7.9632483580646701E-2</v>
      </c>
      <c r="F53" s="1269"/>
    </row>
    <row r="54" spans="1:6" ht="12.6" customHeight="1">
      <c r="A54" s="4"/>
      <c r="B54" s="1274"/>
      <c r="C54" s="1272" t="s">
        <v>419</v>
      </c>
      <c r="D54" s="560">
        <f t="shared" si="1"/>
        <v>2039</v>
      </c>
      <c r="E54" s="1173">
        <f>IF($D54&gt;2060,E53,SUMIF('Truck Emissions'!$Q$42:$Q$86,D54,'Truck Emissions'!$S$42:$S$86))</f>
        <v>7.9136955783340276E-2</v>
      </c>
      <c r="F54" s="1269"/>
    </row>
    <row r="55" spans="1:6" ht="12.6" customHeight="1">
      <c r="A55" s="4"/>
      <c r="B55" s="1274"/>
      <c r="C55" s="1272" t="s">
        <v>419</v>
      </c>
      <c r="D55" s="560">
        <f t="shared" si="1"/>
        <v>2040</v>
      </c>
      <c r="E55" s="1173">
        <f>IF($D55&gt;2060,E54,SUMIF('Truck Emissions'!$Q$42:$Q$86,D55,'Truck Emissions'!$S$42:$S$86))</f>
        <v>7.8641427986034032E-2</v>
      </c>
      <c r="F55" s="1269"/>
    </row>
    <row r="56" spans="1:6" ht="12.6" customHeight="1">
      <c r="A56" s="4"/>
      <c r="B56" s="1274"/>
      <c r="C56" s="1272" t="s">
        <v>419</v>
      </c>
      <c r="D56" s="560">
        <f t="shared" si="1"/>
        <v>2041</v>
      </c>
      <c r="E56" s="1173">
        <f>IF($D56&gt;2060,E55,SUMIF('Truck Emissions'!$Q$42:$Q$86,D56,'Truck Emissions'!$S$42:$S$86))</f>
        <v>7.8145900188727621E-2</v>
      </c>
      <c r="F56" s="1269"/>
    </row>
    <row r="57" spans="1:6" ht="12.6" customHeight="1">
      <c r="A57" s="4"/>
      <c r="B57" s="1274"/>
      <c r="C57" s="1272" t="s">
        <v>419</v>
      </c>
      <c r="D57" s="560">
        <f t="shared" si="1"/>
        <v>2042</v>
      </c>
      <c r="E57" s="1173">
        <f>IF($D57&gt;2060,E56,SUMIF('Truck Emissions'!$Q$42:$Q$86,D57,'Truck Emissions'!$S$42:$S$86))</f>
        <v>7.765037239142121E-2</v>
      </c>
      <c r="F57" s="1269"/>
    </row>
    <row r="58" spans="1:6" ht="12.6" customHeight="1">
      <c r="A58" s="4"/>
      <c r="B58" s="1274"/>
      <c r="C58" s="1272" t="s">
        <v>419</v>
      </c>
      <c r="D58" s="560">
        <f t="shared" si="1"/>
        <v>2043</v>
      </c>
      <c r="E58" s="1173">
        <f>IF($D58&gt;2060,E57,SUMIF('Truck Emissions'!$Q$42:$Q$86,D58,'Truck Emissions'!$S$42:$S$86))</f>
        <v>7.7154844594114966E-2</v>
      </c>
      <c r="F58" s="1269"/>
    </row>
    <row r="59" spans="1:6" ht="12.6" customHeight="1">
      <c r="A59" s="4"/>
      <c r="B59" s="1274"/>
      <c r="C59" s="1272" t="s">
        <v>419</v>
      </c>
      <c r="D59" s="560">
        <f t="shared" si="1"/>
        <v>2044</v>
      </c>
      <c r="E59" s="1173">
        <f>IF($D59&gt;2060,E58,SUMIF('Truck Emissions'!$Q$42:$Q$86,D59,'Truck Emissions'!$S$42:$S$86))</f>
        <v>7.6659316796808541E-2</v>
      </c>
      <c r="F59" s="1269"/>
    </row>
    <row r="60" spans="1:6" ht="12.6" customHeight="1">
      <c r="A60" s="4"/>
      <c r="B60" s="1274"/>
      <c r="C60" s="1272"/>
      <c r="D60" s="560">
        <f t="shared" si="1"/>
        <v>2045</v>
      </c>
      <c r="E60" s="1173">
        <f>IF($D60&gt;2060,E59,SUMIF('Truck Emissions'!$Q$42:$Q$86,D60,'Truck Emissions'!$S$42:$S$86))</f>
        <v>7.6163788999502297E-2</v>
      </c>
      <c r="F60" s="1269"/>
    </row>
    <row r="61" spans="1:6" ht="12.6" customHeight="1">
      <c r="A61" s="4"/>
      <c r="B61" s="1274"/>
      <c r="C61" s="1272"/>
      <c r="D61" s="560">
        <f t="shared" si="1"/>
        <v>2046</v>
      </c>
      <c r="E61" s="1173">
        <f>IF($D61&gt;2060,E60,SUMIF('Truck Emissions'!$Q$42:$Q$86,D61,'Truck Emissions'!$S$42:$S$86))</f>
        <v>7.6163788999502297E-2</v>
      </c>
      <c r="F61" s="1269"/>
    </row>
    <row r="62" spans="1:6" ht="12.6" customHeight="1">
      <c r="A62" s="4"/>
      <c r="B62" s="1274"/>
      <c r="C62" s="1272"/>
      <c r="D62" s="560">
        <f t="shared" si="1"/>
        <v>2047</v>
      </c>
      <c r="E62" s="1173">
        <f>IF($D62&gt;2060,E61,SUMIF('Truck Emissions'!$Q$42:$Q$86,D62,'Truck Emissions'!$S$42:$S$86))</f>
        <v>7.6163788999502297E-2</v>
      </c>
      <c r="F62" s="1269"/>
    </row>
    <row r="63" spans="1:6" ht="12.6" customHeight="1">
      <c r="A63" s="4"/>
      <c r="B63" s="1274"/>
      <c r="C63" s="1272"/>
      <c r="D63" s="560">
        <f t="shared" si="1"/>
        <v>2048</v>
      </c>
      <c r="E63" s="1173">
        <f>IF($D63&gt;2060,E62,SUMIF('Truck Emissions'!$Q$42:$Q$86,D63,'Truck Emissions'!$S$42:$S$86))</f>
        <v>7.6163788999502297E-2</v>
      </c>
      <c r="F63" s="1269"/>
    </row>
    <row r="64" spans="1:6" ht="12.6" customHeight="1">
      <c r="A64" s="4"/>
      <c r="B64" s="1274"/>
      <c r="C64" s="1272"/>
      <c r="D64" s="560">
        <f t="shared" si="1"/>
        <v>2049</v>
      </c>
      <c r="E64" s="1173">
        <f>IF($D64&gt;2060,E63,SUMIF('Truck Emissions'!$Q$42:$Q$86,D64,'Truck Emissions'!$S$42:$S$86))</f>
        <v>7.6163788999502297E-2</v>
      </c>
      <c r="F64" s="1269"/>
    </row>
    <row r="65" spans="1:6" ht="12.6" customHeight="1">
      <c r="A65" s="4"/>
      <c r="B65" s="1274"/>
      <c r="C65" s="1272"/>
      <c r="D65" s="560">
        <f t="shared" si="1"/>
        <v>2050</v>
      </c>
      <c r="E65" s="1173">
        <f>IF($D65&gt;2060,E64,SUMIF('Truck Emissions'!$Q$42:$Q$86,D65,'Truck Emissions'!$S$42:$S$86))</f>
        <v>7.6163788999502297E-2</v>
      </c>
      <c r="F65" s="1269"/>
    </row>
    <row r="66" spans="1:6" ht="12.6" customHeight="1">
      <c r="A66" s="4"/>
      <c r="B66" s="1274"/>
      <c r="C66" s="1272"/>
      <c r="D66" s="560">
        <f t="shared" si="1"/>
        <v>2051</v>
      </c>
      <c r="E66" s="1173">
        <f>IF($D66&gt;2060,E65,SUMIF('Truck Emissions'!$Q$42:$Q$86,D66,'Truck Emissions'!$S$42:$S$86))</f>
        <v>7.6163788999502297E-2</v>
      </c>
      <c r="F66" s="1269"/>
    </row>
    <row r="67" spans="1:6" ht="12.6" customHeight="1">
      <c r="A67" s="4"/>
      <c r="B67" s="1274"/>
      <c r="C67" s="1272"/>
      <c r="D67" s="560">
        <f t="shared" si="1"/>
        <v>2052</v>
      </c>
      <c r="E67" s="1173">
        <f>IF($D67&gt;2060,E66,SUMIF('Truck Emissions'!$Q$42:$Q$86,D67,'Truck Emissions'!$S$42:$S$86))</f>
        <v>7.6163788999502297E-2</v>
      </c>
      <c r="F67" s="1269"/>
    </row>
    <row r="68" spans="1:6" ht="12.6" customHeight="1">
      <c r="A68" s="4"/>
      <c r="B68" s="1274"/>
      <c r="C68" s="1272"/>
      <c r="D68" s="560">
        <f t="shared" si="1"/>
        <v>2053</v>
      </c>
      <c r="E68" s="1173">
        <f>IF($D68&gt;2060,E67,SUMIF('Truck Emissions'!$Q$42:$Q$86,D68,'Truck Emissions'!$S$42:$S$86))</f>
        <v>7.6163788999502297E-2</v>
      </c>
      <c r="F68" s="1269"/>
    </row>
    <row r="69" spans="1:6" ht="12.6" customHeight="1">
      <c r="A69" s="4"/>
      <c r="B69" s="1274"/>
      <c r="C69" s="1272"/>
      <c r="D69" s="560">
        <f t="shared" si="1"/>
        <v>2054</v>
      </c>
      <c r="E69" s="1173">
        <f>IF($D69&gt;2060,E68,SUMIF('Truck Emissions'!$Q$42:$Q$86,D69,'Truck Emissions'!$S$42:$S$86))</f>
        <v>7.6163788999502297E-2</v>
      </c>
      <c r="F69" s="1269"/>
    </row>
    <row r="70" spans="1:6" ht="12.6" customHeight="1">
      <c r="A70" s="4"/>
      <c r="B70" s="1274"/>
      <c r="C70" s="1272"/>
      <c r="D70" s="560">
        <f t="shared" si="1"/>
        <v>2055</v>
      </c>
      <c r="E70" s="1173">
        <f>IF($D70&gt;2060,E69,SUMIF('Truck Emissions'!$Q$42:$Q$86,D70,'Truck Emissions'!$S$42:$S$86))</f>
        <v>7.6163788999502297E-2</v>
      </c>
      <c r="F70" s="1269"/>
    </row>
    <row r="71" spans="1:6" ht="12.6" customHeight="1">
      <c r="A71" s="4"/>
      <c r="B71" s="1274"/>
      <c r="C71" s="1272"/>
      <c r="D71" s="560">
        <f t="shared" si="1"/>
        <v>2056</v>
      </c>
      <c r="E71" s="1173">
        <f>IF($D71&gt;2060,E70,SUMIF('Truck Emissions'!$Q$42:$Q$86,D71,'Truck Emissions'!$S$42:$S$86))</f>
        <v>7.6163788999502297E-2</v>
      </c>
      <c r="F71" s="1269"/>
    </row>
    <row r="72" spans="1:6" ht="12.6" customHeight="1">
      <c r="A72" s="4"/>
      <c r="B72" s="1274"/>
      <c r="C72" s="1272" t="s">
        <v>419</v>
      </c>
      <c r="D72" s="560">
        <f t="shared" si="1"/>
        <v>2057</v>
      </c>
      <c r="E72" s="1173">
        <f>IF($D72&gt;2060,E71,SUMIF('Truck Emissions'!$Q$42:$Q$86,D72,'Truck Emissions'!$S$42:$S$86))</f>
        <v>7.6163788999502297E-2</v>
      </c>
      <c r="F72" s="1269"/>
    </row>
    <row r="73" spans="1:6" ht="12.6" customHeight="1">
      <c r="A73" s="4"/>
      <c r="B73" s="1273" t="s">
        <v>421</v>
      </c>
      <c r="C73" s="1271" t="s">
        <v>419</v>
      </c>
      <c r="D73" s="560">
        <f>Base.Year</f>
        <v>2022</v>
      </c>
      <c r="E73" s="1173">
        <f>IF($D73&gt;2060,E72,SUMIF('Truck Emissions'!$Q$42:$Q$86,D73,'Truck Emissions'!$U$42:$U$86))</f>
        <v>1.1878384172607578E-2</v>
      </c>
      <c r="F73" s="1269" t="s">
        <v>420</v>
      </c>
    </row>
    <row r="74" spans="1:6" ht="12.6" customHeight="1">
      <c r="A74" s="4"/>
      <c r="B74" s="1274"/>
      <c r="C74" s="1272" t="s">
        <v>419</v>
      </c>
      <c r="D74" s="560">
        <f>D73+1</f>
        <v>2023</v>
      </c>
      <c r="E74" s="1173">
        <f>IF($D74&gt;2060,E73,SUMIF('Truck Emissions'!$Q$42:$Q$86,D74,'Truck Emissions'!$U$42:$U$86))</f>
        <v>1.0432593231660143E-2</v>
      </c>
      <c r="F74" s="1269"/>
    </row>
    <row r="75" spans="1:6" ht="12.6" customHeight="1">
      <c r="A75" s="4"/>
      <c r="B75" s="1274"/>
      <c r="C75" s="1272" t="s">
        <v>419</v>
      </c>
      <c r="D75" s="560">
        <f t="shared" ref="D75:D108" si="2">D74+1</f>
        <v>2024</v>
      </c>
      <c r="E75" s="1173">
        <f>IF($D75&gt;2060,E74,SUMIF('Truck Emissions'!$Q$42:$Q$86,D75,'Truck Emissions'!$U$42:$U$86))</f>
        <v>8.9868022907130512E-3</v>
      </c>
      <c r="F75" s="1269"/>
    </row>
    <row r="76" spans="1:6" ht="12.6" customHeight="1">
      <c r="A76" s="4"/>
      <c r="B76" s="1274"/>
      <c r="C76" s="1272" t="s">
        <v>419</v>
      </c>
      <c r="D76" s="560">
        <f t="shared" si="2"/>
        <v>2025</v>
      </c>
      <c r="E76" s="1173">
        <f>IF($D76&gt;2060,E75,SUMIF('Truck Emissions'!$Q$42:$Q$86,D76,'Truck Emissions'!$U$42:$U$86))</f>
        <v>7.5410113497659595E-3</v>
      </c>
      <c r="F76" s="1269"/>
    </row>
    <row r="77" spans="1:6" ht="12.6" customHeight="1">
      <c r="A77" s="4"/>
      <c r="B77" s="1274"/>
      <c r="C77" s="1272" t="s">
        <v>419</v>
      </c>
      <c r="D77" s="560">
        <f t="shared" si="2"/>
        <v>2026</v>
      </c>
      <c r="E77" s="1173">
        <f>IF($D77&gt;2060,E76,SUMIF('Truck Emissions'!$Q$42:$Q$86,D77,'Truck Emissions'!$U$42:$U$86))</f>
        <v>7.0746262286866465E-3</v>
      </c>
      <c r="F77" s="1269"/>
    </row>
    <row r="78" spans="1:6" ht="12.6" customHeight="1">
      <c r="A78" s="4"/>
      <c r="B78" s="1274"/>
      <c r="C78" s="1272" t="s">
        <v>419</v>
      </c>
      <c r="D78" s="560">
        <f t="shared" si="2"/>
        <v>2027</v>
      </c>
      <c r="E78" s="1173">
        <f>IF($D78&gt;2060,E77,SUMIF('Truck Emissions'!$Q$42:$Q$86,D78,'Truck Emissions'!$U$42:$U$86))</f>
        <v>6.6082411076075062E-3</v>
      </c>
      <c r="F78" s="1269"/>
    </row>
    <row r="79" spans="1:6" ht="12.6" customHeight="1">
      <c r="A79" s="4"/>
      <c r="B79" s="1274"/>
      <c r="C79" s="1272" t="s">
        <v>419</v>
      </c>
      <c r="D79" s="560">
        <f t="shared" si="2"/>
        <v>2028</v>
      </c>
      <c r="E79" s="1173">
        <f>IF($D79&gt;2060,E78,SUMIF('Truck Emissions'!$Q$42:$Q$86,D79,'Truck Emissions'!$U$42:$U$86))</f>
        <v>6.1418559865281932E-3</v>
      </c>
      <c r="F79" s="1269"/>
    </row>
    <row r="80" spans="1:6" ht="12.6" customHeight="1">
      <c r="A80" s="4"/>
      <c r="B80" s="1274"/>
      <c r="C80" s="1272" t="s">
        <v>419</v>
      </c>
      <c r="D80" s="560">
        <f t="shared" si="2"/>
        <v>2029</v>
      </c>
      <c r="E80" s="1173">
        <f>IF($D80&gt;2060,E79,SUMIF('Truck Emissions'!$Q$42:$Q$86,D80,'Truck Emissions'!$U$42:$U$86))</f>
        <v>5.6754708654488794E-3</v>
      </c>
      <c r="F80" s="1269"/>
    </row>
    <row r="81" spans="1:6" ht="12.6" customHeight="1">
      <c r="A81" s="4"/>
      <c r="B81" s="1274"/>
      <c r="C81" s="1272" t="s">
        <v>419</v>
      </c>
      <c r="D81" s="560">
        <f t="shared" si="2"/>
        <v>2030</v>
      </c>
      <c r="E81" s="1173">
        <f>IF($D81&gt;2060,E80,SUMIF('Truck Emissions'!$Q$42:$Q$86,D81,'Truck Emissions'!$U$42:$U$86))</f>
        <v>5.2090857443695664E-3</v>
      </c>
      <c r="F81" s="1269"/>
    </row>
    <row r="82" spans="1:6" ht="12.6" customHeight="1">
      <c r="A82" s="4"/>
      <c r="B82" s="1274"/>
      <c r="C82" s="1272" t="s">
        <v>419</v>
      </c>
      <c r="D82" s="560">
        <f t="shared" si="2"/>
        <v>2031</v>
      </c>
      <c r="E82" s="1173">
        <f>IF($D82&gt;2060,E81,SUMIF('Truck Emissions'!$Q$42:$Q$86,D82,'Truck Emissions'!$U$42:$U$86))</f>
        <v>4.7427006232902535E-3</v>
      </c>
      <c r="F82" s="1269"/>
    </row>
    <row r="83" spans="1:6" ht="12.6" customHeight="1">
      <c r="A83" s="4"/>
      <c r="B83" s="1274"/>
      <c r="C83" s="1272" t="s">
        <v>419</v>
      </c>
      <c r="D83" s="560">
        <f t="shared" si="2"/>
        <v>2032</v>
      </c>
      <c r="E83" s="1173">
        <f>IF($D83&gt;2060,E82,SUMIF('Truck Emissions'!$Q$42:$Q$86,D83,'Truck Emissions'!$U$42:$U$86))</f>
        <v>4.2763155022111114E-3</v>
      </c>
      <c r="F83" s="1269"/>
    </row>
    <row r="84" spans="1:6" ht="12.6" customHeight="1">
      <c r="A84" s="4"/>
      <c r="B84" s="1274"/>
      <c r="C84" s="1272" t="s">
        <v>419</v>
      </c>
      <c r="D84" s="560">
        <f t="shared" si="2"/>
        <v>2033</v>
      </c>
      <c r="E84" s="1173">
        <f>IF($D84&gt;2060,E83,SUMIF('Truck Emissions'!$Q$42:$Q$86,D84,'Truck Emissions'!$U$42:$U$86))</f>
        <v>3.8099303811317989E-3</v>
      </c>
      <c r="F84" s="1269"/>
    </row>
    <row r="85" spans="1:6" ht="12.6" customHeight="1">
      <c r="A85" s="4"/>
      <c r="B85" s="1274"/>
      <c r="C85" s="1272" t="s">
        <v>419</v>
      </c>
      <c r="D85" s="560">
        <f t="shared" si="2"/>
        <v>2034</v>
      </c>
      <c r="E85" s="1173">
        <f>IF($D85&gt;2060,E84,SUMIF('Truck Emissions'!$Q$42:$Q$86,D85,'Truck Emissions'!$U$42:$U$86))</f>
        <v>3.3435452600524859E-3</v>
      </c>
      <c r="F85" s="1269"/>
    </row>
    <row r="86" spans="1:6" ht="12.6" customHeight="1">
      <c r="A86" s="4"/>
      <c r="B86" s="1274"/>
      <c r="C86" s="1272" t="s">
        <v>419</v>
      </c>
      <c r="D86" s="560">
        <f t="shared" si="2"/>
        <v>2035</v>
      </c>
      <c r="E86" s="1173">
        <f>IF($D86&gt;2060,E85,SUMIF('Truck Emissions'!$Q$42:$Q$86,D86,'Truck Emissions'!$U$42:$U$86))</f>
        <v>2.8771601389731725E-3</v>
      </c>
      <c r="F86" s="1269"/>
    </row>
    <row r="87" spans="1:6" ht="12.6" customHeight="1">
      <c r="A87" s="4"/>
      <c r="B87" s="1274"/>
      <c r="C87" s="1272" t="s">
        <v>419</v>
      </c>
      <c r="D87" s="560">
        <f t="shared" si="2"/>
        <v>2036</v>
      </c>
      <c r="E87" s="1173">
        <f>IF($D87&gt;2060,E86,SUMIF('Truck Emissions'!$Q$42:$Q$86,D87,'Truck Emissions'!$U$42:$U$86))</f>
        <v>2.8552857085822744E-3</v>
      </c>
      <c r="F87" s="1269"/>
    </row>
    <row r="88" spans="1:6" ht="12.6" customHeight="1">
      <c r="A88" s="4"/>
      <c r="B88" s="1274"/>
      <c r="C88" s="1272" t="s">
        <v>419</v>
      </c>
      <c r="D88" s="560">
        <f t="shared" si="2"/>
        <v>2037</v>
      </c>
      <c r="E88" s="1173">
        <f>IF($D88&gt;2060,E87,SUMIF('Truck Emissions'!$Q$42:$Q$86,D88,'Truck Emissions'!$U$42:$U$86))</f>
        <v>2.8334112781913763E-3</v>
      </c>
      <c r="F88" s="1269"/>
    </row>
    <row r="89" spans="1:6" ht="12.6" customHeight="1">
      <c r="A89" s="4"/>
      <c r="B89" s="1274"/>
      <c r="C89" s="1272" t="s">
        <v>419</v>
      </c>
      <c r="D89" s="560">
        <f t="shared" si="2"/>
        <v>2038</v>
      </c>
      <c r="E89" s="1173">
        <f>IF($D89&gt;2060,E88,SUMIF('Truck Emissions'!$Q$42:$Q$86,D89,'Truck Emissions'!$U$42:$U$86))</f>
        <v>2.8115368478004782E-3</v>
      </c>
      <c r="F89" s="1269"/>
    </row>
    <row r="90" spans="1:6" ht="12.6" customHeight="1">
      <c r="A90" s="4"/>
      <c r="B90" s="1274"/>
      <c r="C90" s="1272" t="s">
        <v>419</v>
      </c>
      <c r="D90" s="560">
        <f t="shared" si="2"/>
        <v>2039</v>
      </c>
      <c r="E90" s="1173">
        <f>IF($D90&gt;2060,E89,SUMIF('Truck Emissions'!$Q$42:$Q$86,D90,'Truck Emissions'!$U$42:$U$86))</f>
        <v>2.78966241740958E-3</v>
      </c>
      <c r="F90" s="1269"/>
    </row>
    <row r="91" spans="1:6" ht="12.6" customHeight="1">
      <c r="A91" s="4"/>
      <c r="B91" s="1274"/>
      <c r="C91" s="1272" t="s">
        <v>419</v>
      </c>
      <c r="D91" s="560">
        <f t="shared" si="2"/>
        <v>2040</v>
      </c>
      <c r="E91" s="1173">
        <f>IF($D91&gt;2060,E90,SUMIF('Truck Emissions'!$Q$42:$Q$86,D91,'Truck Emissions'!$U$42:$U$86))</f>
        <v>2.7677879870186819E-3</v>
      </c>
      <c r="F91" s="1269"/>
    </row>
    <row r="92" spans="1:6" ht="12.6" customHeight="1">
      <c r="A92" s="4"/>
      <c r="B92" s="1274"/>
      <c r="C92" s="1272" t="s">
        <v>419</v>
      </c>
      <c r="D92" s="560">
        <f t="shared" si="2"/>
        <v>2041</v>
      </c>
      <c r="E92" s="1173">
        <f>IF($D92&gt;2060,E91,SUMIF('Truck Emissions'!$Q$42:$Q$86,D92,'Truck Emissions'!$U$42:$U$86))</f>
        <v>2.7459135566277834E-3</v>
      </c>
      <c r="F92" s="1269"/>
    </row>
    <row r="93" spans="1:6" ht="12.6" customHeight="1">
      <c r="A93" s="4"/>
      <c r="B93" s="1274"/>
      <c r="C93" s="1272" t="s">
        <v>419</v>
      </c>
      <c r="D93" s="560">
        <f t="shared" si="2"/>
        <v>2042</v>
      </c>
      <c r="E93" s="1173">
        <f>IF($D93&gt;2060,E92,SUMIF('Truck Emissions'!$Q$42:$Q$86,D93,'Truck Emissions'!$U$42:$U$86))</f>
        <v>2.7240391262368852E-3</v>
      </c>
      <c r="F93" s="1269"/>
    </row>
    <row r="94" spans="1:6" ht="12.6" customHeight="1">
      <c r="A94" s="4"/>
      <c r="B94" s="1274"/>
      <c r="C94" s="1272" t="s">
        <v>419</v>
      </c>
      <c r="D94" s="560">
        <f t="shared" si="2"/>
        <v>2043</v>
      </c>
      <c r="E94" s="1173">
        <f>IF($D94&gt;2060,E93,SUMIF('Truck Emissions'!$Q$42:$Q$86,D94,'Truck Emissions'!$U$42:$U$86))</f>
        <v>2.7021646958459871E-3</v>
      </c>
      <c r="F94" s="1269"/>
    </row>
    <row r="95" spans="1:6" ht="12.6" customHeight="1">
      <c r="A95" s="4"/>
      <c r="B95" s="1274"/>
      <c r="C95" s="1272" t="s">
        <v>419</v>
      </c>
      <c r="D95" s="560">
        <f t="shared" si="2"/>
        <v>2044</v>
      </c>
      <c r="E95" s="1173">
        <f>IF($D95&gt;2060,E94,SUMIF('Truck Emissions'!$Q$42:$Q$86,D95,'Truck Emissions'!$U$42:$U$86))</f>
        <v>2.6802902654550894E-3</v>
      </c>
      <c r="F95" s="1269"/>
    </row>
    <row r="96" spans="1:6" ht="12.6" customHeight="1">
      <c r="A96" s="4"/>
      <c r="B96" s="1274"/>
      <c r="C96" s="1272"/>
      <c r="D96" s="560">
        <f t="shared" si="2"/>
        <v>2045</v>
      </c>
      <c r="E96" s="1173">
        <f>IF($D96&gt;2060,E95,SUMIF('Truck Emissions'!$Q$42:$Q$86,D96,'Truck Emissions'!$U$42:$U$86))</f>
        <v>2.6584158350641913E-3</v>
      </c>
      <c r="F96" s="1269"/>
    </row>
    <row r="97" spans="1:6" ht="12.6" customHeight="1">
      <c r="A97" s="4"/>
      <c r="B97" s="1274"/>
      <c r="C97" s="1272"/>
      <c r="D97" s="560">
        <f t="shared" si="2"/>
        <v>2046</v>
      </c>
      <c r="E97" s="1173">
        <f>IF($D97&gt;2060,E96,SUMIF('Truck Emissions'!$Q$42:$Q$86,D97,'Truck Emissions'!$U$42:$U$86))</f>
        <v>2.6584158350641913E-3</v>
      </c>
      <c r="F97" s="1269"/>
    </row>
    <row r="98" spans="1:6" ht="12.6" customHeight="1">
      <c r="A98" s="4"/>
      <c r="B98" s="1274"/>
      <c r="C98" s="1272"/>
      <c r="D98" s="560">
        <f t="shared" si="2"/>
        <v>2047</v>
      </c>
      <c r="E98" s="1173">
        <f>IF($D98&gt;2060,E97,SUMIF('Truck Emissions'!$Q$42:$Q$86,D98,'Truck Emissions'!$U$42:$U$86))</f>
        <v>2.6584158350641913E-3</v>
      </c>
      <c r="F98" s="1269"/>
    </row>
    <row r="99" spans="1:6" ht="12.6" customHeight="1">
      <c r="A99" s="4"/>
      <c r="B99" s="1274"/>
      <c r="C99" s="1272"/>
      <c r="D99" s="560">
        <f t="shared" si="2"/>
        <v>2048</v>
      </c>
      <c r="E99" s="1173">
        <f>IF($D99&gt;2060,E98,SUMIF('Truck Emissions'!$Q$42:$Q$86,D99,'Truck Emissions'!$U$42:$U$86))</f>
        <v>2.6584158350641913E-3</v>
      </c>
      <c r="F99" s="1269"/>
    </row>
    <row r="100" spans="1:6" ht="12.6" customHeight="1">
      <c r="A100" s="4"/>
      <c r="B100" s="1274"/>
      <c r="C100" s="1272"/>
      <c r="D100" s="560">
        <f t="shared" si="2"/>
        <v>2049</v>
      </c>
      <c r="E100" s="1173">
        <f>IF($D100&gt;2060,E99,SUMIF('Truck Emissions'!$Q$42:$Q$86,D100,'Truck Emissions'!$U$42:$U$86))</f>
        <v>2.6584158350641913E-3</v>
      </c>
      <c r="F100" s="1269"/>
    </row>
    <row r="101" spans="1:6" ht="12.6" customHeight="1">
      <c r="A101" s="4"/>
      <c r="B101" s="1274"/>
      <c r="C101" s="1272"/>
      <c r="D101" s="560">
        <f t="shared" si="2"/>
        <v>2050</v>
      </c>
      <c r="E101" s="1173">
        <f>IF($D101&gt;2060,E100,SUMIF('Truck Emissions'!$Q$42:$Q$86,D101,'Truck Emissions'!$U$42:$U$86))</f>
        <v>2.6584158350641913E-3</v>
      </c>
      <c r="F101" s="1269"/>
    </row>
    <row r="102" spans="1:6" ht="12.6" customHeight="1">
      <c r="A102" s="4"/>
      <c r="B102" s="1274"/>
      <c r="C102" s="1272"/>
      <c r="D102" s="560">
        <f t="shared" si="2"/>
        <v>2051</v>
      </c>
      <c r="E102" s="1173">
        <f>IF($D102&gt;2060,E101,SUMIF('Truck Emissions'!$Q$42:$Q$86,D102,'Truck Emissions'!$U$42:$U$86))</f>
        <v>2.6584158350641913E-3</v>
      </c>
      <c r="F102" s="1269"/>
    </row>
    <row r="103" spans="1:6" ht="12.6" customHeight="1">
      <c r="A103" s="4"/>
      <c r="B103" s="1274"/>
      <c r="C103" s="1272"/>
      <c r="D103" s="560">
        <f t="shared" si="2"/>
        <v>2052</v>
      </c>
      <c r="E103" s="1173">
        <f>IF($D103&gt;2060,E102,SUMIF('Truck Emissions'!$Q$42:$Q$86,D103,'Truck Emissions'!$U$42:$U$86))</f>
        <v>2.6584158350641913E-3</v>
      </c>
      <c r="F103" s="1269"/>
    </row>
    <row r="104" spans="1:6" ht="12.6" customHeight="1">
      <c r="A104" s="4"/>
      <c r="B104" s="1274"/>
      <c r="C104" s="1272"/>
      <c r="D104" s="560">
        <f t="shared" si="2"/>
        <v>2053</v>
      </c>
      <c r="E104" s="1173">
        <f>IF($D104&gt;2060,E103,SUMIF('Truck Emissions'!$Q$42:$Q$86,D104,'Truck Emissions'!$U$42:$U$86))</f>
        <v>2.6584158350641913E-3</v>
      </c>
      <c r="F104" s="1269"/>
    </row>
    <row r="105" spans="1:6" ht="12.6" customHeight="1">
      <c r="A105" s="4"/>
      <c r="B105" s="1274"/>
      <c r="C105" s="1272"/>
      <c r="D105" s="560">
        <f t="shared" si="2"/>
        <v>2054</v>
      </c>
      <c r="E105" s="1173">
        <f>IF($D105&gt;2060,E104,SUMIF('Truck Emissions'!$Q$42:$Q$86,D105,'Truck Emissions'!$U$42:$U$86))</f>
        <v>2.6584158350641913E-3</v>
      </c>
      <c r="F105" s="1269"/>
    </row>
    <row r="106" spans="1:6" ht="12.6" customHeight="1">
      <c r="A106" s="4"/>
      <c r="B106" s="1274"/>
      <c r="C106" s="1272"/>
      <c r="D106" s="560">
        <f t="shared" si="2"/>
        <v>2055</v>
      </c>
      <c r="E106" s="1173">
        <f>IF($D106&gt;2060,E105,SUMIF('Truck Emissions'!$Q$42:$Q$86,D106,'Truck Emissions'!$U$42:$U$86))</f>
        <v>2.6584158350641913E-3</v>
      </c>
      <c r="F106" s="1269"/>
    </row>
    <row r="107" spans="1:6" ht="12.6" customHeight="1">
      <c r="A107" s="4"/>
      <c r="B107" s="1274"/>
      <c r="C107" s="1272"/>
      <c r="D107" s="560">
        <f t="shared" si="2"/>
        <v>2056</v>
      </c>
      <c r="E107" s="1173">
        <f>IF($D107&gt;2060,E106,SUMIF('Truck Emissions'!$Q$42:$Q$86,D107,'Truck Emissions'!$U$42:$U$86))</f>
        <v>2.6584158350641913E-3</v>
      </c>
      <c r="F107" s="1269"/>
    </row>
    <row r="108" spans="1:6" ht="12.6" customHeight="1">
      <c r="A108" s="4"/>
      <c r="B108" s="1274"/>
      <c r="C108" s="1272" t="s">
        <v>419</v>
      </c>
      <c r="D108" s="560">
        <f t="shared" si="2"/>
        <v>2057</v>
      </c>
      <c r="E108" s="1173">
        <f>IF($D108&gt;2060,E107,SUMIF('Truck Emissions'!$Q$42:$Q$86,D108,'Truck Emissions'!$U$42:$U$86))</f>
        <v>2.6584158350641913E-3</v>
      </c>
      <c r="F108" s="1269"/>
    </row>
    <row r="109" spans="1:6" ht="12.6" customHeight="1">
      <c r="A109" s="4"/>
      <c r="B109" s="1273" t="s">
        <v>422</v>
      </c>
      <c r="C109" s="1271" t="s">
        <v>419</v>
      </c>
      <c r="D109" s="560">
        <f>Base.Year</f>
        <v>2022</v>
      </c>
      <c r="E109" s="1173">
        <f>IF($D109&gt;2060,E108,SUMIF('Truck Emissions'!$Q$42:$Q$86,D109,'Truck Emissions'!$X$42:$X$86))</f>
        <v>1.3289061073937826E-2</v>
      </c>
      <c r="F109" s="1269" t="s">
        <v>420</v>
      </c>
    </row>
    <row r="110" spans="1:6" ht="12.6" customHeight="1">
      <c r="A110" s="4"/>
      <c r="B110" s="1274"/>
      <c r="C110" s="1272" t="s">
        <v>419</v>
      </c>
      <c r="D110" s="560">
        <f>D109+1</f>
        <v>2023</v>
      </c>
      <c r="E110" s="1173">
        <f>IF($D110&gt;2060,E109,SUMIF('Truck Emissions'!$Q$42:$Q$86,D110,'Truck Emissions'!$X$42:$X$86))</f>
        <v>1.1509106810075807E-2</v>
      </c>
      <c r="F110" s="1269"/>
    </row>
    <row r="111" spans="1:6" ht="12.6" customHeight="1">
      <c r="A111" s="4"/>
      <c r="B111" s="1274"/>
      <c r="C111" s="1272" t="s">
        <v>419</v>
      </c>
      <c r="D111" s="560">
        <f t="shared" ref="D111:D144" si="3">D110+1</f>
        <v>2024</v>
      </c>
      <c r="E111" s="1173">
        <f>IF($D111&gt;2060,E110,SUMIF('Truck Emissions'!$Q$42:$Q$86,D111,'Truck Emissions'!$X$42:$X$86))</f>
        <v>9.7291525462144535E-3</v>
      </c>
      <c r="F111" s="1269"/>
    </row>
    <row r="112" spans="1:6" ht="12.6" customHeight="1">
      <c r="A112" s="4"/>
      <c r="B112" s="1274"/>
      <c r="C112" s="1272" t="s">
        <v>419</v>
      </c>
      <c r="D112" s="560">
        <f t="shared" si="3"/>
        <v>2025</v>
      </c>
      <c r="E112" s="1173">
        <f>IF($D112&gt;2060,E111,SUMIF('Truck Emissions'!$Q$42:$Q$86,D112,'Truck Emissions'!$X$42:$X$86))</f>
        <v>7.9491982823524342E-3</v>
      </c>
      <c r="F112" s="1269"/>
    </row>
    <row r="113" spans="1:6" ht="12.6" customHeight="1">
      <c r="A113" s="4"/>
      <c r="B113" s="1274"/>
      <c r="C113" s="1272" t="s">
        <v>419</v>
      </c>
      <c r="D113" s="560">
        <f t="shared" si="3"/>
        <v>2026</v>
      </c>
      <c r="E113" s="1173">
        <f>IF($D113&gt;2060,E112,SUMIF('Truck Emissions'!$Q$42:$Q$86,D113,'Truck Emissions'!$X$42:$X$86))</f>
        <v>7.394878863505986E-3</v>
      </c>
      <c r="F113" s="1269"/>
    </row>
    <row r="114" spans="1:6" ht="12.6" customHeight="1">
      <c r="A114" s="4"/>
      <c r="B114" s="1274"/>
      <c r="C114" s="1272" t="s">
        <v>419</v>
      </c>
      <c r="D114" s="560">
        <f t="shared" si="3"/>
        <v>2027</v>
      </c>
      <c r="E114" s="1173">
        <f>IF($D114&gt;2060,E113,SUMIF('Truck Emissions'!$Q$42:$Q$86,D114,'Truck Emissions'!$X$42:$X$86))</f>
        <v>6.8405594446595379E-3</v>
      </c>
      <c r="F114" s="1269"/>
    </row>
    <row r="115" spans="1:6" ht="12.6" customHeight="1">
      <c r="A115" s="4"/>
      <c r="B115" s="1274"/>
      <c r="C115" s="1272" t="s">
        <v>419</v>
      </c>
      <c r="D115" s="560">
        <f t="shared" si="3"/>
        <v>2028</v>
      </c>
      <c r="E115" s="1173">
        <f>IF($D115&gt;2060,E114,SUMIF('Truck Emissions'!$Q$42:$Q$86,D115,'Truck Emissions'!$X$42:$X$86))</f>
        <v>6.2862400258132563E-3</v>
      </c>
      <c r="F115" s="1269"/>
    </row>
    <row r="116" spans="1:6" ht="12.6" customHeight="1">
      <c r="A116" s="4"/>
      <c r="B116" s="1274"/>
      <c r="C116" s="1272" t="s">
        <v>419</v>
      </c>
      <c r="D116" s="560">
        <f t="shared" si="3"/>
        <v>2029</v>
      </c>
      <c r="E116" s="1173">
        <f>IF($D116&gt;2060,E115,SUMIF('Truck Emissions'!$Q$42:$Q$86,D116,'Truck Emissions'!$X$42:$X$86))</f>
        <v>5.7319206069668081E-3</v>
      </c>
      <c r="F116" s="1269"/>
    </row>
    <row r="117" spans="1:6" ht="12.6" customHeight="1">
      <c r="A117" s="4"/>
      <c r="B117" s="1274"/>
      <c r="C117" s="1272" t="s">
        <v>419</v>
      </c>
      <c r="D117" s="560">
        <f t="shared" si="3"/>
        <v>2030</v>
      </c>
      <c r="E117" s="1173">
        <f>IF($D117&gt;2060,E116,SUMIF('Truck Emissions'!$Q$42:$Q$86,D117,'Truck Emissions'!$X$42:$X$86))</f>
        <v>5.17760118812036E-3</v>
      </c>
      <c r="F117" s="1269"/>
    </row>
    <row r="118" spans="1:6" ht="12.6" customHeight="1">
      <c r="A118" s="4"/>
      <c r="B118" s="1274"/>
      <c r="C118" s="1272" t="s">
        <v>419</v>
      </c>
      <c r="D118" s="560">
        <f t="shared" si="3"/>
        <v>2031</v>
      </c>
      <c r="E118" s="1173">
        <f>IF($D118&gt;2060,E117,SUMIF('Truck Emissions'!$Q$42:$Q$86,D118,'Truck Emissions'!$X$42:$X$86))</f>
        <v>4.6232817692739127E-3</v>
      </c>
      <c r="F118" s="1269"/>
    </row>
    <row r="119" spans="1:6" ht="12.6" customHeight="1">
      <c r="A119" s="4"/>
      <c r="B119" s="1274"/>
      <c r="C119" s="1272" t="s">
        <v>419</v>
      </c>
      <c r="D119" s="560">
        <f t="shared" si="3"/>
        <v>2032</v>
      </c>
      <c r="E119" s="1173">
        <f>IF($D119&gt;2060,E118,SUMIF('Truck Emissions'!$Q$42:$Q$86,D119,'Truck Emissions'!$X$42:$X$86))</f>
        <v>4.0689623504274637E-3</v>
      </c>
      <c r="F119" s="1269"/>
    </row>
    <row r="120" spans="1:6" ht="12.6" customHeight="1">
      <c r="A120" s="4"/>
      <c r="B120" s="1274"/>
      <c r="C120" s="1272" t="s">
        <v>419</v>
      </c>
      <c r="D120" s="560">
        <f t="shared" si="3"/>
        <v>2033</v>
      </c>
      <c r="E120" s="1173">
        <f>IF($D120&gt;2060,E119,SUMIF('Truck Emissions'!$Q$42:$Q$86,D120,'Truck Emissions'!$X$42:$X$86))</f>
        <v>3.5146429315811834E-3</v>
      </c>
      <c r="F120" s="1269"/>
    </row>
    <row r="121" spans="1:6" ht="12.6" customHeight="1">
      <c r="A121" s="4"/>
      <c r="B121" s="1274"/>
      <c r="C121" s="1272" t="s">
        <v>419</v>
      </c>
      <c r="D121" s="560">
        <f t="shared" si="3"/>
        <v>2034</v>
      </c>
      <c r="E121" s="1173">
        <f>IF($D121&gt;2060,E120,SUMIF('Truck Emissions'!$Q$42:$Q$86,D121,'Truck Emissions'!$X$42:$X$86))</f>
        <v>2.9603235127347353E-3</v>
      </c>
      <c r="F121" s="1269"/>
    </row>
    <row r="122" spans="1:6" ht="12.6" customHeight="1">
      <c r="A122" s="4"/>
      <c r="B122" s="1274"/>
      <c r="C122" s="1272" t="s">
        <v>419</v>
      </c>
      <c r="D122" s="560">
        <f t="shared" si="3"/>
        <v>2035</v>
      </c>
      <c r="E122" s="1173">
        <f>IF($D122&gt;2060,E121,SUMIF('Truck Emissions'!$Q$42:$Q$86,D122,'Truck Emissions'!$X$42:$X$86))</f>
        <v>2.4060040938882871E-3</v>
      </c>
      <c r="F122" s="1269"/>
    </row>
    <row r="123" spans="1:6" ht="12.6" customHeight="1">
      <c r="A123" s="4"/>
      <c r="B123" s="1274"/>
      <c r="C123" s="1272" t="s">
        <v>419</v>
      </c>
      <c r="D123" s="560">
        <f t="shared" si="3"/>
        <v>2036</v>
      </c>
      <c r="E123" s="1173">
        <f>IF($D123&gt;2060,E122,SUMIF('Truck Emissions'!$Q$42:$Q$86,D123,'Truck Emissions'!$X$42:$X$86))</f>
        <v>2.3817558815301654E-3</v>
      </c>
      <c r="F123" s="1269"/>
    </row>
    <row r="124" spans="1:6" ht="12.6" customHeight="1">
      <c r="A124" s="4"/>
      <c r="B124" s="1274"/>
      <c r="C124" s="1272" t="s">
        <v>419</v>
      </c>
      <c r="D124" s="560">
        <f t="shared" si="3"/>
        <v>2037</v>
      </c>
      <c r="E124" s="1173">
        <f>IF($D124&gt;2060,E123,SUMIF('Truck Emissions'!$Q$42:$Q$86,D124,'Truck Emissions'!$X$42:$X$86))</f>
        <v>2.3575076691720329E-3</v>
      </c>
      <c r="F124" s="1269"/>
    </row>
    <row r="125" spans="1:6" ht="12.6" customHeight="1">
      <c r="A125" s="4"/>
      <c r="B125" s="1274"/>
      <c r="C125" s="1272" t="s">
        <v>419</v>
      </c>
      <c r="D125" s="560">
        <f t="shared" si="3"/>
        <v>2038</v>
      </c>
      <c r="E125" s="1173">
        <f>IF($D125&gt;2060,E124,SUMIF('Truck Emissions'!$Q$42:$Q$86,D125,'Truck Emissions'!$X$42:$X$86))</f>
        <v>2.3332594568139103E-3</v>
      </c>
      <c r="F125" s="1269"/>
    </row>
    <row r="126" spans="1:6" ht="12.6" customHeight="1">
      <c r="A126" s="4"/>
      <c r="B126" s="1274"/>
      <c r="C126" s="1272" t="s">
        <v>419</v>
      </c>
      <c r="D126" s="560">
        <f t="shared" si="3"/>
        <v>2039</v>
      </c>
      <c r="E126" s="1173">
        <f>IF($D126&gt;2060,E125,SUMIF('Truck Emissions'!$Q$42:$Q$86,D126,'Truck Emissions'!$X$42:$X$86))</f>
        <v>2.3090112444557886E-3</v>
      </c>
      <c r="F126" s="1269"/>
    </row>
    <row r="127" spans="1:6" ht="12.6" customHeight="1">
      <c r="A127" s="4"/>
      <c r="B127" s="1274"/>
      <c r="C127" s="1272" t="s">
        <v>419</v>
      </c>
      <c r="D127" s="560">
        <f t="shared" si="3"/>
        <v>2040</v>
      </c>
      <c r="E127" s="1173">
        <f>IF($D127&gt;2060,E126,SUMIF('Truck Emissions'!$Q$42:$Q$86,D127,'Truck Emissions'!$X$42:$X$86))</f>
        <v>2.2847630320976557E-3</v>
      </c>
      <c r="F127" s="1269"/>
    </row>
    <row r="128" spans="1:6" ht="12.6" customHeight="1">
      <c r="A128" s="4"/>
      <c r="B128" s="1274"/>
      <c r="C128" s="1272" t="s">
        <v>419</v>
      </c>
      <c r="D128" s="560">
        <f t="shared" si="3"/>
        <v>2041</v>
      </c>
      <c r="E128" s="1173">
        <f>IF($D128&gt;2060,E127,SUMIF('Truck Emissions'!$Q$42:$Q$86,D128,'Truck Emissions'!$X$42:$X$86))</f>
        <v>2.2605148197395336E-3</v>
      </c>
      <c r="F128" s="1269"/>
    </row>
    <row r="129" spans="1:6" ht="12.6" customHeight="1">
      <c r="A129" s="4"/>
      <c r="B129" s="1274"/>
      <c r="C129" s="1272" t="s">
        <v>419</v>
      </c>
      <c r="D129" s="560">
        <f t="shared" si="3"/>
        <v>2042</v>
      </c>
      <c r="E129" s="1173">
        <f>IF($D129&gt;2060,E128,SUMIF('Truck Emissions'!$Q$42:$Q$86,D129,'Truck Emissions'!$X$42:$X$86))</f>
        <v>2.2362666073814015E-3</v>
      </c>
      <c r="F129" s="1269"/>
    </row>
    <row r="130" spans="1:6" ht="12.6" customHeight="1">
      <c r="A130" s="4"/>
      <c r="B130" s="1274"/>
      <c r="C130" s="1272" t="s">
        <v>419</v>
      </c>
      <c r="D130" s="560">
        <f t="shared" si="3"/>
        <v>2043</v>
      </c>
      <c r="E130" s="1173">
        <f>IF($D130&gt;2060,E129,SUMIF('Truck Emissions'!$Q$42:$Q$86,D130,'Truck Emissions'!$X$42:$X$86))</f>
        <v>2.2120183950232789E-3</v>
      </c>
      <c r="F130" s="1269"/>
    </row>
    <row r="131" spans="1:6" ht="12.6" customHeight="1">
      <c r="A131" s="4"/>
      <c r="B131" s="1274"/>
      <c r="C131" s="1272" t="s">
        <v>419</v>
      </c>
      <c r="D131" s="560">
        <f t="shared" si="3"/>
        <v>2044</v>
      </c>
      <c r="E131" s="1173">
        <f>IF($D131&gt;2060,E130,SUMIF('Truck Emissions'!$Q$42:$Q$86,D131,'Truck Emissions'!$X$42:$X$86))</f>
        <v>2.1877701826651572E-3</v>
      </c>
      <c r="F131" s="1269"/>
    </row>
    <row r="132" spans="1:6" ht="12.6" customHeight="1">
      <c r="A132" s="4"/>
      <c r="B132" s="1274"/>
      <c r="C132" s="1272"/>
      <c r="D132" s="560">
        <f t="shared" si="3"/>
        <v>2045</v>
      </c>
      <c r="E132" s="1173">
        <f>IF($D132&gt;2060,E131,SUMIF('Truck Emissions'!$Q$42:$Q$86,D132,'Truck Emissions'!$X$42:$X$86))</f>
        <v>2.1635219703070242E-3</v>
      </c>
      <c r="F132" s="1269"/>
    </row>
    <row r="133" spans="1:6" ht="12.6" customHeight="1">
      <c r="A133" s="4"/>
      <c r="B133" s="1274"/>
      <c r="C133" s="1272"/>
      <c r="D133" s="560">
        <f t="shared" si="3"/>
        <v>2046</v>
      </c>
      <c r="E133" s="1173">
        <f>IF($D133&gt;2060,E132,SUMIF('Truck Emissions'!$Q$42:$Q$86,D133,'Truck Emissions'!$X$42:$X$86))</f>
        <v>2.1635219703070242E-3</v>
      </c>
      <c r="F133" s="1269"/>
    </row>
    <row r="134" spans="1:6" ht="12.6" customHeight="1">
      <c r="A134" s="4"/>
      <c r="B134" s="1274"/>
      <c r="C134" s="1272"/>
      <c r="D134" s="560">
        <f t="shared" si="3"/>
        <v>2047</v>
      </c>
      <c r="E134" s="1173">
        <f>IF($D134&gt;2060,E133,SUMIF('Truck Emissions'!$Q$42:$Q$86,D134,'Truck Emissions'!$X$42:$X$86))</f>
        <v>2.1635219703070242E-3</v>
      </c>
      <c r="F134" s="1269"/>
    </row>
    <row r="135" spans="1:6" ht="12.6" customHeight="1">
      <c r="A135" s="4"/>
      <c r="B135" s="1274"/>
      <c r="C135" s="1272"/>
      <c r="D135" s="560">
        <f t="shared" si="3"/>
        <v>2048</v>
      </c>
      <c r="E135" s="1173">
        <f>IF($D135&gt;2060,E134,SUMIF('Truck Emissions'!$Q$42:$Q$86,D135,'Truck Emissions'!$X$42:$X$86))</f>
        <v>2.1635219703070242E-3</v>
      </c>
      <c r="F135" s="1269"/>
    </row>
    <row r="136" spans="1:6" ht="12.6" customHeight="1">
      <c r="A136" s="4"/>
      <c r="B136" s="1274"/>
      <c r="C136" s="1272"/>
      <c r="D136" s="560">
        <f t="shared" si="3"/>
        <v>2049</v>
      </c>
      <c r="E136" s="1173">
        <f>IF($D136&gt;2060,E135,SUMIF('Truck Emissions'!$Q$42:$Q$86,D136,'Truck Emissions'!$X$42:$X$86))</f>
        <v>2.1635219703070242E-3</v>
      </c>
      <c r="F136" s="1269"/>
    </row>
    <row r="137" spans="1:6" ht="12.6" customHeight="1">
      <c r="A137" s="4"/>
      <c r="B137" s="1274"/>
      <c r="C137" s="1272"/>
      <c r="D137" s="560">
        <f t="shared" si="3"/>
        <v>2050</v>
      </c>
      <c r="E137" s="1173">
        <f>IF($D137&gt;2060,E136,SUMIF('Truck Emissions'!$Q$42:$Q$86,D137,'Truck Emissions'!$X$42:$X$86))</f>
        <v>2.1635219703070242E-3</v>
      </c>
      <c r="F137" s="1269"/>
    </row>
    <row r="138" spans="1:6" ht="12.6" customHeight="1">
      <c r="A138" s="4"/>
      <c r="B138" s="1274"/>
      <c r="C138" s="1272"/>
      <c r="D138" s="560">
        <f t="shared" si="3"/>
        <v>2051</v>
      </c>
      <c r="E138" s="1173">
        <f>IF($D138&gt;2060,E137,SUMIF('Truck Emissions'!$Q$42:$Q$86,D138,'Truck Emissions'!$X$42:$X$86))</f>
        <v>2.1635219703070242E-3</v>
      </c>
      <c r="F138" s="1269"/>
    </row>
    <row r="139" spans="1:6" ht="12.6" customHeight="1">
      <c r="A139" s="4"/>
      <c r="B139" s="1274"/>
      <c r="C139" s="1272"/>
      <c r="D139" s="560">
        <f t="shared" si="3"/>
        <v>2052</v>
      </c>
      <c r="E139" s="1173">
        <f>IF($D139&gt;2060,E138,SUMIF('Truck Emissions'!$Q$42:$Q$86,D139,'Truck Emissions'!$X$42:$X$86))</f>
        <v>2.1635219703070242E-3</v>
      </c>
      <c r="F139" s="1269"/>
    </row>
    <row r="140" spans="1:6" ht="12.6" customHeight="1">
      <c r="A140" s="4"/>
      <c r="B140" s="1274"/>
      <c r="C140" s="1272"/>
      <c r="D140" s="560">
        <f t="shared" si="3"/>
        <v>2053</v>
      </c>
      <c r="E140" s="1173">
        <f>IF($D140&gt;2060,E139,SUMIF('Truck Emissions'!$Q$42:$Q$86,D140,'Truck Emissions'!$X$42:$X$86))</f>
        <v>2.1635219703070242E-3</v>
      </c>
      <c r="F140" s="1269"/>
    </row>
    <row r="141" spans="1:6" ht="12.6" customHeight="1">
      <c r="A141" s="4"/>
      <c r="B141" s="1274"/>
      <c r="C141" s="1272"/>
      <c r="D141" s="560">
        <f t="shared" si="3"/>
        <v>2054</v>
      </c>
      <c r="E141" s="1173">
        <f>IF($D141&gt;2060,E140,SUMIF('Truck Emissions'!$Q$42:$Q$86,D141,'Truck Emissions'!$X$42:$X$86))</f>
        <v>2.1635219703070242E-3</v>
      </c>
      <c r="F141" s="1269"/>
    </row>
    <row r="142" spans="1:6" ht="12.6" customHeight="1">
      <c r="A142" s="4"/>
      <c r="B142" s="1274"/>
      <c r="C142" s="1272"/>
      <c r="D142" s="560">
        <f t="shared" si="3"/>
        <v>2055</v>
      </c>
      <c r="E142" s="1173">
        <f>IF($D142&gt;2060,E141,SUMIF('Truck Emissions'!$Q$42:$Q$86,D142,'Truck Emissions'!$X$42:$X$86))</f>
        <v>2.1635219703070242E-3</v>
      </c>
      <c r="F142" s="1269"/>
    </row>
    <row r="143" spans="1:6" ht="12.6" customHeight="1">
      <c r="A143" s="4"/>
      <c r="B143" s="1274"/>
      <c r="C143" s="1272"/>
      <c r="D143" s="560">
        <f t="shared" si="3"/>
        <v>2056</v>
      </c>
      <c r="E143" s="1173">
        <f>IF($D143&gt;2060,E142,SUMIF('Truck Emissions'!$Q$42:$Q$86,D143,'Truck Emissions'!$X$42:$X$86))</f>
        <v>2.1635219703070242E-3</v>
      </c>
      <c r="F143" s="1269"/>
    </row>
    <row r="144" spans="1:6" ht="12.6" customHeight="1">
      <c r="A144" s="4"/>
      <c r="B144" s="1274"/>
      <c r="C144" s="1272" t="s">
        <v>419</v>
      </c>
      <c r="D144" s="560">
        <f t="shared" si="3"/>
        <v>2057</v>
      </c>
      <c r="E144" s="1173">
        <f>IF($D144&gt;2060,E143,SUMIF('Truck Emissions'!$Q$42:$Q$86,D144,'Truck Emissions'!$X$42:$X$86))</f>
        <v>2.1635219703070242E-3</v>
      </c>
      <c r="F144" s="1269"/>
    </row>
    <row r="145" spans="1:6" ht="12.6" customHeight="1">
      <c r="A145" s="4"/>
      <c r="B145" s="1268" t="s">
        <v>423</v>
      </c>
      <c r="C145" s="1270" t="s">
        <v>419</v>
      </c>
      <c r="D145" s="560">
        <f>Base.Year</f>
        <v>2022</v>
      </c>
      <c r="E145" s="1173">
        <f>IF($D145&gt;2060,E144,SUMIF('Truck Emissions'!$Q$42:$Q$86,D145,'Truck Emissions'!$T$42:$T$86))</f>
        <v>8.4820855802927755E-4</v>
      </c>
      <c r="F145" s="1269" t="s">
        <v>420</v>
      </c>
    </row>
    <row r="146" spans="1:6" ht="12.6" customHeight="1">
      <c r="A146" s="4"/>
      <c r="B146" s="1268"/>
      <c r="C146" s="1270" t="s">
        <v>419</v>
      </c>
      <c r="D146" s="560">
        <f>D145+1</f>
        <v>2023</v>
      </c>
      <c r="E146" s="1173">
        <f>IF($D146&gt;2060,E145,SUMIF('Truck Emissions'!$Q$42:$Q$86,D146,'Truck Emissions'!$T$42:$T$86))</f>
        <v>8.4123406774149303E-4</v>
      </c>
      <c r="F146" s="1269"/>
    </row>
    <row r="147" spans="1:6" ht="12.6" customHeight="1">
      <c r="A147" s="4"/>
      <c r="B147" s="1268"/>
      <c r="C147" s="1270" t="s">
        <v>419</v>
      </c>
      <c r="D147" s="560">
        <f t="shared" ref="D147:D180" si="4">D146+1</f>
        <v>2024</v>
      </c>
      <c r="E147" s="1173">
        <f>IF($D147&gt;2060,E146,SUMIF('Truck Emissions'!$Q$42:$Q$86,D147,'Truck Emissions'!$T$42:$T$86))</f>
        <v>8.3425957745370872E-4</v>
      </c>
      <c r="F147" s="1269"/>
    </row>
    <row r="148" spans="1:6" ht="12.6" customHeight="1">
      <c r="A148" s="4"/>
      <c r="B148" s="1268"/>
      <c r="C148" s="1270" t="s">
        <v>419</v>
      </c>
      <c r="D148" s="560">
        <f t="shared" si="4"/>
        <v>2025</v>
      </c>
      <c r="E148" s="1173">
        <f>IF($D148&gt;2060,E147,SUMIF('Truck Emissions'!$Q$42:$Q$86,D148,'Truck Emissions'!$T$42:$T$86))</f>
        <v>8.2728508716592214E-4</v>
      </c>
      <c r="F148" s="1269"/>
    </row>
    <row r="149" spans="1:6" ht="12.6" customHeight="1">
      <c r="A149" s="4"/>
      <c r="B149" s="1268"/>
      <c r="C149" s="1270" t="s">
        <v>419</v>
      </c>
      <c r="D149" s="560">
        <f t="shared" si="4"/>
        <v>2026</v>
      </c>
      <c r="E149" s="1173">
        <f>IF($D149&gt;2060,E148,SUMIF('Truck Emissions'!$Q$42:$Q$86,D149,'Truck Emissions'!$T$42:$T$86))</f>
        <v>8.2463060903291061E-4</v>
      </c>
      <c r="F149" s="1269"/>
    </row>
    <row r="150" spans="1:6" ht="12.6" customHeight="1">
      <c r="A150" s="4"/>
      <c r="B150" s="1268"/>
      <c r="C150" s="1270" t="s">
        <v>419</v>
      </c>
      <c r="D150" s="560">
        <f t="shared" si="4"/>
        <v>2027</v>
      </c>
      <c r="E150" s="1173">
        <f>IF($D150&gt;2060,E149,SUMIF('Truck Emissions'!$Q$42:$Q$86,D150,'Truck Emissions'!$T$42:$T$86))</f>
        <v>8.2197613089989973E-4</v>
      </c>
      <c r="F150" s="1269"/>
    </row>
    <row r="151" spans="1:6" ht="12.6" customHeight="1">
      <c r="A151" s="4"/>
      <c r="B151" s="1268"/>
      <c r="C151" s="1270" t="s">
        <v>419</v>
      </c>
      <c r="D151" s="560">
        <f t="shared" si="4"/>
        <v>2028</v>
      </c>
      <c r="E151" s="1173">
        <f>IF($D151&gt;2060,E150,SUMIF('Truck Emissions'!$Q$42:$Q$86,D151,'Truck Emissions'!$T$42:$T$86))</f>
        <v>8.1932165276688809E-4</v>
      </c>
      <c r="F151" s="1269"/>
    </row>
    <row r="152" spans="1:6" ht="12.6" customHeight="1">
      <c r="A152" s="4"/>
      <c r="B152" s="1268"/>
      <c r="C152" s="1270" t="s">
        <v>419</v>
      </c>
      <c r="D152" s="560">
        <f t="shared" si="4"/>
        <v>2029</v>
      </c>
      <c r="E152" s="1173">
        <f>IF($D152&gt;2060,E151,SUMIF('Truck Emissions'!$Q$42:$Q$86,D152,'Truck Emissions'!$T$42:$T$86))</f>
        <v>8.1666717463387646E-4</v>
      </c>
      <c r="F152" s="1269"/>
    </row>
    <row r="153" spans="1:6" ht="12.6" customHeight="1">
      <c r="A153" s="4"/>
      <c r="B153" s="1268"/>
      <c r="C153" s="1270" t="s">
        <v>419</v>
      </c>
      <c r="D153" s="560">
        <f t="shared" si="4"/>
        <v>2030</v>
      </c>
      <c r="E153" s="1173">
        <f>IF($D153&gt;2060,E152,SUMIF('Truck Emissions'!$Q$42:$Q$86,D153,'Truck Emissions'!$T$42:$T$86))</f>
        <v>8.1401269650086558E-4</v>
      </c>
      <c r="F153" s="1269"/>
    </row>
    <row r="154" spans="1:6" ht="12.6" customHeight="1">
      <c r="A154" s="4"/>
      <c r="B154" s="1268"/>
      <c r="C154" s="1270" t="s">
        <v>419</v>
      </c>
      <c r="D154" s="560">
        <f t="shared" si="4"/>
        <v>2031</v>
      </c>
      <c r="E154" s="1173">
        <f>IF($D154&gt;2060,E153,SUMIF('Truck Emissions'!$Q$42:$Q$86,D154,'Truck Emissions'!$T$42:$T$86))</f>
        <v>8.1135821836785394E-4</v>
      </c>
      <c r="F154" s="1269"/>
    </row>
    <row r="155" spans="1:6" ht="12.6" customHeight="1">
      <c r="A155" s="4"/>
      <c r="B155" s="1268"/>
      <c r="C155" s="1270" t="s">
        <v>419</v>
      </c>
      <c r="D155" s="560">
        <f t="shared" si="4"/>
        <v>2032</v>
      </c>
      <c r="E155" s="1173">
        <f>IF($D155&gt;2060,E154,SUMIF('Truck Emissions'!$Q$42:$Q$86,D155,'Truck Emissions'!$T$42:$T$86))</f>
        <v>8.0870374023484307E-4</v>
      </c>
      <c r="F155" s="1269"/>
    </row>
    <row r="156" spans="1:6" ht="12.6" customHeight="1">
      <c r="A156" s="4"/>
      <c r="B156" s="1268"/>
      <c r="C156" s="1270" t="s">
        <v>419</v>
      </c>
      <c r="D156" s="560">
        <f t="shared" si="4"/>
        <v>2033</v>
      </c>
      <c r="E156" s="1173">
        <f>IF($D156&gt;2060,E155,SUMIF('Truck Emissions'!$Q$42:$Q$86,D156,'Truck Emissions'!$T$42:$T$86))</f>
        <v>8.0604926210183154E-4</v>
      </c>
      <c r="F156" s="1269"/>
    </row>
    <row r="157" spans="1:6" ht="12.6" customHeight="1">
      <c r="A157" s="4"/>
      <c r="B157" s="1268"/>
      <c r="C157" s="1270" t="s">
        <v>419</v>
      </c>
      <c r="D157" s="560">
        <f t="shared" si="4"/>
        <v>2034</v>
      </c>
      <c r="E157" s="1173">
        <f>IF($D157&gt;2060,E156,SUMIF('Truck Emissions'!$Q$42:$Q$86,D157,'Truck Emissions'!$T$42:$T$86))</f>
        <v>8.033947839688199E-4</v>
      </c>
      <c r="F157" s="1269"/>
    </row>
    <row r="158" spans="1:6" ht="12.6" customHeight="1">
      <c r="B158" s="1268"/>
      <c r="C158" s="1270" t="s">
        <v>419</v>
      </c>
      <c r="D158" s="560">
        <f t="shared" si="4"/>
        <v>2035</v>
      </c>
      <c r="E158" s="1173">
        <f>IF($D158&gt;2060,E157,SUMIF('Truck Emissions'!$Q$42:$Q$86,D158,'Truck Emissions'!$T$42:$T$86))</f>
        <v>8.0074030583580967E-4</v>
      </c>
      <c r="F158" s="1269"/>
    </row>
    <row r="159" spans="1:6" ht="12.6" customHeight="1">
      <c r="B159" s="1268"/>
      <c r="C159" s="1270" t="s">
        <v>419</v>
      </c>
      <c r="D159" s="560">
        <f t="shared" si="4"/>
        <v>2036</v>
      </c>
      <c r="E159" s="1173">
        <f>IF($D159&gt;2060,E158,SUMIF('Truck Emissions'!$Q$42:$Q$86,D159,'Truck Emissions'!$T$42:$T$86))</f>
        <v>8.0041294593292207E-4</v>
      </c>
      <c r="F159" s="1269"/>
    </row>
    <row r="160" spans="1:6" ht="12.6" customHeight="1">
      <c r="B160" s="1268"/>
      <c r="C160" s="1270" t="s">
        <v>419</v>
      </c>
      <c r="D160" s="560">
        <f t="shared" si="4"/>
        <v>2037</v>
      </c>
      <c r="E160" s="1173">
        <f>IF($D160&gt;2060,E159,SUMIF('Truck Emissions'!$Q$42:$Q$86,D160,'Truck Emissions'!$T$42:$T$86))</f>
        <v>8.0008558603003436E-4</v>
      </c>
      <c r="F160" s="1269"/>
    </row>
    <row r="161" spans="1:6" ht="12.6" customHeight="1">
      <c r="B161" s="1268"/>
      <c r="C161" s="1270" t="s">
        <v>419</v>
      </c>
      <c r="D161" s="560">
        <f t="shared" si="4"/>
        <v>2038</v>
      </c>
      <c r="E161" s="1173">
        <f>IF($D161&gt;2060,E160,SUMIF('Truck Emissions'!$Q$42:$Q$86,D161,'Truck Emissions'!$T$42:$T$86))</f>
        <v>7.9975822612714676E-4</v>
      </c>
      <c r="F161" s="1269"/>
    </row>
    <row r="162" spans="1:6" ht="12.6" customHeight="1">
      <c r="B162" s="1268"/>
      <c r="C162" s="1270" t="s">
        <v>419</v>
      </c>
      <c r="D162" s="560">
        <f t="shared" si="4"/>
        <v>2039</v>
      </c>
      <c r="E162" s="1173">
        <f>IF($D162&gt;2060,E161,SUMIF('Truck Emissions'!$Q$42:$Q$86,D162,'Truck Emissions'!$T$42:$T$86))</f>
        <v>7.9943086622425938E-4</v>
      </c>
      <c r="F162" s="1269"/>
    </row>
    <row r="163" spans="1:6" ht="12.6" customHeight="1">
      <c r="B163" s="1268"/>
      <c r="C163" s="1270" t="s">
        <v>419</v>
      </c>
      <c r="D163" s="560">
        <f t="shared" si="4"/>
        <v>2040</v>
      </c>
      <c r="E163" s="1173">
        <f>IF($D163&gt;2060,E162,SUMIF('Truck Emissions'!$Q$42:$Q$86,D163,'Truck Emissions'!$T$42:$T$86))</f>
        <v>7.9910350632137199E-4</v>
      </c>
      <c r="F163" s="1269"/>
    </row>
    <row r="164" spans="1:6" ht="12.6" customHeight="1">
      <c r="B164" s="1268"/>
      <c r="C164" s="1270" t="s">
        <v>419</v>
      </c>
      <c r="D164" s="560">
        <f t="shared" si="4"/>
        <v>2041</v>
      </c>
      <c r="E164" s="1173">
        <f>IF($D164&gt;2060,E163,SUMIF('Truck Emissions'!$Q$42:$Q$86,D164,'Truck Emissions'!$T$42:$T$86))</f>
        <v>7.9877614641848439E-4</v>
      </c>
      <c r="F164" s="1269"/>
    </row>
    <row r="165" spans="1:6" ht="12.6" customHeight="1">
      <c r="B165" s="1268"/>
      <c r="C165" s="1270" t="s">
        <v>419</v>
      </c>
      <c r="D165" s="560">
        <f t="shared" si="4"/>
        <v>2042</v>
      </c>
      <c r="E165" s="1173">
        <f>IF($D165&gt;2060,E164,SUMIF('Truck Emissions'!$Q$42:$Q$86,D165,'Truck Emissions'!$T$42:$T$86))</f>
        <v>7.9844878651559679E-4</v>
      </c>
      <c r="F165" s="1269"/>
    </row>
    <row r="166" spans="1:6" ht="12.6" customHeight="1">
      <c r="B166" s="1268"/>
      <c r="C166" s="1270" t="s">
        <v>419</v>
      </c>
      <c r="D166" s="560">
        <f t="shared" si="4"/>
        <v>2043</v>
      </c>
      <c r="E166" s="1173">
        <f>IF($D166&gt;2060,E165,SUMIF('Truck Emissions'!$Q$42:$Q$86,D166,'Truck Emissions'!$T$42:$T$86))</f>
        <v>7.9812142661270919E-4</v>
      </c>
      <c r="F166" s="1269"/>
    </row>
    <row r="167" spans="1:6" ht="12.6" customHeight="1">
      <c r="B167" s="1268"/>
      <c r="C167" s="1270" t="s">
        <v>419</v>
      </c>
      <c r="D167" s="560">
        <f t="shared" si="4"/>
        <v>2044</v>
      </c>
      <c r="E167" s="1173">
        <f>IF($D167&gt;2060,E166,SUMIF('Truck Emissions'!$Q$42:$Q$86,D167,'Truck Emissions'!$T$42:$T$86))</f>
        <v>7.977940667098218E-4</v>
      </c>
      <c r="F167" s="1269"/>
    </row>
    <row r="168" spans="1:6" ht="12.6" customHeight="1">
      <c r="A168" s="4"/>
      <c r="B168" s="1268"/>
      <c r="C168" s="1270"/>
      <c r="D168" s="560">
        <f t="shared" si="4"/>
        <v>2045</v>
      </c>
      <c r="E168" s="1173">
        <f>IF($D168&gt;2060,E167,SUMIF('Truck Emissions'!$Q$42:$Q$86,D168,'Truck Emissions'!$T$42:$T$86))</f>
        <v>7.9746670680693431E-4</v>
      </c>
      <c r="F168" s="1269"/>
    </row>
    <row r="169" spans="1:6" ht="12.6" customHeight="1">
      <c r="A169" s="4"/>
      <c r="B169" s="1268"/>
      <c r="C169" s="1270"/>
      <c r="D169" s="560">
        <f t="shared" si="4"/>
        <v>2046</v>
      </c>
      <c r="E169" s="1173">
        <f>IF($D169&gt;2060,E168,SUMIF('Truck Emissions'!$Q$42:$Q$86,D169,'Truck Emissions'!$T$42:$T$86))</f>
        <v>7.9746670680693431E-4</v>
      </c>
      <c r="F169" s="1269"/>
    </row>
    <row r="170" spans="1:6" ht="12.6" customHeight="1">
      <c r="A170" s="4"/>
      <c r="B170" s="1268"/>
      <c r="C170" s="1270"/>
      <c r="D170" s="560">
        <f t="shared" si="4"/>
        <v>2047</v>
      </c>
      <c r="E170" s="1173">
        <f>IF($D170&gt;2060,E169,SUMIF('Truck Emissions'!$Q$42:$Q$86,D170,'Truck Emissions'!$T$42:$T$86))</f>
        <v>7.9746670680693431E-4</v>
      </c>
      <c r="F170" s="1269"/>
    </row>
    <row r="171" spans="1:6" ht="12.6" customHeight="1">
      <c r="A171" s="4"/>
      <c r="B171" s="1268"/>
      <c r="C171" s="1270"/>
      <c r="D171" s="560">
        <f t="shared" si="4"/>
        <v>2048</v>
      </c>
      <c r="E171" s="1173">
        <f>IF($D171&gt;2060,E170,SUMIF('Truck Emissions'!$Q$42:$Q$86,D171,'Truck Emissions'!$T$42:$T$86))</f>
        <v>7.9746670680693431E-4</v>
      </c>
      <c r="F171" s="1269"/>
    </row>
    <row r="172" spans="1:6" ht="12.6" customHeight="1">
      <c r="A172" s="4"/>
      <c r="B172" s="1268"/>
      <c r="C172" s="1270"/>
      <c r="D172" s="560">
        <f t="shared" si="4"/>
        <v>2049</v>
      </c>
      <c r="E172" s="1173">
        <f>IF($D172&gt;2060,E171,SUMIF('Truck Emissions'!$Q$42:$Q$86,D172,'Truck Emissions'!$T$42:$T$86))</f>
        <v>7.9746670680693431E-4</v>
      </c>
      <c r="F172" s="1269"/>
    </row>
    <row r="173" spans="1:6" ht="12.6" customHeight="1">
      <c r="A173" s="4"/>
      <c r="B173" s="1268"/>
      <c r="C173" s="1270"/>
      <c r="D173" s="560">
        <f t="shared" si="4"/>
        <v>2050</v>
      </c>
      <c r="E173" s="1173">
        <f>IF($D173&gt;2060,E172,SUMIF('Truck Emissions'!$Q$42:$Q$86,D173,'Truck Emissions'!$T$42:$T$86))</f>
        <v>7.9746670680693431E-4</v>
      </c>
      <c r="F173" s="1269"/>
    </row>
    <row r="174" spans="1:6" ht="12.6" customHeight="1">
      <c r="A174" s="4"/>
      <c r="B174" s="1268"/>
      <c r="C174" s="1270"/>
      <c r="D174" s="560">
        <f t="shared" si="4"/>
        <v>2051</v>
      </c>
      <c r="E174" s="1173">
        <f>IF($D174&gt;2060,E173,SUMIF('Truck Emissions'!$Q$42:$Q$86,D174,'Truck Emissions'!$T$42:$T$86))</f>
        <v>7.9746670680693431E-4</v>
      </c>
      <c r="F174" s="1269"/>
    </row>
    <row r="175" spans="1:6" ht="12.6" customHeight="1">
      <c r="A175" s="4"/>
      <c r="B175" s="1268"/>
      <c r="C175" s="1270"/>
      <c r="D175" s="560">
        <f t="shared" si="4"/>
        <v>2052</v>
      </c>
      <c r="E175" s="1173">
        <f>IF($D175&gt;2060,E174,SUMIF('Truck Emissions'!$Q$42:$Q$86,D175,'Truck Emissions'!$T$42:$T$86))</f>
        <v>7.9746670680693431E-4</v>
      </c>
      <c r="F175" s="1269"/>
    </row>
    <row r="176" spans="1:6" ht="12.6" customHeight="1">
      <c r="A176" s="4"/>
      <c r="B176" s="1268"/>
      <c r="C176" s="1270"/>
      <c r="D176" s="560">
        <f t="shared" si="4"/>
        <v>2053</v>
      </c>
      <c r="E176" s="1173">
        <f>IF($D176&gt;2060,E175,SUMIF('Truck Emissions'!$Q$42:$Q$86,D176,'Truck Emissions'!$T$42:$T$86))</f>
        <v>7.9746670680693431E-4</v>
      </c>
      <c r="F176" s="1269"/>
    </row>
    <row r="177" spans="1:15" ht="12.6" customHeight="1">
      <c r="A177" s="4"/>
      <c r="B177" s="1268"/>
      <c r="C177" s="1270"/>
      <c r="D177" s="560">
        <f t="shared" si="4"/>
        <v>2054</v>
      </c>
      <c r="E177" s="1173">
        <f>IF($D177&gt;2060,E176,SUMIF('Truck Emissions'!$Q$42:$Q$86,D177,'Truck Emissions'!$T$42:$T$86))</f>
        <v>7.9746670680693431E-4</v>
      </c>
      <c r="F177" s="1269"/>
    </row>
    <row r="178" spans="1:15" ht="12.6" customHeight="1">
      <c r="A178" s="4"/>
      <c r="B178" s="1268"/>
      <c r="C178" s="1270"/>
      <c r="D178" s="560">
        <f t="shared" si="4"/>
        <v>2055</v>
      </c>
      <c r="E178" s="1173">
        <f>IF($D178&gt;2060,E177,SUMIF('Truck Emissions'!$Q$42:$Q$86,D178,'Truck Emissions'!$T$42:$T$86))</f>
        <v>7.9746670680693431E-4</v>
      </c>
      <c r="F178" s="1269"/>
    </row>
    <row r="179" spans="1:15" ht="12.6" customHeight="1">
      <c r="A179" s="4"/>
      <c r="B179" s="1268"/>
      <c r="C179" s="1270"/>
      <c r="D179" s="560">
        <f t="shared" si="4"/>
        <v>2056</v>
      </c>
      <c r="E179" s="1173">
        <f>IF($D179&gt;2060,E178,SUMIF('Truck Emissions'!$Q$42:$Q$86,D179,'Truck Emissions'!$T$42:$T$86))</f>
        <v>7.9746670680693431E-4</v>
      </c>
      <c r="F179" s="1269"/>
    </row>
    <row r="180" spans="1:15" ht="12.6" customHeight="1">
      <c r="B180" s="1268"/>
      <c r="C180" s="1270" t="s">
        <v>419</v>
      </c>
      <c r="D180" s="560">
        <f t="shared" si="4"/>
        <v>2057</v>
      </c>
      <c r="E180" s="1173">
        <f>IF($D180&gt;2060,E179,SUMIF('Truck Emissions'!$Q$42:$Q$86,D180,'Truck Emissions'!$T$42:$T$86))</f>
        <v>7.9746670680693431E-4</v>
      </c>
      <c r="F180" s="1269"/>
    </row>
    <row r="181" spans="1:15" ht="12.6" customHeight="1">
      <c r="A181" s="4"/>
      <c r="B181" s="1268" t="s">
        <v>424</v>
      </c>
      <c r="C181" s="1270" t="s">
        <v>419</v>
      </c>
      <c r="D181" s="560">
        <f>Base.Year</f>
        <v>2022</v>
      </c>
      <c r="E181" s="1174">
        <f>IF($D181&gt;2060,E180,SUMIF('Truck Emissions'!$Q$42:$Q$86,D181,'Truck Emissions'!$V$42:$V$86))</f>
        <v>100.16890855055553</v>
      </c>
      <c r="F181" s="1269" t="s">
        <v>420</v>
      </c>
    </row>
    <row r="182" spans="1:15" ht="12.6" customHeight="1">
      <c r="A182" s="4"/>
      <c r="B182" s="1268"/>
      <c r="C182" s="1270" t="s">
        <v>419</v>
      </c>
      <c r="D182" s="560">
        <f>D181+1</f>
        <v>2023</v>
      </c>
      <c r="E182" s="1174">
        <f>IF($D182&gt;2060,E181,SUMIF('Truck Emissions'!$Q$42:$Q$86,D182,'Truck Emissions'!$V$42:$V$86))</f>
        <v>99.577879802996947</v>
      </c>
      <c r="F182" s="1269"/>
    </row>
    <row r="183" spans="1:15" ht="12.6" customHeight="1">
      <c r="A183" s="4"/>
      <c r="B183" s="1268"/>
      <c r="C183" s="1270" t="s">
        <v>419</v>
      </c>
      <c r="D183" s="560">
        <f t="shared" ref="D183:D216" si="5">D182+1</f>
        <v>2024</v>
      </c>
      <c r="E183" s="1174">
        <f>IF($D183&gt;2060,E182,SUMIF('Truck Emissions'!$Q$42:$Q$86,D183,'Truck Emissions'!$V$42:$V$86))</f>
        <v>98.98685105543835</v>
      </c>
      <c r="F183" s="1269"/>
    </row>
    <row r="184" spans="1:15" ht="12.6" customHeight="1">
      <c r="A184" s="4"/>
      <c r="B184" s="1268"/>
      <c r="C184" s="1270" t="s">
        <v>419</v>
      </c>
      <c r="D184" s="560">
        <f t="shared" si="5"/>
        <v>2025</v>
      </c>
      <c r="E184" s="1174">
        <f>IF($D184&gt;2060,E183,SUMIF('Truck Emissions'!$Q$42:$Q$86,D184,'Truck Emissions'!$V$42:$V$86))</f>
        <v>98.39582230787984</v>
      </c>
      <c r="F184" s="1269"/>
      <c r="J184"/>
      <c r="K184"/>
      <c r="L184"/>
      <c r="M184"/>
      <c r="N184"/>
      <c r="O184"/>
    </row>
    <row r="185" spans="1:15" ht="12.6" customHeight="1">
      <c r="A185" s="4"/>
      <c r="B185" s="1268"/>
      <c r="C185" s="1270" t="s">
        <v>419</v>
      </c>
      <c r="D185" s="560">
        <f t="shared" si="5"/>
        <v>2026</v>
      </c>
      <c r="E185" s="1174">
        <f>IF($D185&gt;2060,E184,SUMIF('Truck Emissions'!$Q$42:$Q$86,D185,'Truck Emissions'!$V$42:$V$86))</f>
        <v>98.157040233905278</v>
      </c>
      <c r="F185" s="1269"/>
      <c r="J185"/>
      <c r="K185"/>
      <c r="L185"/>
      <c r="M185"/>
      <c r="N185"/>
      <c r="O185"/>
    </row>
    <row r="186" spans="1:15" ht="12.6" customHeight="1">
      <c r="A186" s="4"/>
      <c r="B186" s="1268"/>
      <c r="C186" s="1270" t="s">
        <v>419</v>
      </c>
      <c r="D186" s="560">
        <f t="shared" si="5"/>
        <v>2027</v>
      </c>
      <c r="E186" s="1174">
        <f>IF($D186&gt;2060,E185,SUMIF('Truck Emissions'!$Q$42:$Q$86,D186,'Truck Emissions'!$V$42:$V$86))</f>
        <v>97.918258159930645</v>
      </c>
      <c r="F186" s="1269"/>
      <c r="J186"/>
      <c r="K186"/>
      <c r="L186"/>
      <c r="M186"/>
      <c r="N186"/>
      <c r="O186"/>
    </row>
    <row r="187" spans="1:15" ht="12.6" customHeight="1">
      <c r="A187" s="4"/>
      <c r="B187" s="1268"/>
      <c r="C187" s="1270" t="s">
        <v>419</v>
      </c>
      <c r="D187" s="560">
        <f t="shared" si="5"/>
        <v>2028</v>
      </c>
      <c r="E187" s="1174">
        <f>IF($D187&gt;2060,E186,SUMIF('Truck Emissions'!$Q$42:$Q$86,D187,'Truck Emissions'!$V$42:$V$86))</f>
        <v>97.679476085956097</v>
      </c>
      <c r="F187" s="1269"/>
      <c r="J187"/>
      <c r="K187"/>
      <c r="L187"/>
      <c r="M187"/>
      <c r="N187"/>
      <c r="O187"/>
    </row>
    <row r="188" spans="1:15" ht="12.6" customHeight="1">
      <c r="A188" s="4"/>
      <c r="B188" s="1268"/>
      <c r="C188" s="1270" t="s">
        <v>419</v>
      </c>
      <c r="D188" s="560">
        <f t="shared" si="5"/>
        <v>2029</v>
      </c>
      <c r="E188" s="1174">
        <f>IF($D188&gt;2060,E187,SUMIF('Truck Emissions'!$Q$42:$Q$86,D188,'Truck Emissions'!$V$42:$V$86))</f>
        <v>97.44069401198152</v>
      </c>
      <c r="F188" s="1269"/>
      <c r="J188"/>
      <c r="K188"/>
      <c r="L188"/>
      <c r="M188"/>
      <c r="N188"/>
      <c r="O188"/>
    </row>
    <row r="189" spans="1:15" ht="12.6" customHeight="1">
      <c r="A189" s="4"/>
      <c r="B189" s="1268"/>
      <c r="C189" s="1270" t="s">
        <v>419</v>
      </c>
      <c r="D189" s="560">
        <f t="shared" si="5"/>
        <v>2030</v>
      </c>
      <c r="E189" s="1174">
        <f>IF($D189&gt;2060,E188,SUMIF('Truck Emissions'!$Q$42:$Q$86,D189,'Truck Emissions'!$V$42:$V$86))</f>
        <v>97.201911938006887</v>
      </c>
      <c r="F189" s="1269"/>
      <c r="J189"/>
      <c r="K189"/>
      <c r="L189"/>
      <c r="M189"/>
      <c r="N189"/>
      <c r="O189"/>
    </row>
    <row r="190" spans="1:15" ht="12.6" customHeight="1">
      <c r="A190" s="4"/>
      <c r="B190" s="1268"/>
      <c r="C190" s="1270" t="s">
        <v>419</v>
      </c>
      <c r="D190" s="560">
        <f t="shared" si="5"/>
        <v>2031</v>
      </c>
      <c r="E190" s="1174">
        <f>IF($D190&gt;2060,E189,SUMIF('Truck Emissions'!$Q$42:$Q$86,D190,'Truck Emissions'!$V$42:$V$86))</f>
        <v>96.963129864032325</v>
      </c>
      <c r="F190" s="1269"/>
      <c r="J190"/>
      <c r="K190"/>
      <c r="L190"/>
      <c r="M190"/>
      <c r="N190"/>
      <c r="O190"/>
    </row>
    <row r="191" spans="1:15" ht="12.6" customHeight="1">
      <c r="A191" s="4"/>
      <c r="B191" s="1268"/>
      <c r="C191" s="1270" t="s">
        <v>419</v>
      </c>
      <c r="D191" s="560">
        <f t="shared" si="5"/>
        <v>2032</v>
      </c>
      <c r="E191" s="1174">
        <f>IF($D191&gt;2060,E190,SUMIF('Truck Emissions'!$Q$42:$Q$86,D191,'Truck Emissions'!$V$42:$V$86))</f>
        <v>96.724347790057692</v>
      </c>
      <c r="F191" s="1269"/>
      <c r="J191"/>
      <c r="K191"/>
      <c r="L191"/>
      <c r="M191"/>
      <c r="N191"/>
      <c r="O191"/>
    </row>
    <row r="192" spans="1:15" ht="12.6" customHeight="1">
      <c r="A192" s="4"/>
      <c r="B192" s="1268"/>
      <c r="C192" s="1270" t="s">
        <v>419</v>
      </c>
      <c r="D192" s="560">
        <f t="shared" si="5"/>
        <v>2033</v>
      </c>
      <c r="E192" s="1174">
        <f>IF($D192&gt;2060,E191,SUMIF('Truck Emissions'!$Q$42:$Q$86,D192,'Truck Emissions'!$V$42:$V$86))</f>
        <v>96.485565716083116</v>
      </c>
      <c r="F192" s="1269"/>
      <c r="J192"/>
      <c r="K192"/>
      <c r="L192"/>
      <c r="M192"/>
      <c r="N192"/>
      <c r="O192"/>
    </row>
    <row r="193" spans="1:15" ht="12.6" customHeight="1">
      <c r="A193" s="4"/>
      <c r="B193" s="1268"/>
      <c r="C193" s="1270" t="s">
        <v>419</v>
      </c>
      <c r="D193" s="560">
        <f t="shared" si="5"/>
        <v>2034</v>
      </c>
      <c r="E193" s="1174">
        <f>IF($D193&gt;2060,E192,SUMIF('Truck Emissions'!$Q$42:$Q$86,D193,'Truck Emissions'!$V$42:$V$86))</f>
        <v>96.246783642108483</v>
      </c>
      <c r="F193" s="1269"/>
      <c r="J193"/>
      <c r="K193"/>
      <c r="L193"/>
      <c r="M193"/>
      <c r="N193"/>
      <c r="O193"/>
    </row>
    <row r="194" spans="1:15" ht="12.6" customHeight="1">
      <c r="A194" s="4"/>
      <c r="B194" s="1268"/>
      <c r="C194" s="1270" t="s">
        <v>419</v>
      </c>
      <c r="D194" s="560">
        <f t="shared" si="5"/>
        <v>2035</v>
      </c>
      <c r="E194" s="1174">
        <f>IF($D194&gt;2060,E193,SUMIF('Truck Emissions'!$Q$42:$Q$86,D194,'Truck Emissions'!$V$42:$V$86))</f>
        <v>96.008001568133892</v>
      </c>
      <c r="F194" s="1269"/>
      <c r="J194"/>
      <c r="K194"/>
      <c r="L194"/>
      <c r="M194"/>
      <c r="N194"/>
      <c r="O194"/>
    </row>
    <row r="195" spans="1:15" ht="12.6" customHeight="1">
      <c r="A195" s="4"/>
      <c r="B195" s="1268"/>
      <c r="C195" s="1270" t="s">
        <v>419</v>
      </c>
      <c r="D195" s="560">
        <f t="shared" si="5"/>
        <v>2036</v>
      </c>
      <c r="E195" s="1174">
        <f>IF($D195&gt;2060,E194,SUMIF('Truck Emissions'!$Q$42:$Q$86,D195,'Truck Emissions'!$V$42:$V$86))</f>
        <v>95.972473335852854</v>
      </c>
      <c r="F195" s="1269"/>
      <c r="J195"/>
      <c r="K195"/>
      <c r="L195"/>
      <c r="M195"/>
      <c r="N195"/>
      <c r="O195"/>
    </row>
    <row r="196" spans="1:15" ht="12.6" customHeight="1">
      <c r="A196" s="4"/>
      <c r="B196" s="1268"/>
      <c r="C196" s="1270" t="s">
        <v>419</v>
      </c>
      <c r="D196" s="560">
        <f t="shared" si="5"/>
        <v>2037</v>
      </c>
      <c r="E196" s="1174">
        <f>IF($D196&gt;2060,E195,SUMIF('Truck Emissions'!$Q$42:$Q$86,D196,'Truck Emissions'!$V$42:$V$86))</f>
        <v>95.936945103571816</v>
      </c>
      <c r="F196" s="1269"/>
      <c r="J196"/>
      <c r="K196"/>
      <c r="L196"/>
      <c r="M196"/>
      <c r="N196"/>
      <c r="O196"/>
    </row>
    <row r="197" spans="1:15" ht="12.6" customHeight="1">
      <c r="A197" s="4"/>
      <c r="B197" s="1268"/>
      <c r="C197" s="1270" t="s">
        <v>419</v>
      </c>
      <c r="D197" s="560">
        <f t="shared" si="5"/>
        <v>2038</v>
      </c>
      <c r="E197" s="1174">
        <f>IF($D197&gt;2060,E196,SUMIF('Truck Emissions'!$Q$42:$Q$86,D197,'Truck Emissions'!$V$42:$V$86))</f>
        <v>95.901416871290778</v>
      </c>
      <c r="F197" s="1269"/>
      <c r="J197"/>
      <c r="K197"/>
      <c r="L197"/>
      <c r="M197"/>
      <c r="N197"/>
      <c r="O197"/>
    </row>
    <row r="198" spans="1:15" ht="12.6" customHeight="1">
      <c r="A198" s="4"/>
      <c r="B198" s="1268"/>
      <c r="C198" s="1270" t="s">
        <v>419</v>
      </c>
      <c r="D198" s="560">
        <f t="shared" si="5"/>
        <v>2039</v>
      </c>
      <c r="E198" s="1174">
        <f>IF($D198&gt;2060,E197,SUMIF('Truck Emissions'!$Q$42:$Q$86,D198,'Truck Emissions'!$V$42:$V$86))</f>
        <v>95.865888639009739</v>
      </c>
      <c r="F198" s="1269"/>
      <c r="J198"/>
      <c r="K198"/>
      <c r="L198"/>
      <c r="M198"/>
      <c r="N198"/>
      <c r="O198"/>
    </row>
    <row r="199" spans="1:15" ht="12.6" customHeight="1">
      <c r="A199" s="4"/>
      <c r="B199" s="1268"/>
      <c r="C199" s="1270" t="s">
        <v>419</v>
      </c>
      <c r="D199" s="560">
        <f t="shared" si="5"/>
        <v>2040</v>
      </c>
      <c r="E199" s="1174">
        <f>IF($D199&gt;2060,E198,SUMIF('Truck Emissions'!$Q$42:$Q$86,D199,'Truck Emissions'!$V$42:$V$86))</f>
        <v>95.830360406728715</v>
      </c>
      <c r="F199" s="1269"/>
      <c r="J199"/>
      <c r="K199"/>
      <c r="L199"/>
      <c r="M199"/>
      <c r="N199"/>
      <c r="O199"/>
    </row>
    <row r="200" spans="1:15" ht="12.6" customHeight="1">
      <c r="A200" s="4"/>
      <c r="B200" s="1268"/>
      <c r="C200" s="1270" t="s">
        <v>419</v>
      </c>
      <c r="D200" s="560">
        <f t="shared" si="5"/>
        <v>2041</v>
      </c>
      <c r="E200" s="1174">
        <f>IF($D200&gt;2060,E199,SUMIF('Truck Emissions'!$Q$42:$Q$86,D200,'Truck Emissions'!$V$42:$V$86))</f>
        <v>95.794832174447663</v>
      </c>
      <c r="F200" s="1269"/>
      <c r="J200"/>
      <c r="K200"/>
      <c r="L200"/>
      <c r="M200"/>
      <c r="N200"/>
      <c r="O200"/>
    </row>
    <row r="201" spans="1:15" ht="12.6" customHeight="1">
      <c r="A201" s="4"/>
      <c r="B201" s="1268"/>
      <c r="C201" s="1270" t="s">
        <v>419</v>
      </c>
      <c r="D201" s="560">
        <f t="shared" si="5"/>
        <v>2042</v>
      </c>
      <c r="E201" s="1174">
        <f>IF($D201&gt;2060,E200,SUMIF('Truck Emissions'!$Q$42:$Q$86,D201,'Truck Emissions'!$V$42:$V$86))</f>
        <v>95.759303942166653</v>
      </c>
      <c r="F201" s="1269"/>
      <c r="J201"/>
      <c r="K201"/>
      <c r="L201"/>
      <c r="M201"/>
      <c r="N201"/>
      <c r="O201"/>
    </row>
    <row r="202" spans="1:15" ht="12.6" customHeight="1">
      <c r="A202" s="4"/>
      <c r="B202" s="1268"/>
      <c r="C202" s="1270" t="s">
        <v>419</v>
      </c>
      <c r="D202" s="560">
        <f t="shared" si="5"/>
        <v>2043</v>
      </c>
      <c r="E202" s="1174">
        <f>IF($D202&gt;2060,E201,SUMIF('Truck Emissions'!$Q$42:$Q$86,D202,'Truck Emissions'!$V$42:$V$86))</f>
        <v>95.723775709885601</v>
      </c>
      <c r="F202" s="1269"/>
      <c r="J202"/>
      <c r="K202"/>
      <c r="L202"/>
      <c r="M202"/>
      <c r="N202"/>
      <c r="O202"/>
    </row>
    <row r="203" spans="1:15" ht="12.6" customHeight="1">
      <c r="A203" s="4"/>
      <c r="B203" s="1268"/>
      <c r="C203" s="1270" t="s">
        <v>419</v>
      </c>
      <c r="D203" s="560">
        <f t="shared" si="5"/>
        <v>2044</v>
      </c>
      <c r="E203" s="1174">
        <f>IF($D203&gt;2060,E202,SUMIF('Truck Emissions'!$Q$42:$Q$86,D203,'Truck Emissions'!$V$42:$V$86))</f>
        <v>95.688247477604563</v>
      </c>
      <c r="F203" s="1269"/>
      <c r="J203"/>
      <c r="K203"/>
      <c r="L203"/>
      <c r="M203"/>
      <c r="N203"/>
      <c r="O203"/>
    </row>
    <row r="204" spans="1:15" ht="12.6" customHeight="1">
      <c r="A204" s="4"/>
      <c r="B204" s="1268"/>
      <c r="C204" s="1270"/>
      <c r="D204" s="560">
        <f t="shared" si="5"/>
        <v>2045</v>
      </c>
      <c r="E204" s="1174">
        <f>IF($D204&gt;2060,E203,SUMIF('Truck Emissions'!$Q$42:$Q$86,D204,'Truck Emissions'!$V$42:$V$86))</f>
        <v>95.652719245323539</v>
      </c>
      <c r="F204" s="1269"/>
    </row>
    <row r="205" spans="1:15" ht="12.6" customHeight="1">
      <c r="A205" s="4"/>
      <c r="B205" s="1268"/>
      <c r="C205" s="1270"/>
      <c r="D205" s="560">
        <f t="shared" si="5"/>
        <v>2046</v>
      </c>
      <c r="E205" s="1174">
        <f>IF($D205&gt;2060,E204,SUMIF('Truck Emissions'!$Q$42:$Q$86,D205,'Truck Emissions'!$V$42:$V$86))</f>
        <v>95.652719245323539</v>
      </c>
      <c r="F205" s="1269"/>
    </row>
    <row r="206" spans="1:15" ht="12.6" customHeight="1">
      <c r="A206" s="4"/>
      <c r="B206" s="1268"/>
      <c r="C206" s="1270"/>
      <c r="D206" s="560">
        <f t="shared" si="5"/>
        <v>2047</v>
      </c>
      <c r="E206" s="1174">
        <f>IF($D206&gt;2060,E205,SUMIF('Truck Emissions'!$Q$42:$Q$86,D206,'Truck Emissions'!$V$42:$V$86))</f>
        <v>95.652719245323539</v>
      </c>
      <c r="F206" s="1269"/>
    </row>
    <row r="207" spans="1:15" ht="12.6" customHeight="1">
      <c r="A207" s="4"/>
      <c r="B207" s="1268"/>
      <c r="C207" s="1270"/>
      <c r="D207" s="560">
        <f t="shared" si="5"/>
        <v>2048</v>
      </c>
      <c r="E207" s="1174">
        <f>IF($D207&gt;2060,E206,SUMIF('Truck Emissions'!$Q$42:$Q$86,D207,'Truck Emissions'!$V$42:$V$86))</f>
        <v>95.652719245323539</v>
      </c>
      <c r="F207" s="1269"/>
    </row>
    <row r="208" spans="1:15" ht="12.6" customHeight="1">
      <c r="A208" s="4"/>
      <c r="B208" s="1268"/>
      <c r="C208" s="1270"/>
      <c r="D208" s="560">
        <f t="shared" si="5"/>
        <v>2049</v>
      </c>
      <c r="E208" s="1174">
        <f>IF($D208&gt;2060,E207,SUMIF('Truck Emissions'!$Q$42:$Q$86,D208,'Truck Emissions'!$V$42:$V$86))</f>
        <v>95.652719245323539</v>
      </c>
      <c r="F208" s="1269"/>
    </row>
    <row r="209" spans="1:6" ht="12.6" customHeight="1">
      <c r="A209" s="4"/>
      <c r="B209" s="1268"/>
      <c r="C209" s="1270"/>
      <c r="D209" s="560">
        <f t="shared" si="5"/>
        <v>2050</v>
      </c>
      <c r="E209" s="1174">
        <f>IF($D209&gt;2060,E208,SUMIF('Truck Emissions'!$Q$42:$Q$86,D209,'Truck Emissions'!$V$42:$V$86))</f>
        <v>95.652719245323539</v>
      </c>
      <c r="F209" s="1269"/>
    </row>
    <row r="210" spans="1:6" ht="12.6" customHeight="1">
      <c r="A210" s="4"/>
      <c r="B210" s="1268"/>
      <c r="C210" s="1270"/>
      <c r="D210" s="560">
        <f t="shared" si="5"/>
        <v>2051</v>
      </c>
      <c r="E210" s="1174">
        <f>IF($D210&gt;2060,E209,SUMIF('Truck Emissions'!$Q$42:$Q$86,D210,'Truck Emissions'!$V$42:$V$86))</f>
        <v>95.652719245323539</v>
      </c>
      <c r="F210" s="1269"/>
    </row>
    <row r="211" spans="1:6" ht="12.6" customHeight="1">
      <c r="A211" s="4"/>
      <c r="B211" s="1268"/>
      <c r="C211" s="1270"/>
      <c r="D211" s="560">
        <f t="shared" si="5"/>
        <v>2052</v>
      </c>
      <c r="E211" s="1174">
        <f>IF($D211&gt;2060,E210,SUMIF('Truck Emissions'!$Q$42:$Q$86,D211,'Truck Emissions'!$V$42:$V$86))</f>
        <v>95.652719245323539</v>
      </c>
      <c r="F211" s="1269"/>
    </row>
    <row r="212" spans="1:6" ht="12.6" customHeight="1">
      <c r="A212" s="4"/>
      <c r="B212" s="1268"/>
      <c r="C212" s="1270"/>
      <c r="D212" s="560">
        <f t="shared" si="5"/>
        <v>2053</v>
      </c>
      <c r="E212" s="1174">
        <f>IF($D212&gt;2060,E211,SUMIF('Truck Emissions'!$Q$42:$Q$86,D212,'Truck Emissions'!$V$42:$V$86))</f>
        <v>95.652719245323539</v>
      </c>
      <c r="F212" s="1269"/>
    </row>
    <row r="213" spans="1:6" ht="12.6" customHeight="1">
      <c r="A213" s="4"/>
      <c r="B213" s="1268"/>
      <c r="C213" s="1270"/>
      <c r="D213" s="560">
        <f t="shared" si="5"/>
        <v>2054</v>
      </c>
      <c r="E213" s="1174">
        <f>IF($D213&gt;2060,E212,SUMIF('Truck Emissions'!$Q$42:$Q$86,D213,'Truck Emissions'!$V$42:$V$86))</f>
        <v>95.652719245323539</v>
      </c>
      <c r="F213" s="1269"/>
    </row>
    <row r="214" spans="1:6" ht="12.6" customHeight="1">
      <c r="A214" s="4"/>
      <c r="B214" s="1268"/>
      <c r="C214" s="1270"/>
      <c r="D214" s="560">
        <f t="shared" si="5"/>
        <v>2055</v>
      </c>
      <c r="E214" s="1174">
        <f>IF($D214&gt;2060,E213,SUMIF('Truck Emissions'!$Q$42:$Q$86,D214,'Truck Emissions'!$V$42:$V$86))</f>
        <v>95.652719245323539</v>
      </c>
      <c r="F214" s="1269"/>
    </row>
    <row r="215" spans="1:6" ht="12.6" customHeight="1">
      <c r="A215" s="4"/>
      <c r="B215" s="1268"/>
      <c r="C215" s="1270"/>
      <c r="D215" s="560">
        <f t="shared" si="5"/>
        <v>2056</v>
      </c>
      <c r="E215" s="1174">
        <f>IF($D215&gt;2060,E214,SUMIF('Truck Emissions'!$Q$42:$Q$86,D215,'Truck Emissions'!$V$42:$V$86))</f>
        <v>95.652719245323539</v>
      </c>
      <c r="F215" s="1269"/>
    </row>
    <row r="216" spans="1:6" ht="12.6" customHeight="1">
      <c r="A216" s="4"/>
      <c r="B216" s="1268"/>
      <c r="C216" s="1270" t="s">
        <v>419</v>
      </c>
      <c r="D216" s="560">
        <f t="shared" si="5"/>
        <v>2057</v>
      </c>
      <c r="E216" s="1174">
        <f>IF($D216&gt;2060,E215,SUMIF('Truck Emissions'!$Q$42:$Q$86,D216,'Truck Emissions'!$V$42:$V$86))</f>
        <v>95.652719245323539</v>
      </c>
      <c r="F216" s="1269"/>
    </row>
    <row r="217" spans="1:6" customFormat="1" ht="12.6" customHeight="1">
      <c r="B217" s="34"/>
      <c r="C217" s="6"/>
      <c r="F217" s="31"/>
    </row>
    <row r="218" spans="1:6" s="2" customFormat="1" ht="12.6" customHeight="1">
      <c r="A218"/>
      <c r="B218" s="1145" t="s">
        <v>425</v>
      </c>
      <c r="C218" s="1146" t="s">
        <v>90</v>
      </c>
      <c r="D218" s="1146" t="s">
        <v>368</v>
      </c>
      <c r="E218" s="1146" t="s">
        <v>369</v>
      </c>
      <c r="F218" s="1147" t="s">
        <v>370</v>
      </c>
    </row>
    <row r="219" spans="1:6" ht="12.6" customHeight="1">
      <c r="A219" s="4"/>
      <c r="B219" s="1273" t="s">
        <v>426</v>
      </c>
      <c r="C219" s="1271" t="s">
        <v>419</v>
      </c>
      <c r="D219" s="560">
        <f>Base.Year</f>
        <v>2022</v>
      </c>
      <c r="E219" s="1173">
        <f>SUMIF('Rail Emissions'!$B$42:$B$73,D219,'Rail Emissions'!$C$42:$C$73)</f>
        <v>0.18334601120367067</v>
      </c>
      <c r="F219" s="1275" t="s">
        <v>427</v>
      </c>
    </row>
    <row r="220" spans="1:6" ht="12.6" customHeight="1">
      <c r="A220" s="4"/>
      <c r="B220" s="1274"/>
      <c r="C220" s="1272"/>
      <c r="D220" s="560">
        <f>D219+1</f>
        <v>2023</v>
      </c>
      <c r="E220" s="1173">
        <f>IF(D220&gt;2040,E219,SUMIF('Rail Emissions'!$B$42:$B$73,D220,'Rail Emissions'!$C$42:$C$73))</f>
        <v>0.1704883482715264</v>
      </c>
      <c r="F220" s="1276"/>
    </row>
    <row r="221" spans="1:6" ht="12.6" customHeight="1">
      <c r="A221" s="4"/>
      <c r="B221" s="1274"/>
      <c r="C221" s="1272"/>
      <c r="D221" s="560">
        <f t="shared" ref="D221:D252" si="6">D220+1</f>
        <v>2024</v>
      </c>
      <c r="E221" s="1173">
        <f>IF(D221&gt;2040,E220,SUMIF('Rail Emissions'!$B$42:$B$73,D221,'Rail Emissions'!$C$42:$C$73))</f>
        <v>0.15797067221968786</v>
      </c>
      <c r="F221" s="1276"/>
    </row>
    <row r="222" spans="1:6" ht="12.6" customHeight="1">
      <c r="A222" s="4"/>
      <c r="B222" s="1274"/>
      <c r="C222" s="1272"/>
      <c r="D222" s="560">
        <f t="shared" si="6"/>
        <v>2025</v>
      </c>
      <c r="E222" s="1173">
        <f>IF(D222&gt;2040,E221,SUMIF('Rail Emissions'!$B$42:$B$73,D222,'Rail Emissions'!$C$42:$C$73))</f>
        <v>0.14578574227420218</v>
      </c>
      <c r="F222" s="1276"/>
    </row>
    <row r="223" spans="1:6" ht="12.6" customHeight="1">
      <c r="A223" s="4"/>
      <c r="B223" s="1274"/>
      <c r="C223" s="1272"/>
      <c r="D223" s="560">
        <f t="shared" si="6"/>
        <v>2026</v>
      </c>
      <c r="E223" s="1173">
        <f>IF(D223&gt;2040,E222,SUMIF('Rail Emissions'!$B$42:$B$73,D223,'Rail Emissions'!$C$42:$C$73))</f>
        <v>0.13392645742138135</v>
      </c>
      <c r="F223" s="1276"/>
    </row>
    <row r="224" spans="1:6" ht="12.6" customHeight="1">
      <c r="A224" s="4"/>
      <c r="B224" s="1274"/>
      <c r="C224" s="1272"/>
      <c r="D224" s="560">
        <f t="shared" si="6"/>
        <v>2027</v>
      </c>
      <c r="E224" s="1173">
        <f>IF(D224&gt;2040,E223,SUMIF('Rail Emissions'!$B$42:$B$73,D224,'Rail Emissions'!$C$42:$C$73))</f>
        <v>0.12429813282487025</v>
      </c>
      <c r="F224" s="1276"/>
    </row>
    <row r="225" spans="1:6" ht="12.6" customHeight="1">
      <c r="A225" s="4"/>
      <c r="B225" s="1274"/>
      <c r="C225" s="1272"/>
      <c r="D225" s="560">
        <f t="shared" si="6"/>
        <v>2028</v>
      </c>
      <c r="E225" s="1173">
        <f>IF(D225&gt;2040,E224,SUMIF('Rail Emissions'!$B$42:$B$73,D225,'Rail Emissions'!$C$42:$C$73))</f>
        <v>0.11492513986081221</v>
      </c>
      <c r="F225" s="1276"/>
    </row>
    <row r="226" spans="1:6" ht="12.6" customHeight="1">
      <c r="A226" s="4"/>
      <c r="B226" s="1274"/>
      <c r="C226" s="1272"/>
      <c r="D226" s="560">
        <f t="shared" si="6"/>
        <v>2029</v>
      </c>
      <c r="E226" s="1173">
        <f>IF(D226&gt;2040,E225,SUMIF('Rail Emissions'!$B$42:$B$73,D226,'Rail Emissions'!$C$42:$C$73))</f>
        <v>0.10580203459688763</v>
      </c>
      <c r="F226" s="1276"/>
    </row>
    <row r="227" spans="1:6" ht="12.6" customHeight="1">
      <c r="A227" s="4"/>
      <c r="B227" s="1274"/>
      <c r="C227" s="1272"/>
      <c r="D227" s="560">
        <f t="shared" si="6"/>
        <v>2030</v>
      </c>
      <c r="E227" s="1173">
        <f>IF(D227&gt;2040,E226,SUMIF('Rail Emissions'!$B$42:$B$73,D227,'Rail Emissions'!$C$42:$C$73))</f>
        <v>9.692347824103438E-2</v>
      </c>
      <c r="F227" s="1276"/>
    </row>
    <row r="228" spans="1:6" ht="12.6" customHeight="1">
      <c r="A228" s="4"/>
      <c r="B228" s="1274"/>
      <c r="C228" s="1272"/>
      <c r="D228" s="560">
        <f t="shared" si="6"/>
        <v>2031</v>
      </c>
      <c r="E228" s="1173">
        <f>IF(D228&gt;2040,E227,SUMIF('Rail Emissions'!$B$42:$B$73,D228,'Rail Emissions'!$C$42:$C$73))</f>
        <v>8.8284235222802959E-2</v>
      </c>
      <c r="F228" s="1276"/>
    </row>
    <row r="229" spans="1:6" ht="12.6" customHeight="1">
      <c r="A229" s="4"/>
      <c r="B229" s="1274"/>
      <c r="C229" s="1272"/>
      <c r="D229" s="560">
        <f t="shared" si="6"/>
        <v>2032</v>
      </c>
      <c r="E229" s="1173">
        <f>IF(D229&gt;2040,E228,SUMIF('Rail Emissions'!$B$42:$B$73,D229,'Rail Emissions'!$C$42:$C$73))</f>
        <v>8.1654264004200991E-2</v>
      </c>
      <c r="F229" s="1276"/>
    </row>
    <row r="230" spans="1:6" ht="12.6" customHeight="1">
      <c r="A230" s="4"/>
      <c r="B230" s="1274"/>
      <c r="C230" s="1272"/>
      <c r="D230" s="560">
        <f t="shared" si="6"/>
        <v>2033</v>
      </c>
      <c r="E230" s="1173">
        <f>IF(D230&gt;2040,E229,SUMIF('Rail Emissions'!$B$42:$B$73,D230,'Rail Emissions'!$C$42:$C$73))</f>
        <v>7.5200971346768966E-2</v>
      </c>
      <c r="F230" s="1276"/>
    </row>
    <row r="231" spans="1:6" ht="12.6" customHeight="1">
      <c r="A231" s="4"/>
      <c r="B231" s="1274"/>
      <c r="C231" s="1272"/>
      <c r="D231" s="560">
        <f t="shared" si="6"/>
        <v>2034</v>
      </c>
      <c r="E231" s="1173">
        <f>IF(D231&gt;2040,E230,SUMIF('Rail Emissions'!$B$42:$B$73,D231,'Rail Emissions'!$C$42:$C$73))</f>
        <v>6.8920583202446067E-2</v>
      </c>
      <c r="F231" s="1276"/>
    </row>
    <row r="232" spans="1:6" ht="12.6" customHeight="1">
      <c r="A232" s="4"/>
      <c r="B232" s="1274"/>
      <c r="C232" s="1272"/>
      <c r="D232" s="560">
        <f t="shared" si="6"/>
        <v>2035</v>
      </c>
      <c r="E232" s="1173">
        <f>IF(D232&gt;2040,E231,SUMIF('Rail Emissions'!$B$42:$B$73,D232,'Rail Emissions'!$C$42:$C$73))</f>
        <v>6.2809398484987802E-2</v>
      </c>
      <c r="F232" s="1276"/>
    </row>
    <row r="233" spans="1:6" ht="12.6" customHeight="1">
      <c r="A233" s="4"/>
      <c r="B233" s="1274"/>
      <c r="C233" s="1272"/>
      <c r="D233" s="560">
        <f t="shared" si="6"/>
        <v>2036</v>
      </c>
      <c r="E233" s="1173">
        <f>IF(D233&gt;2040,E232,SUMIF('Rail Emissions'!$B$42:$B$73,D233,'Rail Emissions'!$C$42:$C$73))</f>
        <v>5.8536252082933643E-2</v>
      </c>
      <c r="F233" s="1276"/>
    </row>
    <row r="234" spans="1:6" ht="12.6" customHeight="1">
      <c r="A234" s="4"/>
      <c r="B234" s="1274"/>
      <c r="C234" s="1272"/>
      <c r="D234" s="560">
        <f t="shared" si="6"/>
        <v>2037</v>
      </c>
      <c r="E234" s="1173">
        <f>IF(D234&gt;2040,E233,SUMIF('Rail Emissions'!$B$42:$B$73,D234,'Rail Emissions'!$C$42:$C$73))</f>
        <v>5.4375688071409169E-2</v>
      </c>
      <c r="F234" s="1276"/>
    </row>
    <row r="235" spans="1:6" ht="12.6" customHeight="1">
      <c r="A235" s="4"/>
      <c r="B235" s="1274"/>
      <c r="C235" s="1272"/>
      <c r="D235" s="560">
        <f t="shared" si="6"/>
        <v>2038</v>
      </c>
      <c r="E235" s="1173">
        <f>IF(D235&gt;2040,E234,SUMIF('Rail Emissions'!$B$42:$B$73,D235,'Rail Emissions'!$C$42:$C$73))</f>
        <v>5.0325312142519313E-2</v>
      </c>
      <c r="F235" s="1276"/>
    </row>
    <row r="236" spans="1:6" ht="12.6" customHeight="1">
      <c r="A236" s="4"/>
      <c r="B236" s="1274"/>
      <c r="C236" s="1272"/>
      <c r="D236" s="560">
        <f t="shared" si="6"/>
        <v>2039</v>
      </c>
      <c r="E236" s="1173">
        <f>IF(D236&gt;2040,E235,SUMIF('Rail Emissions'!$B$42:$B$73,D236,'Rail Emissions'!$C$42:$C$73))</f>
        <v>4.6382776168220577E-2</v>
      </c>
      <c r="F236" s="1276"/>
    </row>
    <row r="237" spans="1:6" ht="12.6" customHeight="1">
      <c r="A237" s="4"/>
      <c r="B237" s="1274"/>
      <c r="C237" s="1272"/>
      <c r="D237" s="560">
        <f t="shared" si="6"/>
        <v>2040</v>
      </c>
      <c r="E237" s="1173">
        <f>IF(D237&gt;2040,E236,SUMIF('Rail Emissions'!$B$42:$B$73,D237,'Rail Emissions'!$C$42:$C$73))</f>
        <v>4.4121546890102809E-2</v>
      </c>
      <c r="F237" s="1276"/>
    </row>
    <row r="238" spans="1:6" ht="12.6" customHeight="1">
      <c r="A238" s="4"/>
      <c r="B238" s="1274"/>
      <c r="C238" s="1272"/>
      <c r="D238" s="560">
        <f t="shared" si="6"/>
        <v>2041</v>
      </c>
      <c r="E238" s="1173">
        <f>IF(D238&gt;2040,E237,SUMIF('Rail Emissions'!$B$42:$B$73,D238,'Rail Emissions'!$C$42:$C$73))</f>
        <v>4.4121546890102809E-2</v>
      </c>
      <c r="F238" s="1276"/>
    </row>
    <row r="239" spans="1:6" ht="12.6" customHeight="1">
      <c r="A239" s="4"/>
      <c r="B239" s="1274"/>
      <c r="C239" s="1272"/>
      <c r="D239" s="560">
        <f t="shared" si="6"/>
        <v>2042</v>
      </c>
      <c r="E239" s="1173">
        <f>IF(D239&gt;2040,E238,SUMIF('Rail Emissions'!$B$42:$B$73,D239,'Rail Emissions'!$C$42:$C$73))</f>
        <v>4.4121546890102809E-2</v>
      </c>
      <c r="F239" s="1276"/>
    </row>
    <row r="240" spans="1:6" ht="12.6" customHeight="1">
      <c r="A240" s="4"/>
      <c r="B240" s="1274"/>
      <c r="C240" s="1272"/>
      <c r="D240" s="560">
        <f t="shared" si="6"/>
        <v>2043</v>
      </c>
      <c r="E240" s="1173">
        <f>IF(D240&gt;2040,E239,SUMIF('Rail Emissions'!$B$42:$B$73,D240,'Rail Emissions'!$C$42:$C$73))</f>
        <v>4.4121546890102809E-2</v>
      </c>
      <c r="F240" s="1276"/>
    </row>
    <row r="241" spans="1:6" ht="12.6" customHeight="1">
      <c r="A241" s="4"/>
      <c r="B241" s="1274"/>
      <c r="C241" s="1272"/>
      <c r="D241" s="560">
        <f t="shared" si="6"/>
        <v>2044</v>
      </c>
      <c r="E241" s="1173">
        <f>IF(D241&gt;2040,E240,SUMIF('Rail Emissions'!$B$42:$B$73,D241,'Rail Emissions'!$C$42:$C$73))</f>
        <v>4.4121546890102809E-2</v>
      </c>
      <c r="F241" s="1276"/>
    </row>
    <row r="242" spans="1:6" ht="12.6" customHeight="1">
      <c r="A242" s="4"/>
      <c r="B242" s="1274"/>
      <c r="C242" s="1272"/>
      <c r="D242" s="560">
        <f t="shared" si="6"/>
        <v>2045</v>
      </c>
      <c r="E242" s="1173">
        <f>IF(D242&gt;2040,E241,SUMIF('Rail Emissions'!$B$42:$B$73,D242,'Rail Emissions'!$C$42:$C$73))</f>
        <v>4.4121546890102809E-2</v>
      </c>
      <c r="F242" s="1276"/>
    </row>
    <row r="243" spans="1:6" ht="12.6" customHeight="1">
      <c r="A243" s="4"/>
      <c r="B243" s="1274"/>
      <c r="C243" s="1272"/>
      <c r="D243" s="560">
        <f t="shared" si="6"/>
        <v>2046</v>
      </c>
      <c r="E243" s="1173">
        <f>IF(D243&gt;2040,E242,SUMIF('Rail Emissions'!$B$42:$B$73,D243,'Rail Emissions'!$C$42:$C$73))</f>
        <v>4.4121546890102809E-2</v>
      </c>
      <c r="F243" s="1276"/>
    </row>
    <row r="244" spans="1:6" ht="12.6" customHeight="1">
      <c r="A244" s="4"/>
      <c r="B244" s="1274"/>
      <c r="C244" s="1272"/>
      <c r="D244" s="560">
        <f t="shared" si="6"/>
        <v>2047</v>
      </c>
      <c r="E244" s="1173">
        <f>IF(D244&gt;2040,E243,SUMIF('Rail Emissions'!$B$42:$B$73,D244,'Rail Emissions'!$C$42:$C$73))</f>
        <v>4.4121546890102809E-2</v>
      </c>
      <c r="F244" s="1276"/>
    </row>
    <row r="245" spans="1:6" ht="12.6" customHeight="1">
      <c r="A245" s="4"/>
      <c r="B245" s="1274"/>
      <c r="C245" s="1272"/>
      <c r="D245" s="560">
        <f t="shared" si="6"/>
        <v>2048</v>
      </c>
      <c r="E245" s="1173">
        <f>IF(D245&gt;2040,E244,SUMIF('Rail Emissions'!$B$42:$B$73,D245,'Rail Emissions'!$C$42:$C$73))</f>
        <v>4.4121546890102809E-2</v>
      </c>
      <c r="F245" s="1276"/>
    </row>
    <row r="246" spans="1:6" ht="12.6" customHeight="1">
      <c r="A246" s="4"/>
      <c r="B246" s="1274"/>
      <c r="C246" s="1272"/>
      <c r="D246" s="560">
        <f t="shared" si="6"/>
        <v>2049</v>
      </c>
      <c r="E246" s="1173">
        <f>IF(D246&gt;2040,E245,SUMIF('Rail Emissions'!$B$42:$B$73,D246,'Rail Emissions'!$C$42:$C$73))</f>
        <v>4.4121546890102809E-2</v>
      </c>
      <c r="F246" s="1276"/>
    </row>
    <row r="247" spans="1:6" ht="12.6" customHeight="1">
      <c r="A247" s="4"/>
      <c r="B247" s="1274"/>
      <c r="C247" s="1272"/>
      <c r="D247" s="560">
        <f t="shared" si="6"/>
        <v>2050</v>
      </c>
      <c r="E247" s="1173">
        <f>IF(D247&gt;2040,E246,SUMIF('Rail Emissions'!$B$42:$B$73,D247,'Rail Emissions'!$C$42:$C$73))</f>
        <v>4.4121546890102809E-2</v>
      </c>
      <c r="F247" s="1276"/>
    </row>
    <row r="248" spans="1:6" ht="12.6" customHeight="1">
      <c r="A248" s="4"/>
      <c r="B248" s="1274"/>
      <c r="C248" s="1272"/>
      <c r="D248" s="560">
        <f t="shared" si="6"/>
        <v>2051</v>
      </c>
      <c r="E248" s="1173">
        <f>IF(D248&gt;2040,E247,SUMIF('Rail Emissions'!$B$42:$B$73,D248,'Rail Emissions'!$C$42:$C$73))</f>
        <v>4.4121546890102809E-2</v>
      </c>
      <c r="F248" s="1276"/>
    </row>
    <row r="249" spans="1:6" ht="12.6" customHeight="1">
      <c r="A249" s="4"/>
      <c r="B249" s="1274"/>
      <c r="C249" s="1272"/>
      <c r="D249" s="560">
        <f t="shared" si="6"/>
        <v>2052</v>
      </c>
      <c r="E249" s="1173">
        <f>IF(D249&gt;2040,E248,SUMIF('Rail Emissions'!$B$42:$B$73,D249,'Rail Emissions'!$C$42:$C$73))</f>
        <v>4.4121546890102809E-2</v>
      </c>
      <c r="F249" s="1276"/>
    </row>
    <row r="250" spans="1:6" ht="12.6" customHeight="1">
      <c r="A250" s="4"/>
      <c r="B250" s="1274"/>
      <c r="C250" s="1272"/>
      <c r="D250" s="560">
        <f t="shared" si="6"/>
        <v>2053</v>
      </c>
      <c r="E250" s="1173">
        <f>IF(D250&gt;2040,E249,SUMIF('Rail Emissions'!$B$42:$B$73,D250,'Rail Emissions'!$C$42:$C$73))</f>
        <v>4.4121546890102809E-2</v>
      </c>
      <c r="F250" s="1276"/>
    </row>
    <row r="251" spans="1:6" ht="12.6" customHeight="1">
      <c r="A251" s="4"/>
      <c r="B251" s="1274"/>
      <c r="C251" s="1272"/>
      <c r="D251" s="560">
        <f t="shared" si="6"/>
        <v>2054</v>
      </c>
      <c r="E251" s="1173">
        <f>IF(D251&gt;2040,E250,SUMIF('Rail Emissions'!$B$42:$B$73,D251,'Rail Emissions'!$C$42:$C$73))</f>
        <v>4.4121546890102809E-2</v>
      </c>
      <c r="F251" s="1276"/>
    </row>
    <row r="252" spans="1:6" ht="12.6" customHeight="1">
      <c r="A252" s="4"/>
      <c r="B252" s="1274"/>
      <c r="C252" s="1272"/>
      <c r="D252" s="560">
        <f t="shared" si="6"/>
        <v>2055</v>
      </c>
      <c r="E252" s="1173">
        <f>IF(D252&gt;2040,E251,SUMIF('Rail Emissions'!$B$42:$B$73,D252,'Rail Emissions'!$C$42:$C$73))</f>
        <v>4.4121546890102809E-2</v>
      </c>
      <c r="F252" s="1276"/>
    </row>
    <row r="253" spans="1:6" ht="12.6" customHeight="1">
      <c r="A253" s="4"/>
      <c r="B253" s="1274"/>
      <c r="C253" s="1272"/>
      <c r="D253" s="560">
        <v>2051</v>
      </c>
      <c r="E253" s="1173">
        <f t="shared" ref="E253:E254" si="7">E252</f>
        <v>4.4121546890102809E-2</v>
      </c>
      <c r="F253" s="1276"/>
    </row>
    <row r="254" spans="1:6" ht="12.6" customHeight="1">
      <c r="A254" s="4"/>
      <c r="B254" s="1274"/>
      <c r="C254" s="1272"/>
      <c r="D254" s="560">
        <v>2052</v>
      </c>
      <c r="E254" s="1173">
        <f t="shared" si="7"/>
        <v>4.4121546890102809E-2</v>
      </c>
      <c r="F254" s="1276"/>
    </row>
    <row r="255" spans="1:6" ht="12.6" customHeight="1">
      <c r="A255" s="4"/>
      <c r="B255" s="1273" t="s">
        <v>428</v>
      </c>
      <c r="C255" s="1271" t="s">
        <v>419</v>
      </c>
      <c r="D255" s="560">
        <f>Base.Year</f>
        <v>2022</v>
      </c>
      <c r="E255" s="1173">
        <f>SUMIF('Rail Emissions'!$Z$42:$Z$73,D255,'Rail Emissions'!$AA$42:$AA$73)</f>
        <v>6.9416035882234684E-3</v>
      </c>
      <c r="F255" s="1275" t="s">
        <v>427</v>
      </c>
    </row>
    <row r="256" spans="1:6" ht="12.6" customHeight="1">
      <c r="A256" s="4"/>
      <c r="B256" s="1274"/>
      <c r="C256" s="1272"/>
      <c r="D256" s="560">
        <f>D255+1</f>
        <v>2023</v>
      </c>
      <c r="E256" s="1173">
        <f>IF(D256&gt;2040,E255,SUMIF('Rail Emissions'!$Z$42:$Z$73,D256,'Rail Emissions'!$AA$42:$AA$73))</f>
        <v>6.4115796689256169E-3</v>
      </c>
      <c r="F256" s="1276"/>
    </row>
    <row r="257" spans="1:6" ht="12.6" customHeight="1">
      <c r="A257" s="4"/>
      <c r="B257" s="1274"/>
      <c r="C257" s="1272"/>
      <c r="D257" s="560">
        <f t="shared" ref="D257:D290" si="8">D256+1</f>
        <v>2024</v>
      </c>
      <c r="E257" s="1173">
        <f>IF(D257&gt;2040,E256,SUMIF('Rail Emissions'!$Z$42:$Z$73,D257,'Rail Emissions'!$AA$42:$AA$73))</f>
        <v>5.8957054426902224E-3</v>
      </c>
      <c r="F257" s="1276"/>
    </row>
    <row r="258" spans="1:6" ht="12.6" customHeight="1">
      <c r="A258" s="4"/>
      <c r="B258" s="1274"/>
      <c r="C258" s="1272"/>
      <c r="D258" s="560">
        <f t="shared" si="8"/>
        <v>2025</v>
      </c>
      <c r="E258" s="1173">
        <f>IF(D258&gt;2040,E257,SUMIF('Rail Emissions'!$Z$42:$Z$73,D258,'Rail Emissions'!$AA$42:$AA$73))</f>
        <v>5.3936784486258212E-3</v>
      </c>
      <c r="F258" s="1276"/>
    </row>
    <row r="259" spans="1:6" ht="12.6" customHeight="1">
      <c r="A259" s="4"/>
      <c r="B259" s="1274"/>
      <c r="C259" s="1272"/>
      <c r="D259" s="560">
        <f t="shared" si="8"/>
        <v>2026</v>
      </c>
      <c r="E259" s="1173">
        <f>IF(D259&gt;2040,E258,SUMIF('Rail Emissions'!$Z$42:$Z$73,D259,'Rail Emissions'!$AA$42:$AA$73))</f>
        <v>5.1095854950983536E-3</v>
      </c>
      <c r="F259" s="1276"/>
    </row>
    <row r="260" spans="1:6" ht="12.6" customHeight="1">
      <c r="A260" s="4"/>
      <c r="B260" s="1274"/>
      <c r="C260" s="1272"/>
      <c r="D260" s="560">
        <f t="shared" si="8"/>
        <v>2027</v>
      </c>
      <c r="E260" s="1173">
        <f>IF(D260&gt;2040,E259,SUMIF('Rail Emissions'!$Z$42:$Z$73,D260,'Rail Emissions'!$AA$42:$AA$73))</f>
        <v>4.6313484290546646E-3</v>
      </c>
      <c r="F260" s="1276"/>
    </row>
    <row r="261" spans="1:6" ht="12.6" customHeight="1">
      <c r="A261" s="4"/>
      <c r="B261" s="1274"/>
      <c r="C261" s="1272"/>
      <c r="D261" s="560">
        <f t="shared" si="8"/>
        <v>2028</v>
      </c>
      <c r="E261" s="1173">
        <f>IF(D261&gt;2040,E260,SUMIF('Rail Emissions'!$Z$42:$Z$73,D261,'Rail Emissions'!$AA$42:$AA$73))</f>
        <v>4.1661305208887554E-3</v>
      </c>
      <c r="F261" s="1276"/>
    </row>
    <row r="262" spans="1:6" ht="12.6" customHeight="1">
      <c r="A262" s="4"/>
      <c r="B262" s="1274"/>
      <c r="C262" s="1272"/>
      <c r="D262" s="560">
        <f t="shared" si="8"/>
        <v>2029</v>
      </c>
      <c r="E262" s="1173">
        <f>IF(D262&gt;2040,E261,SUMIF('Rail Emissions'!$Z$42:$Z$73,D262,'Rail Emissions'!$AA$42:$AA$73))</f>
        <v>3.9091067519481633E-3</v>
      </c>
      <c r="F262" s="1276"/>
    </row>
    <row r="263" spans="1:6" ht="12.6" customHeight="1">
      <c r="A263" s="4"/>
      <c r="B263" s="1274"/>
      <c r="C263" s="1272"/>
      <c r="D263" s="560">
        <f t="shared" si="8"/>
        <v>2030</v>
      </c>
      <c r="E263" s="1173">
        <f>IF(D263&gt;2040,E262,SUMIF('Rail Emissions'!$Z$42:$Z$73,D263,'Rail Emissions'!$AA$42:$AA$73))</f>
        <v>3.6587698663554237E-3</v>
      </c>
      <c r="F263" s="1276"/>
    </row>
    <row r="264" spans="1:6" ht="12.6" customHeight="1">
      <c r="A264" s="4"/>
      <c r="B264" s="1274"/>
      <c r="C264" s="1272"/>
      <c r="D264" s="560">
        <f t="shared" si="8"/>
        <v>2031</v>
      </c>
      <c r="E264" s="1173">
        <f>IF(D264&gt;2040,E263,SUMIF('Rail Emissions'!$Z$42:$Z$73,D264,'Rail Emissions'!$AA$42:$AA$73))</f>
        <v>3.225257336170195E-3</v>
      </c>
      <c r="F264" s="1276"/>
    </row>
    <row r="265" spans="1:6" ht="12.6" customHeight="1">
      <c r="A265" s="4"/>
      <c r="B265" s="1274"/>
      <c r="C265" s="1272"/>
      <c r="D265" s="560">
        <f t="shared" si="8"/>
        <v>2032</v>
      </c>
      <c r="E265" s="1173">
        <f>IF(D265&gt;2040,E264,SUMIF('Rail Emissions'!$Z$42:$Z$73,D265,'Rail Emissions'!$AA$42:$AA$73))</f>
        <v>2.9906761737886487E-3</v>
      </c>
      <c r="F265" s="1276"/>
    </row>
    <row r="266" spans="1:6" ht="12.6" customHeight="1">
      <c r="A266" s="4"/>
      <c r="B266" s="1274"/>
      <c r="C266" s="1272"/>
      <c r="D266" s="560">
        <f t="shared" si="8"/>
        <v>2033</v>
      </c>
      <c r="E266" s="1173">
        <f>IF(D266&gt;2040,E265,SUMIF('Rail Emissions'!$Z$42:$Z$73,D266,'Rail Emissions'!$AA$42:$AA$73))</f>
        <v>2.7623240521446879E-3</v>
      </c>
      <c r="F266" s="1276"/>
    </row>
    <row r="267" spans="1:6" ht="12.6" customHeight="1">
      <c r="A267" s="4"/>
      <c r="B267" s="1274"/>
      <c r="C267" s="1272"/>
      <c r="D267" s="560">
        <f t="shared" si="8"/>
        <v>2034</v>
      </c>
      <c r="E267" s="1173">
        <f>IF(D267&gt;2040,E266,SUMIF('Rail Emissions'!$Z$42:$Z$73,D267,'Rail Emissions'!$AA$42:$AA$73))</f>
        <v>2.5400680939261493E-3</v>
      </c>
      <c r="F267" s="1276"/>
    </row>
    <row r="268" spans="1:6" ht="12.6" customHeight="1">
      <c r="A268" s="4"/>
      <c r="B268" s="1274"/>
      <c r="C268" s="1272"/>
      <c r="D268" s="560">
        <f t="shared" si="8"/>
        <v>2035</v>
      </c>
      <c r="E268" s="1173">
        <f>IF(D268&gt;2040,E267,SUMIF('Rail Emissions'!$Z$42:$Z$73,D268,'Rail Emissions'!$AA$42:$AA$73))</f>
        <v>2.323777988813508E-3</v>
      </c>
      <c r="F268" s="1276"/>
    </row>
    <row r="269" spans="1:6" ht="12.6" customHeight="1">
      <c r="A269" s="4"/>
      <c r="B269" s="1274"/>
      <c r="C269" s="1272"/>
      <c r="D269" s="560">
        <f t="shared" si="8"/>
        <v>2036</v>
      </c>
      <c r="E269" s="1173">
        <f>IF(D269&gt;2040,E268,SUMIF('Rail Emissions'!$Z$42:$Z$73,D269,'Rail Emissions'!$AA$42:$AA$73))</f>
        <v>2.1133259466284268E-3</v>
      </c>
      <c r="F269" s="1276"/>
    </row>
    <row r="270" spans="1:6" ht="12.6" customHeight="1">
      <c r="A270" s="4"/>
      <c r="B270" s="1274"/>
      <c r="C270" s="1272"/>
      <c r="D270" s="560">
        <f t="shared" si="8"/>
        <v>2037</v>
      </c>
      <c r="E270" s="1173">
        <f>IF(D270&gt;2040,E269,SUMIF('Rail Emissions'!$Z$42:$Z$73,D270,'Rail Emissions'!$AA$42:$AA$73))</f>
        <v>2.0820945286979583E-3</v>
      </c>
      <c r="F270" s="1276"/>
    </row>
    <row r="271" spans="1:6" ht="12.6" customHeight="1">
      <c r="A271" s="4"/>
      <c r="B271" s="1274"/>
      <c r="C271" s="1272"/>
      <c r="D271" s="560">
        <f t="shared" si="8"/>
        <v>2038</v>
      </c>
      <c r="E271" s="1173">
        <f>IF(D271&gt;2040,E270,SUMIF('Rail Emissions'!$Z$42:$Z$73,D271,'Rail Emissions'!$AA$42:$AA$73))</f>
        <v>1.8803809372477458E-3</v>
      </c>
      <c r="F271" s="1276"/>
    </row>
    <row r="272" spans="1:6" ht="12.6" customHeight="1">
      <c r="A272" s="4"/>
      <c r="B272" s="1274"/>
      <c r="C272" s="1272"/>
      <c r="D272" s="560">
        <f t="shared" si="8"/>
        <v>2039</v>
      </c>
      <c r="E272" s="1173">
        <f>IF(D272&gt;2040,E271,SUMIF('Rail Emissions'!$Z$42:$Z$73,D272,'Rail Emissions'!$AA$42:$AA$73))</f>
        <v>1.8525920564017207E-3</v>
      </c>
      <c r="F272" s="1276"/>
    </row>
    <row r="273" spans="1:6" ht="12.6" customHeight="1">
      <c r="A273" s="4"/>
      <c r="B273" s="1274"/>
      <c r="C273" s="1272"/>
      <c r="D273" s="560">
        <f t="shared" si="8"/>
        <v>2040</v>
      </c>
      <c r="E273" s="1173">
        <f>IF(D273&gt;2040,E272,SUMIF('Rail Emissions'!$Z$42:$Z$73,D273,'Rail Emissions'!$AA$42:$AA$73))</f>
        <v>1.6592853169742235E-3</v>
      </c>
      <c r="F273" s="1276"/>
    </row>
    <row r="274" spans="1:6" ht="12.6" customHeight="1">
      <c r="A274" s="4"/>
      <c r="B274" s="1274"/>
      <c r="C274" s="1272"/>
      <c r="D274" s="560">
        <f t="shared" si="8"/>
        <v>2041</v>
      </c>
      <c r="E274" s="1173">
        <f>IF(D274&gt;2040,E273,SUMIF('Rail Emissions'!$Z$42:$Z$73,D274,'Rail Emissions'!$AA$42:$AA$73))</f>
        <v>1.6592853169742235E-3</v>
      </c>
      <c r="F274" s="1276"/>
    </row>
    <row r="275" spans="1:6" ht="12.6" customHeight="1">
      <c r="A275" s="4"/>
      <c r="B275" s="1274"/>
      <c r="C275" s="1272"/>
      <c r="D275" s="560">
        <f t="shared" si="8"/>
        <v>2042</v>
      </c>
      <c r="E275" s="1173">
        <f>IF(D275&gt;2040,E274,SUMIF('Rail Emissions'!$Z$42:$Z$73,D275,'Rail Emissions'!$AA$42:$AA$73))</f>
        <v>1.6592853169742235E-3</v>
      </c>
      <c r="F275" s="1276"/>
    </row>
    <row r="276" spans="1:6" ht="12.6" customHeight="1">
      <c r="A276" s="4"/>
      <c r="B276" s="1274"/>
      <c r="C276" s="1272"/>
      <c r="D276" s="560">
        <f t="shared" si="8"/>
        <v>2043</v>
      </c>
      <c r="E276" s="1173">
        <f>IF(D276&gt;2040,E275,SUMIF('Rail Emissions'!$Z$42:$Z$73,D276,'Rail Emissions'!$AA$42:$AA$73))</f>
        <v>1.6592853169742235E-3</v>
      </c>
      <c r="F276" s="1276"/>
    </row>
    <row r="277" spans="1:6" ht="12.6" customHeight="1">
      <c r="A277" s="4"/>
      <c r="B277" s="1274"/>
      <c r="C277" s="1272"/>
      <c r="D277" s="560">
        <f t="shared" si="8"/>
        <v>2044</v>
      </c>
      <c r="E277" s="1173">
        <f>IF(D277&gt;2040,E276,SUMIF('Rail Emissions'!$Z$42:$Z$73,D277,'Rail Emissions'!$AA$42:$AA$73))</f>
        <v>1.6592853169742235E-3</v>
      </c>
      <c r="F277" s="1276"/>
    </row>
    <row r="278" spans="1:6" ht="12.6" customHeight="1">
      <c r="A278" s="4"/>
      <c r="B278" s="1274"/>
      <c r="C278" s="1272"/>
      <c r="D278" s="560">
        <f t="shared" si="8"/>
        <v>2045</v>
      </c>
      <c r="E278" s="1173">
        <f>IF(D278&gt;2040,E277,SUMIF('Rail Emissions'!$Z$42:$Z$73,D278,'Rail Emissions'!$AA$42:$AA$73))</f>
        <v>1.6592853169742235E-3</v>
      </c>
      <c r="F278" s="1276"/>
    </row>
    <row r="279" spans="1:6" ht="12.6" customHeight="1">
      <c r="A279" s="4"/>
      <c r="B279" s="1274"/>
      <c r="C279" s="1272"/>
      <c r="D279" s="560">
        <f t="shared" si="8"/>
        <v>2046</v>
      </c>
      <c r="E279" s="1173">
        <f>IF(D279&gt;2040,E278,SUMIF('Rail Emissions'!$Z$42:$Z$73,D279,'Rail Emissions'!$AA$42:$AA$73))</f>
        <v>1.6592853169742235E-3</v>
      </c>
      <c r="F279" s="1276"/>
    </row>
    <row r="280" spans="1:6" ht="12.6" customHeight="1">
      <c r="A280" s="4"/>
      <c r="B280" s="1274"/>
      <c r="C280" s="1272"/>
      <c r="D280" s="560">
        <f t="shared" si="8"/>
        <v>2047</v>
      </c>
      <c r="E280" s="1173">
        <f>IF(D280&gt;2040,E279,SUMIF('Rail Emissions'!$Z$42:$Z$73,D280,'Rail Emissions'!$AA$42:$AA$73))</f>
        <v>1.6592853169742235E-3</v>
      </c>
      <c r="F280" s="1276"/>
    </row>
    <row r="281" spans="1:6" ht="12.6" customHeight="1">
      <c r="A281" s="4"/>
      <c r="B281" s="1274"/>
      <c r="C281" s="1272"/>
      <c r="D281" s="560">
        <f t="shared" si="8"/>
        <v>2048</v>
      </c>
      <c r="E281" s="1173">
        <f>IF(D281&gt;2040,E280,SUMIF('Rail Emissions'!$Z$42:$Z$73,D281,'Rail Emissions'!$AA$42:$AA$73))</f>
        <v>1.6592853169742235E-3</v>
      </c>
      <c r="F281" s="1276"/>
    </row>
    <row r="282" spans="1:6" ht="12.6" customHeight="1">
      <c r="A282" s="4"/>
      <c r="B282" s="1274"/>
      <c r="C282" s="1272"/>
      <c r="D282" s="560">
        <f t="shared" si="8"/>
        <v>2049</v>
      </c>
      <c r="E282" s="1173">
        <f>IF(D282&gt;2040,E281,SUMIF('Rail Emissions'!$Z$42:$Z$73,D282,'Rail Emissions'!$AA$42:$AA$73))</f>
        <v>1.6592853169742235E-3</v>
      </c>
      <c r="F282" s="1276"/>
    </row>
    <row r="283" spans="1:6" ht="12.6" customHeight="1">
      <c r="A283" s="4"/>
      <c r="B283" s="1274"/>
      <c r="C283" s="1272"/>
      <c r="D283" s="560">
        <f t="shared" si="8"/>
        <v>2050</v>
      </c>
      <c r="E283" s="1173">
        <f>IF(D283&gt;2040,E282,SUMIF('Rail Emissions'!$Z$42:$Z$73,D283,'Rail Emissions'!$AA$42:$AA$73))</f>
        <v>1.6592853169742235E-3</v>
      </c>
      <c r="F283" s="1276"/>
    </row>
    <row r="284" spans="1:6" ht="12.6" customHeight="1">
      <c r="A284" s="4"/>
      <c r="B284" s="1274"/>
      <c r="C284" s="1272"/>
      <c r="D284" s="560">
        <f t="shared" si="8"/>
        <v>2051</v>
      </c>
      <c r="E284" s="1173">
        <f>IF(D284&gt;2040,E283,SUMIF('Rail Emissions'!$Z$42:$Z$73,D284,'Rail Emissions'!$AA$42:$AA$73))</f>
        <v>1.6592853169742235E-3</v>
      </c>
      <c r="F284" s="1276"/>
    </row>
    <row r="285" spans="1:6" ht="12.6" customHeight="1">
      <c r="A285" s="4"/>
      <c r="B285" s="1274"/>
      <c r="C285" s="1272"/>
      <c r="D285" s="560">
        <f t="shared" si="8"/>
        <v>2052</v>
      </c>
      <c r="E285" s="1173">
        <f>IF(D285&gt;2040,E284,SUMIF('Rail Emissions'!$Z$42:$Z$73,D285,'Rail Emissions'!$AA$42:$AA$73))</f>
        <v>1.6592853169742235E-3</v>
      </c>
      <c r="F285" s="1276"/>
    </row>
    <row r="286" spans="1:6" ht="12.6" customHeight="1">
      <c r="A286" s="4"/>
      <c r="B286" s="1274"/>
      <c r="C286" s="1272"/>
      <c r="D286" s="560">
        <f t="shared" si="8"/>
        <v>2053</v>
      </c>
      <c r="E286" s="1173">
        <f>IF(D286&gt;2040,E285,SUMIF('Rail Emissions'!$Z$42:$Z$73,D286,'Rail Emissions'!$AA$42:$AA$73))</f>
        <v>1.6592853169742235E-3</v>
      </c>
      <c r="F286" s="1276"/>
    </row>
    <row r="287" spans="1:6" ht="12.6" customHeight="1">
      <c r="A287" s="4"/>
      <c r="B287" s="1274"/>
      <c r="C287" s="1272"/>
      <c r="D287" s="560">
        <f t="shared" si="8"/>
        <v>2054</v>
      </c>
      <c r="E287" s="1173">
        <f>IF(D287&gt;2040,E286,SUMIF('Rail Emissions'!$Z$42:$Z$73,D287,'Rail Emissions'!$AA$42:$AA$73))</f>
        <v>1.6592853169742235E-3</v>
      </c>
      <c r="F287" s="1276"/>
    </row>
    <row r="288" spans="1:6" ht="12.6" customHeight="1">
      <c r="A288" s="4"/>
      <c r="B288" s="1274"/>
      <c r="C288" s="1272"/>
      <c r="D288" s="560">
        <f t="shared" si="8"/>
        <v>2055</v>
      </c>
      <c r="E288" s="1173">
        <f>IF(D288&gt;2040,E287,SUMIF('Rail Emissions'!$Z$42:$Z$73,D288,'Rail Emissions'!$AA$42:$AA$73))</f>
        <v>1.6592853169742235E-3</v>
      </c>
      <c r="F288" s="1276"/>
    </row>
    <row r="289" spans="1:6" ht="12.6" customHeight="1">
      <c r="A289" s="4"/>
      <c r="B289" s="1274"/>
      <c r="C289" s="1272"/>
      <c r="D289" s="560">
        <f t="shared" si="8"/>
        <v>2056</v>
      </c>
      <c r="E289" s="1173">
        <f>IF(D289&gt;2040,E288,SUMIF('Rail Emissions'!$Z$42:$Z$73,D289,'Rail Emissions'!$AA$42:$AA$73))</f>
        <v>1.6592853169742235E-3</v>
      </c>
      <c r="F289" s="1276"/>
    </row>
    <row r="290" spans="1:6" ht="12.6" customHeight="1">
      <c r="A290" s="4"/>
      <c r="B290" s="1274"/>
      <c r="C290" s="1272"/>
      <c r="D290" s="560">
        <f t="shared" si="8"/>
        <v>2057</v>
      </c>
      <c r="E290" s="1173">
        <f>IF(D290&gt;2040,E289,SUMIF('Rail Emissions'!$Z$42:$Z$73,D290,'Rail Emissions'!$AA$42:$AA$73))</f>
        <v>1.6592853169742235E-3</v>
      </c>
      <c r="F290" s="1276"/>
    </row>
    <row r="291" spans="1:6" ht="12.6" customHeight="1">
      <c r="A291" s="4"/>
      <c r="B291" s="1273" t="s">
        <v>429</v>
      </c>
      <c r="C291" s="1271" t="s">
        <v>419</v>
      </c>
      <c r="D291" s="560">
        <f>Base.Year</f>
        <v>2022</v>
      </c>
      <c r="E291" s="1173">
        <f>SUMIF('Rail Emissions'!$AG$42:$AG$73,D291,'Rail Emissions'!$AH$42:$AH$73)</f>
        <v>3.9965310307316978E-3</v>
      </c>
      <c r="F291" s="1275" t="s">
        <v>427</v>
      </c>
    </row>
    <row r="292" spans="1:6" ht="12.6" customHeight="1">
      <c r="A292" s="4"/>
      <c r="B292" s="1274"/>
      <c r="C292" s="1272"/>
      <c r="D292" s="560">
        <f>D291+1</f>
        <v>2023</v>
      </c>
      <c r="E292" s="1173">
        <f>IF(D292&gt;2040,E291,SUMIF('Rail Emissions'!$AG$42:$AG$73,D292,'Rail Emissions'!$AH$42:$AH$73))</f>
        <v>3.7405955460050374E-3</v>
      </c>
      <c r="F292" s="1276"/>
    </row>
    <row r="293" spans="1:6" ht="12.6" customHeight="1">
      <c r="A293" s="4"/>
      <c r="B293" s="1274"/>
      <c r="C293" s="1272"/>
      <c r="D293" s="560">
        <f t="shared" ref="D293:D326" si="9">D292+1</f>
        <v>2024</v>
      </c>
      <c r="E293" s="1173">
        <f>IF(D293&gt;2040,E292,SUMIF('Rail Emissions'!$AG$42:$AG$73,D293,'Rail Emissions'!$AH$42:$AH$73))</f>
        <v>3.2973878289906996E-3</v>
      </c>
      <c r="F293" s="1276"/>
    </row>
    <row r="294" spans="1:6" ht="12.6" customHeight="1">
      <c r="A294" s="4"/>
      <c r="B294" s="1274"/>
      <c r="C294" s="1272"/>
      <c r="D294" s="560">
        <f t="shared" si="9"/>
        <v>2025</v>
      </c>
      <c r="E294" s="1173">
        <f>IF(D294&gt;2040,E293,SUMIF('Rail Emissions'!$AG$42:$AG$73,D294,'Rail Emissions'!$AH$42:$AH$73))</f>
        <v>3.0575604325616462E-3</v>
      </c>
      <c r="F294" s="1276"/>
    </row>
    <row r="295" spans="1:6" ht="12.6" customHeight="1">
      <c r="A295" s="4"/>
      <c r="B295" s="1274"/>
      <c r="C295" s="1272"/>
      <c r="D295" s="560">
        <f t="shared" si="9"/>
        <v>2026</v>
      </c>
      <c r="E295" s="1173">
        <f>IF(D295&gt;2040,E294,SUMIF('Rail Emissions'!$AG$42:$AG$73,D295,'Rail Emissions'!$AH$42:$AH$73))</f>
        <v>2.8241013847552158E-3</v>
      </c>
      <c r="F295" s="1276"/>
    </row>
    <row r="296" spans="1:6" ht="12.6" customHeight="1">
      <c r="A296" s="4"/>
      <c r="B296" s="1274"/>
      <c r="C296" s="1272"/>
      <c r="D296" s="560">
        <f t="shared" si="9"/>
        <v>2027</v>
      </c>
      <c r="E296" s="1173">
        <f>IF(D296&gt;2040,E295,SUMIF('Rail Emissions'!$AG$42:$AG$73,D296,'Rail Emissions'!$AH$42:$AH$73))</f>
        <v>2.5968748365565197E-3</v>
      </c>
      <c r="F296" s="1276"/>
    </row>
    <row r="297" spans="1:6" ht="12.6" customHeight="1">
      <c r="A297" s="4"/>
      <c r="B297" s="1274"/>
      <c r="C297" s="1272"/>
      <c r="D297" s="560">
        <f t="shared" si="9"/>
        <v>2028</v>
      </c>
      <c r="E297" s="1173">
        <f>IF(D297&gt;2040,E296,SUMIF('Rail Emissions'!$AG$42:$AG$73,D297,'Rail Emissions'!$AH$42:$AH$73))</f>
        <v>2.3757475633522001E-3</v>
      </c>
      <c r="F297" s="1276"/>
    </row>
    <row r="298" spans="1:6" ht="12.6" customHeight="1">
      <c r="A298" s="4"/>
      <c r="B298" s="1274"/>
      <c r="C298" s="1272"/>
      <c r="D298" s="560">
        <f t="shared" si="9"/>
        <v>2029</v>
      </c>
      <c r="E298" s="1173">
        <f>IF(D298&gt;2040,E297,SUMIF('Rail Emissions'!$AG$42:$AG$73,D298,'Rail Emissions'!$AH$42:$AH$73))</f>
        <v>1.9805398406119138E-3</v>
      </c>
      <c r="F298" s="1276"/>
    </row>
    <row r="299" spans="1:6" ht="12.6" customHeight="1">
      <c r="A299" s="4"/>
      <c r="B299" s="1274"/>
      <c r="C299" s="1272"/>
      <c r="D299" s="560">
        <f t="shared" si="9"/>
        <v>2030</v>
      </c>
      <c r="E299" s="1173">
        <f>IF(D299&gt;2040,E298,SUMIF('Rail Emissions'!$AG$42:$AG$73,D299,'Rail Emissions'!$AH$42:$AH$73))</f>
        <v>1.7738825262981763E-3</v>
      </c>
      <c r="F299" s="1276"/>
    </row>
    <row r="300" spans="1:6" ht="12.6" customHeight="1">
      <c r="A300" s="4"/>
      <c r="B300" s="1274"/>
      <c r="C300" s="1272"/>
      <c r="D300" s="560">
        <f t="shared" si="9"/>
        <v>2031</v>
      </c>
      <c r="E300" s="1173">
        <f>IF(D300&gt;2040,E299,SUMIF('Rail Emissions'!$AG$42:$AG$73,D300,'Rail Emissions'!$AH$42:$AH$73))</f>
        <v>1.7476675135942627E-3</v>
      </c>
      <c r="F300" s="1276"/>
    </row>
    <row r="301" spans="1:6" ht="12.6" customHeight="1">
      <c r="A301" s="4"/>
      <c r="B301" s="1274"/>
      <c r="C301" s="1272"/>
      <c r="D301" s="560">
        <f t="shared" si="9"/>
        <v>2032</v>
      </c>
      <c r="E301" s="1173">
        <f>IF(D301&gt;2040,E300,SUMIF('Rail Emissions'!$AG$42:$AG$73,D301,'Rail Emissions'!$AH$42:$AH$73))</f>
        <v>1.5496559233840754E-3</v>
      </c>
      <c r="F301" s="1276"/>
    </row>
    <row r="302" spans="1:6" ht="12.6" customHeight="1">
      <c r="A302" s="4"/>
      <c r="B302" s="1274"/>
      <c r="C302" s="1272"/>
      <c r="D302" s="560">
        <f t="shared" si="9"/>
        <v>2033</v>
      </c>
      <c r="E302" s="1173">
        <f>IF(D302&gt;2040,E301,SUMIF('Rail Emissions'!$AG$42:$AG$73,D302,'Rail Emissions'!$AH$42:$AH$73))</f>
        <v>1.3571152038393656E-3</v>
      </c>
      <c r="F302" s="1276"/>
    </row>
    <row r="303" spans="1:6" ht="12.6" customHeight="1">
      <c r="A303" s="4"/>
      <c r="B303" s="1274"/>
      <c r="C303" s="1272"/>
      <c r="D303" s="560">
        <f t="shared" si="9"/>
        <v>2034</v>
      </c>
      <c r="E303" s="1173">
        <f>IF(D303&gt;2040,E302,SUMIF('Rail Emissions'!$AG$42:$AG$73,D303,'Rail Emissions'!$AH$42:$AH$73))</f>
        <v>1.1699268998615221E-3</v>
      </c>
      <c r="F303" s="1276"/>
    </row>
    <row r="304" spans="1:6" ht="12.6" customHeight="1">
      <c r="A304" s="4"/>
      <c r="B304" s="1274"/>
      <c r="C304" s="1272"/>
      <c r="D304" s="560">
        <f t="shared" si="9"/>
        <v>2035</v>
      </c>
      <c r="E304" s="1173">
        <f>IF(D304&gt;2040,E303,SUMIF('Rail Emissions'!$AG$42:$AG$73,D304,'Rail Emissions'!$AH$42:$AH$73))</f>
        <v>1.1526373397650462E-3</v>
      </c>
      <c r="F304" s="1276"/>
    </row>
    <row r="305" spans="1:6" ht="12.6" customHeight="1">
      <c r="A305" s="4"/>
      <c r="B305" s="1274"/>
      <c r="C305" s="1272"/>
      <c r="D305" s="560">
        <f t="shared" si="9"/>
        <v>2036</v>
      </c>
      <c r="E305" s="1173">
        <f>IF(D305&gt;2040,E304,SUMIF('Rail Emissions'!$AG$42:$AG$73,D305,'Rail Emissions'!$AH$42:$AH$73))</f>
        <v>9.7337424892192511E-4</v>
      </c>
      <c r="F305" s="1276"/>
    </row>
    <row r="306" spans="1:6" ht="12.6" customHeight="1">
      <c r="A306" s="4"/>
      <c r="B306" s="1274"/>
      <c r="C306" s="1272"/>
      <c r="D306" s="560">
        <f t="shared" si="9"/>
        <v>2037</v>
      </c>
      <c r="E306" s="1173">
        <f>IF(D306&gt;2040,E305,SUMIF('Rail Emissions'!$AG$42:$AG$73,D306,'Rail Emissions'!$AH$42:$AH$73))</f>
        <v>9.5898940780485265E-4</v>
      </c>
      <c r="F306" s="1276"/>
    </row>
    <row r="307" spans="1:6" ht="12.6" customHeight="1">
      <c r="A307" s="4"/>
      <c r="B307" s="1274"/>
      <c r="C307" s="1272"/>
      <c r="D307" s="560">
        <f t="shared" si="9"/>
        <v>2038</v>
      </c>
      <c r="E307" s="1173">
        <f>IF(D307&gt;2040,E306,SUMIF('Rail Emissions'!$AG$42:$AG$73,D307,'Rail Emissions'!$AH$42:$AH$73))</f>
        <v>7.87347625455544E-4</v>
      </c>
      <c r="F307" s="1276"/>
    </row>
    <row r="308" spans="1:6" ht="12.6" customHeight="1">
      <c r="A308" s="4"/>
      <c r="B308" s="1274"/>
      <c r="C308" s="1272"/>
      <c r="D308" s="560">
        <f t="shared" si="9"/>
        <v>2039</v>
      </c>
      <c r="E308" s="1173">
        <f>IF(D308&gt;2040,E307,SUMIF('Rail Emissions'!$AG$42:$AG$73,D308,'Rail Emissions'!$AH$42:$AH$73))</f>
        <v>7.7571194626161995E-4</v>
      </c>
      <c r="F308" s="1276"/>
    </row>
    <row r="309" spans="1:6" ht="12.6" customHeight="1">
      <c r="A309" s="4"/>
      <c r="B309" s="1274"/>
      <c r="C309" s="1272"/>
      <c r="D309" s="560">
        <f t="shared" si="9"/>
        <v>2040</v>
      </c>
      <c r="E309" s="1173">
        <f>IF(D309&gt;2040,E308,SUMIF('Rail Emissions'!$AG$42:$AG$73,D309,'Rail Emissions'!$AH$42:$AH$73))</f>
        <v>6.1139857833428181E-4</v>
      </c>
      <c r="F309" s="1276"/>
    </row>
    <row r="310" spans="1:6" ht="12.6" customHeight="1">
      <c r="A310" s="4"/>
      <c r="B310" s="1274"/>
      <c r="C310" s="1272"/>
      <c r="D310" s="560">
        <f t="shared" si="9"/>
        <v>2041</v>
      </c>
      <c r="E310" s="1173">
        <f>IF(D310&gt;2040,E309,SUMIF('Rail Emissions'!$AG$42:$AG$73,D310,'Rail Emissions'!$AH$42:$AH$73))</f>
        <v>6.1139857833428181E-4</v>
      </c>
      <c r="F310" s="1276"/>
    </row>
    <row r="311" spans="1:6" ht="12.6" customHeight="1">
      <c r="A311" s="4"/>
      <c r="B311" s="1274"/>
      <c r="C311" s="1272"/>
      <c r="D311" s="560">
        <f t="shared" si="9"/>
        <v>2042</v>
      </c>
      <c r="E311" s="1173">
        <f>IF(D311&gt;2040,E310,SUMIF('Rail Emissions'!$AG$42:$AG$73,D311,'Rail Emissions'!$AH$42:$AH$73))</f>
        <v>6.1139857833428181E-4</v>
      </c>
      <c r="F311" s="1276"/>
    </row>
    <row r="312" spans="1:6" ht="12.6" customHeight="1">
      <c r="A312" s="4"/>
      <c r="B312" s="1274"/>
      <c r="C312" s="1272"/>
      <c r="D312" s="560">
        <f t="shared" si="9"/>
        <v>2043</v>
      </c>
      <c r="E312" s="1173">
        <f>IF(D312&gt;2040,E311,SUMIF('Rail Emissions'!$AG$42:$AG$73,D312,'Rail Emissions'!$AH$42:$AH$73))</f>
        <v>6.1139857833428181E-4</v>
      </c>
      <c r="F312" s="1276"/>
    </row>
    <row r="313" spans="1:6" ht="12.6" customHeight="1">
      <c r="A313" s="4"/>
      <c r="B313" s="1274"/>
      <c r="C313" s="1272"/>
      <c r="D313" s="560">
        <f t="shared" si="9"/>
        <v>2044</v>
      </c>
      <c r="E313" s="1173">
        <f>IF(D313&gt;2040,E312,SUMIF('Rail Emissions'!$AG$42:$AG$73,D313,'Rail Emissions'!$AH$42:$AH$73))</f>
        <v>6.1139857833428181E-4</v>
      </c>
      <c r="F313" s="1276"/>
    </row>
    <row r="314" spans="1:6" ht="12.6" customHeight="1">
      <c r="A314" s="4"/>
      <c r="B314" s="1274"/>
      <c r="C314" s="1272"/>
      <c r="D314" s="560">
        <f t="shared" si="9"/>
        <v>2045</v>
      </c>
      <c r="E314" s="1173">
        <f>IF(D314&gt;2040,E313,SUMIF('Rail Emissions'!$AG$42:$AG$73,D314,'Rail Emissions'!$AH$42:$AH$73))</f>
        <v>6.1139857833428181E-4</v>
      </c>
      <c r="F314" s="1276"/>
    </row>
    <row r="315" spans="1:6" ht="12.6" customHeight="1">
      <c r="A315" s="4"/>
      <c r="B315" s="1274"/>
      <c r="C315" s="1272"/>
      <c r="D315" s="560">
        <f t="shared" si="9"/>
        <v>2046</v>
      </c>
      <c r="E315" s="1173">
        <f>IF(D315&gt;2040,E314,SUMIF('Rail Emissions'!$AG$42:$AG$73,D315,'Rail Emissions'!$AH$42:$AH$73))</f>
        <v>6.1139857833428181E-4</v>
      </c>
      <c r="F315" s="1276"/>
    </row>
    <row r="316" spans="1:6" ht="12.6" customHeight="1">
      <c r="A316" s="4"/>
      <c r="B316" s="1274"/>
      <c r="C316" s="1272"/>
      <c r="D316" s="560">
        <f t="shared" si="9"/>
        <v>2047</v>
      </c>
      <c r="E316" s="1173">
        <f>IF(D316&gt;2040,E315,SUMIF('Rail Emissions'!$AG$42:$AG$73,D316,'Rail Emissions'!$AH$42:$AH$73))</f>
        <v>6.1139857833428181E-4</v>
      </c>
      <c r="F316" s="1276"/>
    </row>
    <row r="317" spans="1:6" ht="12.6" customHeight="1">
      <c r="A317" s="4"/>
      <c r="B317" s="1274"/>
      <c r="C317" s="1272"/>
      <c r="D317" s="560">
        <f t="shared" si="9"/>
        <v>2048</v>
      </c>
      <c r="E317" s="1173">
        <f>IF(D317&gt;2040,E316,SUMIF('Rail Emissions'!$AG$42:$AG$73,D317,'Rail Emissions'!$AH$42:$AH$73))</f>
        <v>6.1139857833428181E-4</v>
      </c>
      <c r="F317" s="1276"/>
    </row>
    <row r="318" spans="1:6" ht="12.6" customHeight="1">
      <c r="A318" s="4"/>
      <c r="B318" s="1274"/>
      <c r="C318" s="1272"/>
      <c r="D318" s="560">
        <f t="shared" si="9"/>
        <v>2049</v>
      </c>
      <c r="E318" s="1173">
        <f>IF(D318&gt;2040,E317,SUMIF('Rail Emissions'!$AG$42:$AG$73,D318,'Rail Emissions'!$AH$42:$AH$73))</f>
        <v>6.1139857833428181E-4</v>
      </c>
      <c r="F318" s="1276"/>
    </row>
    <row r="319" spans="1:6" ht="12.6" customHeight="1">
      <c r="A319" s="4"/>
      <c r="B319" s="1274"/>
      <c r="C319" s="1272"/>
      <c r="D319" s="560">
        <f t="shared" si="9"/>
        <v>2050</v>
      </c>
      <c r="E319" s="1173">
        <f>IF(D319&gt;2040,E318,SUMIF('Rail Emissions'!$AG$42:$AG$73,D319,'Rail Emissions'!$AH$42:$AH$73))</f>
        <v>6.1139857833428181E-4</v>
      </c>
      <c r="F319" s="1276"/>
    </row>
    <row r="320" spans="1:6" ht="12.6" customHeight="1">
      <c r="A320" s="4"/>
      <c r="B320" s="1274"/>
      <c r="C320" s="1272"/>
      <c r="D320" s="560">
        <f t="shared" si="9"/>
        <v>2051</v>
      </c>
      <c r="E320" s="1173">
        <f>IF(D320&gt;2040,E319,SUMIF('Rail Emissions'!$AG$42:$AG$73,D320,'Rail Emissions'!$AH$42:$AH$73))</f>
        <v>6.1139857833428181E-4</v>
      </c>
      <c r="F320" s="1276"/>
    </row>
    <row r="321" spans="1:6" ht="12.6" customHeight="1">
      <c r="A321" s="4"/>
      <c r="B321" s="1274"/>
      <c r="C321" s="1272"/>
      <c r="D321" s="560">
        <f t="shared" si="9"/>
        <v>2052</v>
      </c>
      <c r="E321" s="1173">
        <f>IF(D321&gt;2040,E320,SUMIF('Rail Emissions'!$AG$42:$AG$73,D321,'Rail Emissions'!$AH$42:$AH$73))</f>
        <v>6.1139857833428181E-4</v>
      </c>
      <c r="F321" s="1276"/>
    </row>
    <row r="322" spans="1:6" ht="12.6" customHeight="1">
      <c r="A322" s="4"/>
      <c r="B322" s="1274"/>
      <c r="C322" s="1272"/>
      <c r="D322" s="560">
        <f t="shared" si="9"/>
        <v>2053</v>
      </c>
      <c r="E322" s="1173">
        <f>IF(D322&gt;2040,E321,SUMIF('Rail Emissions'!$AG$42:$AG$73,D322,'Rail Emissions'!$AH$42:$AH$73))</f>
        <v>6.1139857833428181E-4</v>
      </c>
      <c r="F322" s="1276"/>
    </row>
    <row r="323" spans="1:6" ht="12.6" customHeight="1">
      <c r="A323" s="4"/>
      <c r="B323" s="1274"/>
      <c r="C323" s="1272"/>
      <c r="D323" s="560">
        <f t="shared" si="9"/>
        <v>2054</v>
      </c>
      <c r="E323" s="1173">
        <f>IF(D323&gt;2040,E322,SUMIF('Rail Emissions'!$AG$42:$AG$73,D323,'Rail Emissions'!$AH$42:$AH$73))</f>
        <v>6.1139857833428181E-4</v>
      </c>
      <c r="F323" s="1276"/>
    </row>
    <row r="324" spans="1:6" ht="12.6" customHeight="1">
      <c r="A324" s="4"/>
      <c r="B324" s="1274"/>
      <c r="C324" s="1272"/>
      <c r="D324" s="560">
        <f t="shared" si="9"/>
        <v>2055</v>
      </c>
      <c r="E324" s="1173">
        <f>IF(D324&gt;2040,E323,SUMIF('Rail Emissions'!$AG$42:$AG$73,D324,'Rail Emissions'!$AH$42:$AH$73))</f>
        <v>6.1139857833428181E-4</v>
      </c>
      <c r="F324" s="1276"/>
    </row>
    <row r="325" spans="1:6" ht="12.6" customHeight="1">
      <c r="A325" s="4"/>
      <c r="B325" s="1274"/>
      <c r="C325" s="1272"/>
      <c r="D325" s="560">
        <f t="shared" si="9"/>
        <v>2056</v>
      </c>
      <c r="E325" s="1173">
        <f>IF(D325&gt;2040,E324,SUMIF('Rail Emissions'!$AG$42:$AG$73,D325,'Rail Emissions'!$AH$42:$AH$73))</f>
        <v>6.1139857833428181E-4</v>
      </c>
      <c r="F325" s="1276"/>
    </row>
    <row r="326" spans="1:6" ht="12.6" customHeight="1">
      <c r="A326" s="4"/>
      <c r="B326" s="1274"/>
      <c r="C326" s="1272"/>
      <c r="D326" s="560">
        <f t="shared" si="9"/>
        <v>2057</v>
      </c>
      <c r="E326" s="1173">
        <f>IF(D326&gt;2040,E325,SUMIF('Rail Emissions'!$AG$42:$AG$73,D326,'Rail Emissions'!$AH$42:$AH$73))</f>
        <v>6.1139857833428181E-4</v>
      </c>
      <c r="F326" s="1276"/>
    </row>
    <row r="327" spans="1:6" ht="12.6" customHeight="1">
      <c r="A327" s="4"/>
      <c r="B327" s="1268" t="s">
        <v>430</v>
      </c>
      <c r="C327" s="1270" t="s">
        <v>419</v>
      </c>
      <c r="D327" s="560">
        <f>Base.Year</f>
        <v>2022</v>
      </c>
      <c r="E327" s="1173">
        <f>SUMIF('Rail Emissions'!$AN$42:$AN$73,D327,'Rail Emissions'!$AO$42:$AO$73)</f>
        <v>4.6999999999999993E-3</v>
      </c>
      <c r="F327" s="1269" t="s">
        <v>427</v>
      </c>
    </row>
    <row r="328" spans="1:6" ht="12.6" customHeight="1">
      <c r="A328" s="4"/>
      <c r="B328" s="1268"/>
      <c r="C328" s="1270"/>
      <c r="D328" s="560">
        <f>D327+1</f>
        <v>2023</v>
      </c>
      <c r="E328" s="1173">
        <f>IF(D328&gt;2040,E327,SUMIF('Rail Emissions'!$AN$42:$AN$73,D328,'Rail Emissions'!$AO$42:$AO$73))</f>
        <v>4.6999999999999993E-3</v>
      </c>
      <c r="F328" s="1269"/>
    </row>
    <row r="329" spans="1:6" ht="12.6" customHeight="1">
      <c r="A329" s="4"/>
      <c r="B329" s="1268"/>
      <c r="C329" s="1270"/>
      <c r="D329" s="560">
        <f t="shared" ref="D329:D362" si="10">D328+1</f>
        <v>2024</v>
      </c>
      <c r="E329" s="1173">
        <f>IF(D329&gt;2040,E328,SUMIF('Rail Emissions'!$AN$42:$AN$73,D329,'Rail Emissions'!$AO$42:$AO$73))</f>
        <v>4.6999999999999993E-3</v>
      </c>
      <c r="F329" s="1269"/>
    </row>
    <row r="330" spans="1:6" ht="12.6" customHeight="1">
      <c r="A330" s="4"/>
      <c r="B330" s="1268"/>
      <c r="C330" s="1270"/>
      <c r="D330" s="560">
        <f t="shared" si="10"/>
        <v>2025</v>
      </c>
      <c r="E330" s="1173">
        <f>IF(D330&gt;2040,E329,SUMIF('Rail Emissions'!$AN$42:$AN$73,D330,'Rail Emissions'!$AO$42:$AO$73))</f>
        <v>4.6999999999999993E-3</v>
      </c>
      <c r="F330" s="1269"/>
    </row>
    <row r="331" spans="1:6" ht="12.6" customHeight="1">
      <c r="A331" s="4"/>
      <c r="B331" s="1268"/>
      <c r="C331" s="1270"/>
      <c r="D331" s="560">
        <f t="shared" si="10"/>
        <v>2026</v>
      </c>
      <c r="E331" s="1173">
        <f>IF(D331&gt;2040,E330,SUMIF('Rail Emissions'!$AN$42:$AN$73,D331,'Rail Emissions'!$AO$42:$AO$73))</f>
        <v>4.6999999999999993E-3</v>
      </c>
      <c r="F331" s="1269"/>
    </row>
    <row r="332" spans="1:6" ht="12.6" customHeight="1">
      <c r="A332" s="4"/>
      <c r="B332" s="1268"/>
      <c r="C332" s="1270"/>
      <c r="D332" s="560">
        <f t="shared" si="10"/>
        <v>2027</v>
      </c>
      <c r="E332" s="1173">
        <f>IF(D332&gt;2040,E331,SUMIF('Rail Emissions'!$AN$42:$AN$73,D332,'Rail Emissions'!$AO$42:$AO$73))</f>
        <v>4.6999999999999993E-3</v>
      </c>
      <c r="F332" s="1269"/>
    </row>
    <row r="333" spans="1:6" ht="12.6" customHeight="1">
      <c r="A333" s="4"/>
      <c r="B333" s="1268"/>
      <c r="C333" s="1270"/>
      <c r="D333" s="560">
        <f t="shared" si="10"/>
        <v>2028</v>
      </c>
      <c r="E333" s="1173">
        <f>IF(D333&gt;2040,E332,SUMIF('Rail Emissions'!$AN$42:$AN$73,D333,'Rail Emissions'!$AO$42:$AO$73))</f>
        <v>4.6999999999999993E-3</v>
      </c>
      <c r="F333" s="1269"/>
    </row>
    <row r="334" spans="1:6" ht="12.6" customHeight="1">
      <c r="A334" s="4"/>
      <c r="B334" s="1268"/>
      <c r="C334" s="1270"/>
      <c r="D334" s="560">
        <f t="shared" si="10"/>
        <v>2029</v>
      </c>
      <c r="E334" s="1173">
        <f>IF(D334&gt;2040,E333,SUMIF('Rail Emissions'!$AN$42:$AN$73,D334,'Rail Emissions'!$AO$42:$AO$73))</f>
        <v>4.6999999999999993E-3</v>
      </c>
      <c r="F334" s="1269"/>
    </row>
    <row r="335" spans="1:6" ht="12.6" customHeight="1">
      <c r="A335" s="4"/>
      <c r="B335" s="1268"/>
      <c r="C335" s="1270"/>
      <c r="D335" s="560">
        <f t="shared" si="10"/>
        <v>2030</v>
      </c>
      <c r="E335" s="1173">
        <f>IF(D335&gt;2040,E334,SUMIF('Rail Emissions'!$AN$42:$AN$73,D335,'Rail Emissions'!$AO$42:$AO$73))</f>
        <v>4.6999999999999993E-3</v>
      </c>
      <c r="F335" s="1269"/>
    </row>
    <row r="336" spans="1:6" ht="12.6" customHeight="1">
      <c r="A336" s="4"/>
      <c r="B336" s="1268"/>
      <c r="C336" s="1270"/>
      <c r="D336" s="560">
        <f t="shared" si="10"/>
        <v>2031</v>
      </c>
      <c r="E336" s="1173">
        <f>IF(D336&gt;2040,E335,SUMIF('Rail Emissions'!$AN$42:$AN$73,D336,'Rail Emissions'!$AO$42:$AO$73))</f>
        <v>4.6999999999999993E-3</v>
      </c>
      <c r="F336" s="1269"/>
    </row>
    <row r="337" spans="1:6" ht="12.6" customHeight="1">
      <c r="A337" s="4"/>
      <c r="B337" s="1268"/>
      <c r="C337" s="1270"/>
      <c r="D337" s="560">
        <f t="shared" si="10"/>
        <v>2032</v>
      </c>
      <c r="E337" s="1173">
        <f>IF(D337&gt;2040,E336,SUMIF('Rail Emissions'!$AN$42:$AN$73,D337,'Rail Emissions'!$AO$42:$AO$73))</f>
        <v>4.6999999999999993E-3</v>
      </c>
      <c r="F337" s="1269"/>
    </row>
    <row r="338" spans="1:6" ht="12.6" customHeight="1">
      <c r="A338" s="4"/>
      <c r="B338" s="1268"/>
      <c r="C338" s="1270"/>
      <c r="D338" s="560">
        <f t="shared" si="10"/>
        <v>2033</v>
      </c>
      <c r="E338" s="1173">
        <f>IF(D338&gt;2040,E337,SUMIF('Rail Emissions'!$AN$42:$AN$73,D338,'Rail Emissions'!$AO$42:$AO$73))</f>
        <v>4.6999999999999993E-3</v>
      </c>
      <c r="F338" s="1269"/>
    </row>
    <row r="339" spans="1:6" ht="12.6" customHeight="1">
      <c r="A339" s="4"/>
      <c r="B339" s="1268"/>
      <c r="C339" s="1270"/>
      <c r="D339" s="560">
        <f t="shared" si="10"/>
        <v>2034</v>
      </c>
      <c r="E339" s="1173">
        <f>IF(D339&gt;2040,E338,SUMIF('Rail Emissions'!$AN$42:$AN$73,D339,'Rail Emissions'!$AO$42:$AO$73))</f>
        <v>4.6999999999999993E-3</v>
      </c>
      <c r="F339" s="1269"/>
    </row>
    <row r="340" spans="1:6" ht="12.6" customHeight="1">
      <c r="A340" s="4"/>
      <c r="B340" s="1268"/>
      <c r="C340" s="1270"/>
      <c r="D340" s="560">
        <f t="shared" si="10"/>
        <v>2035</v>
      </c>
      <c r="E340" s="1173">
        <f>IF(D340&gt;2040,E339,SUMIF('Rail Emissions'!$AN$42:$AN$73,D340,'Rail Emissions'!$AO$42:$AO$73))</f>
        <v>4.6999999999999993E-3</v>
      </c>
      <c r="F340" s="1269"/>
    </row>
    <row r="341" spans="1:6" ht="12.6" customHeight="1">
      <c r="A341" s="4"/>
      <c r="B341" s="1268"/>
      <c r="C341" s="1270"/>
      <c r="D341" s="560">
        <f t="shared" si="10"/>
        <v>2036</v>
      </c>
      <c r="E341" s="1173">
        <f>IF(D341&gt;2040,E340,SUMIF('Rail Emissions'!$AN$42:$AN$73,D341,'Rail Emissions'!$AO$42:$AO$73))</f>
        <v>4.6999999999999993E-3</v>
      </c>
      <c r="F341" s="1269"/>
    </row>
    <row r="342" spans="1:6" ht="12.6" customHeight="1">
      <c r="B342" s="1268"/>
      <c r="C342" s="1270"/>
      <c r="D342" s="560">
        <f t="shared" si="10"/>
        <v>2037</v>
      </c>
      <c r="E342" s="1173">
        <f>IF(D342&gt;2040,E341,SUMIF('Rail Emissions'!$AN$42:$AN$73,D342,'Rail Emissions'!$AO$42:$AO$73))</f>
        <v>4.6999999999999993E-3</v>
      </c>
      <c r="F342" s="1269"/>
    </row>
    <row r="343" spans="1:6" ht="12.6" customHeight="1">
      <c r="B343" s="1268"/>
      <c r="C343" s="1270"/>
      <c r="D343" s="560">
        <f t="shared" si="10"/>
        <v>2038</v>
      </c>
      <c r="E343" s="1173">
        <f>IF(D343&gt;2040,E342,SUMIF('Rail Emissions'!$AN$42:$AN$73,D343,'Rail Emissions'!$AO$42:$AO$73))</f>
        <v>4.6999999999999993E-3</v>
      </c>
      <c r="F343" s="1269"/>
    </row>
    <row r="344" spans="1:6" ht="12.6" customHeight="1">
      <c r="B344" s="1268"/>
      <c r="C344" s="1270"/>
      <c r="D344" s="560">
        <f t="shared" si="10"/>
        <v>2039</v>
      </c>
      <c r="E344" s="1173">
        <f>IF(D344&gt;2040,E343,SUMIF('Rail Emissions'!$AN$42:$AN$73,D344,'Rail Emissions'!$AO$42:$AO$73))</f>
        <v>4.6999999999999993E-3</v>
      </c>
      <c r="F344" s="1269"/>
    </row>
    <row r="345" spans="1:6" ht="12.6" customHeight="1">
      <c r="B345" s="1268"/>
      <c r="C345" s="1270"/>
      <c r="D345" s="560">
        <f t="shared" si="10"/>
        <v>2040</v>
      </c>
      <c r="E345" s="1173">
        <f>IF(D345&gt;2040,E344,SUMIF('Rail Emissions'!$AN$42:$AN$73,D345,'Rail Emissions'!$AO$42:$AO$73))</f>
        <v>4.6999999999999993E-3</v>
      </c>
      <c r="F345" s="1269"/>
    </row>
    <row r="346" spans="1:6" ht="12.6" customHeight="1">
      <c r="B346" s="1268"/>
      <c r="C346" s="1270"/>
      <c r="D346" s="560">
        <f t="shared" si="10"/>
        <v>2041</v>
      </c>
      <c r="E346" s="1173">
        <f>IF(D346&gt;2040,E345,SUMIF('Rail Emissions'!$AN$42:$AN$73,D346,'Rail Emissions'!$AO$42:$AO$73))</f>
        <v>4.6999999999999993E-3</v>
      </c>
      <c r="F346" s="1269"/>
    </row>
    <row r="347" spans="1:6" ht="12.6" customHeight="1">
      <c r="B347" s="1268"/>
      <c r="C347" s="1270"/>
      <c r="D347" s="560">
        <f t="shared" si="10"/>
        <v>2042</v>
      </c>
      <c r="E347" s="1173">
        <f>IF(D347&gt;2040,E346,SUMIF('Rail Emissions'!$AN$42:$AN$73,D347,'Rail Emissions'!$AO$42:$AO$73))</f>
        <v>4.6999999999999993E-3</v>
      </c>
      <c r="F347" s="1269"/>
    </row>
    <row r="348" spans="1:6" ht="12.6" customHeight="1">
      <c r="B348" s="1268"/>
      <c r="C348" s="1270"/>
      <c r="D348" s="560">
        <f t="shared" si="10"/>
        <v>2043</v>
      </c>
      <c r="E348" s="1173">
        <f>IF(D348&gt;2040,E347,SUMIF('Rail Emissions'!$AN$42:$AN$73,D348,'Rail Emissions'!$AO$42:$AO$73))</f>
        <v>4.6999999999999993E-3</v>
      </c>
      <c r="F348" s="1269"/>
    </row>
    <row r="349" spans="1:6" ht="12.6" customHeight="1">
      <c r="B349" s="1268"/>
      <c r="C349" s="1270"/>
      <c r="D349" s="560">
        <f t="shared" si="10"/>
        <v>2044</v>
      </c>
      <c r="E349" s="1173">
        <f>IF(D349&gt;2040,E348,SUMIF('Rail Emissions'!$AN$42:$AN$73,D349,'Rail Emissions'!$AO$42:$AO$73))</f>
        <v>4.6999999999999993E-3</v>
      </c>
      <c r="F349" s="1269"/>
    </row>
    <row r="350" spans="1:6" ht="12.6" customHeight="1">
      <c r="A350" s="4"/>
      <c r="B350" s="1268"/>
      <c r="C350" s="1270"/>
      <c r="D350" s="560">
        <f t="shared" si="10"/>
        <v>2045</v>
      </c>
      <c r="E350" s="1173">
        <f>IF(D350&gt;2040,E349,SUMIF('Rail Emissions'!$AN$42:$AN$73,D350,'Rail Emissions'!$AO$42:$AO$73))</f>
        <v>4.6999999999999993E-3</v>
      </c>
      <c r="F350" s="1269"/>
    </row>
    <row r="351" spans="1:6" ht="12.6" customHeight="1">
      <c r="A351" s="4"/>
      <c r="B351" s="1268"/>
      <c r="C351" s="1270"/>
      <c r="D351" s="560">
        <f t="shared" si="10"/>
        <v>2046</v>
      </c>
      <c r="E351" s="1173">
        <f>IF(D351&gt;2040,E350,SUMIF('Rail Emissions'!$AN$42:$AN$73,D351,'Rail Emissions'!$AO$42:$AO$73))</f>
        <v>4.6999999999999993E-3</v>
      </c>
      <c r="F351" s="1269"/>
    </row>
    <row r="352" spans="1:6" ht="12.6" customHeight="1">
      <c r="A352" s="4"/>
      <c r="B352" s="1268"/>
      <c r="C352" s="1270"/>
      <c r="D352" s="560">
        <f t="shared" si="10"/>
        <v>2047</v>
      </c>
      <c r="E352" s="1173">
        <f>IF(D352&gt;2040,E351,SUMIF('Rail Emissions'!$AN$42:$AN$73,D352,'Rail Emissions'!$AO$42:$AO$73))</f>
        <v>4.6999999999999993E-3</v>
      </c>
      <c r="F352" s="1269"/>
    </row>
    <row r="353" spans="1:6" ht="12.6" customHeight="1">
      <c r="A353" s="4"/>
      <c r="B353" s="1268"/>
      <c r="C353" s="1270"/>
      <c r="D353" s="560">
        <f t="shared" si="10"/>
        <v>2048</v>
      </c>
      <c r="E353" s="1173">
        <f>IF(D353&gt;2040,E352,SUMIF('Rail Emissions'!$AN$42:$AN$73,D353,'Rail Emissions'!$AO$42:$AO$73))</f>
        <v>4.6999999999999993E-3</v>
      </c>
      <c r="F353" s="1269"/>
    </row>
    <row r="354" spans="1:6" ht="12.6" customHeight="1">
      <c r="A354" s="4"/>
      <c r="B354" s="1268"/>
      <c r="C354" s="1270"/>
      <c r="D354" s="560">
        <f t="shared" si="10"/>
        <v>2049</v>
      </c>
      <c r="E354" s="1173">
        <f>IF(D354&gt;2040,E353,SUMIF('Rail Emissions'!$AN$42:$AN$73,D354,'Rail Emissions'!$AO$42:$AO$73))</f>
        <v>4.6999999999999993E-3</v>
      </c>
      <c r="F354" s="1269"/>
    </row>
    <row r="355" spans="1:6" ht="12.6" customHeight="1">
      <c r="A355" s="4"/>
      <c r="B355" s="1268"/>
      <c r="C355" s="1270"/>
      <c r="D355" s="560">
        <f t="shared" si="10"/>
        <v>2050</v>
      </c>
      <c r="E355" s="1173">
        <f>IF(D355&gt;2040,E354,SUMIF('Rail Emissions'!$AN$42:$AN$73,D355,'Rail Emissions'!$AO$42:$AO$73))</f>
        <v>4.6999999999999993E-3</v>
      </c>
      <c r="F355" s="1269"/>
    </row>
    <row r="356" spans="1:6" ht="12.6" customHeight="1">
      <c r="A356" s="4"/>
      <c r="B356" s="1268"/>
      <c r="C356" s="1270"/>
      <c r="D356" s="560">
        <f t="shared" si="10"/>
        <v>2051</v>
      </c>
      <c r="E356" s="1173">
        <f>IF(D356&gt;2040,E355,SUMIF('Rail Emissions'!$AN$42:$AN$73,D356,'Rail Emissions'!$AO$42:$AO$73))</f>
        <v>4.6999999999999993E-3</v>
      </c>
      <c r="F356" s="1269"/>
    </row>
    <row r="357" spans="1:6" ht="12.6" customHeight="1">
      <c r="A357" s="4"/>
      <c r="B357" s="1268"/>
      <c r="C357" s="1270"/>
      <c r="D357" s="560">
        <f t="shared" si="10"/>
        <v>2052</v>
      </c>
      <c r="E357" s="1173">
        <f>IF(D357&gt;2040,E356,SUMIF('Rail Emissions'!$AN$42:$AN$73,D357,'Rail Emissions'!$AO$42:$AO$73))</f>
        <v>4.6999999999999993E-3</v>
      </c>
      <c r="F357" s="1269"/>
    </row>
    <row r="358" spans="1:6" ht="12.6" customHeight="1">
      <c r="A358" s="4"/>
      <c r="B358" s="1268"/>
      <c r="C358" s="1270"/>
      <c r="D358" s="560">
        <f t="shared" si="10"/>
        <v>2053</v>
      </c>
      <c r="E358" s="1173">
        <f>IF(D358&gt;2040,E357,SUMIF('Rail Emissions'!$AN$42:$AN$73,D358,'Rail Emissions'!$AO$42:$AO$73))</f>
        <v>4.6999999999999993E-3</v>
      </c>
      <c r="F358" s="1269"/>
    </row>
    <row r="359" spans="1:6" ht="12.6" customHeight="1">
      <c r="A359" s="4"/>
      <c r="B359" s="1268"/>
      <c r="C359" s="1270"/>
      <c r="D359" s="560">
        <f t="shared" si="10"/>
        <v>2054</v>
      </c>
      <c r="E359" s="1173">
        <f>IF(D359&gt;2040,E358,SUMIF('Rail Emissions'!$AN$42:$AN$73,D359,'Rail Emissions'!$AO$42:$AO$73))</f>
        <v>4.6999999999999993E-3</v>
      </c>
      <c r="F359" s="1269"/>
    </row>
    <row r="360" spans="1:6" ht="12.6" customHeight="1">
      <c r="A360" s="4"/>
      <c r="B360" s="1268"/>
      <c r="C360" s="1270"/>
      <c r="D360" s="560">
        <f t="shared" si="10"/>
        <v>2055</v>
      </c>
      <c r="E360" s="1173">
        <f>IF(D360&gt;2040,E359,SUMIF('Rail Emissions'!$AN$42:$AN$73,D360,'Rail Emissions'!$AO$42:$AO$73))</f>
        <v>4.6999999999999993E-3</v>
      </c>
      <c r="F360" s="1269"/>
    </row>
    <row r="361" spans="1:6" ht="12.6" customHeight="1">
      <c r="A361" s="4"/>
      <c r="B361" s="1268"/>
      <c r="C361" s="1270"/>
      <c r="D361" s="560">
        <f t="shared" si="10"/>
        <v>2056</v>
      </c>
      <c r="E361" s="1173">
        <f>IF(D361&gt;2040,E360,SUMIF('Rail Emissions'!$AN$42:$AN$73,D361,'Rail Emissions'!$AO$42:$AO$73))</f>
        <v>4.6999999999999993E-3</v>
      </c>
      <c r="F361" s="1269"/>
    </row>
    <row r="362" spans="1:6" ht="12.6" customHeight="1">
      <c r="B362" s="1268"/>
      <c r="C362" s="1270"/>
      <c r="D362" s="560">
        <f t="shared" si="10"/>
        <v>2057</v>
      </c>
      <c r="E362" s="1173">
        <f>IF(D362&gt;2040,E361,SUMIF('Rail Emissions'!$AN$42:$AN$73,D362,'Rail Emissions'!$AO$42:$AO$73))</f>
        <v>4.6999999999999993E-3</v>
      </c>
      <c r="F362" s="1269"/>
    </row>
    <row r="363" spans="1:6" ht="12.6" customHeight="1">
      <c r="B363" s="1268" t="s">
        <v>431</v>
      </c>
      <c r="C363" s="1270" t="s">
        <v>419</v>
      </c>
      <c r="D363" s="560">
        <f>Base.Year</f>
        <v>2022</v>
      </c>
      <c r="E363" s="1175">
        <f>SUMIF('Rail Emissions'!$W$42:$W$73,D363,'Rail Emissions'!$X$42:$X$73)</f>
        <v>25.5425</v>
      </c>
      <c r="F363" s="1269" t="s">
        <v>427</v>
      </c>
    </row>
    <row r="364" spans="1:6" ht="12.6" customHeight="1">
      <c r="B364" s="1268"/>
      <c r="C364" s="1270"/>
      <c r="D364" s="560">
        <f>D363+1</f>
        <v>2023</v>
      </c>
      <c r="E364" s="1175">
        <f>IF(D364&gt;2040,E363,SUMIF('Rail Emissions'!$W$42:$W$73,D364,'Rail Emissions'!$X$42:$X$73))</f>
        <v>25.5425</v>
      </c>
      <c r="F364" s="1269"/>
    </row>
    <row r="365" spans="1:6" ht="12.6" customHeight="1">
      <c r="B365" s="1268"/>
      <c r="C365" s="1270"/>
      <c r="D365" s="560">
        <f t="shared" ref="D365:D398" si="11">D364+1</f>
        <v>2024</v>
      </c>
      <c r="E365" s="1175">
        <f>IF(D365&gt;2040,E364,SUMIF('Rail Emissions'!$W$42:$W$73,D365,'Rail Emissions'!$X$42:$X$73))</f>
        <v>25.5425</v>
      </c>
      <c r="F365" s="1269"/>
    </row>
    <row r="366" spans="1:6" ht="12.6" customHeight="1">
      <c r="B366" s="1268"/>
      <c r="C366" s="1270"/>
      <c r="D366" s="560">
        <f t="shared" si="11"/>
        <v>2025</v>
      </c>
      <c r="E366" s="1175">
        <f>IF(D366&gt;2040,E365,SUMIF('Rail Emissions'!$W$42:$W$73,D366,'Rail Emissions'!$X$42:$X$73))</f>
        <v>25.5425</v>
      </c>
      <c r="F366" s="1269"/>
    </row>
    <row r="367" spans="1:6" ht="12.6" customHeight="1">
      <c r="B367" s="1268"/>
      <c r="C367" s="1270"/>
      <c r="D367" s="560">
        <f t="shared" si="11"/>
        <v>2026</v>
      </c>
      <c r="E367" s="1175">
        <f>IF(D367&gt;2040,E366,SUMIF('Rail Emissions'!$W$42:$W$73,D367,'Rail Emissions'!$X$42:$X$73))</f>
        <v>25.5425</v>
      </c>
      <c r="F367" s="1269"/>
    </row>
    <row r="368" spans="1:6" ht="12.6" customHeight="1">
      <c r="B368" s="1268"/>
      <c r="C368" s="1270"/>
      <c r="D368" s="560">
        <f t="shared" si="11"/>
        <v>2027</v>
      </c>
      <c r="E368" s="1175">
        <f>IF(D368&gt;2040,E367,SUMIF('Rail Emissions'!$W$42:$W$73,D368,'Rail Emissions'!$X$42:$X$73))</f>
        <v>25.5425</v>
      </c>
      <c r="F368" s="1269"/>
    </row>
    <row r="369" spans="1:6" ht="12.6" customHeight="1">
      <c r="B369" s="1268"/>
      <c r="C369" s="1270"/>
      <c r="D369" s="560">
        <f t="shared" si="11"/>
        <v>2028</v>
      </c>
      <c r="E369" s="1175">
        <f>IF(D369&gt;2040,E368,SUMIF('Rail Emissions'!$W$42:$W$73,D369,'Rail Emissions'!$X$42:$X$73))</f>
        <v>25.5425</v>
      </c>
      <c r="F369" s="1269"/>
    </row>
    <row r="370" spans="1:6" ht="12.6" customHeight="1">
      <c r="B370" s="1268"/>
      <c r="C370" s="1270"/>
      <c r="D370" s="560">
        <f t="shared" si="11"/>
        <v>2029</v>
      </c>
      <c r="E370" s="1175">
        <f>IF(D370&gt;2040,E369,SUMIF('Rail Emissions'!$W$42:$W$73,D370,'Rail Emissions'!$X$42:$X$73))</f>
        <v>25.5425</v>
      </c>
      <c r="F370" s="1269"/>
    </row>
    <row r="371" spans="1:6" ht="12.6" customHeight="1">
      <c r="B371" s="1268"/>
      <c r="C371" s="1270"/>
      <c r="D371" s="560">
        <f t="shared" si="11"/>
        <v>2030</v>
      </c>
      <c r="E371" s="1175">
        <f>IF(D371&gt;2040,E370,SUMIF('Rail Emissions'!$W$42:$W$73,D371,'Rail Emissions'!$X$42:$X$73))</f>
        <v>25.5425</v>
      </c>
      <c r="F371" s="1269"/>
    </row>
    <row r="372" spans="1:6" ht="12.6" customHeight="1">
      <c r="B372" s="1268"/>
      <c r="C372" s="1270"/>
      <c r="D372" s="560">
        <f t="shared" si="11"/>
        <v>2031</v>
      </c>
      <c r="E372" s="1175">
        <f>IF(D372&gt;2040,E371,SUMIF('Rail Emissions'!$W$42:$W$73,D372,'Rail Emissions'!$X$42:$X$73))</f>
        <v>25.5425</v>
      </c>
      <c r="F372" s="1269"/>
    </row>
    <row r="373" spans="1:6" ht="12.6" customHeight="1">
      <c r="B373" s="1268"/>
      <c r="C373" s="1270"/>
      <c r="D373" s="560">
        <f t="shared" si="11"/>
        <v>2032</v>
      </c>
      <c r="E373" s="1175">
        <f>IF(D373&gt;2040,E372,SUMIF('Rail Emissions'!$W$42:$W$73,D373,'Rail Emissions'!$X$42:$X$73))</f>
        <v>25.5425</v>
      </c>
      <c r="F373" s="1269"/>
    </row>
    <row r="374" spans="1:6" ht="12.6" customHeight="1">
      <c r="B374" s="1268"/>
      <c r="C374" s="1270"/>
      <c r="D374" s="560">
        <f t="shared" si="11"/>
        <v>2033</v>
      </c>
      <c r="E374" s="1175">
        <f>IF(D374&gt;2040,E373,SUMIF('Rail Emissions'!$W$42:$W$73,D374,'Rail Emissions'!$X$42:$X$73))</f>
        <v>25.5425</v>
      </c>
      <c r="F374" s="1269"/>
    </row>
    <row r="375" spans="1:6" ht="12.6" customHeight="1">
      <c r="B375" s="1268"/>
      <c r="C375" s="1270"/>
      <c r="D375" s="560">
        <f t="shared" si="11"/>
        <v>2034</v>
      </c>
      <c r="E375" s="1175">
        <f>IF(D375&gt;2040,E374,SUMIF('Rail Emissions'!$W$42:$W$73,D375,'Rail Emissions'!$X$42:$X$73))</f>
        <v>25.5425</v>
      </c>
      <c r="F375" s="1269"/>
    </row>
    <row r="376" spans="1:6" ht="12.6" customHeight="1">
      <c r="B376" s="1268"/>
      <c r="C376" s="1270"/>
      <c r="D376" s="560">
        <f t="shared" si="11"/>
        <v>2035</v>
      </c>
      <c r="E376" s="1175">
        <f>IF(D376&gt;2040,E375,SUMIF('Rail Emissions'!$W$42:$W$73,D376,'Rail Emissions'!$X$42:$X$73))</f>
        <v>25.5425</v>
      </c>
      <c r="F376" s="1269"/>
    </row>
    <row r="377" spans="1:6" ht="12.6" customHeight="1">
      <c r="B377" s="1268"/>
      <c r="C377" s="1270"/>
      <c r="D377" s="560">
        <f t="shared" si="11"/>
        <v>2036</v>
      </c>
      <c r="E377" s="1175">
        <f>IF(D377&gt;2040,E376,SUMIF('Rail Emissions'!$W$42:$W$73,D377,'Rail Emissions'!$X$42:$X$73))</f>
        <v>25.5425</v>
      </c>
      <c r="F377" s="1269"/>
    </row>
    <row r="378" spans="1:6" ht="12.6" customHeight="1">
      <c r="A378" s="4"/>
      <c r="B378" s="1268"/>
      <c r="C378" s="1270"/>
      <c r="D378" s="560">
        <f t="shared" si="11"/>
        <v>2037</v>
      </c>
      <c r="E378" s="1175">
        <f>IF(D378&gt;2040,E377,SUMIF('Rail Emissions'!$W$42:$W$73,D378,'Rail Emissions'!$X$42:$X$73))</f>
        <v>25.5425</v>
      </c>
      <c r="F378" s="1269"/>
    </row>
    <row r="379" spans="1:6" ht="12.6" customHeight="1">
      <c r="A379" s="4"/>
      <c r="B379" s="1268"/>
      <c r="C379" s="1270"/>
      <c r="D379" s="560">
        <f t="shared" si="11"/>
        <v>2038</v>
      </c>
      <c r="E379" s="1175">
        <f>IF(D379&gt;2040,E378,SUMIF('Rail Emissions'!$W$42:$W$73,D379,'Rail Emissions'!$X$42:$X$73))</f>
        <v>25.5425</v>
      </c>
      <c r="F379" s="1269"/>
    </row>
    <row r="380" spans="1:6" ht="12.6" customHeight="1">
      <c r="A380" s="4"/>
      <c r="B380" s="1268"/>
      <c r="C380" s="1270"/>
      <c r="D380" s="560">
        <f t="shared" si="11"/>
        <v>2039</v>
      </c>
      <c r="E380" s="1175">
        <f>IF(D380&gt;2040,E379,SUMIF('Rail Emissions'!$W$42:$W$73,D380,'Rail Emissions'!$X$42:$X$73))</f>
        <v>25.5425</v>
      </c>
      <c r="F380" s="1269"/>
    </row>
    <row r="381" spans="1:6" ht="12.6" customHeight="1">
      <c r="A381" s="4"/>
      <c r="B381" s="1268"/>
      <c r="C381" s="1270"/>
      <c r="D381" s="560">
        <f t="shared" si="11"/>
        <v>2040</v>
      </c>
      <c r="E381" s="1175">
        <f>IF(D381&gt;2040,E380,SUMIF('Rail Emissions'!$W$42:$W$73,D381,'Rail Emissions'!$X$42:$X$73))</f>
        <v>25.5425</v>
      </c>
      <c r="F381" s="1269"/>
    </row>
    <row r="382" spans="1:6" ht="12.6" customHeight="1">
      <c r="A382" s="4"/>
      <c r="B382" s="1268"/>
      <c r="C382" s="1270"/>
      <c r="D382" s="560">
        <f t="shared" si="11"/>
        <v>2041</v>
      </c>
      <c r="E382" s="1175">
        <f>IF(D382&gt;2040,E381,SUMIF('Rail Emissions'!$W$42:$W$73,D382,'Rail Emissions'!$X$42:$X$73))</f>
        <v>25.5425</v>
      </c>
      <c r="F382" s="1269"/>
    </row>
    <row r="383" spans="1:6" ht="12.6" customHeight="1">
      <c r="A383" s="4"/>
      <c r="B383" s="1268"/>
      <c r="C383" s="1270"/>
      <c r="D383" s="560">
        <f t="shared" si="11"/>
        <v>2042</v>
      </c>
      <c r="E383" s="1175">
        <f>IF(D383&gt;2040,E382,SUMIF('Rail Emissions'!$W$42:$W$73,D383,'Rail Emissions'!$X$42:$X$73))</f>
        <v>25.5425</v>
      </c>
      <c r="F383" s="1269"/>
    </row>
    <row r="384" spans="1:6" ht="12.6" customHeight="1">
      <c r="A384" s="4"/>
      <c r="B384" s="1268"/>
      <c r="C384" s="1270"/>
      <c r="D384" s="560">
        <f t="shared" si="11"/>
        <v>2043</v>
      </c>
      <c r="E384" s="1175">
        <f>IF(D384&gt;2040,E383,SUMIF('Rail Emissions'!$W$42:$W$73,D384,'Rail Emissions'!$X$42:$X$73))</f>
        <v>25.5425</v>
      </c>
      <c r="F384" s="1269"/>
    </row>
    <row r="385" spans="1:6" ht="12.6" customHeight="1">
      <c r="A385" s="4"/>
      <c r="B385" s="1268"/>
      <c r="C385" s="1270"/>
      <c r="D385" s="560">
        <f t="shared" si="11"/>
        <v>2044</v>
      </c>
      <c r="E385" s="1175">
        <f>IF(D385&gt;2040,E384,SUMIF('Rail Emissions'!$W$42:$W$73,D385,'Rail Emissions'!$X$42:$X$73))</f>
        <v>25.5425</v>
      </c>
      <c r="F385" s="1269"/>
    </row>
    <row r="386" spans="1:6" ht="12.6" customHeight="1">
      <c r="A386" s="4"/>
      <c r="B386" s="1268"/>
      <c r="C386" s="1270"/>
      <c r="D386" s="560">
        <f t="shared" si="11"/>
        <v>2045</v>
      </c>
      <c r="E386" s="1175">
        <f>IF(D386&gt;2040,E385,SUMIF('Rail Emissions'!$W$42:$W$73,D386,'Rail Emissions'!$X$42:$X$73))</f>
        <v>25.5425</v>
      </c>
      <c r="F386" s="1269"/>
    </row>
    <row r="387" spans="1:6" ht="12.6" customHeight="1">
      <c r="A387" s="4"/>
      <c r="B387" s="1268"/>
      <c r="C387" s="1270"/>
      <c r="D387" s="560">
        <f t="shared" si="11"/>
        <v>2046</v>
      </c>
      <c r="E387" s="1175">
        <f>IF(D387&gt;2040,E386,SUMIF('Rail Emissions'!$W$42:$W$73,D387,'Rail Emissions'!$X$42:$X$73))</f>
        <v>25.5425</v>
      </c>
      <c r="F387" s="1269"/>
    </row>
    <row r="388" spans="1:6" ht="12.6" customHeight="1">
      <c r="A388" s="4"/>
      <c r="B388" s="1268"/>
      <c r="C388" s="1270"/>
      <c r="D388" s="560">
        <f t="shared" si="11"/>
        <v>2047</v>
      </c>
      <c r="E388" s="1175">
        <f>IF(D388&gt;2040,E387,SUMIF('Rail Emissions'!$W$42:$W$73,D388,'Rail Emissions'!$X$42:$X$73))</f>
        <v>25.5425</v>
      </c>
      <c r="F388" s="1269"/>
    </row>
    <row r="389" spans="1:6" ht="12.6" customHeight="1">
      <c r="A389" s="4"/>
      <c r="B389" s="1268"/>
      <c r="C389" s="1270"/>
      <c r="D389" s="560">
        <f t="shared" si="11"/>
        <v>2048</v>
      </c>
      <c r="E389" s="1175">
        <f>IF(D389&gt;2040,E388,SUMIF('Rail Emissions'!$W$42:$W$73,D389,'Rail Emissions'!$X$42:$X$73))</f>
        <v>25.5425</v>
      </c>
      <c r="F389" s="1269"/>
    </row>
    <row r="390" spans="1:6" ht="12.6" customHeight="1">
      <c r="A390" s="4"/>
      <c r="B390" s="1268"/>
      <c r="C390" s="1270"/>
      <c r="D390" s="560">
        <f t="shared" si="11"/>
        <v>2049</v>
      </c>
      <c r="E390" s="1175">
        <f>IF(D390&gt;2040,E389,SUMIF('Rail Emissions'!$W$42:$W$73,D390,'Rail Emissions'!$X$42:$X$73))</f>
        <v>25.5425</v>
      </c>
      <c r="F390" s="1269"/>
    </row>
    <row r="391" spans="1:6" ht="12.6" customHeight="1">
      <c r="A391" s="4"/>
      <c r="B391" s="1268"/>
      <c r="C391" s="1270"/>
      <c r="D391" s="560">
        <f t="shared" si="11"/>
        <v>2050</v>
      </c>
      <c r="E391" s="1175">
        <f>IF(D391&gt;2040,E390,SUMIF('Rail Emissions'!$W$42:$W$73,D391,'Rail Emissions'!$X$42:$X$73))</f>
        <v>25.5425</v>
      </c>
      <c r="F391" s="1269"/>
    </row>
    <row r="392" spans="1:6" ht="12.6" customHeight="1">
      <c r="A392" s="4"/>
      <c r="B392" s="1268"/>
      <c r="C392" s="1270"/>
      <c r="D392" s="560">
        <f t="shared" si="11"/>
        <v>2051</v>
      </c>
      <c r="E392" s="1175">
        <f>IF(D392&gt;2040,E391,SUMIF('Rail Emissions'!$W$42:$W$73,D392,'Rail Emissions'!$X$42:$X$73))</f>
        <v>25.5425</v>
      </c>
      <c r="F392" s="1269"/>
    </row>
    <row r="393" spans="1:6" ht="12.6" customHeight="1">
      <c r="A393" s="4"/>
      <c r="B393" s="1268"/>
      <c r="C393" s="1270"/>
      <c r="D393" s="560">
        <f t="shared" si="11"/>
        <v>2052</v>
      </c>
      <c r="E393" s="1175">
        <f>IF(D393&gt;2040,E392,SUMIF('Rail Emissions'!$W$42:$W$73,D393,'Rail Emissions'!$X$42:$X$73))</f>
        <v>25.5425</v>
      </c>
      <c r="F393" s="1269"/>
    </row>
    <row r="394" spans="1:6" ht="12.6" customHeight="1">
      <c r="A394" s="4"/>
      <c r="B394" s="1268"/>
      <c r="C394" s="1270"/>
      <c r="D394" s="560">
        <f t="shared" si="11"/>
        <v>2053</v>
      </c>
      <c r="E394" s="1175">
        <f>IF(D394&gt;2040,E393,SUMIF('Rail Emissions'!$W$42:$W$73,D394,'Rail Emissions'!$X$42:$X$73))</f>
        <v>25.5425</v>
      </c>
      <c r="F394" s="1269"/>
    </row>
    <row r="395" spans="1:6" ht="12.6" customHeight="1">
      <c r="A395" s="4"/>
      <c r="B395" s="1268"/>
      <c r="C395" s="1270"/>
      <c r="D395" s="560">
        <f t="shared" si="11"/>
        <v>2054</v>
      </c>
      <c r="E395" s="1175">
        <f>IF(D395&gt;2040,E394,SUMIF('Rail Emissions'!$W$42:$W$73,D395,'Rail Emissions'!$X$42:$X$73))</f>
        <v>25.5425</v>
      </c>
      <c r="F395" s="1269"/>
    </row>
    <row r="396" spans="1:6" ht="12.6" customHeight="1">
      <c r="A396" s="4"/>
      <c r="B396" s="1268"/>
      <c r="C396" s="1270"/>
      <c r="D396" s="560">
        <f t="shared" si="11"/>
        <v>2055</v>
      </c>
      <c r="E396" s="1175">
        <f>IF(D396&gt;2040,E395,SUMIF('Rail Emissions'!$W$42:$W$73,D396,'Rail Emissions'!$X$42:$X$73))</f>
        <v>25.5425</v>
      </c>
      <c r="F396" s="1269"/>
    </row>
    <row r="397" spans="1:6" ht="12.6" customHeight="1">
      <c r="A397" s="4"/>
      <c r="B397" s="1268"/>
      <c r="C397" s="1270"/>
      <c r="D397" s="560">
        <f t="shared" si="11"/>
        <v>2056</v>
      </c>
      <c r="E397" s="1175">
        <f>IF(D397&gt;2040,E396,SUMIF('Rail Emissions'!$W$42:$W$73,D397,'Rail Emissions'!$X$42:$X$73))</f>
        <v>25.5425</v>
      </c>
      <c r="F397" s="1269"/>
    </row>
    <row r="398" spans="1:6" ht="12.6" customHeight="1">
      <c r="A398" s="4"/>
      <c r="B398" s="1268"/>
      <c r="C398" s="1270"/>
      <c r="D398" s="560">
        <f t="shared" si="11"/>
        <v>2057</v>
      </c>
      <c r="E398" s="1175">
        <f>IF(D398&gt;2040,E397,SUMIF('Rail Emissions'!$W$42:$W$73,D398,'Rail Emissions'!$X$42:$X$73))</f>
        <v>25.5425</v>
      </c>
      <c r="F398" s="1269"/>
    </row>
    <row r="399" spans="1:6" customFormat="1" ht="12.6" customHeight="1">
      <c r="B399" s="34"/>
      <c r="C399" s="6"/>
      <c r="F399" s="31"/>
    </row>
    <row r="400" spans="1:6" s="2" customFormat="1" ht="12.6" customHeight="1">
      <c r="A400"/>
      <c r="B400" s="1145" t="s">
        <v>432</v>
      </c>
      <c r="C400" s="1146" t="s">
        <v>90</v>
      </c>
      <c r="D400" s="1146" t="s">
        <v>368</v>
      </c>
      <c r="E400" s="1146" t="s">
        <v>369</v>
      </c>
      <c r="F400" s="804" t="s">
        <v>370</v>
      </c>
    </row>
    <row r="401" spans="2:6" ht="15.6" customHeight="1">
      <c r="B401" s="559" t="s">
        <v>433</v>
      </c>
      <c r="C401" s="559" t="s">
        <v>434</v>
      </c>
      <c r="D401" s="560" t="s">
        <v>435</v>
      </c>
      <c r="E401" s="561" t="s">
        <v>436</v>
      </c>
      <c r="F401" s="1277" t="s">
        <v>374</v>
      </c>
    </row>
    <row r="402" spans="2:6" ht="12.6" customHeight="1">
      <c r="B402" s="563" t="s">
        <v>437</v>
      </c>
      <c r="C402" s="559" t="s">
        <v>434</v>
      </c>
      <c r="D402" s="560" t="s">
        <v>435</v>
      </c>
      <c r="E402" s="561" t="s">
        <v>436</v>
      </c>
      <c r="F402" s="1278"/>
    </row>
    <row r="403" spans="2:6" ht="12.6" customHeight="1">
      <c r="B403" s="563" t="s">
        <v>438</v>
      </c>
      <c r="C403" s="559" t="s">
        <v>434</v>
      </c>
      <c r="D403" s="560" t="s">
        <v>435</v>
      </c>
      <c r="E403" s="561" t="s">
        <v>436</v>
      </c>
      <c r="F403" s="1278"/>
    </row>
    <row r="404" spans="2:6" ht="12.6" customHeight="1">
      <c r="B404" s="563" t="s">
        <v>439</v>
      </c>
      <c r="C404" s="559" t="s">
        <v>434</v>
      </c>
      <c r="D404" s="560" t="s">
        <v>435</v>
      </c>
      <c r="E404" s="561" t="s">
        <v>436</v>
      </c>
      <c r="F404" s="1278"/>
    </row>
    <row r="405" spans="2:6" ht="12.6" customHeight="1">
      <c r="B405" s="563" t="s">
        <v>440</v>
      </c>
      <c r="C405" s="564" t="s">
        <v>434</v>
      </c>
      <c r="D405" s="560" t="s">
        <v>435</v>
      </c>
      <c r="E405" s="561" t="s">
        <v>436</v>
      </c>
      <c r="F405" s="1279"/>
    </row>
    <row r="406" spans="2:6" customFormat="1">
      <c r="B406" s="34"/>
      <c r="C406" s="6"/>
      <c r="F406" s="31"/>
    </row>
  </sheetData>
  <mergeCells count="32">
    <mergeCell ref="F401:F405"/>
    <mergeCell ref="F28:F31"/>
    <mergeCell ref="B37:B72"/>
    <mergeCell ref="B181:B216"/>
    <mergeCell ref="C181:C216"/>
    <mergeCell ref="F181:F216"/>
    <mergeCell ref="F219:F254"/>
    <mergeCell ref="B219:B254"/>
    <mergeCell ref="C219:C254"/>
    <mergeCell ref="C37:C72"/>
    <mergeCell ref="F37:F72"/>
    <mergeCell ref="B73:B108"/>
    <mergeCell ref="C73:C108"/>
    <mergeCell ref="B145:B180"/>
    <mergeCell ref="C145:C180"/>
    <mergeCell ref="F73:F108"/>
    <mergeCell ref="B109:B144"/>
    <mergeCell ref="C109:C144"/>
    <mergeCell ref="F145:F180"/>
    <mergeCell ref="F109:F144"/>
    <mergeCell ref="F255:F290"/>
    <mergeCell ref="B255:B290"/>
    <mergeCell ref="C255:C290"/>
    <mergeCell ref="B363:B398"/>
    <mergeCell ref="F363:F398"/>
    <mergeCell ref="C363:C398"/>
    <mergeCell ref="C291:C326"/>
    <mergeCell ref="C327:C362"/>
    <mergeCell ref="B327:B362"/>
    <mergeCell ref="F327:F362"/>
    <mergeCell ref="B291:B326"/>
    <mergeCell ref="F291:F326"/>
  </mergeCell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4" tint="-0.499984740745262"/>
  </sheetPr>
  <dimension ref="A1:AO48"/>
  <sheetViews>
    <sheetView showGridLines="0" zoomScale="80" zoomScaleNormal="80" workbookViewId="0">
      <pane xSplit="2" ySplit="4" topLeftCell="C19" activePane="bottomRight" state="frozen"/>
      <selection pane="topRight"/>
      <selection pane="bottomLeft"/>
      <selection pane="bottomRight" activeCell="C47" sqref="C47"/>
    </sheetView>
  </sheetViews>
  <sheetFormatPr defaultColWidth="0.125" defaultRowHeight="14.25"/>
  <cols>
    <col min="1" max="1" width="52.875" style="974" customWidth="1"/>
    <col min="2" max="2" width="15.25" style="969" customWidth="1"/>
    <col min="3" max="22" width="11.625" style="973" customWidth="1"/>
    <col min="23" max="31" width="11.625" style="974" customWidth="1"/>
    <col min="32" max="41" width="9.375" style="974" bestFit="1" customWidth="1"/>
    <col min="42" max="160" width="5.375" style="974" customWidth="1"/>
    <col min="161" max="16384" width="0.125" style="974"/>
  </cols>
  <sheetData>
    <row r="1" spans="1:41" ht="15">
      <c r="A1" s="968"/>
      <c r="C1" s="970"/>
      <c r="D1" s="971"/>
      <c r="E1" s="972"/>
      <c r="F1" s="971"/>
    </row>
    <row r="2" spans="1:41" ht="27" customHeight="1">
      <c r="A2" s="1014" t="s">
        <v>441</v>
      </c>
      <c r="B2" s="1014"/>
      <c r="C2" s="970"/>
      <c r="D2" s="971"/>
      <c r="E2" s="972"/>
      <c r="F2" s="971"/>
      <c r="G2" s="975"/>
      <c r="L2" s="976"/>
    </row>
    <row r="3" spans="1:41">
      <c r="A3" s="974" t="s">
        <v>442</v>
      </c>
      <c r="B3" s="887" t="s">
        <v>443</v>
      </c>
      <c r="C3" s="970"/>
    </row>
    <row r="4" spans="1:41" s="978" customFormat="1" ht="15" customHeight="1">
      <c r="A4" s="977"/>
      <c r="B4" s="1176">
        <v>2022</v>
      </c>
      <c r="C4" s="889">
        <f>B4-1</f>
        <v>2021</v>
      </c>
      <c r="D4" s="889">
        <f>C4+1</f>
        <v>2022</v>
      </c>
      <c r="E4" s="889">
        <f t="shared" ref="E4:Y4" si="0">D4+1</f>
        <v>2023</v>
      </c>
      <c r="F4" s="889">
        <f>E4+1</f>
        <v>2024</v>
      </c>
      <c r="G4" s="889">
        <f t="shared" si="0"/>
        <v>2025</v>
      </c>
      <c r="H4" s="889">
        <f t="shared" si="0"/>
        <v>2026</v>
      </c>
      <c r="I4" s="889">
        <f t="shared" si="0"/>
        <v>2027</v>
      </c>
      <c r="J4" s="889">
        <f t="shared" si="0"/>
        <v>2028</v>
      </c>
      <c r="K4" s="889">
        <f t="shared" si="0"/>
        <v>2029</v>
      </c>
      <c r="L4" s="889">
        <f t="shared" si="0"/>
        <v>2030</v>
      </c>
      <c r="M4" s="889">
        <f t="shared" si="0"/>
        <v>2031</v>
      </c>
      <c r="N4" s="889">
        <f t="shared" si="0"/>
        <v>2032</v>
      </c>
      <c r="O4" s="889">
        <f t="shared" si="0"/>
        <v>2033</v>
      </c>
      <c r="P4" s="889">
        <f t="shared" si="0"/>
        <v>2034</v>
      </c>
      <c r="Q4" s="889">
        <f t="shared" si="0"/>
        <v>2035</v>
      </c>
      <c r="R4" s="889">
        <f t="shared" si="0"/>
        <v>2036</v>
      </c>
      <c r="S4" s="889">
        <f t="shared" si="0"/>
        <v>2037</v>
      </c>
      <c r="T4" s="889">
        <f t="shared" si="0"/>
        <v>2038</v>
      </c>
      <c r="U4" s="889">
        <f t="shared" si="0"/>
        <v>2039</v>
      </c>
      <c r="V4" s="889">
        <f t="shared" si="0"/>
        <v>2040</v>
      </c>
      <c r="W4" s="889">
        <f t="shared" si="0"/>
        <v>2041</v>
      </c>
      <c r="X4" s="889">
        <f t="shared" si="0"/>
        <v>2042</v>
      </c>
      <c r="Y4" s="889">
        <f t="shared" si="0"/>
        <v>2043</v>
      </c>
      <c r="Z4" s="889">
        <f t="shared" ref="Z4" si="1">Y4+1</f>
        <v>2044</v>
      </c>
      <c r="AA4" s="889">
        <f t="shared" ref="AA4" si="2">Z4+1</f>
        <v>2045</v>
      </c>
      <c r="AB4" s="889">
        <f t="shared" ref="AB4" si="3">AA4+1</f>
        <v>2046</v>
      </c>
      <c r="AC4" s="889">
        <f t="shared" ref="AC4" si="4">AB4+1</f>
        <v>2047</v>
      </c>
      <c r="AD4" s="889">
        <f t="shared" ref="AD4" si="5">AC4+1</f>
        <v>2048</v>
      </c>
      <c r="AE4" s="889">
        <f t="shared" ref="AE4" si="6">AD4+1</f>
        <v>2049</v>
      </c>
      <c r="AF4" s="889">
        <f t="shared" ref="AF4" si="7">AE4+1</f>
        <v>2050</v>
      </c>
      <c r="AG4" s="889">
        <f t="shared" ref="AG4" si="8">AF4+1</f>
        <v>2051</v>
      </c>
      <c r="AH4" s="889">
        <f t="shared" ref="AH4" si="9">AG4+1</f>
        <v>2052</v>
      </c>
      <c r="AI4" s="889">
        <f t="shared" ref="AI4" si="10">AH4+1</f>
        <v>2053</v>
      </c>
      <c r="AJ4" s="889">
        <f t="shared" ref="AJ4" si="11">AI4+1</f>
        <v>2054</v>
      </c>
      <c r="AK4" s="889">
        <f t="shared" ref="AK4" si="12">AJ4+1</f>
        <v>2055</v>
      </c>
      <c r="AL4" s="889">
        <f t="shared" ref="AL4" si="13">AK4+1</f>
        <v>2056</v>
      </c>
      <c r="AM4" s="889">
        <f t="shared" ref="AM4" si="14">AL4+1</f>
        <v>2057</v>
      </c>
      <c r="AN4" s="889">
        <f t="shared" ref="AN4" si="15">AM4+1</f>
        <v>2058</v>
      </c>
      <c r="AO4" s="889">
        <f t="shared" ref="AO4" si="16">AN4+1</f>
        <v>2059</v>
      </c>
    </row>
    <row r="5" spans="1:41" s="982" customFormat="1" ht="15">
      <c r="A5" s="979" t="s">
        <v>444</v>
      </c>
      <c r="B5" s="980"/>
      <c r="C5" s="981">
        <f>MAX(0,C$4-Inputs!$E$8+1)</f>
        <v>0</v>
      </c>
      <c r="D5" s="981">
        <f>MAX(0,D$4-Inputs!$E$8+1)</f>
        <v>0</v>
      </c>
      <c r="E5" s="981">
        <f>MAX(0,E$4-Inputs!$E$8+1)</f>
        <v>0</v>
      </c>
      <c r="F5" s="981">
        <f>MAX(0,F$4-Inputs!$E$8+1)</f>
        <v>0</v>
      </c>
      <c r="G5" s="981">
        <f>MAX(0,G$4-Inputs!$E$8+1)</f>
        <v>0</v>
      </c>
      <c r="H5" s="981">
        <f>MAX(0,H$4-Inputs!$E$8+1)</f>
        <v>0</v>
      </c>
      <c r="I5" s="981">
        <f>MAX(0,I$4-Inputs!$E$8+1)</f>
        <v>0</v>
      </c>
      <c r="J5" s="981">
        <f>MAX(0,J$4-Inputs!$E$8+1)</f>
        <v>0</v>
      </c>
      <c r="K5" s="981">
        <f>MAX(0,K$4-Inputs!$E$8+1)</f>
        <v>0</v>
      </c>
      <c r="L5" s="981">
        <f>MAX(0,L$4-Inputs!$E$8+1)</f>
        <v>1</v>
      </c>
      <c r="M5" s="981">
        <f>MAX(0,M$4-Inputs!$E$8+1)</f>
        <v>2</v>
      </c>
      <c r="N5" s="981">
        <f>MAX(0,N$4-Inputs!$E$8+1)</f>
        <v>3</v>
      </c>
      <c r="O5" s="981">
        <f>MAX(0,O$4-Inputs!$E$8+1)</f>
        <v>4</v>
      </c>
      <c r="P5" s="981">
        <f>MAX(0,P$4-Inputs!$E$8+1)</f>
        <v>5</v>
      </c>
      <c r="Q5" s="981">
        <f>MAX(0,Q$4-Inputs!$E$8+1)</f>
        <v>6</v>
      </c>
      <c r="R5" s="981">
        <f>MAX(0,R$4-Inputs!$E$8+1)</f>
        <v>7</v>
      </c>
      <c r="S5" s="981">
        <f>MAX(0,S$4-Inputs!$E$8+1)</f>
        <v>8</v>
      </c>
      <c r="T5" s="981">
        <f>MAX(0,T$4-Inputs!$E$8+1)</f>
        <v>9</v>
      </c>
      <c r="U5" s="981">
        <f>MAX(0,U$4-Inputs!$E$8+1)</f>
        <v>10</v>
      </c>
      <c r="V5" s="981">
        <f>MAX(0,V$4-Inputs!$E$8+1)</f>
        <v>11</v>
      </c>
      <c r="W5" s="981">
        <f>MAX(0,W$4-Inputs!$E$8+1)</f>
        <v>12</v>
      </c>
      <c r="X5" s="981">
        <f>MAX(0,X$4-Inputs!$E$8+1)</f>
        <v>13</v>
      </c>
      <c r="Y5" s="981">
        <f>MAX(0,Y$4-Inputs!$E$8+1)</f>
        <v>14</v>
      </c>
      <c r="Z5" s="981">
        <f>MAX(0,Z$4-Inputs!$E$8+1)</f>
        <v>15</v>
      </c>
      <c r="AA5" s="981">
        <f>MAX(0,AA$4-Inputs!$E$8+1)</f>
        <v>16</v>
      </c>
      <c r="AB5" s="981">
        <f>MAX(0,AB$4-Inputs!$E$8+1)</f>
        <v>17</v>
      </c>
      <c r="AC5" s="981">
        <f>MAX(0,AC$4-Inputs!$E$8+1)</f>
        <v>18</v>
      </c>
      <c r="AD5" s="981">
        <f>MAX(0,AD$4-Inputs!$E$8+1)</f>
        <v>19</v>
      </c>
      <c r="AE5" s="981">
        <f>MAX(0,AE$4-Inputs!$E$8+1)</f>
        <v>20</v>
      </c>
      <c r="AF5" s="981">
        <f>MAX(0,AF$4-Inputs!$E$8+1)</f>
        <v>21</v>
      </c>
      <c r="AG5" s="981">
        <f>MAX(0,AG$4-Inputs!$E$8+1)</f>
        <v>22</v>
      </c>
      <c r="AH5" s="981">
        <f>MAX(0,AH$4-Inputs!$E$8+1)</f>
        <v>23</v>
      </c>
      <c r="AI5" s="981">
        <f>MAX(0,AI$4-Inputs!$E$8+1)</f>
        <v>24</v>
      </c>
      <c r="AJ5" s="981">
        <f>MAX(0,AJ$4-Inputs!$E$8+1)</f>
        <v>25</v>
      </c>
      <c r="AK5" s="981">
        <f>MAX(0,AK$4-Inputs!$E$8+1)</f>
        <v>26</v>
      </c>
      <c r="AL5" s="981">
        <f>MAX(0,AL$4-Inputs!$E$8+1)</f>
        <v>27</v>
      </c>
      <c r="AM5" s="981">
        <f>MAX(0,AM$4-Inputs!$E$8+1)</f>
        <v>28</v>
      </c>
      <c r="AN5" s="981">
        <f>MAX(0,AN$4-Inputs!$E$8+1)</f>
        <v>29</v>
      </c>
      <c r="AO5" s="981">
        <f>MAX(0,AO$4-Inputs!$E$8+1)</f>
        <v>30</v>
      </c>
    </row>
    <row r="6" spans="1:41" s="934" customFormat="1" ht="15">
      <c r="A6" s="979"/>
      <c r="C6" s="983"/>
      <c r="D6" s="984"/>
      <c r="E6" s="985"/>
      <c r="F6" s="985"/>
      <c r="G6" s="985"/>
      <c r="H6" s="985"/>
      <c r="I6" s="985"/>
      <c r="J6" s="985"/>
      <c r="K6" s="985"/>
      <c r="L6" s="985"/>
      <c r="M6" s="985"/>
      <c r="N6" s="985"/>
      <c r="O6" s="985"/>
      <c r="P6" s="985"/>
      <c r="Q6" s="985"/>
      <c r="R6" s="985"/>
      <c r="S6" s="985"/>
      <c r="T6" s="985"/>
      <c r="U6" s="985"/>
      <c r="V6" s="985"/>
      <c r="W6" s="985"/>
      <c r="X6" s="985"/>
      <c r="Y6" s="985"/>
      <c r="Z6" s="985"/>
      <c r="AA6" s="985"/>
      <c r="AB6" s="985"/>
      <c r="AC6" s="985"/>
      <c r="AD6" s="985"/>
      <c r="AE6" s="985"/>
      <c r="AF6" s="985"/>
      <c r="AG6" s="985"/>
      <c r="AH6" s="985"/>
      <c r="AI6" s="985"/>
      <c r="AJ6" s="985"/>
      <c r="AK6" s="985"/>
      <c r="AL6" s="985"/>
      <c r="AM6" s="985"/>
      <c r="AN6" s="985"/>
      <c r="AO6" s="985"/>
    </row>
    <row r="7" spans="1:41" s="924" customFormat="1">
      <c r="A7" s="986" t="s">
        <v>399</v>
      </c>
      <c r="B7" s="987" t="s">
        <v>984</v>
      </c>
      <c r="C7" s="925">
        <f>Inputs!$E$19</f>
        <v>0.20822843817382367</v>
      </c>
      <c r="D7" s="925">
        <f>Inputs!$E$19</f>
        <v>0.20822843817382367</v>
      </c>
      <c r="E7" s="925">
        <f>Inputs!$E$19</f>
        <v>0.20822843817382367</v>
      </c>
      <c r="F7" s="925">
        <f>Inputs!$E$19</f>
        <v>0.20822843817382367</v>
      </c>
      <c r="G7" s="925">
        <f>Inputs!$E$19</f>
        <v>0.20822843817382367</v>
      </c>
      <c r="H7" s="925">
        <f>Inputs!$E$19</f>
        <v>0.20822843817382367</v>
      </c>
      <c r="I7" s="925">
        <f>Inputs!$E$19</f>
        <v>0.20822843817382367</v>
      </c>
      <c r="J7" s="925">
        <f>Inputs!$E$19</f>
        <v>0.20822843817382367</v>
      </c>
      <c r="K7" s="925">
        <f>Inputs!$E$19</f>
        <v>0.20822843817382367</v>
      </c>
      <c r="L7" s="925">
        <f>Inputs!$E$19</f>
        <v>0.20822843817382367</v>
      </c>
      <c r="M7" s="925">
        <f>Inputs!$E$19</f>
        <v>0.20822843817382367</v>
      </c>
      <c r="N7" s="925">
        <f>Inputs!$E$19</f>
        <v>0.20822843817382367</v>
      </c>
      <c r="O7" s="925">
        <f>Inputs!$E$19</f>
        <v>0.20822843817382367</v>
      </c>
      <c r="P7" s="925">
        <f>Inputs!$E$19</f>
        <v>0.20822843817382367</v>
      </c>
      <c r="Q7" s="925">
        <f>Inputs!$E$19</f>
        <v>0.20822843817382367</v>
      </c>
      <c r="R7" s="925">
        <f>Inputs!$E$19</f>
        <v>0.20822843817382367</v>
      </c>
      <c r="S7" s="925">
        <f>Inputs!$E$19</f>
        <v>0.20822843817382367</v>
      </c>
      <c r="T7" s="925">
        <f>Inputs!$E$19</f>
        <v>0.20822843817382367</v>
      </c>
      <c r="U7" s="925">
        <f>Inputs!$E$19</f>
        <v>0.20822843817382367</v>
      </c>
      <c r="V7" s="925">
        <f>Inputs!$E$19</f>
        <v>0.20822843817382367</v>
      </c>
      <c r="W7" s="925">
        <f>Inputs!$E$19</f>
        <v>0.20822843817382367</v>
      </c>
      <c r="X7" s="925">
        <f>Inputs!$E$19</f>
        <v>0.20822843817382367</v>
      </c>
      <c r="Y7" s="925">
        <f>Inputs!$E$19</f>
        <v>0.20822843817382367</v>
      </c>
      <c r="Z7" s="925">
        <f>Inputs!$E$19</f>
        <v>0.20822843817382367</v>
      </c>
      <c r="AA7" s="925">
        <f>Inputs!$E$19</f>
        <v>0.20822843817382367</v>
      </c>
      <c r="AB7" s="925">
        <f>Inputs!$E$19</f>
        <v>0.20822843817382367</v>
      </c>
      <c r="AC7" s="925">
        <f>Inputs!$E$19</f>
        <v>0.20822843817382367</v>
      </c>
      <c r="AD7" s="925">
        <f>Inputs!$E$19</f>
        <v>0.20822843817382367</v>
      </c>
      <c r="AE7" s="925">
        <f>Inputs!$E$19</f>
        <v>0.20822843817382367</v>
      </c>
      <c r="AF7" s="925">
        <f>Inputs!$E$19</f>
        <v>0.20822843817382367</v>
      </c>
      <c r="AG7" s="925">
        <f>Inputs!$E$19</f>
        <v>0.20822843817382367</v>
      </c>
      <c r="AH7" s="925">
        <f>Inputs!$E$19</f>
        <v>0.20822843817382367</v>
      </c>
      <c r="AI7" s="925">
        <f>Inputs!$E$19</f>
        <v>0.20822843817382367</v>
      </c>
      <c r="AJ7" s="925">
        <f>Inputs!$E$19</f>
        <v>0.20822843817382367</v>
      </c>
      <c r="AK7" s="925">
        <f>Inputs!$E$19</f>
        <v>0.20822843817382367</v>
      </c>
      <c r="AL7" s="925">
        <f>Inputs!$E$19</f>
        <v>0.20822843817382367</v>
      </c>
      <c r="AM7" s="925">
        <f>Inputs!$E$19</f>
        <v>0.20822843817382367</v>
      </c>
      <c r="AN7" s="925">
        <f>Inputs!$E$19</f>
        <v>0.20822843817382367</v>
      </c>
      <c r="AO7" s="925">
        <f>Inputs!$E$19</f>
        <v>0.20822843817382367</v>
      </c>
    </row>
    <row r="8" spans="1:41" s="924" customFormat="1">
      <c r="A8" s="986" t="s">
        <v>445</v>
      </c>
      <c r="B8" s="987" t="s">
        <v>985</v>
      </c>
      <c r="C8" s="925">
        <f>Inputs!$E$20</f>
        <v>5.2057109543455917</v>
      </c>
      <c r="D8" s="925">
        <f>Inputs!$E$20</f>
        <v>5.2057109543455917</v>
      </c>
      <c r="E8" s="925">
        <f>Inputs!$E$20</f>
        <v>5.2057109543455917</v>
      </c>
      <c r="F8" s="925">
        <f>Inputs!$E$20</f>
        <v>5.2057109543455917</v>
      </c>
      <c r="G8" s="925">
        <f>Inputs!$E$20</f>
        <v>5.2057109543455917</v>
      </c>
      <c r="H8" s="925">
        <f>Inputs!$E$20</f>
        <v>5.2057109543455917</v>
      </c>
      <c r="I8" s="925">
        <f>Inputs!$E$20</f>
        <v>5.2057109543455917</v>
      </c>
      <c r="J8" s="925">
        <f>Inputs!$E$20</f>
        <v>5.2057109543455917</v>
      </c>
      <c r="K8" s="925">
        <f>Inputs!$E$20</f>
        <v>5.2057109543455917</v>
      </c>
      <c r="L8" s="925">
        <f>Inputs!$E$20</f>
        <v>5.2057109543455917</v>
      </c>
      <c r="M8" s="925">
        <f>Inputs!$E$20</f>
        <v>5.2057109543455917</v>
      </c>
      <c r="N8" s="925">
        <f>Inputs!$E$20</f>
        <v>5.2057109543455917</v>
      </c>
      <c r="O8" s="925">
        <f>Inputs!$E$20</f>
        <v>5.2057109543455917</v>
      </c>
      <c r="P8" s="925">
        <f>Inputs!$E$20</f>
        <v>5.2057109543455917</v>
      </c>
      <c r="Q8" s="925">
        <f>Inputs!$E$20</f>
        <v>5.2057109543455917</v>
      </c>
      <c r="R8" s="925">
        <f>Inputs!$E$20</f>
        <v>5.2057109543455917</v>
      </c>
      <c r="S8" s="925">
        <f>Inputs!$E$20</f>
        <v>5.2057109543455917</v>
      </c>
      <c r="T8" s="925">
        <f>Inputs!$E$20</f>
        <v>5.2057109543455917</v>
      </c>
      <c r="U8" s="925">
        <f>Inputs!$E$20</f>
        <v>5.2057109543455917</v>
      </c>
      <c r="V8" s="925">
        <f>Inputs!$E$20</f>
        <v>5.2057109543455917</v>
      </c>
      <c r="W8" s="925">
        <f>Inputs!$E$20</f>
        <v>5.2057109543455917</v>
      </c>
      <c r="X8" s="925">
        <f>Inputs!$E$20</f>
        <v>5.2057109543455917</v>
      </c>
      <c r="Y8" s="925">
        <f>Inputs!$E$20</f>
        <v>5.2057109543455917</v>
      </c>
      <c r="Z8" s="925">
        <f>Inputs!$E$20</f>
        <v>5.2057109543455917</v>
      </c>
      <c r="AA8" s="925">
        <f>Inputs!$E$20</f>
        <v>5.2057109543455917</v>
      </c>
      <c r="AB8" s="925">
        <f>Inputs!$E$20</f>
        <v>5.2057109543455917</v>
      </c>
      <c r="AC8" s="925">
        <f>Inputs!$E$20</f>
        <v>5.2057109543455917</v>
      </c>
      <c r="AD8" s="925">
        <f>Inputs!$E$20</f>
        <v>5.2057109543455917</v>
      </c>
      <c r="AE8" s="925">
        <f>Inputs!$E$20</f>
        <v>5.2057109543455917</v>
      </c>
      <c r="AF8" s="925">
        <f>Inputs!$E$20</f>
        <v>5.2057109543455917</v>
      </c>
      <c r="AG8" s="925">
        <f>Inputs!$E$20</f>
        <v>5.2057109543455917</v>
      </c>
      <c r="AH8" s="925">
        <f>Inputs!$E$20</f>
        <v>5.2057109543455917</v>
      </c>
      <c r="AI8" s="925">
        <f>Inputs!$E$20</f>
        <v>5.2057109543455917</v>
      </c>
      <c r="AJ8" s="925">
        <f>Inputs!$E$20</f>
        <v>5.2057109543455917</v>
      </c>
      <c r="AK8" s="925">
        <f>Inputs!$E$20</f>
        <v>5.2057109543455917</v>
      </c>
      <c r="AL8" s="925">
        <f>Inputs!$E$20</f>
        <v>5.2057109543455917</v>
      </c>
      <c r="AM8" s="925">
        <f>Inputs!$E$20</f>
        <v>5.2057109543455917</v>
      </c>
      <c r="AN8" s="925">
        <f>Inputs!$E$20</f>
        <v>5.2057109543455917</v>
      </c>
      <c r="AO8" s="925">
        <f>Inputs!$E$20</f>
        <v>5.2057109543455917</v>
      </c>
    </row>
    <row r="9" spans="1:41" s="934" customFormat="1">
      <c r="A9" s="986" t="s">
        <v>401</v>
      </c>
      <c r="B9" s="987" t="s">
        <v>984</v>
      </c>
      <c r="C9" s="988">
        <f>Inputs!$E$22</f>
        <v>1.9400000000000001E-2</v>
      </c>
      <c r="D9" s="988">
        <f>Inputs!$E$22</f>
        <v>1.9400000000000001E-2</v>
      </c>
      <c r="E9" s="988">
        <f>Inputs!$E$22</f>
        <v>1.9400000000000001E-2</v>
      </c>
      <c r="F9" s="988">
        <f>Inputs!$E$22</f>
        <v>1.9400000000000001E-2</v>
      </c>
      <c r="G9" s="988">
        <f>Inputs!$E$22</f>
        <v>1.9400000000000001E-2</v>
      </c>
      <c r="H9" s="988">
        <f>Inputs!$E$22</f>
        <v>1.9400000000000001E-2</v>
      </c>
      <c r="I9" s="988">
        <f>Inputs!$E$22</f>
        <v>1.9400000000000001E-2</v>
      </c>
      <c r="J9" s="988">
        <f>Inputs!$E$22</f>
        <v>1.9400000000000001E-2</v>
      </c>
      <c r="K9" s="988">
        <f>Inputs!$E$22</f>
        <v>1.9400000000000001E-2</v>
      </c>
      <c r="L9" s="988">
        <f>Inputs!$E$22</f>
        <v>1.9400000000000001E-2</v>
      </c>
      <c r="M9" s="988">
        <f>Inputs!$E$22</f>
        <v>1.9400000000000001E-2</v>
      </c>
      <c r="N9" s="988">
        <f>Inputs!$E$22</f>
        <v>1.9400000000000001E-2</v>
      </c>
      <c r="O9" s="988">
        <f>Inputs!$E$22</f>
        <v>1.9400000000000001E-2</v>
      </c>
      <c r="P9" s="988">
        <f>Inputs!$E$22</f>
        <v>1.9400000000000001E-2</v>
      </c>
      <c r="Q9" s="988">
        <f>Inputs!$E$22</f>
        <v>1.9400000000000001E-2</v>
      </c>
      <c r="R9" s="988">
        <f>Inputs!$E$22</f>
        <v>1.9400000000000001E-2</v>
      </c>
      <c r="S9" s="988">
        <f>Inputs!$E$22</f>
        <v>1.9400000000000001E-2</v>
      </c>
      <c r="T9" s="988">
        <f>Inputs!$E$22</f>
        <v>1.9400000000000001E-2</v>
      </c>
      <c r="U9" s="988">
        <f>Inputs!$E$22</f>
        <v>1.9400000000000001E-2</v>
      </c>
      <c r="V9" s="988">
        <f>Inputs!$E$22</f>
        <v>1.9400000000000001E-2</v>
      </c>
      <c r="W9" s="988">
        <f>Inputs!$E$22</f>
        <v>1.9400000000000001E-2</v>
      </c>
      <c r="X9" s="988">
        <f>Inputs!$E$22</f>
        <v>1.9400000000000001E-2</v>
      </c>
      <c r="Y9" s="988">
        <f>Inputs!$E$22</f>
        <v>1.9400000000000001E-2</v>
      </c>
      <c r="Z9" s="988">
        <f>Inputs!$E$22</f>
        <v>1.9400000000000001E-2</v>
      </c>
      <c r="AA9" s="988">
        <f>Inputs!$E$22</f>
        <v>1.9400000000000001E-2</v>
      </c>
      <c r="AB9" s="988">
        <f>Inputs!$E$22</f>
        <v>1.9400000000000001E-2</v>
      </c>
      <c r="AC9" s="988">
        <f>Inputs!$E$22</f>
        <v>1.9400000000000001E-2</v>
      </c>
      <c r="AD9" s="988">
        <f>Inputs!$E$22</f>
        <v>1.9400000000000001E-2</v>
      </c>
      <c r="AE9" s="988">
        <f>Inputs!$E$22</f>
        <v>1.9400000000000001E-2</v>
      </c>
      <c r="AF9" s="988">
        <f>Inputs!$E$22</f>
        <v>1.9400000000000001E-2</v>
      </c>
      <c r="AG9" s="988">
        <f>Inputs!$E$22</f>
        <v>1.9400000000000001E-2</v>
      </c>
      <c r="AH9" s="988">
        <f>Inputs!$E$22</f>
        <v>1.9400000000000001E-2</v>
      </c>
      <c r="AI9" s="988">
        <f>Inputs!$E$22</f>
        <v>1.9400000000000001E-2</v>
      </c>
      <c r="AJ9" s="988">
        <f>Inputs!$E$22</f>
        <v>1.9400000000000001E-2</v>
      </c>
      <c r="AK9" s="988">
        <f>Inputs!$E$22</f>
        <v>1.9400000000000001E-2</v>
      </c>
      <c r="AL9" s="988">
        <f>Inputs!$E$22</f>
        <v>1.9400000000000001E-2</v>
      </c>
      <c r="AM9" s="988">
        <f>Inputs!$E$22</f>
        <v>1.9400000000000001E-2</v>
      </c>
      <c r="AN9" s="988">
        <f>Inputs!$E$22</f>
        <v>1.9400000000000001E-2</v>
      </c>
      <c r="AO9" s="988">
        <f>Inputs!$E$22</f>
        <v>1.9400000000000001E-2</v>
      </c>
    </row>
    <row r="10" spans="1:41" s="934" customFormat="1" ht="15">
      <c r="A10" s="979"/>
      <c r="C10" s="983"/>
      <c r="D10" s="984"/>
      <c r="E10" s="985"/>
      <c r="F10" s="985"/>
      <c r="G10" s="985"/>
      <c r="H10" s="985"/>
      <c r="I10" s="985"/>
      <c r="J10" s="985"/>
      <c r="K10" s="985"/>
      <c r="L10" s="985"/>
      <c r="M10" s="985"/>
      <c r="N10" s="985"/>
      <c r="O10" s="985"/>
      <c r="P10" s="985"/>
      <c r="Q10" s="985"/>
      <c r="R10" s="985"/>
      <c r="S10" s="985"/>
      <c r="T10" s="985"/>
      <c r="U10" s="985"/>
      <c r="V10" s="985"/>
      <c r="W10" s="985"/>
      <c r="X10" s="985"/>
      <c r="Y10" s="985"/>
      <c r="Z10" s="985"/>
      <c r="AA10" s="985"/>
      <c r="AB10" s="985"/>
      <c r="AC10" s="985"/>
      <c r="AD10" s="985"/>
      <c r="AE10" s="985"/>
      <c r="AF10" s="985"/>
      <c r="AG10" s="985"/>
      <c r="AH10" s="985"/>
      <c r="AI10" s="985"/>
      <c r="AJ10" s="985"/>
      <c r="AK10" s="985"/>
      <c r="AL10" s="985"/>
      <c r="AM10" s="985"/>
      <c r="AN10" s="985"/>
      <c r="AO10" s="985"/>
    </row>
    <row r="11" spans="1:41" s="924" customFormat="1" ht="15">
      <c r="A11" s="989" t="s">
        <v>446</v>
      </c>
      <c r="B11" s="990" t="s">
        <v>86</v>
      </c>
      <c r="C11" s="991" t="str">
        <f t="shared" ref="C11:AO11" si="17">IF(C$5&gt;0,C$4,"")</f>
        <v/>
      </c>
      <c r="D11" s="991" t="str">
        <f t="shared" si="17"/>
        <v/>
      </c>
      <c r="E11" s="991" t="str">
        <f t="shared" si="17"/>
        <v/>
      </c>
      <c r="F11" s="991" t="str">
        <f t="shared" si="17"/>
        <v/>
      </c>
      <c r="G11" s="991" t="str">
        <f t="shared" si="17"/>
        <v/>
      </c>
      <c r="H11" s="991" t="str">
        <f t="shared" si="17"/>
        <v/>
      </c>
      <c r="I11" s="991" t="str">
        <f t="shared" si="17"/>
        <v/>
      </c>
      <c r="J11" s="991" t="str">
        <f t="shared" si="17"/>
        <v/>
      </c>
      <c r="K11" s="991" t="str">
        <f t="shared" si="17"/>
        <v/>
      </c>
      <c r="L11" s="991">
        <f t="shared" si="17"/>
        <v>2030</v>
      </c>
      <c r="M11" s="991">
        <f t="shared" si="17"/>
        <v>2031</v>
      </c>
      <c r="N11" s="991">
        <f t="shared" si="17"/>
        <v>2032</v>
      </c>
      <c r="O11" s="991">
        <f t="shared" si="17"/>
        <v>2033</v>
      </c>
      <c r="P11" s="991">
        <f t="shared" si="17"/>
        <v>2034</v>
      </c>
      <c r="Q11" s="991">
        <f t="shared" si="17"/>
        <v>2035</v>
      </c>
      <c r="R11" s="991">
        <f t="shared" si="17"/>
        <v>2036</v>
      </c>
      <c r="S11" s="991">
        <f t="shared" si="17"/>
        <v>2037</v>
      </c>
      <c r="T11" s="991">
        <f t="shared" si="17"/>
        <v>2038</v>
      </c>
      <c r="U11" s="991">
        <f t="shared" si="17"/>
        <v>2039</v>
      </c>
      <c r="V11" s="991">
        <f t="shared" si="17"/>
        <v>2040</v>
      </c>
      <c r="W11" s="991">
        <f t="shared" si="17"/>
        <v>2041</v>
      </c>
      <c r="X11" s="991">
        <f t="shared" si="17"/>
        <v>2042</v>
      </c>
      <c r="Y11" s="991">
        <f t="shared" si="17"/>
        <v>2043</v>
      </c>
      <c r="Z11" s="991">
        <f t="shared" si="17"/>
        <v>2044</v>
      </c>
      <c r="AA11" s="991">
        <f t="shared" si="17"/>
        <v>2045</v>
      </c>
      <c r="AB11" s="991">
        <f t="shared" si="17"/>
        <v>2046</v>
      </c>
      <c r="AC11" s="991">
        <f t="shared" si="17"/>
        <v>2047</v>
      </c>
      <c r="AD11" s="991">
        <f t="shared" si="17"/>
        <v>2048</v>
      </c>
      <c r="AE11" s="991">
        <f t="shared" si="17"/>
        <v>2049</v>
      </c>
      <c r="AF11" s="991">
        <f t="shared" si="17"/>
        <v>2050</v>
      </c>
      <c r="AG11" s="991">
        <f t="shared" si="17"/>
        <v>2051</v>
      </c>
      <c r="AH11" s="991">
        <f t="shared" si="17"/>
        <v>2052</v>
      </c>
      <c r="AI11" s="991">
        <f t="shared" si="17"/>
        <v>2053</v>
      </c>
      <c r="AJ11" s="991">
        <f t="shared" si="17"/>
        <v>2054</v>
      </c>
      <c r="AK11" s="991">
        <f t="shared" si="17"/>
        <v>2055</v>
      </c>
      <c r="AL11" s="991">
        <f t="shared" si="17"/>
        <v>2056</v>
      </c>
      <c r="AM11" s="991">
        <f t="shared" si="17"/>
        <v>2057</v>
      </c>
      <c r="AN11" s="991">
        <f t="shared" si="17"/>
        <v>2058</v>
      </c>
      <c r="AO11" s="991">
        <f t="shared" si="17"/>
        <v>2059</v>
      </c>
    </row>
    <row r="12" spans="1:41" s="924" customFormat="1" ht="15">
      <c r="A12" s="992"/>
      <c r="B12" s="993"/>
      <c r="C12" s="994"/>
      <c r="D12" s="994"/>
      <c r="E12" s="994"/>
      <c r="F12" s="994"/>
      <c r="G12" s="994"/>
      <c r="H12" s="994"/>
      <c r="I12" s="994"/>
      <c r="J12" s="994"/>
      <c r="K12" s="994"/>
      <c r="L12" s="994"/>
      <c r="M12" s="994"/>
      <c r="N12" s="994"/>
      <c r="O12" s="994"/>
      <c r="P12" s="994"/>
      <c r="Q12" s="994"/>
      <c r="R12" s="994"/>
      <c r="S12" s="994"/>
      <c r="T12" s="994"/>
      <c r="U12" s="994"/>
      <c r="V12" s="994"/>
    </row>
    <row r="13" spans="1:41" s="924" customFormat="1">
      <c r="A13" s="922" t="s">
        <v>447</v>
      </c>
      <c r="B13" s="923" t="s">
        <v>448</v>
      </c>
      <c r="C13" s="883">
        <f>SUMIFS(Demand.Forecast!$D$14:$AO$14,Demand.Forecast!$D$1:$AO$1,C$4)</f>
        <v>0</v>
      </c>
      <c r="D13" s="883">
        <f>SUMIFS(Demand.Forecast!$D$14:$AO$14,Demand.Forecast!$D$1:$AO$1,D$4)</f>
        <v>965730300</v>
      </c>
      <c r="E13" s="883">
        <f>SUMIFS(Demand.Forecast!$D$14:$AO$14,Demand.Forecast!$D$1:$AO$1,E$4)</f>
        <v>968788478.18156123</v>
      </c>
      <c r="F13" s="883">
        <f>SUMIFS(Demand.Forecast!$D$14:$AO$14,Demand.Forecast!$D$1:$AO$1,F$4)</f>
        <v>971856340.69609833</v>
      </c>
      <c r="G13" s="883">
        <f>SUMIFS(Demand.Forecast!$D$14:$AO$14,Demand.Forecast!$D$1:$AO$1,G$4)</f>
        <v>974933918.21098912</v>
      </c>
      <c r="H13" s="883">
        <f>SUMIFS(Demand.Forecast!$D$14:$AO$14,Demand.Forecast!$D$1:$AO$1,H$4)</f>
        <v>978021241.49072552</v>
      </c>
      <c r="I13" s="883">
        <f>SUMIFS(Demand.Forecast!$D$14:$AO$14,Demand.Forecast!$D$1:$AO$1,I$4)</f>
        <v>981118341.39722145</v>
      </c>
      <c r="J13" s="883">
        <f>SUMIFS(Demand.Forecast!$D$14:$AO$14,Demand.Forecast!$D$1:$AO$1,J$4)</f>
        <v>984225248.89012134</v>
      </c>
      <c r="K13" s="883">
        <f>SUMIFS(Demand.Forecast!$D$14:$AO$14,Demand.Forecast!$D$1:$AO$1,K$4)</f>
        <v>987341995.0271095</v>
      </c>
      <c r="L13" s="883">
        <f>SUMIFS(Demand.Forecast!$D$14:$AO$14,Demand.Forecast!$D$1:$AO$1,L$4)</f>
        <v>990468610.9642204</v>
      </c>
      <c r="M13" s="883">
        <f>SUMIFS(Demand.Forecast!$D$14:$AO$14,Demand.Forecast!$D$1:$AO$1,M$4)</f>
        <v>993605127.95615077</v>
      </c>
      <c r="N13" s="883">
        <f>SUMIFS(Demand.Forecast!$D$14:$AO$14,Demand.Forecast!$D$1:$AO$1,N$4)</f>
        <v>996751577.3565712</v>
      </c>
      <c r="O13" s="883">
        <f>SUMIFS(Demand.Forecast!$D$14:$AO$14,Demand.Forecast!$D$1:$AO$1,O$4)</f>
        <v>999907990.61844003</v>
      </c>
      <c r="P13" s="883">
        <f>SUMIFS(Demand.Forecast!$D$14:$AO$14,Demand.Forecast!$D$1:$AO$1,P$4)</f>
        <v>1003074399.2943177</v>
      </c>
      <c r="Q13" s="883">
        <f>SUMIFS(Demand.Forecast!$D$14:$AO$14,Demand.Forecast!$D$1:$AO$1,Q$4)</f>
        <v>1006250835.0366822</v>
      </c>
      <c r="R13" s="883">
        <f>SUMIFS(Demand.Forecast!$D$14:$AO$14,Demand.Forecast!$D$1:$AO$1,R$4)</f>
        <v>1009437329.5982455</v>
      </c>
      <c r="S13" s="883">
        <f>SUMIFS(Demand.Forecast!$D$14:$AO$14,Demand.Forecast!$D$1:$AO$1,S$4)</f>
        <v>1012633914.8322707</v>
      </c>
      <c r="T13" s="883">
        <f>SUMIFS(Demand.Forecast!$D$14:$AO$14,Demand.Forecast!$D$1:$AO$1,T$4)</f>
        <v>1015840622.6928908</v>
      </c>
      <c r="U13" s="883">
        <f>SUMIFS(Demand.Forecast!$D$14:$AO$14,Demand.Forecast!$D$1:$AO$1,U$4)</f>
        <v>1019057485.2354276</v>
      </c>
      <c r="V13" s="883">
        <f>SUMIFS(Demand.Forecast!$D$14:$AO$14,Demand.Forecast!$D$1:$AO$1,V$4)</f>
        <v>1022284534.6167132</v>
      </c>
      <c r="W13" s="883">
        <f>SUMIFS(Demand.Forecast!$D$14:$AO$14,Demand.Forecast!$D$1:$AO$1,W$4)</f>
        <v>1025521803.0954098</v>
      </c>
      <c r="X13" s="883">
        <f>SUMIFS(Demand.Forecast!$D$14:$AO$14,Demand.Forecast!$D$1:$AO$1,X$4)</f>
        <v>1028769323.0323339</v>
      </c>
      <c r="Y13" s="883">
        <f>SUMIFS(Demand.Forecast!$D$14:$AO$14,Demand.Forecast!$D$1:$AO$1,Y$4)</f>
        <v>1032027126.8907785</v>
      </c>
      <c r="Z13" s="883">
        <f>SUMIFS(Demand.Forecast!$D$14:$AO$14,Demand.Forecast!$D$1:$AO$1,Z$4)</f>
        <v>1035295247.2368385</v>
      </c>
      <c r="AA13" s="883">
        <f>SUMIFS(Demand.Forecast!$D$14:$AO$14,Demand.Forecast!$D$1:$AO$1,AA$4)</f>
        <v>1038573716.7397355</v>
      </c>
      <c r="AB13" s="883">
        <f>SUMIFS(Demand.Forecast!$D$14:$AO$14,Demand.Forecast!$D$1:$AO$1,AB$4)</f>
        <v>1041862568.1721451</v>
      </c>
      <c r="AC13" s="883">
        <f>SUMIFS(Demand.Forecast!$D$14:$AO$14,Demand.Forecast!$D$1:$AO$1,AC$4)</f>
        <v>1045161834.4105239</v>
      </c>
      <c r="AD13" s="883">
        <f>SUMIFS(Demand.Forecast!$D$14:$AO$14,Demand.Forecast!$D$1:$AO$1,AD$4)</f>
        <v>1048471548.4354383</v>
      </c>
      <c r="AE13" s="883">
        <f>SUMIFS(Demand.Forecast!$D$14:$AO$14,Demand.Forecast!$D$1:$AO$1,AE$4)</f>
        <v>1051791743.3318943</v>
      </c>
      <c r="AF13" s="883">
        <f>SUMIFS(Demand.Forecast!$D$14:$AO$14,Demand.Forecast!$D$1:$AO$1,AF$4)</f>
        <v>1055122452.2896683</v>
      </c>
      <c r="AG13" s="883">
        <f>SUMIFS(Demand.Forecast!$D$14:$AO$14,Demand.Forecast!$D$1:$AO$1,AG$4)</f>
        <v>1058463708.6036388</v>
      </c>
      <c r="AH13" s="883">
        <f>SUMIFS(Demand.Forecast!$D$14:$AO$14,Demand.Forecast!$D$1:$AO$1,AH$4)</f>
        <v>1061815545.674119</v>
      </c>
      <c r="AI13" s="883">
        <f>SUMIFS(Demand.Forecast!$D$14:$AO$14,Demand.Forecast!$D$1:$AO$1,AI$4)</f>
        <v>1065177997.0071911</v>
      </c>
      <c r="AJ13" s="883">
        <f>SUMIFS(Demand.Forecast!$D$14:$AO$14,Demand.Forecast!$D$1:$AO$1,AJ$4)</f>
        <v>1068551096.2150406</v>
      </c>
      <c r="AK13" s="883">
        <f>SUMIFS(Demand.Forecast!$D$14:$AO$14,Demand.Forecast!$D$1:$AO$1,AK$4)</f>
        <v>1071934877.0162934</v>
      </c>
      <c r="AL13" s="883">
        <f>SUMIFS(Demand.Forecast!$D$14:$AO$14,Demand.Forecast!$D$1:$AO$1,AL$4)</f>
        <v>1075329373.2363515</v>
      </c>
      <c r="AM13" s="883">
        <f>SUMIFS(Demand.Forecast!$D$14:$AO$14,Demand.Forecast!$D$1:$AO$1,AM$4)</f>
        <v>1078734618.8077326</v>
      </c>
      <c r="AN13" s="883">
        <f>SUMIFS(Demand.Forecast!$D$14:$AO$14,Demand.Forecast!$D$1:$AO$1,AN$4)</f>
        <v>1082150647.7704072</v>
      </c>
      <c r="AO13" s="883">
        <f>SUMIFS(Demand.Forecast!$D$14:$AO$14,Demand.Forecast!$D$1:$AO$1,AO$4)</f>
        <v>1085577494.2721415</v>
      </c>
    </row>
    <row r="14" spans="1:41" s="924" customFormat="1">
      <c r="A14" s="922" t="s">
        <v>449</v>
      </c>
      <c r="B14" s="923" t="s">
        <v>448</v>
      </c>
      <c r="C14" s="883">
        <f>SUMIFS(Demand.Forecast!$D$13:$AO$13,Demand.Forecast!$D$1:$AO$1,C$4)</f>
        <v>0</v>
      </c>
      <c r="D14" s="883">
        <f>SUMIFS(Demand.Forecast!$D$13:$AO$13,Demand.Forecast!$D$1:$AO$1,D$4)</f>
        <v>0</v>
      </c>
      <c r="E14" s="883">
        <f>SUMIFS(Demand.Forecast!$D$13:$AO$13,Demand.Forecast!$D$1:$AO$1,E$4)</f>
        <v>0</v>
      </c>
      <c r="F14" s="883">
        <f>SUMIFS(Demand.Forecast!$D$13:$AO$13,Demand.Forecast!$D$1:$AO$1,F$4)</f>
        <v>0</v>
      </c>
      <c r="G14" s="883">
        <f>SUMIFS(Demand.Forecast!$D$13:$AO$13,Demand.Forecast!$D$1:$AO$1,G$4)</f>
        <v>0</v>
      </c>
      <c r="H14" s="883">
        <f>SUMIFS(Demand.Forecast!$D$13:$AO$13,Demand.Forecast!$D$1:$AO$1,H$4)</f>
        <v>0</v>
      </c>
      <c r="I14" s="883">
        <f>SUMIFS(Demand.Forecast!$D$13:$AO$13,Demand.Forecast!$D$1:$AO$1,I$4)</f>
        <v>0</v>
      </c>
      <c r="J14" s="883">
        <f>SUMIFS(Demand.Forecast!$D$13:$AO$13,Demand.Forecast!$D$1:$AO$1,J$4)</f>
        <v>0</v>
      </c>
      <c r="K14" s="883">
        <f>SUMIFS(Demand.Forecast!$D$13:$AO$13,Demand.Forecast!$D$1:$AO$1,K$4)</f>
        <v>0</v>
      </c>
      <c r="L14" s="883">
        <f>SUMIFS(Demand.Forecast!$D$13:$AO$13,Demand.Forecast!$D$1:$AO$1,L$4)</f>
        <v>0</v>
      </c>
      <c r="M14" s="883">
        <f>SUMIFS(Demand.Forecast!$D$13:$AO$13,Demand.Forecast!$D$1:$AO$1,M$4)</f>
        <v>0</v>
      </c>
      <c r="N14" s="883">
        <f>SUMIFS(Demand.Forecast!$D$13:$AO$13,Demand.Forecast!$D$1:$AO$1,N$4)</f>
        <v>0</v>
      </c>
      <c r="O14" s="883">
        <f>SUMIFS(Demand.Forecast!$D$13:$AO$13,Demand.Forecast!$D$1:$AO$1,O$4)</f>
        <v>0</v>
      </c>
      <c r="P14" s="883">
        <f>SUMIFS(Demand.Forecast!$D$13:$AO$13,Demand.Forecast!$D$1:$AO$1,P$4)</f>
        <v>0</v>
      </c>
      <c r="Q14" s="883">
        <f>SUMIFS(Demand.Forecast!$D$13:$AO$13,Demand.Forecast!$D$1:$AO$1,Q$4)</f>
        <v>0</v>
      </c>
      <c r="R14" s="883">
        <f>SUMIFS(Demand.Forecast!$D$13:$AO$13,Demand.Forecast!$D$1:$AO$1,R$4)</f>
        <v>0</v>
      </c>
      <c r="S14" s="883">
        <f>SUMIFS(Demand.Forecast!$D$13:$AO$13,Demand.Forecast!$D$1:$AO$1,S$4)</f>
        <v>0</v>
      </c>
      <c r="T14" s="883">
        <f>SUMIFS(Demand.Forecast!$D$13:$AO$13,Demand.Forecast!$D$1:$AO$1,T$4)</f>
        <v>0</v>
      </c>
      <c r="U14" s="883">
        <f>SUMIFS(Demand.Forecast!$D$13:$AO$13,Demand.Forecast!$D$1:$AO$1,U$4)</f>
        <v>0</v>
      </c>
      <c r="V14" s="883">
        <f>SUMIFS(Demand.Forecast!$D$13:$AO$13,Demand.Forecast!$D$1:$AO$1,V$4)</f>
        <v>0</v>
      </c>
      <c r="W14" s="883">
        <f>SUMIFS(Demand.Forecast!$D$13:$AO$13,Demand.Forecast!$D$1:$AO$1,W$4)</f>
        <v>0</v>
      </c>
      <c r="X14" s="883">
        <f>SUMIFS(Demand.Forecast!$D$13:$AO$13,Demand.Forecast!$D$1:$AO$1,X$4)</f>
        <v>0</v>
      </c>
      <c r="Y14" s="883">
        <f>SUMIFS(Demand.Forecast!$D$13:$AO$13,Demand.Forecast!$D$1:$AO$1,Y$4)</f>
        <v>0</v>
      </c>
      <c r="Z14" s="883">
        <f>SUMIFS(Demand.Forecast!$D$13:$AO$13,Demand.Forecast!$D$1:$AO$1,Z$4)</f>
        <v>0</v>
      </c>
      <c r="AA14" s="883">
        <f>SUMIFS(Demand.Forecast!$D$13:$AO$13,Demand.Forecast!$D$1:$AO$1,AA$4)</f>
        <v>0</v>
      </c>
      <c r="AB14" s="883">
        <f>SUMIFS(Demand.Forecast!$D$13:$AO$13,Demand.Forecast!$D$1:$AO$1,AB$4)</f>
        <v>0</v>
      </c>
      <c r="AC14" s="883">
        <f>SUMIFS(Demand.Forecast!$D$13:$AO$13,Demand.Forecast!$D$1:$AO$1,AC$4)</f>
        <v>0</v>
      </c>
      <c r="AD14" s="883">
        <f>SUMIFS(Demand.Forecast!$D$13:$AO$13,Demand.Forecast!$D$1:$AO$1,AD$4)</f>
        <v>0</v>
      </c>
      <c r="AE14" s="883">
        <f>SUMIFS(Demand.Forecast!$D$13:$AO$13,Demand.Forecast!$D$1:$AO$1,AE$4)</f>
        <v>0</v>
      </c>
      <c r="AF14" s="883">
        <f>SUMIFS(Demand.Forecast!$D$13:$AO$13,Demand.Forecast!$D$1:$AO$1,AF$4)</f>
        <v>0</v>
      </c>
      <c r="AG14" s="883">
        <f>SUMIFS(Demand.Forecast!$D$13:$AO$13,Demand.Forecast!$D$1:$AO$1,AG$4)</f>
        <v>0</v>
      </c>
      <c r="AH14" s="883">
        <f>SUMIFS(Demand.Forecast!$D$13:$AO$13,Demand.Forecast!$D$1:$AO$1,AH$4)</f>
        <v>0</v>
      </c>
      <c r="AI14" s="883">
        <f>SUMIFS(Demand.Forecast!$D$13:$AO$13,Demand.Forecast!$D$1:$AO$1,AI$4)</f>
        <v>0</v>
      </c>
      <c r="AJ14" s="883">
        <f>SUMIFS(Demand.Forecast!$D$13:$AO$13,Demand.Forecast!$D$1:$AO$1,AJ$4)</f>
        <v>0</v>
      </c>
      <c r="AK14" s="883">
        <f>SUMIFS(Demand.Forecast!$D$13:$AO$13,Demand.Forecast!$D$1:$AO$1,AK$4)</f>
        <v>0</v>
      </c>
      <c r="AL14" s="883">
        <f>SUMIFS(Demand.Forecast!$D$13:$AO$13,Demand.Forecast!$D$1:$AO$1,AL$4)</f>
        <v>0</v>
      </c>
      <c r="AM14" s="883">
        <f>SUMIFS(Demand.Forecast!$D$13:$AO$13,Demand.Forecast!$D$1:$AO$1,AM$4)</f>
        <v>0</v>
      </c>
      <c r="AN14" s="883">
        <f>SUMIFS(Demand.Forecast!$D$13:$AO$13,Demand.Forecast!$D$1:$AO$1,AN$4)</f>
        <v>0</v>
      </c>
      <c r="AO14" s="883">
        <f>SUMIFS(Demand.Forecast!$D$13:$AO$13,Demand.Forecast!$D$1:$AO$1,AO$4)</f>
        <v>0</v>
      </c>
    </row>
    <row r="15" spans="1:41" s="924" customFormat="1" ht="15">
      <c r="A15" s="992"/>
      <c r="B15" s="987"/>
      <c r="C15" s="994"/>
      <c r="D15" s="994"/>
      <c r="E15" s="994"/>
      <c r="F15" s="994"/>
      <c r="G15" s="994"/>
      <c r="H15" s="994"/>
      <c r="I15" s="994"/>
      <c r="J15" s="994"/>
      <c r="K15" s="994"/>
      <c r="L15" s="994"/>
      <c r="M15" s="994"/>
      <c r="N15" s="994"/>
      <c r="O15" s="994"/>
      <c r="P15" s="994"/>
      <c r="Q15" s="994"/>
      <c r="R15" s="994"/>
      <c r="S15" s="994"/>
      <c r="T15" s="994"/>
      <c r="U15" s="994"/>
      <c r="V15" s="994"/>
      <c r="W15" s="994"/>
      <c r="X15" s="994"/>
      <c r="Y15" s="994"/>
      <c r="Z15" s="994"/>
      <c r="AA15" s="994"/>
      <c r="AB15" s="994"/>
      <c r="AC15" s="994"/>
      <c r="AD15" s="994"/>
      <c r="AE15" s="994"/>
      <c r="AF15" s="994"/>
      <c r="AG15" s="994"/>
      <c r="AH15" s="994"/>
      <c r="AI15" s="994"/>
      <c r="AJ15" s="994"/>
      <c r="AK15" s="994"/>
      <c r="AL15" s="994"/>
      <c r="AM15" s="994"/>
      <c r="AN15" s="994"/>
      <c r="AO15" s="994"/>
    </row>
    <row r="16" spans="1:41" s="924" customFormat="1">
      <c r="A16" s="986" t="s">
        <v>450</v>
      </c>
      <c r="B16" s="987" t="s">
        <v>456</v>
      </c>
      <c r="C16" s="886">
        <f>C13*C$7</f>
        <v>0</v>
      </c>
      <c r="D16" s="886">
        <f t="shared" ref="D16:AB16" si="18">D13*D$7</f>
        <v>201092512.06613818</v>
      </c>
      <c r="E16" s="886">
        <f t="shared" si="18"/>
        <v>201729311.73254195</v>
      </c>
      <c r="F16" s="886">
        <f t="shared" si="18"/>
        <v>202368127.95247602</v>
      </c>
      <c r="G16" s="886">
        <f t="shared" si="18"/>
        <v>203008967.11176062</v>
      </c>
      <c r="H16" s="886">
        <f t="shared" si="18"/>
        <v>203651835.61643779</v>
      </c>
      <c r="I16" s="886">
        <f t="shared" si="18"/>
        <v>204296739.89283574</v>
      </c>
      <c r="J16" s="886">
        <f t="shared" si="18"/>
        <v>204943686.38763285</v>
      </c>
      <c r="K16" s="886">
        <f t="shared" si="18"/>
        <v>205592681.56792217</v>
      </c>
      <c r="L16" s="886">
        <f t="shared" si="18"/>
        <v>206243731.92127618</v>
      </c>
      <c r="M16" s="886">
        <f t="shared" si="18"/>
        <v>206896843.9558115</v>
      </c>
      <c r="N16" s="886">
        <f t="shared" si="18"/>
        <v>207552024.20025399</v>
      </c>
      <c r="O16" s="886">
        <f t="shared" si="18"/>
        <v>208209279.20400411</v>
      </c>
      <c r="P16" s="886">
        <f t="shared" si="18"/>
        <v>208868615.53720215</v>
      </c>
      <c r="Q16" s="886">
        <f t="shared" si="18"/>
        <v>209530039.79079422</v>
      </c>
      <c r="R16" s="886">
        <f t="shared" si="18"/>
        <v>210193558.57659793</v>
      </c>
      <c r="S16" s="886">
        <f t="shared" si="18"/>
        <v>210859178.52736852</v>
      </c>
      <c r="T16" s="886">
        <f t="shared" si="18"/>
        <v>211526906.29686514</v>
      </c>
      <c r="U16" s="886">
        <f t="shared" si="18"/>
        <v>212196748.55991745</v>
      </c>
      <c r="V16" s="886">
        <f t="shared" si="18"/>
        <v>212868712.01249236</v>
      </c>
      <c r="W16" s="886">
        <f t="shared" si="18"/>
        <v>213542803.3717607</v>
      </c>
      <c r="X16" s="886">
        <f t="shared" si="18"/>
        <v>214219029.37616476</v>
      </c>
      <c r="Y16" s="886">
        <f t="shared" si="18"/>
        <v>214897396.78548536</v>
      </c>
      <c r="Z16" s="886">
        <f t="shared" si="18"/>
        <v>215577912.3809095</v>
      </c>
      <c r="AA16" s="886">
        <f t="shared" si="18"/>
        <v>216260582.96509826</v>
      </c>
      <c r="AB16" s="886">
        <f t="shared" si="18"/>
        <v>216945415.36225468</v>
      </c>
      <c r="AC16" s="886">
        <f t="shared" ref="AC16:AE16" si="19">AC13*AC$7</f>
        <v>217632416.41819191</v>
      </c>
      <c r="AD16" s="886">
        <f t="shared" si="19"/>
        <v>218321593.00040182</v>
      </c>
      <c r="AE16" s="886">
        <f t="shared" si="19"/>
        <v>219012951.99812356</v>
      </c>
      <c r="AF16" s="886">
        <f>AF13*AF$7</f>
        <v>219706500.3224124</v>
      </c>
      <c r="AG16" s="886">
        <f t="shared" ref="AG16:AO16" si="20">AG13*AG$7</f>
        <v>220402244.9062089</v>
      </c>
      <c r="AH16" s="886">
        <f t="shared" si="20"/>
        <v>221100192.70440814</v>
      </c>
      <c r="AI16" s="886">
        <f t="shared" si="20"/>
        <v>221800350.69392923</v>
      </c>
      <c r="AJ16" s="886">
        <f t="shared" si="20"/>
        <v>222502725.87378508</v>
      </c>
      <c r="AK16" s="886">
        <f t="shared" si="20"/>
        <v>223207325.26515251</v>
      </c>
      <c r="AL16" s="886">
        <f t="shared" si="20"/>
        <v>223914155.91144216</v>
      </c>
      <c r="AM16" s="886">
        <f t="shared" si="20"/>
        <v>224623224.87836918</v>
      </c>
      <c r="AN16" s="886">
        <f t="shared" si="20"/>
        <v>225334539.25402346</v>
      </c>
      <c r="AO16" s="886">
        <f t="shared" si="20"/>
        <v>226048106.14894101</v>
      </c>
    </row>
    <row r="17" spans="1:41" s="924" customFormat="1">
      <c r="A17" s="986" t="s">
        <v>452</v>
      </c>
      <c r="B17" s="987" t="s">
        <v>456</v>
      </c>
      <c r="C17" s="886">
        <f>C$8*C13/Inputs!$E$17</f>
        <v>0</v>
      </c>
      <c r="D17" s="886">
        <f>D$8*D13/Inputs!$E$17</f>
        <v>201092512.06613818</v>
      </c>
      <c r="E17" s="886">
        <f>E$8*E13/Inputs!$E$17</f>
        <v>201729311.73254195</v>
      </c>
      <c r="F17" s="886">
        <f>F$8*F13/Inputs!$E$17</f>
        <v>202368127.95247599</v>
      </c>
      <c r="G17" s="886">
        <f>G$8*G13/Inputs!$E$17</f>
        <v>203008967.11176059</v>
      </c>
      <c r="H17" s="886">
        <f>H$8*H13/Inputs!$E$17</f>
        <v>203651835.61643779</v>
      </c>
      <c r="I17" s="886">
        <f>I$8*I13/Inputs!$E$17</f>
        <v>204296739.89283574</v>
      </c>
      <c r="J17" s="886">
        <f>J$8*J13/Inputs!$E$17</f>
        <v>204943686.38763282</v>
      </c>
      <c r="K17" s="886">
        <f>K$8*K13/Inputs!$E$17</f>
        <v>205592681.56792217</v>
      </c>
      <c r="L17" s="886">
        <f>L$8*L13/Inputs!$E$17</f>
        <v>206243731.92127618</v>
      </c>
      <c r="M17" s="886">
        <f>M$8*M13/Inputs!$E$17</f>
        <v>206896843.9558115</v>
      </c>
      <c r="N17" s="886">
        <f>N$8*N13/Inputs!$E$17</f>
        <v>207552024.20025402</v>
      </c>
      <c r="O17" s="886">
        <f>O$8*O13/Inputs!$E$17</f>
        <v>208209279.20400411</v>
      </c>
      <c r="P17" s="886">
        <f>P$8*P13/Inputs!$E$17</f>
        <v>208868615.53720215</v>
      </c>
      <c r="Q17" s="886">
        <f>Q$8*Q13/Inputs!$E$17</f>
        <v>209530039.79079422</v>
      </c>
      <c r="R17" s="886">
        <f>R$8*R13/Inputs!$E$17</f>
        <v>210193558.57659793</v>
      </c>
      <c r="S17" s="886">
        <f>S$8*S13/Inputs!$E$17</f>
        <v>210859178.52736852</v>
      </c>
      <c r="T17" s="886">
        <f>T$8*T13/Inputs!$E$17</f>
        <v>211526906.29686517</v>
      </c>
      <c r="U17" s="886">
        <f>U$8*U13/Inputs!$E$17</f>
        <v>212196748.55991745</v>
      </c>
      <c r="V17" s="886">
        <f>V$8*V13/Inputs!$E$17</f>
        <v>212868712.01249236</v>
      </c>
      <c r="W17" s="886">
        <f>W$8*W13/Inputs!$E$17</f>
        <v>213542803.37176073</v>
      </c>
      <c r="X17" s="886">
        <f>X$8*X13/Inputs!$E$17</f>
        <v>214219029.37616473</v>
      </c>
      <c r="Y17" s="886">
        <f>Y$8*Y13/Inputs!$E$17</f>
        <v>214897396.78548536</v>
      </c>
      <c r="Z17" s="886">
        <f>Z$8*Z13/Inputs!$E$17</f>
        <v>215577912.3809095</v>
      </c>
      <c r="AA17" s="886">
        <f>AA$8*AA13/Inputs!$E$17</f>
        <v>216260582.96509826</v>
      </c>
      <c r="AB17" s="886">
        <f>AB$8*AB13/Inputs!$E$17</f>
        <v>216945415.36225468</v>
      </c>
      <c r="AC17" s="886">
        <f>AC$8*AC13/Inputs!$E$17</f>
        <v>217632416.41819191</v>
      </c>
      <c r="AD17" s="886">
        <f>AD$8*AD13/Inputs!$E$17</f>
        <v>218321593.00040185</v>
      </c>
      <c r="AE17" s="886">
        <f>AE$8*AE13/Inputs!$E$17</f>
        <v>219012951.99812356</v>
      </c>
      <c r="AF17" s="886">
        <f>AF$8*AF13/Inputs!$E$17</f>
        <v>219706500.3224124</v>
      </c>
      <c r="AG17" s="886">
        <f>AG$8*AG13/Inputs!$E$17</f>
        <v>220402244.9062089</v>
      </c>
      <c r="AH17" s="886">
        <f>AH$8*AH13/Inputs!$E$17</f>
        <v>221100192.70440811</v>
      </c>
      <c r="AI17" s="886">
        <f>AI$8*AI13/Inputs!$E$17</f>
        <v>221800350.69392923</v>
      </c>
      <c r="AJ17" s="886">
        <f>AJ$8*AJ13/Inputs!$E$17</f>
        <v>222502725.87378511</v>
      </c>
      <c r="AK17" s="886">
        <f>AK$8*AK13/Inputs!$E$17</f>
        <v>223207325.26515251</v>
      </c>
      <c r="AL17" s="886">
        <f>AL$8*AL13/Inputs!$E$17</f>
        <v>223914155.91144219</v>
      </c>
      <c r="AM17" s="886">
        <f>AM$8*AM13/Inputs!$E$17</f>
        <v>224623224.87836918</v>
      </c>
      <c r="AN17" s="886">
        <f>AN$8*AN13/Inputs!$E$17</f>
        <v>225334539.25402346</v>
      </c>
      <c r="AO17" s="886">
        <f>AO$8*AO13/Inputs!$E$17</f>
        <v>226048106.14894104</v>
      </c>
    </row>
    <row r="18" spans="1:41" s="924" customFormat="1" ht="15">
      <c r="A18" s="995" t="s">
        <v>453</v>
      </c>
      <c r="B18" s="987" t="s">
        <v>456</v>
      </c>
      <c r="C18" s="933">
        <f>SUM(C16:C17)</f>
        <v>0</v>
      </c>
      <c r="D18" s="933">
        <f t="shared" ref="D18:AB18" si="21">SUM(D16:D17)</f>
        <v>402185024.13227636</v>
      </c>
      <c r="E18" s="933">
        <f t="shared" si="21"/>
        <v>403458623.4650839</v>
      </c>
      <c r="F18" s="933">
        <f t="shared" si="21"/>
        <v>404736255.90495205</v>
      </c>
      <c r="G18" s="933">
        <f t="shared" si="21"/>
        <v>406017934.22352123</v>
      </c>
      <c r="H18" s="933">
        <f t="shared" si="21"/>
        <v>407303671.23287559</v>
      </c>
      <c r="I18" s="933">
        <f t="shared" si="21"/>
        <v>408593479.78567147</v>
      </c>
      <c r="J18" s="933">
        <f t="shared" si="21"/>
        <v>409887372.77526569</v>
      </c>
      <c r="K18" s="933">
        <f t="shared" si="21"/>
        <v>411185363.13584435</v>
      </c>
      <c r="L18" s="933">
        <f t="shared" si="21"/>
        <v>412487463.84255236</v>
      </c>
      <c r="M18" s="933">
        <f t="shared" si="21"/>
        <v>413793687.911623</v>
      </c>
      <c r="N18" s="933">
        <f t="shared" si="21"/>
        <v>415104048.40050805</v>
      </c>
      <c r="O18" s="933">
        <f t="shared" si="21"/>
        <v>416418558.40800822</v>
      </c>
      <c r="P18" s="933">
        <f t="shared" si="21"/>
        <v>417737231.0744043</v>
      </c>
      <c r="Q18" s="933">
        <f t="shared" si="21"/>
        <v>419060079.58158845</v>
      </c>
      <c r="R18" s="933">
        <f t="shared" si="21"/>
        <v>420387117.15319586</v>
      </c>
      <c r="S18" s="933">
        <f t="shared" si="21"/>
        <v>421718357.05473703</v>
      </c>
      <c r="T18" s="933">
        <f t="shared" si="21"/>
        <v>423053812.59373033</v>
      </c>
      <c r="U18" s="933">
        <f t="shared" si="21"/>
        <v>424393497.1198349</v>
      </c>
      <c r="V18" s="933">
        <f t="shared" si="21"/>
        <v>425737424.02498472</v>
      </c>
      <c r="W18" s="933">
        <f t="shared" si="21"/>
        <v>427085606.74352145</v>
      </c>
      <c r="X18" s="933">
        <f t="shared" si="21"/>
        <v>428438058.75232947</v>
      </c>
      <c r="Y18" s="933">
        <f t="shared" si="21"/>
        <v>429794793.57097071</v>
      </c>
      <c r="Z18" s="933">
        <f t="shared" si="21"/>
        <v>431155824.76181901</v>
      </c>
      <c r="AA18" s="933">
        <f t="shared" si="21"/>
        <v>432521165.93019652</v>
      </c>
      <c r="AB18" s="933">
        <f t="shared" si="21"/>
        <v>433890830.72450936</v>
      </c>
      <c r="AC18" s="933">
        <f t="shared" ref="AC18:AE18" si="22">SUM(AC16:AC17)</f>
        <v>435264832.83638382</v>
      </c>
      <c r="AD18" s="933">
        <f t="shared" si="22"/>
        <v>436643186.00080371</v>
      </c>
      <c r="AE18" s="933">
        <f t="shared" si="22"/>
        <v>438025903.99624711</v>
      </c>
      <c r="AF18" s="933">
        <f t="shared" ref="AF18:AO18" si="23">SUM(AF16:AF17)</f>
        <v>439413000.6448248</v>
      </c>
      <c r="AG18" s="933">
        <f t="shared" si="23"/>
        <v>440804489.81241781</v>
      </c>
      <c r="AH18" s="933">
        <f t="shared" si="23"/>
        <v>442200385.40881622</v>
      </c>
      <c r="AI18" s="933">
        <f t="shared" si="23"/>
        <v>443600701.38785845</v>
      </c>
      <c r="AJ18" s="933">
        <f t="shared" si="23"/>
        <v>445005451.74757016</v>
      </c>
      <c r="AK18" s="933">
        <f t="shared" si="23"/>
        <v>446414650.53030503</v>
      </c>
      <c r="AL18" s="933">
        <f t="shared" si="23"/>
        <v>447828311.82288432</v>
      </c>
      <c r="AM18" s="933">
        <f t="shared" si="23"/>
        <v>449246449.75673836</v>
      </c>
      <c r="AN18" s="933">
        <f t="shared" si="23"/>
        <v>450669078.50804693</v>
      </c>
      <c r="AO18" s="933">
        <f t="shared" si="23"/>
        <v>452096212.29788208</v>
      </c>
    </row>
    <row r="19" spans="1:41" s="924" customFormat="1" ht="15">
      <c r="A19" s="995" t="s">
        <v>454</v>
      </c>
      <c r="B19" s="987" t="s">
        <v>456</v>
      </c>
      <c r="C19" s="933">
        <f t="shared" ref="C19:Y19" si="24">C14*C$9</f>
        <v>0</v>
      </c>
      <c r="D19" s="933">
        <f t="shared" si="24"/>
        <v>0</v>
      </c>
      <c r="E19" s="933">
        <f t="shared" si="24"/>
        <v>0</v>
      </c>
      <c r="F19" s="933">
        <f t="shared" si="24"/>
        <v>0</v>
      </c>
      <c r="G19" s="933">
        <f t="shared" si="24"/>
        <v>0</v>
      </c>
      <c r="H19" s="933">
        <f t="shared" si="24"/>
        <v>0</v>
      </c>
      <c r="I19" s="933">
        <f t="shared" si="24"/>
        <v>0</v>
      </c>
      <c r="J19" s="933">
        <f t="shared" si="24"/>
        <v>0</v>
      </c>
      <c r="K19" s="933">
        <f t="shared" si="24"/>
        <v>0</v>
      </c>
      <c r="L19" s="933">
        <f t="shared" si="24"/>
        <v>0</v>
      </c>
      <c r="M19" s="933">
        <f t="shared" si="24"/>
        <v>0</v>
      </c>
      <c r="N19" s="933">
        <f t="shared" si="24"/>
        <v>0</v>
      </c>
      <c r="O19" s="933">
        <f t="shared" si="24"/>
        <v>0</v>
      </c>
      <c r="P19" s="933">
        <f t="shared" si="24"/>
        <v>0</v>
      </c>
      <c r="Q19" s="933">
        <f t="shared" si="24"/>
        <v>0</v>
      </c>
      <c r="R19" s="933">
        <f t="shared" si="24"/>
        <v>0</v>
      </c>
      <c r="S19" s="933">
        <f t="shared" si="24"/>
        <v>0</v>
      </c>
      <c r="T19" s="933">
        <f t="shared" si="24"/>
        <v>0</v>
      </c>
      <c r="U19" s="933">
        <f t="shared" si="24"/>
        <v>0</v>
      </c>
      <c r="V19" s="933">
        <f t="shared" si="24"/>
        <v>0</v>
      </c>
      <c r="W19" s="933">
        <f t="shared" si="24"/>
        <v>0</v>
      </c>
      <c r="X19" s="933">
        <f t="shared" si="24"/>
        <v>0</v>
      </c>
      <c r="Y19" s="933">
        <f t="shared" si="24"/>
        <v>0</v>
      </c>
      <c r="Z19" s="933">
        <f t="shared" ref="Z19" si="25">Z14*Z$9</f>
        <v>0</v>
      </c>
      <c r="AA19" s="933">
        <f t="shared" ref="AA19:AB19" si="26">AA14*AA$9</f>
        <v>0</v>
      </c>
      <c r="AB19" s="933">
        <f t="shared" si="26"/>
        <v>0</v>
      </c>
      <c r="AC19" s="933">
        <f t="shared" ref="AC19:AE19" si="27">AC14*AC$9</f>
        <v>0</v>
      </c>
      <c r="AD19" s="933">
        <f t="shared" si="27"/>
        <v>0</v>
      </c>
      <c r="AE19" s="933">
        <f t="shared" si="27"/>
        <v>0</v>
      </c>
      <c r="AF19" s="933">
        <f t="shared" ref="AF19:AO19" si="28">AF14*AF$9</f>
        <v>0</v>
      </c>
      <c r="AG19" s="933">
        <f t="shared" si="28"/>
        <v>0</v>
      </c>
      <c r="AH19" s="933">
        <f t="shared" si="28"/>
        <v>0</v>
      </c>
      <c r="AI19" s="933">
        <f t="shared" si="28"/>
        <v>0</v>
      </c>
      <c r="AJ19" s="933">
        <f t="shared" si="28"/>
        <v>0</v>
      </c>
      <c r="AK19" s="933">
        <f t="shared" si="28"/>
        <v>0</v>
      </c>
      <c r="AL19" s="933">
        <f t="shared" si="28"/>
        <v>0</v>
      </c>
      <c r="AM19" s="933">
        <f t="shared" si="28"/>
        <v>0</v>
      </c>
      <c r="AN19" s="933">
        <f t="shared" si="28"/>
        <v>0</v>
      </c>
      <c r="AO19" s="933">
        <f t="shared" si="28"/>
        <v>0</v>
      </c>
    </row>
    <row r="20" spans="1:41" s="924" customFormat="1" ht="15">
      <c r="A20" s="986"/>
      <c r="B20" s="987"/>
      <c r="C20" s="996"/>
      <c r="D20" s="996"/>
      <c r="E20" s="996"/>
      <c r="F20" s="996"/>
      <c r="G20" s="996"/>
      <c r="H20" s="996"/>
      <c r="I20" s="996"/>
      <c r="J20" s="996"/>
      <c r="K20" s="996"/>
      <c r="L20" s="996"/>
      <c r="M20" s="996"/>
      <c r="N20" s="996"/>
      <c r="O20" s="996"/>
      <c r="P20" s="996"/>
      <c r="Q20" s="996"/>
      <c r="R20" s="996"/>
      <c r="S20" s="996"/>
      <c r="T20" s="996"/>
      <c r="U20" s="996"/>
      <c r="V20" s="996"/>
      <c r="W20" s="997"/>
      <c r="X20" s="997"/>
      <c r="Y20" s="997"/>
      <c r="Z20" s="997"/>
      <c r="AA20" s="997"/>
      <c r="AB20" s="997"/>
      <c r="AC20" s="997"/>
      <c r="AD20" s="997"/>
      <c r="AE20" s="997"/>
      <c r="AF20" s="997"/>
      <c r="AG20" s="997"/>
      <c r="AH20" s="997"/>
      <c r="AI20" s="997"/>
      <c r="AJ20" s="997"/>
      <c r="AK20" s="997"/>
      <c r="AL20" s="997"/>
      <c r="AM20" s="997"/>
      <c r="AN20" s="997"/>
      <c r="AO20" s="997"/>
    </row>
    <row r="21" spans="1:41" s="934" customFormat="1" ht="15">
      <c r="A21" s="931" t="s">
        <v>455</v>
      </c>
      <c r="B21" s="932" t="s">
        <v>456</v>
      </c>
      <c r="C21" s="933">
        <f t="shared" ref="C21:Y21" si="29">SUM(C18:C19)</f>
        <v>0</v>
      </c>
      <c r="D21" s="933">
        <f t="shared" si="29"/>
        <v>402185024.13227636</v>
      </c>
      <c r="E21" s="933">
        <f t="shared" si="29"/>
        <v>403458623.4650839</v>
      </c>
      <c r="F21" s="933">
        <f t="shared" si="29"/>
        <v>404736255.90495205</v>
      </c>
      <c r="G21" s="933">
        <f t="shared" si="29"/>
        <v>406017934.22352123</v>
      </c>
      <c r="H21" s="933">
        <f t="shared" si="29"/>
        <v>407303671.23287559</v>
      </c>
      <c r="I21" s="933">
        <f t="shared" si="29"/>
        <v>408593479.78567147</v>
      </c>
      <c r="J21" s="933">
        <f t="shared" si="29"/>
        <v>409887372.77526569</v>
      </c>
      <c r="K21" s="933">
        <f t="shared" si="29"/>
        <v>411185363.13584435</v>
      </c>
      <c r="L21" s="933">
        <f t="shared" si="29"/>
        <v>412487463.84255236</v>
      </c>
      <c r="M21" s="933">
        <f t="shared" si="29"/>
        <v>413793687.911623</v>
      </c>
      <c r="N21" s="933">
        <f t="shared" si="29"/>
        <v>415104048.40050805</v>
      </c>
      <c r="O21" s="933">
        <f t="shared" si="29"/>
        <v>416418558.40800822</v>
      </c>
      <c r="P21" s="933">
        <f t="shared" si="29"/>
        <v>417737231.0744043</v>
      </c>
      <c r="Q21" s="933">
        <f t="shared" si="29"/>
        <v>419060079.58158845</v>
      </c>
      <c r="R21" s="933">
        <f t="shared" si="29"/>
        <v>420387117.15319586</v>
      </c>
      <c r="S21" s="933">
        <f t="shared" si="29"/>
        <v>421718357.05473703</v>
      </c>
      <c r="T21" s="933">
        <f t="shared" si="29"/>
        <v>423053812.59373033</v>
      </c>
      <c r="U21" s="933">
        <f t="shared" si="29"/>
        <v>424393497.1198349</v>
      </c>
      <c r="V21" s="933">
        <f t="shared" si="29"/>
        <v>425737424.02498472</v>
      </c>
      <c r="W21" s="933">
        <f t="shared" si="29"/>
        <v>427085606.74352145</v>
      </c>
      <c r="X21" s="933">
        <f t="shared" si="29"/>
        <v>428438058.75232947</v>
      </c>
      <c r="Y21" s="933">
        <f t="shared" si="29"/>
        <v>429794793.57097071</v>
      </c>
      <c r="Z21" s="933">
        <f t="shared" ref="Z21" si="30">SUM(Z18:Z19)</f>
        <v>431155824.76181901</v>
      </c>
      <c r="AA21" s="933">
        <f t="shared" ref="AA21:AB21" si="31">SUM(AA18:AA19)</f>
        <v>432521165.93019652</v>
      </c>
      <c r="AB21" s="933">
        <f t="shared" si="31"/>
        <v>433890830.72450936</v>
      </c>
      <c r="AC21" s="933">
        <f t="shared" ref="AC21:AE21" si="32">SUM(AC18:AC19)</f>
        <v>435264832.83638382</v>
      </c>
      <c r="AD21" s="933">
        <f t="shared" si="32"/>
        <v>436643186.00080371</v>
      </c>
      <c r="AE21" s="933">
        <f t="shared" si="32"/>
        <v>438025903.99624711</v>
      </c>
      <c r="AF21" s="933">
        <f t="shared" ref="AF21:AO21" si="33">SUM(AF18:AF19)</f>
        <v>439413000.6448248</v>
      </c>
      <c r="AG21" s="933">
        <f t="shared" si="33"/>
        <v>440804489.81241781</v>
      </c>
      <c r="AH21" s="933">
        <f t="shared" si="33"/>
        <v>442200385.40881622</v>
      </c>
      <c r="AI21" s="933">
        <f t="shared" si="33"/>
        <v>443600701.38785845</v>
      </c>
      <c r="AJ21" s="933">
        <f t="shared" si="33"/>
        <v>445005451.74757016</v>
      </c>
      <c r="AK21" s="933">
        <f t="shared" si="33"/>
        <v>446414650.53030503</v>
      </c>
      <c r="AL21" s="933">
        <f t="shared" si="33"/>
        <v>447828311.82288432</v>
      </c>
      <c r="AM21" s="933">
        <f t="shared" si="33"/>
        <v>449246449.75673836</v>
      </c>
      <c r="AN21" s="933">
        <f t="shared" si="33"/>
        <v>450669078.50804693</v>
      </c>
      <c r="AO21" s="933">
        <f t="shared" si="33"/>
        <v>452096212.29788208</v>
      </c>
    </row>
    <row r="22" spans="1:41" s="950" customFormat="1">
      <c r="A22" s="934"/>
      <c r="B22" s="998"/>
      <c r="C22" s="999"/>
      <c r="D22" s="999"/>
      <c r="E22" s="999"/>
      <c r="F22" s="999"/>
      <c r="G22" s="999"/>
      <c r="H22" s="999"/>
      <c r="I22" s="999"/>
      <c r="J22" s="999"/>
      <c r="K22" s="999"/>
      <c r="L22" s="999"/>
      <c r="M22" s="999"/>
      <c r="N22" s="999"/>
      <c r="O22" s="999"/>
      <c r="P22" s="999"/>
      <c r="Q22" s="999"/>
      <c r="R22" s="999"/>
      <c r="S22" s="999"/>
      <c r="T22" s="999"/>
      <c r="U22" s="999"/>
      <c r="V22" s="999"/>
      <c r="W22" s="999"/>
      <c r="X22" s="999"/>
      <c r="Y22" s="999"/>
      <c r="Z22" s="999"/>
      <c r="AA22" s="999"/>
      <c r="AB22" s="999"/>
      <c r="AC22" s="999"/>
      <c r="AD22" s="999"/>
      <c r="AE22" s="999"/>
      <c r="AF22" s="999"/>
      <c r="AG22" s="999"/>
      <c r="AH22" s="999"/>
      <c r="AI22" s="999"/>
      <c r="AJ22" s="999"/>
      <c r="AK22" s="999"/>
      <c r="AL22" s="999"/>
      <c r="AM22" s="999"/>
      <c r="AN22" s="999"/>
      <c r="AO22" s="999"/>
    </row>
    <row r="23" spans="1:41" s="924" customFormat="1" ht="15">
      <c r="A23" s="989" t="s">
        <v>457</v>
      </c>
      <c r="B23" s="990" t="s">
        <v>86</v>
      </c>
      <c r="C23" s="991" t="str">
        <f t="shared" ref="C23:AO23" si="34">IF(C$5&gt;0,C$4,"")</f>
        <v/>
      </c>
      <c r="D23" s="991" t="str">
        <f t="shared" si="34"/>
        <v/>
      </c>
      <c r="E23" s="991" t="str">
        <f t="shared" si="34"/>
        <v/>
      </c>
      <c r="F23" s="991" t="str">
        <f t="shared" si="34"/>
        <v/>
      </c>
      <c r="G23" s="991" t="str">
        <f t="shared" si="34"/>
        <v/>
      </c>
      <c r="H23" s="991" t="str">
        <f t="shared" si="34"/>
        <v/>
      </c>
      <c r="I23" s="991" t="str">
        <f t="shared" si="34"/>
        <v/>
      </c>
      <c r="J23" s="991" t="str">
        <f t="shared" si="34"/>
        <v/>
      </c>
      <c r="K23" s="991" t="str">
        <f t="shared" si="34"/>
        <v/>
      </c>
      <c r="L23" s="991">
        <f t="shared" si="34"/>
        <v>2030</v>
      </c>
      <c r="M23" s="991">
        <f t="shared" si="34"/>
        <v>2031</v>
      </c>
      <c r="N23" s="991">
        <f t="shared" si="34"/>
        <v>2032</v>
      </c>
      <c r="O23" s="991">
        <f t="shared" si="34"/>
        <v>2033</v>
      </c>
      <c r="P23" s="991">
        <f t="shared" si="34"/>
        <v>2034</v>
      </c>
      <c r="Q23" s="991">
        <f t="shared" si="34"/>
        <v>2035</v>
      </c>
      <c r="R23" s="991">
        <f t="shared" si="34"/>
        <v>2036</v>
      </c>
      <c r="S23" s="991">
        <f t="shared" si="34"/>
        <v>2037</v>
      </c>
      <c r="T23" s="991">
        <f t="shared" si="34"/>
        <v>2038</v>
      </c>
      <c r="U23" s="991">
        <f t="shared" si="34"/>
        <v>2039</v>
      </c>
      <c r="V23" s="991">
        <f t="shared" si="34"/>
        <v>2040</v>
      </c>
      <c r="W23" s="991">
        <f t="shared" si="34"/>
        <v>2041</v>
      </c>
      <c r="X23" s="991">
        <f t="shared" si="34"/>
        <v>2042</v>
      </c>
      <c r="Y23" s="991">
        <f t="shared" si="34"/>
        <v>2043</v>
      </c>
      <c r="Z23" s="991">
        <f t="shared" si="34"/>
        <v>2044</v>
      </c>
      <c r="AA23" s="991">
        <f t="shared" si="34"/>
        <v>2045</v>
      </c>
      <c r="AB23" s="991">
        <f t="shared" si="34"/>
        <v>2046</v>
      </c>
      <c r="AC23" s="991">
        <f t="shared" si="34"/>
        <v>2047</v>
      </c>
      <c r="AD23" s="991">
        <f t="shared" si="34"/>
        <v>2048</v>
      </c>
      <c r="AE23" s="991">
        <f t="shared" si="34"/>
        <v>2049</v>
      </c>
      <c r="AF23" s="991">
        <f t="shared" si="34"/>
        <v>2050</v>
      </c>
      <c r="AG23" s="991">
        <f t="shared" si="34"/>
        <v>2051</v>
      </c>
      <c r="AH23" s="991">
        <f t="shared" si="34"/>
        <v>2052</v>
      </c>
      <c r="AI23" s="991">
        <f t="shared" si="34"/>
        <v>2053</v>
      </c>
      <c r="AJ23" s="991">
        <f t="shared" si="34"/>
        <v>2054</v>
      </c>
      <c r="AK23" s="991">
        <f t="shared" si="34"/>
        <v>2055</v>
      </c>
      <c r="AL23" s="991">
        <f t="shared" si="34"/>
        <v>2056</v>
      </c>
      <c r="AM23" s="991">
        <f t="shared" si="34"/>
        <v>2057</v>
      </c>
      <c r="AN23" s="991">
        <f t="shared" si="34"/>
        <v>2058</v>
      </c>
      <c r="AO23" s="991">
        <f t="shared" si="34"/>
        <v>2059</v>
      </c>
    </row>
    <row r="24" spans="1:41" s="934" customFormat="1" ht="15">
      <c r="A24" s="931"/>
      <c r="B24" s="987"/>
      <c r="C24" s="1000"/>
      <c r="D24" s="1000"/>
      <c r="E24" s="1000"/>
      <c r="F24" s="1000"/>
      <c r="G24" s="1000"/>
      <c r="H24" s="1000"/>
      <c r="I24" s="1000"/>
      <c r="J24" s="1000"/>
      <c r="K24" s="1000"/>
      <c r="L24" s="1000"/>
      <c r="M24" s="1000"/>
      <c r="N24" s="1000"/>
      <c r="O24" s="1000"/>
      <c r="P24" s="1000"/>
      <c r="Q24" s="1000"/>
      <c r="R24" s="1000"/>
      <c r="S24" s="1000"/>
      <c r="T24" s="1000"/>
      <c r="U24" s="1000"/>
      <c r="V24" s="1000"/>
      <c r="W24" s="1000"/>
      <c r="X24" s="1000"/>
      <c r="Y24" s="1000"/>
      <c r="Z24" s="1000"/>
      <c r="AA24" s="1000"/>
      <c r="AB24" s="1000"/>
      <c r="AC24" s="1000"/>
      <c r="AD24" s="1000"/>
      <c r="AE24" s="1000"/>
      <c r="AF24" s="1000"/>
      <c r="AG24" s="1000"/>
      <c r="AH24" s="1000"/>
      <c r="AI24" s="1000"/>
      <c r="AJ24" s="1000"/>
      <c r="AK24" s="1000"/>
      <c r="AL24" s="1000"/>
      <c r="AM24" s="1000"/>
      <c r="AN24" s="1000"/>
      <c r="AO24" s="1000"/>
    </row>
    <row r="25" spans="1:41" s="934" customFormat="1">
      <c r="A25" s="922" t="s">
        <v>447</v>
      </c>
      <c r="B25" s="923" t="s">
        <v>448</v>
      </c>
      <c r="C25" s="883">
        <f>SUMIFS(Demand.Forecast!$D$34:$AO$34,Demand.Forecast!$D$1:$AO$1,C$4)</f>
        <v>0</v>
      </c>
      <c r="D25" s="883">
        <f>SUMIFS(Demand.Forecast!$D$34:$AO$34,Demand.Forecast!$D$1:$AO$1,D$4)</f>
        <v>965730300</v>
      </c>
      <c r="E25" s="883">
        <f>SUMIFS(Demand.Forecast!$D$34:$AO$34,Demand.Forecast!$D$1:$AO$1,E$4)</f>
        <v>968788478.18156123</v>
      </c>
      <c r="F25" s="883">
        <f>SUMIFS(Demand.Forecast!$D$34:$AO$34,Demand.Forecast!$D$1:$AO$1,F$4)</f>
        <v>971856340.69609833</v>
      </c>
      <c r="G25" s="883">
        <f>SUMIFS(Demand.Forecast!$D$34:$AO$34,Demand.Forecast!$D$1:$AO$1,G$4)</f>
        <v>974933918.21098912</v>
      </c>
      <c r="H25" s="883">
        <f>SUMIFS(Demand.Forecast!$D$34:$AO$34,Demand.Forecast!$D$1:$AO$1,H$4)</f>
        <v>978021241.49072552</v>
      </c>
      <c r="I25" s="883">
        <f>SUMIFS(Demand.Forecast!$D$34:$AO$34,Demand.Forecast!$D$1:$AO$1,I$4)</f>
        <v>981118341.39722145</v>
      </c>
      <c r="J25" s="883">
        <f>SUMIFS(Demand.Forecast!$D$34:$AO$34,Demand.Forecast!$D$1:$AO$1,J$4)</f>
        <v>984225248.89012134</v>
      </c>
      <c r="K25" s="883">
        <f>SUMIFS(Demand.Forecast!$D$34:$AO$34,Demand.Forecast!$D$1:$AO$1,K$4)</f>
        <v>987341995.0271095</v>
      </c>
      <c r="L25" s="883">
        <f>SUMIFS(Demand.Forecast!$D$34:$AO$34,Demand.Forecast!$D$1:$AO$1,L$4)</f>
        <v>986819860.9642204</v>
      </c>
      <c r="M25" s="883">
        <f>SUMIFS(Demand.Forecast!$D$34:$AO$34,Demand.Forecast!$D$1:$AO$1,M$4)</f>
        <v>989956377.95615077</v>
      </c>
      <c r="N25" s="883">
        <f>SUMIFS(Demand.Forecast!$D$34:$AO$34,Demand.Forecast!$D$1:$AO$1,N$4)</f>
        <v>789815327.3565712</v>
      </c>
      <c r="O25" s="883">
        <f>SUMIFS(Demand.Forecast!$D$34:$AO$34,Demand.Forecast!$D$1:$AO$1,O$4)</f>
        <v>792971740.61844003</v>
      </c>
      <c r="P25" s="883">
        <f>SUMIFS(Demand.Forecast!$D$34:$AO$34,Demand.Forecast!$D$1:$AO$1,P$4)</f>
        <v>734964249.29431772</v>
      </c>
      <c r="Q25" s="883">
        <f>SUMIFS(Demand.Forecast!$D$34:$AO$34,Demand.Forecast!$D$1:$AO$1,Q$4)</f>
        <v>738140685.03668225</v>
      </c>
      <c r="R25" s="883">
        <f>SUMIFS(Demand.Forecast!$D$34:$AO$34,Demand.Forecast!$D$1:$AO$1,R$4)</f>
        <v>741327179.5982455</v>
      </c>
      <c r="S25" s="883">
        <f>SUMIFS(Demand.Forecast!$D$34:$AO$34,Demand.Forecast!$D$1:$AO$1,S$4)</f>
        <v>744523764.83227074</v>
      </c>
      <c r="T25" s="883">
        <f>SUMIFS(Demand.Forecast!$D$34:$AO$34,Demand.Forecast!$D$1:$AO$1,T$4)</f>
        <v>747730472.69289076</v>
      </c>
      <c r="U25" s="883">
        <f>SUMIFS(Demand.Forecast!$D$34:$AO$34,Demand.Forecast!$D$1:$AO$1,U$4)</f>
        <v>750947335.23542762</v>
      </c>
      <c r="V25" s="883">
        <f>SUMIFS(Demand.Forecast!$D$34:$AO$34,Demand.Forecast!$D$1:$AO$1,V$4)</f>
        <v>754174384.61671317</v>
      </c>
      <c r="W25" s="883">
        <f>SUMIFS(Demand.Forecast!$D$34:$AO$34,Demand.Forecast!$D$1:$AO$1,W$4)</f>
        <v>757411653.09540975</v>
      </c>
      <c r="X25" s="883">
        <f>SUMIFS(Demand.Forecast!$D$34:$AO$34,Demand.Forecast!$D$1:$AO$1,X$4)</f>
        <v>760659173.03233385</v>
      </c>
      <c r="Y25" s="883">
        <f>SUMIFS(Demand.Forecast!$D$34:$AO$34,Demand.Forecast!$D$1:$AO$1,Y$4)</f>
        <v>763916976.89077854</v>
      </c>
      <c r="Z25" s="883">
        <f>SUMIFS(Demand.Forecast!$D$34:$AO$34,Demand.Forecast!$D$1:$AO$1,Z$4)</f>
        <v>767185097.23683846</v>
      </c>
      <c r="AA25" s="883">
        <f>SUMIFS(Demand.Forecast!$D$34:$AO$34,Demand.Forecast!$D$1:$AO$1,AA$4)</f>
        <v>770463566.73973548</v>
      </c>
      <c r="AB25" s="883">
        <f>SUMIFS(Demand.Forecast!$D$34:$AO$34,Demand.Forecast!$D$1:$AO$1,AB$4)</f>
        <v>773752418.17214513</v>
      </c>
      <c r="AC25" s="883">
        <f>SUMIFS(Demand.Forecast!$D$34:$AO$34,Demand.Forecast!$D$1:$AO$1,AC$4)</f>
        <v>777051684.41052389</v>
      </c>
      <c r="AD25" s="883">
        <f>SUMIFS(Demand.Forecast!$D$34:$AO$34,Demand.Forecast!$D$1:$AO$1,AD$4)</f>
        <v>780361398.43543828</v>
      </c>
      <c r="AE25" s="883">
        <f>SUMIFS(Demand.Forecast!$D$34:$AO$34,Demand.Forecast!$D$1:$AO$1,AE$4)</f>
        <v>783681593.33189428</v>
      </c>
      <c r="AF25" s="883">
        <f>SUMIFS(Demand.Forecast!$D$34:$AO$34,Demand.Forecast!$D$1:$AO$1,AF$4)</f>
        <v>787012302.28966832</v>
      </c>
      <c r="AG25" s="883">
        <f>SUMIFS(Demand.Forecast!$D$34:$AO$34,Demand.Forecast!$D$1:$AO$1,AG$4)</f>
        <v>790353558.60363877</v>
      </c>
      <c r="AH25" s="883">
        <f>SUMIFS(Demand.Forecast!$D$34:$AO$34,Demand.Forecast!$D$1:$AO$1,AH$4)</f>
        <v>793705395.674119</v>
      </c>
      <c r="AI25" s="883">
        <f>SUMIFS(Demand.Forecast!$D$34:$AO$34,Demand.Forecast!$D$1:$AO$1,AI$4)</f>
        <v>797067847.00719106</v>
      </c>
      <c r="AJ25" s="883">
        <f>SUMIFS(Demand.Forecast!$D$34:$AO$34,Demand.Forecast!$D$1:$AO$1,AJ$4)</f>
        <v>800440946.21504056</v>
      </c>
      <c r="AK25" s="883">
        <f>SUMIFS(Demand.Forecast!$D$34:$AO$34,Demand.Forecast!$D$1:$AO$1,AK$4)</f>
        <v>803824727.01629341</v>
      </c>
      <c r="AL25" s="883">
        <f>SUMIFS(Demand.Forecast!$D$34:$AO$34,Demand.Forecast!$D$1:$AO$1,AL$4)</f>
        <v>807219223.23635161</v>
      </c>
      <c r="AM25" s="883">
        <f>SUMIFS(Demand.Forecast!$D$34:$AO$34,Demand.Forecast!$D$1:$AO$1,AM$4)</f>
        <v>810624468.80773246</v>
      </c>
      <c r="AN25" s="883">
        <f>SUMIFS(Demand.Forecast!$D$34:$AO$34,Demand.Forecast!$D$1:$AO$1,AN$4)</f>
        <v>814040497.7704072</v>
      </c>
      <c r="AO25" s="883">
        <f>SUMIFS(Demand.Forecast!$D$34:$AO$34,Demand.Forecast!$D$1:$AO$1,AO$4)</f>
        <v>817467344.27214134</v>
      </c>
    </row>
    <row r="26" spans="1:41" s="934" customFormat="1">
      <c r="A26" s="922" t="s">
        <v>449</v>
      </c>
      <c r="B26" s="923" t="s">
        <v>448</v>
      </c>
      <c r="C26" s="883">
        <f>SUMIFS(Demand.Forecast!$D$33:$AO$33,Demand.Forecast!$D$1:$AO$1,C$4)</f>
        <v>0</v>
      </c>
      <c r="D26" s="883">
        <f>SUMIFS(Demand.Forecast!$D$33:$AO$33,Demand.Forecast!$D$1:$AO$1,D$4)</f>
        <v>0</v>
      </c>
      <c r="E26" s="883">
        <f>SUMIFS(Demand.Forecast!$D$33:$AO$33,Demand.Forecast!$D$1:$AO$1,E$4)</f>
        <v>0</v>
      </c>
      <c r="F26" s="883">
        <f>SUMIFS(Demand.Forecast!$D$33:$AO$33,Demand.Forecast!$D$1:$AO$1,F$4)</f>
        <v>0</v>
      </c>
      <c r="G26" s="883">
        <f>SUMIFS(Demand.Forecast!$D$33:$AO$33,Demand.Forecast!$D$1:$AO$1,G$4)</f>
        <v>0</v>
      </c>
      <c r="H26" s="883">
        <f>SUMIFS(Demand.Forecast!$D$33:$AO$33,Demand.Forecast!$D$1:$AO$1,H$4)</f>
        <v>0</v>
      </c>
      <c r="I26" s="883">
        <f>SUMIFS(Demand.Forecast!$D$33:$AO$33,Demand.Forecast!$D$1:$AO$1,I$4)</f>
        <v>0</v>
      </c>
      <c r="J26" s="883">
        <f>SUMIFS(Demand.Forecast!$D$33:$AO$33,Demand.Forecast!$D$1:$AO$1,J$4)</f>
        <v>0</v>
      </c>
      <c r="K26" s="883">
        <f>SUMIFS(Demand.Forecast!$D$33:$AO$33,Demand.Forecast!$D$1:$AO$1,K$4)</f>
        <v>0</v>
      </c>
      <c r="L26" s="883">
        <f>SUMIFS(Demand.Forecast!$D$33:$AO$33,Demand.Forecast!$D$1:$AO$1,L$4)</f>
        <v>3648750</v>
      </c>
      <c r="M26" s="883">
        <f>SUMIFS(Demand.Forecast!$D$33:$AO$33,Demand.Forecast!$D$1:$AO$1,M$4)</f>
        <v>3648750</v>
      </c>
      <c r="N26" s="883">
        <f>SUMIFS(Demand.Forecast!$D$33:$AO$33,Demand.Forecast!$D$1:$AO$1,N$4)</f>
        <v>206936250</v>
      </c>
      <c r="O26" s="883">
        <f>SUMIFS(Demand.Forecast!$D$33:$AO$33,Demand.Forecast!$D$1:$AO$1,O$4)</f>
        <v>206936250</v>
      </c>
      <c r="P26" s="883">
        <f>SUMIFS(Demand.Forecast!$D$33:$AO$33,Demand.Forecast!$D$1:$AO$1,P$4)</f>
        <v>268110150</v>
      </c>
      <c r="Q26" s="883">
        <f>SUMIFS(Demand.Forecast!$D$33:$AO$33,Demand.Forecast!$D$1:$AO$1,Q$4)</f>
        <v>268110150</v>
      </c>
      <c r="R26" s="883">
        <f>SUMIFS(Demand.Forecast!$D$33:$AO$33,Demand.Forecast!$D$1:$AO$1,R$4)</f>
        <v>268110150</v>
      </c>
      <c r="S26" s="883">
        <f>SUMIFS(Demand.Forecast!$D$33:$AO$33,Demand.Forecast!$D$1:$AO$1,S$4)</f>
        <v>268110150</v>
      </c>
      <c r="T26" s="883">
        <f>SUMIFS(Demand.Forecast!$D$33:$AO$33,Demand.Forecast!$D$1:$AO$1,T$4)</f>
        <v>268110150</v>
      </c>
      <c r="U26" s="883">
        <f>SUMIFS(Demand.Forecast!$D$33:$AO$33,Demand.Forecast!$D$1:$AO$1,U$4)</f>
        <v>268110150</v>
      </c>
      <c r="V26" s="883">
        <f>SUMIFS(Demand.Forecast!$D$33:$AO$33,Demand.Forecast!$D$1:$AO$1,V$4)</f>
        <v>268110150</v>
      </c>
      <c r="W26" s="883">
        <f>SUMIFS(Demand.Forecast!$D$33:$AO$33,Demand.Forecast!$D$1:$AO$1,W$4)</f>
        <v>268110150</v>
      </c>
      <c r="X26" s="883">
        <f>SUMIFS(Demand.Forecast!$D$33:$AO$33,Demand.Forecast!$D$1:$AO$1,X$4)</f>
        <v>268110150</v>
      </c>
      <c r="Y26" s="883">
        <f>SUMIFS(Demand.Forecast!$D$33:$AO$33,Demand.Forecast!$D$1:$AO$1,Y$4)</f>
        <v>268110150</v>
      </c>
      <c r="Z26" s="883">
        <f>SUMIFS(Demand.Forecast!$D$33:$AO$33,Demand.Forecast!$D$1:$AO$1,Z$4)</f>
        <v>268110150</v>
      </c>
      <c r="AA26" s="883">
        <f>SUMIFS(Demand.Forecast!$D$33:$AO$33,Demand.Forecast!$D$1:$AO$1,AA$4)</f>
        <v>268110150</v>
      </c>
      <c r="AB26" s="883">
        <f>SUMIFS(Demand.Forecast!$D$33:$AO$33,Demand.Forecast!$D$1:$AO$1,AB$4)</f>
        <v>268110150</v>
      </c>
      <c r="AC26" s="883">
        <f>SUMIFS(Demand.Forecast!$D$33:$AO$33,Demand.Forecast!$D$1:$AO$1,AC$4)</f>
        <v>268110150</v>
      </c>
      <c r="AD26" s="883">
        <f>SUMIFS(Demand.Forecast!$D$33:$AO$33,Demand.Forecast!$D$1:$AO$1,AD$4)</f>
        <v>268110150</v>
      </c>
      <c r="AE26" s="883">
        <f>SUMIFS(Demand.Forecast!$D$33:$AO$33,Demand.Forecast!$D$1:$AO$1,AE$4)</f>
        <v>268110150</v>
      </c>
      <c r="AF26" s="883">
        <f>SUMIFS(Demand.Forecast!$D$33:$AO$33,Demand.Forecast!$D$1:$AO$1,AF$4)</f>
        <v>268110150</v>
      </c>
      <c r="AG26" s="883">
        <f>SUMIFS(Demand.Forecast!$D$33:$AO$33,Demand.Forecast!$D$1:$AO$1,AG$4)</f>
        <v>268110150</v>
      </c>
      <c r="AH26" s="883">
        <f>SUMIFS(Demand.Forecast!$D$33:$AO$33,Demand.Forecast!$D$1:$AO$1,AH$4)</f>
        <v>268110150</v>
      </c>
      <c r="AI26" s="883">
        <f>SUMIFS(Demand.Forecast!$D$33:$AO$33,Demand.Forecast!$D$1:$AO$1,AI$4)</f>
        <v>268110150</v>
      </c>
      <c r="AJ26" s="883">
        <f>SUMIFS(Demand.Forecast!$D$33:$AO$33,Demand.Forecast!$D$1:$AO$1,AJ$4)</f>
        <v>268110150</v>
      </c>
      <c r="AK26" s="883">
        <f>SUMIFS(Demand.Forecast!$D$33:$AO$33,Demand.Forecast!$D$1:$AO$1,AK$4)</f>
        <v>268110150</v>
      </c>
      <c r="AL26" s="883">
        <f>SUMIFS(Demand.Forecast!$D$33:$AO$33,Demand.Forecast!$D$1:$AO$1,AL$4)</f>
        <v>268110150</v>
      </c>
      <c r="AM26" s="883">
        <f>SUMIFS(Demand.Forecast!$D$33:$AO$33,Demand.Forecast!$D$1:$AO$1,AM$4)</f>
        <v>268110150</v>
      </c>
      <c r="AN26" s="883">
        <f>SUMIFS(Demand.Forecast!$D$33:$AO$33,Demand.Forecast!$D$1:$AO$1,AN$4)</f>
        <v>268110150</v>
      </c>
      <c r="AO26" s="883">
        <f>SUMIFS(Demand.Forecast!$D$33:$AO$33,Demand.Forecast!$D$1:$AO$1,AO$4)</f>
        <v>268110150</v>
      </c>
    </row>
    <row r="27" spans="1:41" s="934" customFormat="1" ht="15">
      <c r="A27" s="992"/>
      <c r="B27" s="987"/>
      <c r="C27" s="994"/>
      <c r="D27" s="994"/>
      <c r="E27" s="994"/>
      <c r="F27" s="994"/>
      <c r="G27" s="994"/>
      <c r="H27" s="994"/>
      <c r="I27" s="994"/>
      <c r="J27" s="994"/>
      <c r="K27" s="994"/>
      <c r="L27" s="994"/>
      <c r="M27" s="994"/>
      <c r="N27" s="994"/>
      <c r="O27" s="994"/>
      <c r="P27" s="994"/>
      <c r="Q27" s="994"/>
      <c r="R27" s="994"/>
      <c r="S27" s="994"/>
      <c r="T27" s="994"/>
      <c r="U27" s="994"/>
      <c r="V27" s="994"/>
      <c r="W27" s="994"/>
      <c r="X27" s="994"/>
      <c r="Y27" s="994"/>
      <c r="Z27" s="994"/>
      <c r="AA27" s="994"/>
      <c r="AB27" s="994"/>
      <c r="AC27" s="994"/>
      <c r="AD27" s="994"/>
      <c r="AE27" s="994"/>
      <c r="AF27" s="994"/>
      <c r="AG27" s="994"/>
      <c r="AH27" s="994"/>
      <c r="AI27" s="994"/>
      <c r="AJ27" s="994"/>
      <c r="AK27" s="994"/>
      <c r="AL27" s="994"/>
      <c r="AM27" s="994"/>
      <c r="AN27" s="994"/>
      <c r="AO27" s="994"/>
    </row>
    <row r="28" spans="1:41" s="924" customFormat="1">
      <c r="A28" s="986" t="s">
        <v>450</v>
      </c>
      <c r="B28" s="987" t="s">
        <v>456</v>
      </c>
      <c r="C28" s="886">
        <f>C25*C$7</f>
        <v>0</v>
      </c>
      <c r="D28" s="886">
        <f t="shared" ref="D28:AB28" si="35">D25*D$7</f>
        <v>201092512.06613818</v>
      </c>
      <c r="E28" s="886">
        <f t="shared" si="35"/>
        <v>201729311.73254195</v>
      </c>
      <c r="F28" s="886">
        <f t="shared" si="35"/>
        <v>202368127.95247602</v>
      </c>
      <c r="G28" s="886">
        <f t="shared" si="35"/>
        <v>203008967.11176062</v>
      </c>
      <c r="H28" s="886">
        <f t="shared" si="35"/>
        <v>203651835.61643779</v>
      </c>
      <c r="I28" s="886">
        <f>I25*I$7</f>
        <v>204296739.89283574</v>
      </c>
      <c r="J28" s="886">
        <f>J25*J$7</f>
        <v>204943686.38763285</v>
      </c>
      <c r="K28" s="886">
        <f t="shared" si="35"/>
        <v>205592681.56792217</v>
      </c>
      <c r="L28" s="886">
        <f t="shared" si="35"/>
        <v>205483958.40748945</v>
      </c>
      <c r="M28" s="886">
        <f>M25*M$7</f>
        <v>206137070.44202477</v>
      </c>
      <c r="N28" s="886">
        <f t="shared" si="35"/>
        <v>164462012.06120607</v>
      </c>
      <c r="O28" s="886">
        <f t="shared" si="35"/>
        <v>165119267.06495619</v>
      </c>
      <c r="P28" s="886">
        <f t="shared" si="35"/>
        <v>153040457.74415258</v>
      </c>
      <c r="Q28" s="886">
        <f t="shared" si="35"/>
        <v>153701881.99774465</v>
      </c>
      <c r="R28" s="886">
        <f t="shared" si="35"/>
        <v>154365400.78354833</v>
      </c>
      <c r="S28" s="886">
        <f t="shared" si="35"/>
        <v>155031020.73431891</v>
      </c>
      <c r="T28" s="886">
        <f t="shared" si="35"/>
        <v>155698748.50381556</v>
      </c>
      <c r="U28" s="886">
        <f t="shared" si="35"/>
        <v>156368590.76686788</v>
      </c>
      <c r="V28" s="886">
        <f t="shared" si="35"/>
        <v>157040554.21944275</v>
      </c>
      <c r="W28" s="886">
        <f t="shared" si="35"/>
        <v>157714645.57871109</v>
      </c>
      <c r="X28" s="886">
        <f t="shared" si="35"/>
        <v>158390871.58311516</v>
      </c>
      <c r="Y28" s="886">
        <f t="shared" si="35"/>
        <v>159069238.99243575</v>
      </c>
      <c r="Z28" s="886">
        <f t="shared" si="35"/>
        <v>159749754.58785993</v>
      </c>
      <c r="AA28" s="886">
        <f t="shared" si="35"/>
        <v>160432425.17204869</v>
      </c>
      <c r="AB28" s="886">
        <f t="shared" si="35"/>
        <v>161117257.56920508</v>
      </c>
      <c r="AC28" s="886">
        <f t="shared" ref="AC28:AE28" si="36">AC25*AC$7</f>
        <v>161804258.62514231</v>
      </c>
      <c r="AD28" s="886">
        <f t="shared" si="36"/>
        <v>162493435.20735222</v>
      </c>
      <c r="AE28" s="886">
        <f t="shared" si="36"/>
        <v>163184794.20507398</v>
      </c>
      <c r="AF28" s="886">
        <f t="shared" ref="AF28:AO28" si="37">AF25*AF$7</f>
        <v>163878342.52936283</v>
      </c>
      <c r="AG28" s="886">
        <f t="shared" si="37"/>
        <v>164574087.11315933</v>
      </c>
      <c r="AH28" s="886">
        <f t="shared" si="37"/>
        <v>165272034.91135854</v>
      </c>
      <c r="AI28" s="886">
        <f t="shared" si="37"/>
        <v>165972192.90087962</v>
      </c>
      <c r="AJ28" s="886">
        <f t="shared" si="37"/>
        <v>166674568.08073547</v>
      </c>
      <c r="AK28" s="886">
        <f t="shared" si="37"/>
        <v>167379167.47210294</v>
      </c>
      <c r="AL28" s="886">
        <f t="shared" si="37"/>
        <v>168085998.11839262</v>
      </c>
      <c r="AM28" s="886">
        <f t="shared" si="37"/>
        <v>168795067.08531958</v>
      </c>
      <c r="AN28" s="886">
        <f t="shared" si="37"/>
        <v>169506381.46097389</v>
      </c>
      <c r="AO28" s="886">
        <f t="shared" si="37"/>
        <v>170219948.35589141</v>
      </c>
    </row>
    <row r="29" spans="1:41" s="924" customFormat="1">
      <c r="A29" s="986" t="s">
        <v>452</v>
      </c>
      <c r="B29" s="987" t="s">
        <v>456</v>
      </c>
      <c r="C29" s="886">
        <f>C$8*C25/Inputs!$E$17</f>
        <v>0</v>
      </c>
      <c r="D29" s="886">
        <f>D$8*D25/Inputs!$E$17</f>
        <v>201092512.06613818</v>
      </c>
      <c r="E29" s="886">
        <f>E$8*E25/Inputs!$E$17</f>
        <v>201729311.73254195</v>
      </c>
      <c r="F29" s="886">
        <f>F$8*F25/Inputs!$E$17</f>
        <v>202368127.95247599</v>
      </c>
      <c r="G29" s="886">
        <f>G$8*G25/Inputs!$E$17</f>
        <v>203008967.11176059</v>
      </c>
      <c r="H29" s="886">
        <f>H$8*H25/Inputs!$E$17</f>
        <v>203651835.61643779</v>
      </c>
      <c r="I29" s="886">
        <f>I$8*I25/Inputs!$E$17</f>
        <v>204296739.89283574</v>
      </c>
      <c r="J29" s="886">
        <f>J$8*J25/Inputs!$E$17</f>
        <v>204943686.38763282</v>
      </c>
      <c r="K29" s="886">
        <f>K$8*K25/Inputs!$E$17</f>
        <v>205592681.56792217</v>
      </c>
      <c r="L29" s="886">
        <f>L$8*L25/Inputs!$E$17</f>
        <v>205483958.40748942</v>
      </c>
      <c r="M29" s="886">
        <f>M$8*M25/Inputs!$E$17</f>
        <v>206137070.44202477</v>
      </c>
      <c r="N29" s="886">
        <f>N$8*N25/Inputs!$E$17</f>
        <v>164462012.0612061</v>
      </c>
      <c r="O29" s="886">
        <f>O$8*O25/Inputs!$E$17</f>
        <v>165119267.06495619</v>
      </c>
      <c r="P29" s="886">
        <f>P$8*P25/Inputs!$E$17</f>
        <v>153040457.74415258</v>
      </c>
      <c r="Q29" s="886">
        <f>Q$8*Q25/Inputs!$E$17</f>
        <v>153701881.99774465</v>
      </c>
      <c r="R29" s="886">
        <f>R$8*R25/Inputs!$E$17</f>
        <v>154365400.78354833</v>
      </c>
      <c r="S29" s="886">
        <f>S$8*S25/Inputs!$E$17</f>
        <v>155031020.73431891</v>
      </c>
      <c r="T29" s="886">
        <f>T$8*T25/Inputs!$E$17</f>
        <v>155698748.50381556</v>
      </c>
      <c r="U29" s="886">
        <f>U$8*U25/Inputs!$E$17</f>
        <v>156368590.76686788</v>
      </c>
      <c r="V29" s="886">
        <f>V$8*V25/Inputs!$E$17</f>
        <v>157040554.21944275</v>
      </c>
      <c r="W29" s="886">
        <f>W$8*W25/Inputs!$E$17</f>
        <v>157714645.57871112</v>
      </c>
      <c r="X29" s="886">
        <f>X$8*X25/Inputs!$E$17</f>
        <v>158390871.58311519</v>
      </c>
      <c r="Y29" s="886">
        <f>Y$8*Y25/Inputs!$E$17</f>
        <v>159069238.99243575</v>
      </c>
      <c r="Z29" s="886">
        <f>Z$8*Z25/Inputs!$E$17</f>
        <v>159749754.58785993</v>
      </c>
      <c r="AA29" s="886">
        <f>AA$8*AA25/Inputs!$E$17</f>
        <v>160432425.17204869</v>
      </c>
      <c r="AB29" s="886">
        <f>AB$8*AB25/Inputs!$E$17</f>
        <v>161117257.56920508</v>
      </c>
      <c r="AC29" s="886">
        <f>AC$8*AC25/Inputs!$E$17</f>
        <v>161804258.62514231</v>
      </c>
      <c r="AD29" s="886">
        <f>AD$8*AD25/Inputs!$E$17</f>
        <v>162493435.20735225</v>
      </c>
      <c r="AE29" s="886">
        <f>AE$8*AE25/Inputs!$E$17</f>
        <v>163184794.20507395</v>
      </c>
      <c r="AF29" s="886">
        <f>AF$8*AF25/Inputs!$E$17</f>
        <v>163878342.52936283</v>
      </c>
      <c r="AG29" s="886">
        <f>AG$8*AG25/Inputs!$E$17</f>
        <v>164574087.1131593</v>
      </c>
      <c r="AH29" s="886">
        <f>AH$8*AH25/Inputs!$E$17</f>
        <v>165272034.91135854</v>
      </c>
      <c r="AI29" s="886">
        <f>AI$8*AI25/Inputs!$E$17</f>
        <v>165972192.90087962</v>
      </c>
      <c r="AJ29" s="886">
        <f>AJ$8*AJ25/Inputs!$E$17</f>
        <v>166674568.0807355</v>
      </c>
      <c r="AK29" s="886">
        <f>AK$8*AK25/Inputs!$E$17</f>
        <v>167379167.47210294</v>
      </c>
      <c r="AL29" s="886">
        <f>AL$8*AL25/Inputs!$E$17</f>
        <v>168085998.11839259</v>
      </c>
      <c r="AM29" s="886">
        <f>AM$8*AM25/Inputs!$E$17</f>
        <v>168795067.08531958</v>
      </c>
      <c r="AN29" s="886">
        <f>AN$8*AN25/Inputs!$E$17</f>
        <v>169506381.46097386</v>
      </c>
      <c r="AO29" s="886">
        <f>AO$8*AO25/Inputs!$E$17</f>
        <v>170219948.35589141</v>
      </c>
    </row>
    <row r="30" spans="1:41" s="924" customFormat="1" ht="15">
      <c r="A30" s="995" t="s">
        <v>453</v>
      </c>
      <c r="B30" s="987" t="s">
        <v>456</v>
      </c>
      <c r="C30" s="933">
        <f>SUM(C28:C29)</f>
        <v>0</v>
      </c>
      <c r="D30" s="933">
        <f t="shared" ref="D30" si="38">SUM(D28:D29)</f>
        <v>402185024.13227636</v>
      </c>
      <c r="E30" s="933">
        <f t="shared" ref="E30" si="39">SUM(E28:E29)</f>
        <v>403458623.4650839</v>
      </c>
      <c r="F30" s="933">
        <f t="shared" ref="F30" si="40">SUM(F28:F29)</f>
        <v>404736255.90495205</v>
      </c>
      <c r="G30" s="933">
        <f t="shared" ref="G30" si="41">SUM(G28:G29)</f>
        <v>406017934.22352123</v>
      </c>
      <c r="H30" s="933">
        <f t="shared" ref="H30" si="42">SUM(H28:H29)</f>
        <v>407303671.23287559</v>
      </c>
      <c r="I30" s="933">
        <f t="shared" ref="I30" si="43">SUM(I28:I29)</f>
        <v>408593479.78567147</v>
      </c>
      <c r="J30" s="933">
        <f>SUM(J28:J29)</f>
        <v>409887372.77526569</v>
      </c>
      <c r="K30" s="933">
        <f t="shared" ref="K30" si="44">SUM(K28:K29)</f>
        <v>411185363.13584435</v>
      </c>
      <c r="L30" s="933">
        <f t="shared" ref="L30" si="45">SUM(L28:L29)</f>
        <v>410967916.81497884</v>
      </c>
      <c r="M30" s="933">
        <f>SUM(M28:M29)</f>
        <v>412274140.88404953</v>
      </c>
      <c r="N30" s="933">
        <f t="shared" ref="N30" si="46">SUM(N28:N29)</f>
        <v>328924024.1224122</v>
      </c>
      <c r="O30" s="933">
        <f t="shared" ref="O30" si="47">SUM(O28:O29)</f>
        <v>330238534.12991238</v>
      </c>
      <c r="P30" s="933">
        <f t="shared" ref="P30" si="48">SUM(P28:P29)</f>
        <v>306080915.48830515</v>
      </c>
      <c r="Q30" s="933">
        <f t="shared" ref="Q30" si="49">SUM(Q28:Q29)</f>
        <v>307403763.9954893</v>
      </c>
      <c r="R30" s="933">
        <f t="shared" ref="R30" si="50">SUM(R28:R29)</f>
        <v>308730801.56709665</v>
      </c>
      <c r="S30" s="933">
        <f t="shared" ref="S30" si="51">SUM(S28:S29)</f>
        <v>310062041.46863782</v>
      </c>
      <c r="T30" s="933">
        <f t="shared" ref="T30" si="52">SUM(T28:T29)</f>
        <v>311397497.00763112</v>
      </c>
      <c r="U30" s="933">
        <f t="shared" ref="U30" si="53">SUM(U28:U29)</f>
        <v>312737181.53373575</v>
      </c>
      <c r="V30" s="933">
        <f t="shared" ref="V30" si="54">SUM(V28:V29)</f>
        <v>314081108.43888551</v>
      </c>
      <c r="W30" s="933">
        <f t="shared" ref="W30" si="55">SUM(W28:W29)</f>
        <v>315429291.15742218</v>
      </c>
      <c r="X30" s="933">
        <f t="shared" ref="X30" si="56">SUM(X28:X29)</f>
        <v>316781743.16623032</v>
      </c>
      <c r="Y30" s="933">
        <f t="shared" ref="Y30" si="57">SUM(Y28:Y29)</f>
        <v>318138477.98487151</v>
      </c>
      <c r="Z30" s="933">
        <f t="shared" ref="Z30" si="58">SUM(Z28:Z29)</f>
        <v>319499509.17571986</v>
      </c>
      <c r="AA30" s="933">
        <f t="shared" ref="AA30:AE30" si="59">SUM(AA28:AA29)</f>
        <v>320864850.34409738</v>
      </c>
      <c r="AB30" s="933">
        <f t="shared" ref="AB30:AD30" si="60">SUM(AB28:AB29)</f>
        <v>322234515.13841015</v>
      </c>
      <c r="AC30" s="933">
        <f t="shared" si="59"/>
        <v>323608517.25028461</v>
      </c>
      <c r="AD30" s="933">
        <f t="shared" si="60"/>
        <v>324986870.41470444</v>
      </c>
      <c r="AE30" s="933">
        <f t="shared" si="59"/>
        <v>326369588.41014791</v>
      </c>
      <c r="AF30" s="933">
        <f t="shared" ref="AF30:AO30" si="61">SUM(AF28:AF29)</f>
        <v>327756685.05872566</v>
      </c>
      <c r="AG30" s="933">
        <f t="shared" si="61"/>
        <v>329148174.2263186</v>
      </c>
      <c r="AH30" s="933">
        <f t="shared" si="61"/>
        <v>330544069.82271707</v>
      </c>
      <c r="AI30" s="933">
        <f t="shared" si="61"/>
        <v>331944385.80175924</v>
      </c>
      <c r="AJ30" s="933">
        <f t="shared" si="61"/>
        <v>333349136.16147101</v>
      </c>
      <c r="AK30" s="933">
        <f t="shared" si="61"/>
        <v>334758334.94420588</v>
      </c>
      <c r="AL30" s="933">
        <f t="shared" si="61"/>
        <v>336171996.23678517</v>
      </c>
      <c r="AM30" s="933">
        <f t="shared" si="61"/>
        <v>337590134.17063916</v>
      </c>
      <c r="AN30" s="933">
        <f t="shared" si="61"/>
        <v>339012762.92194772</v>
      </c>
      <c r="AO30" s="933">
        <f t="shared" si="61"/>
        <v>340439896.71178281</v>
      </c>
    </row>
    <row r="31" spans="1:41" s="934" customFormat="1" ht="15">
      <c r="A31" s="995" t="s">
        <v>454</v>
      </c>
      <c r="B31" s="987" t="s">
        <v>456</v>
      </c>
      <c r="C31" s="933">
        <f>C26*C$9</f>
        <v>0</v>
      </c>
      <c r="D31" s="933">
        <f>D26*D$9</f>
        <v>0</v>
      </c>
      <c r="E31" s="933">
        <f t="shared" ref="E31:Y31" si="62">E26*E$9</f>
        <v>0</v>
      </c>
      <c r="F31" s="933">
        <f t="shared" si="62"/>
        <v>0</v>
      </c>
      <c r="G31" s="933">
        <f t="shared" si="62"/>
        <v>0</v>
      </c>
      <c r="H31" s="933">
        <f t="shared" si="62"/>
        <v>0</v>
      </c>
      <c r="I31" s="933">
        <f t="shared" si="62"/>
        <v>0</v>
      </c>
      <c r="J31" s="933">
        <f>J26*J$9</f>
        <v>0</v>
      </c>
      <c r="K31" s="933">
        <f t="shared" si="62"/>
        <v>0</v>
      </c>
      <c r="L31" s="933">
        <f t="shared" si="62"/>
        <v>70785.75</v>
      </c>
      <c r="M31" s="933">
        <f>M26*M$9</f>
        <v>70785.75</v>
      </c>
      <c r="N31" s="933">
        <f t="shared" si="62"/>
        <v>4014563.25</v>
      </c>
      <c r="O31" s="933">
        <f t="shared" si="62"/>
        <v>4014563.25</v>
      </c>
      <c r="P31" s="933">
        <f t="shared" si="62"/>
        <v>5201336.91</v>
      </c>
      <c r="Q31" s="933">
        <f t="shared" si="62"/>
        <v>5201336.91</v>
      </c>
      <c r="R31" s="933">
        <f t="shared" si="62"/>
        <v>5201336.91</v>
      </c>
      <c r="S31" s="933">
        <f t="shared" si="62"/>
        <v>5201336.91</v>
      </c>
      <c r="T31" s="933">
        <f t="shared" si="62"/>
        <v>5201336.91</v>
      </c>
      <c r="U31" s="933">
        <f t="shared" si="62"/>
        <v>5201336.91</v>
      </c>
      <c r="V31" s="933">
        <f t="shared" si="62"/>
        <v>5201336.91</v>
      </c>
      <c r="W31" s="933">
        <f t="shared" si="62"/>
        <v>5201336.91</v>
      </c>
      <c r="X31" s="933">
        <f t="shared" si="62"/>
        <v>5201336.91</v>
      </c>
      <c r="Y31" s="933">
        <f t="shared" si="62"/>
        <v>5201336.91</v>
      </c>
      <c r="Z31" s="933">
        <f t="shared" ref="Z31" si="63">Z26*Z$9</f>
        <v>5201336.91</v>
      </c>
      <c r="AA31" s="933">
        <f t="shared" ref="AA31:AB31" si="64">AA26*AA$9</f>
        <v>5201336.91</v>
      </c>
      <c r="AB31" s="933">
        <f t="shared" si="64"/>
        <v>5201336.91</v>
      </c>
      <c r="AC31" s="933">
        <f t="shared" ref="AC31:AE31" si="65">AC26*AC$9</f>
        <v>5201336.91</v>
      </c>
      <c r="AD31" s="933">
        <f t="shared" si="65"/>
        <v>5201336.91</v>
      </c>
      <c r="AE31" s="933">
        <f t="shared" si="65"/>
        <v>5201336.91</v>
      </c>
      <c r="AF31" s="933">
        <f t="shared" ref="AF31:AO31" si="66">AF26*AF$9</f>
        <v>5201336.91</v>
      </c>
      <c r="AG31" s="933">
        <f t="shared" si="66"/>
        <v>5201336.91</v>
      </c>
      <c r="AH31" s="933">
        <f t="shared" si="66"/>
        <v>5201336.91</v>
      </c>
      <c r="AI31" s="933">
        <f t="shared" si="66"/>
        <v>5201336.91</v>
      </c>
      <c r="AJ31" s="933">
        <f t="shared" si="66"/>
        <v>5201336.91</v>
      </c>
      <c r="AK31" s="933">
        <f t="shared" si="66"/>
        <v>5201336.91</v>
      </c>
      <c r="AL31" s="933">
        <f t="shared" si="66"/>
        <v>5201336.91</v>
      </c>
      <c r="AM31" s="933">
        <f t="shared" si="66"/>
        <v>5201336.91</v>
      </c>
      <c r="AN31" s="933">
        <f t="shared" si="66"/>
        <v>5201336.91</v>
      </c>
      <c r="AO31" s="933">
        <f t="shared" si="66"/>
        <v>5201336.91</v>
      </c>
    </row>
    <row r="32" spans="1:41" s="934" customFormat="1" ht="15">
      <c r="A32" s="922"/>
      <c r="B32" s="987"/>
      <c r="C32" s="996"/>
      <c r="D32" s="996"/>
      <c r="E32" s="996"/>
      <c r="F32" s="996"/>
      <c r="G32" s="996"/>
      <c r="H32" s="996"/>
      <c r="I32" s="996"/>
      <c r="J32" s="996"/>
      <c r="K32" s="996"/>
      <c r="L32" s="996"/>
      <c r="M32" s="996"/>
      <c r="N32" s="996"/>
      <c r="O32" s="996"/>
      <c r="P32" s="996"/>
      <c r="Q32" s="996"/>
      <c r="R32" s="996"/>
      <c r="S32" s="996"/>
      <c r="T32" s="996"/>
      <c r="U32" s="996"/>
      <c r="V32" s="996"/>
      <c r="W32" s="996"/>
      <c r="X32" s="996"/>
      <c r="Y32" s="996"/>
      <c r="Z32" s="996"/>
      <c r="AA32" s="996"/>
      <c r="AB32" s="996"/>
      <c r="AC32" s="996"/>
      <c r="AD32" s="996"/>
      <c r="AE32" s="996"/>
      <c r="AF32" s="996"/>
      <c r="AG32" s="996"/>
      <c r="AH32" s="996"/>
      <c r="AI32" s="996"/>
      <c r="AJ32" s="996"/>
      <c r="AK32" s="996"/>
      <c r="AL32" s="996"/>
      <c r="AM32" s="996"/>
      <c r="AN32" s="996"/>
      <c r="AO32" s="996"/>
    </row>
    <row r="33" spans="1:41" s="934" customFormat="1" ht="15">
      <c r="A33" s="931" t="s">
        <v>455</v>
      </c>
      <c r="B33" s="932" t="s">
        <v>456</v>
      </c>
      <c r="C33" s="933">
        <f>SUM(C30:C31)</f>
        <v>0</v>
      </c>
      <c r="D33" s="933">
        <f>SUM(D30:D31)</f>
        <v>402185024.13227636</v>
      </c>
      <c r="E33" s="933">
        <f t="shared" ref="E33:Y33" si="67">SUM(E30:E31)</f>
        <v>403458623.4650839</v>
      </c>
      <c r="F33" s="933">
        <f t="shared" si="67"/>
        <v>404736255.90495205</v>
      </c>
      <c r="G33" s="933">
        <f t="shared" si="67"/>
        <v>406017934.22352123</v>
      </c>
      <c r="H33" s="933">
        <f t="shared" si="67"/>
        <v>407303671.23287559</v>
      </c>
      <c r="I33" s="933">
        <f>SUM(I30:I31)</f>
        <v>408593479.78567147</v>
      </c>
      <c r="J33" s="933">
        <f>SUM(J30:J31)</f>
        <v>409887372.77526569</v>
      </c>
      <c r="K33" s="933">
        <f t="shared" si="67"/>
        <v>411185363.13584435</v>
      </c>
      <c r="L33" s="933">
        <f t="shared" si="67"/>
        <v>411038702.56497884</v>
      </c>
      <c r="M33" s="933">
        <f t="shared" si="67"/>
        <v>412344926.63404953</v>
      </c>
      <c r="N33" s="933">
        <f t="shared" si="67"/>
        <v>332938587.3724122</v>
      </c>
      <c r="O33" s="933">
        <f t="shared" si="67"/>
        <v>334253097.37991238</v>
      </c>
      <c r="P33" s="933">
        <f t="shared" si="67"/>
        <v>311282252.39830518</v>
      </c>
      <c r="Q33" s="933">
        <f t="shared" si="67"/>
        <v>312605100.90548933</v>
      </c>
      <c r="R33" s="933">
        <f t="shared" si="67"/>
        <v>313932138.47709668</v>
      </c>
      <c r="S33" s="933">
        <f t="shared" si="67"/>
        <v>315263378.37863785</v>
      </c>
      <c r="T33" s="933">
        <f t="shared" si="67"/>
        <v>316598833.91763115</v>
      </c>
      <c r="U33" s="933">
        <f t="shared" si="67"/>
        <v>317938518.44373578</v>
      </c>
      <c r="V33" s="933">
        <f t="shared" si="67"/>
        <v>319282445.34888554</v>
      </c>
      <c r="W33" s="933">
        <f t="shared" si="67"/>
        <v>320630628.06742221</v>
      </c>
      <c r="X33" s="933">
        <f t="shared" si="67"/>
        <v>321983080.07623035</v>
      </c>
      <c r="Y33" s="933">
        <f t="shared" si="67"/>
        <v>323339814.89487153</v>
      </c>
      <c r="Z33" s="933">
        <f t="shared" ref="Z33" si="68">SUM(Z30:Z31)</f>
        <v>324700846.08571988</v>
      </c>
      <c r="AA33" s="933">
        <f t="shared" ref="AA33:AB33" si="69">SUM(AA30:AA31)</f>
        <v>326066187.2540974</v>
      </c>
      <c r="AB33" s="933">
        <f t="shared" si="69"/>
        <v>327435852.04841018</v>
      </c>
      <c r="AC33" s="933">
        <f t="shared" ref="AC33:AE33" si="70">SUM(AC30:AC31)</f>
        <v>328809854.16028464</v>
      </c>
      <c r="AD33" s="933">
        <f t="shared" si="70"/>
        <v>330188207.32470447</v>
      </c>
      <c r="AE33" s="933">
        <f t="shared" si="70"/>
        <v>331570925.32014793</v>
      </c>
      <c r="AF33" s="933">
        <f t="shared" ref="AF33:AO33" si="71">SUM(AF30:AF31)</f>
        <v>332958021.96872568</v>
      </c>
      <c r="AG33" s="933">
        <f t="shared" si="71"/>
        <v>334349511.13631862</v>
      </c>
      <c r="AH33" s="933">
        <f t="shared" si="71"/>
        <v>335745406.7327171</v>
      </c>
      <c r="AI33" s="933">
        <f t="shared" si="71"/>
        <v>337145722.71175927</v>
      </c>
      <c r="AJ33" s="933">
        <f t="shared" si="71"/>
        <v>338550473.07147104</v>
      </c>
      <c r="AK33" s="933">
        <f t="shared" si="71"/>
        <v>339959671.85420591</v>
      </c>
      <c r="AL33" s="933">
        <f t="shared" si="71"/>
        <v>341373333.1467852</v>
      </c>
      <c r="AM33" s="933">
        <f t="shared" si="71"/>
        <v>342791471.08063918</v>
      </c>
      <c r="AN33" s="933">
        <f t="shared" si="71"/>
        <v>344214099.83194774</v>
      </c>
      <c r="AO33" s="933">
        <f t="shared" si="71"/>
        <v>345641233.62178284</v>
      </c>
    </row>
    <row r="34" spans="1:41" s="934" customFormat="1">
      <c r="B34" s="1001"/>
      <c r="C34" s="985"/>
      <c r="D34" s="985"/>
      <c r="E34" s="985"/>
      <c r="F34" s="985"/>
      <c r="G34" s="985"/>
      <c r="H34" s="985"/>
      <c r="I34" s="985"/>
      <c r="J34" s="985"/>
      <c r="K34" s="985"/>
      <c r="L34" s="985"/>
      <c r="M34" s="985"/>
      <c r="N34" s="985"/>
      <c r="O34" s="985"/>
      <c r="P34" s="985"/>
      <c r="Q34" s="985"/>
      <c r="R34" s="985"/>
      <c r="S34" s="985"/>
      <c r="T34" s="985"/>
      <c r="U34" s="985"/>
      <c r="V34" s="985"/>
    </row>
    <row r="35" spans="1:41" s="924" customFormat="1" ht="15">
      <c r="A35" s="989" t="s">
        <v>458</v>
      </c>
      <c r="B35" s="990" t="s">
        <v>86</v>
      </c>
      <c r="C35" s="991" t="str">
        <f t="shared" ref="C35:AO35" si="72">IF(C$5&gt;0,C$4,"")</f>
        <v/>
      </c>
      <c r="D35" s="991" t="str">
        <f t="shared" si="72"/>
        <v/>
      </c>
      <c r="E35" s="991" t="str">
        <f t="shared" si="72"/>
        <v/>
      </c>
      <c r="F35" s="991" t="str">
        <f t="shared" si="72"/>
        <v/>
      </c>
      <c r="G35" s="991" t="str">
        <f t="shared" si="72"/>
        <v/>
      </c>
      <c r="H35" s="991" t="str">
        <f t="shared" si="72"/>
        <v/>
      </c>
      <c r="I35" s="991" t="str">
        <f t="shared" si="72"/>
        <v/>
      </c>
      <c r="J35" s="991" t="str">
        <f t="shared" si="72"/>
        <v/>
      </c>
      <c r="K35" s="991" t="str">
        <f t="shared" si="72"/>
        <v/>
      </c>
      <c r="L35" s="991">
        <f t="shared" si="72"/>
        <v>2030</v>
      </c>
      <c r="M35" s="991">
        <f t="shared" si="72"/>
        <v>2031</v>
      </c>
      <c r="N35" s="991">
        <f t="shared" si="72"/>
        <v>2032</v>
      </c>
      <c r="O35" s="991">
        <f t="shared" si="72"/>
        <v>2033</v>
      </c>
      <c r="P35" s="991">
        <f t="shared" si="72"/>
        <v>2034</v>
      </c>
      <c r="Q35" s="991">
        <f t="shared" si="72"/>
        <v>2035</v>
      </c>
      <c r="R35" s="991">
        <f t="shared" si="72"/>
        <v>2036</v>
      </c>
      <c r="S35" s="991">
        <f t="shared" si="72"/>
        <v>2037</v>
      </c>
      <c r="T35" s="991">
        <f t="shared" si="72"/>
        <v>2038</v>
      </c>
      <c r="U35" s="991">
        <f t="shared" si="72"/>
        <v>2039</v>
      </c>
      <c r="V35" s="991">
        <f t="shared" si="72"/>
        <v>2040</v>
      </c>
      <c r="W35" s="991">
        <f t="shared" si="72"/>
        <v>2041</v>
      </c>
      <c r="X35" s="991">
        <f t="shared" si="72"/>
        <v>2042</v>
      </c>
      <c r="Y35" s="991">
        <f t="shared" si="72"/>
        <v>2043</v>
      </c>
      <c r="Z35" s="991">
        <f t="shared" si="72"/>
        <v>2044</v>
      </c>
      <c r="AA35" s="991">
        <f t="shared" si="72"/>
        <v>2045</v>
      </c>
      <c r="AB35" s="991">
        <f t="shared" si="72"/>
        <v>2046</v>
      </c>
      <c r="AC35" s="991">
        <f t="shared" si="72"/>
        <v>2047</v>
      </c>
      <c r="AD35" s="991">
        <f t="shared" si="72"/>
        <v>2048</v>
      </c>
      <c r="AE35" s="991">
        <f t="shared" si="72"/>
        <v>2049</v>
      </c>
      <c r="AF35" s="991">
        <f t="shared" si="72"/>
        <v>2050</v>
      </c>
      <c r="AG35" s="991">
        <f t="shared" si="72"/>
        <v>2051</v>
      </c>
      <c r="AH35" s="991">
        <f t="shared" si="72"/>
        <v>2052</v>
      </c>
      <c r="AI35" s="991">
        <f t="shared" si="72"/>
        <v>2053</v>
      </c>
      <c r="AJ35" s="991">
        <f t="shared" si="72"/>
        <v>2054</v>
      </c>
      <c r="AK35" s="991">
        <f t="shared" si="72"/>
        <v>2055</v>
      </c>
      <c r="AL35" s="991">
        <f t="shared" si="72"/>
        <v>2056</v>
      </c>
      <c r="AM35" s="991">
        <f t="shared" si="72"/>
        <v>2057</v>
      </c>
      <c r="AN35" s="991">
        <f t="shared" si="72"/>
        <v>2058</v>
      </c>
      <c r="AO35" s="991">
        <f t="shared" si="72"/>
        <v>2059</v>
      </c>
    </row>
    <row r="36" spans="1:41" s="1003" customFormat="1" ht="15"/>
    <row r="37" spans="1:41" s="934" customFormat="1" ht="15">
      <c r="A37" s="1002" t="s">
        <v>459</v>
      </c>
      <c r="B37" s="932" t="s">
        <v>456</v>
      </c>
      <c r="C37" s="933">
        <f>(C21-C33)*$C$46</f>
        <v>0</v>
      </c>
      <c r="D37" s="933">
        <f t="shared" ref="D37:AE37" si="73">(D21-D33)*$C$46</f>
        <v>0</v>
      </c>
      <c r="E37" s="933">
        <f t="shared" si="73"/>
        <v>0</v>
      </c>
      <c r="F37" s="933">
        <f t="shared" si="73"/>
        <v>0</v>
      </c>
      <c r="G37" s="933">
        <f t="shared" si="73"/>
        <v>0</v>
      </c>
      <c r="H37" s="933">
        <f t="shared" si="73"/>
        <v>0</v>
      </c>
      <c r="I37" s="933">
        <f t="shared" si="73"/>
        <v>0</v>
      </c>
      <c r="J37" s="933">
        <f t="shared" si="73"/>
        <v>0</v>
      </c>
      <c r="K37" s="933">
        <f t="shared" si="73"/>
        <v>0</v>
      </c>
      <c r="L37" s="933">
        <f t="shared" si="73"/>
        <v>1448761.2775735259</v>
      </c>
      <c r="M37" s="933">
        <f t="shared" si="73"/>
        <v>1448761.2775734663</v>
      </c>
      <c r="N37" s="933">
        <f t="shared" si="73"/>
        <v>82165461.028095841</v>
      </c>
      <c r="O37" s="933">
        <f t="shared" si="73"/>
        <v>82165461.028095841</v>
      </c>
      <c r="P37" s="933">
        <f t="shared" si="73"/>
        <v>106454978.67609912</v>
      </c>
      <c r="Q37" s="933">
        <f t="shared" si="73"/>
        <v>106454978.67609912</v>
      </c>
      <c r="R37" s="933">
        <f t="shared" si="73"/>
        <v>106454978.67609918</v>
      </c>
      <c r="S37" s="933">
        <f t="shared" si="73"/>
        <v>106454978.67609918</v>
      </c>
      <c r="T37" s="933">
        <f t="shared" si="73"/>
        <v>106454978.67609918</v>
      </c>
      <c r="U37" s="933">
        <f t="shared" si="73"/>
        <v>106454978.67609912</v>
      </c>
      <c r="V37" s="933">
        <f t="shared" si="73"/>
        <v>106454978.67609918</v>
      </c>
      <c r="W37" s="933">
        <f t="shared" si="73"/>
        <v>106454978.67609924</v>
      </c>
      <c r="X37" s="933">
        <f t="shared" si="73"/>
        <v>106454978.67609912</v>
      </c>
      <c r="Y37" s="933">
        <f t="shared" si="73"/>
        <v>106454978.67609918</v>
      </c>
      <c r="Z37" s="933">
        <f t="shared" si="73"/>
        <v>106454978.67609912</v>
      </c>
      <c r="AA37" s="933">
        <f t="shared" si="73"/>
        <v>106454978.67609912</v>
      </c>
      <c r="AB37" s="933">
        <f t="shared" si="73"/>
        <v>106454978.67609918</v>
      </c>
      <c r="AC37" s="933">
        <f t="shared" si="73"/>
        <v>106454978.67609918</v>
      </c>
      <c r="AD37" s="933">
        <f t="shared" si="73"/>
        <v>106454978.67609924</v>
      </c>
      <c r="AE37" s="933">
        <f t="shared" si="73"/>
        <v>106454978.67609918</v>
      </c>
      <c r="AF37" s="933">
        <f t="shared" ref="AF37:AO37" si="74">(AF21-AF33)*$C$46</f>
        <v>106454978.67609912</v>
      </c>
      <c r="AG37" s="933">
        <f t="shared" si="74"/>
        <v>106454978.67609918</v>
      </c>
      <c r="AH37" s="933">
        <f t="shared" si="74"/>
        <v>106454978.67609912</v>
      </c>
      <c r="AI37" s="933">
        <f t="shared" si="74"/>
        <v>106454978.67609918</v>
      </c>
      <c r="AJ37" s="933">
        <f t="shared" si="74"/>
        <v>106454978.67609912</v>
      </c>
      <c r="AK37" s="933">
        <f t="shared" si="74"/>
        <v>106454978.67609912</v>
      </c>
      <c r="AL37" s="933">
        <f t="shared" si="74"/>
        <v>106454978.67609912</v>
      </c>
      <c r="AM37" s="933">
        <f t="shared" si="74"/>
        <v>106454978.67609918</v>
      </c>
      <c r="AN37" s="933">
        <f t="shared" si="74"/>
        <v>106454978.67609918</v>
      </c>
      <c r="AO37" s="933">
        <f t="shared" si="74"/>
        <v>106454978.67609924</v>
      </c>
    </row>
    <row r="38" spans="1:41" s="934" customFormat="1" ht="15">
      <c r="B38" s="1019">
        <f>SUM(C37:AB37)</f>
        <v>1551143167.4006276</v>
      </c>
      <c r="C38" s="1004"/>
      <c r="D38" s="1004"/>
      <c r="E38" s="1004"/>
      <c r="F38" s="1004"/>
      <c r="G38" s="1005"/>
      <c r="H38" s="1004"/>
      <c r="I38" s="1004"/>
      <c r="J38" s="1004"/>
      <c r="K38" s="1004"/>
      <c r="L38" s="1004"/>
      <c r="M38" s="1004"/>
      <c r="N38" s="1004"/>
      <c r="O38" s="1004"/>
      <c r="P38" s="1004"/>
      <c r="Q38" s="1004"/>
      <c r="R38" s="1004"/>
      <c r="S38" s="1004"/>
      <c r="T38" s="1004"/>
      <c r="U38" s="1004"/>
      <c r="V38" s="1004"/>
      <c r="W38" s="1004"/>
      <c r="X38" s="1004"/>
      <c r="Y38" s="1004"/>
      <c r="Z38" s="1004"/>
      <c r="AA38" s="1004"/>
      <c r="AB38" s="1004"/>
      <c r="AC38" s="1004"/>
      <c r="AD38" s="1004"/>
      <c r="AE38" s="1004"/>
      <c r="AF38" s="1004"/>
      <c r="AG38" s="1004"/>
      <c r="AH38" s="1004"/>
      <c r="AI38" s="1004"/>
      <c r="AJ38" s="1004"/>
      <c r="AK38" s="1004"/>
      <c r="AL38" s="1004"/>
      <c r="AM38" s="1004"/>
      <c r="AN38" s="1004"/>
      <c r="AO38" s="1004"/>
    </row>
    <row r="39" spans="1:41" s="934" customFormat="1" ht="15">
      <c r="B39" s="933"/>
      <c r="C39" s="1004"/>
      <c r="D39" s="1004"/>
      <c r="E39" s="1004"/>
      <c r="F39" s="1004"/>
      <c r="G39" s="1005"/>
      <c r="H39" s="1004"/>
      <c r="I39" s="1004"/>
      <c r="J39" s="1004"/>
      <c r="K39" s="1004"/>
      <c r="L39" s="1004"/>
      <c r="M39" s="1004"/>
      <c r="N39" s="1004"/>
      <c r="O39" s="1004"/>
      <c r="P39" s="1004"/>
      <c r="Q39" s="1004"/>
      <c r="R39" s="1004"/>
      <c r="S39" s="1004"/>
      <c r="T39" s="1004"/>
      <c r="U39" s="1004"/>
      <c r="V39" s="1004"/>
      <c r="W39" s="1004"/>
      <c r="X39" s="1004"/>
      <c r="Y39" s="1004"/>
      <c r="Z39" s="1004"/>
      <c r="AA39" s="1004"/>
      <c r="AB39" s="1004"/>
      <c r="AC39" s="1004"/>
      <c r="AD39" s="1004"/>
      <c r="AE39" s="1004"/>
      <c r="AF39" s="1004"/>
      <c r="AG39" s="1004"/>
      <c r="AH39" s="1004"/>
      <c r="AI39" s="1004"/>
      <c r="AJ39" s="1004"/>
      <c r="AK39" s="1004"/>
      <c r="AL39" s="1004"/>
      <c r="AM39" s="1004"/>
      <c r="AN39" s="1004"/>
      <c r="AO39" s="1004"/>
    </row>
    <row r="40" spans="1:41" s="924" customFormat="1" ht="15">
      <c r="A40" s="1006" t="s">
        <v>89</v>
      </c>
      <c r="B40" s="1007"/>
      <c r="C40" s="1008"/>
      <c r="D40" s="1008"/>
      <c r="E40" s="1008"/>
      <c r="F40" s="1008"/>
      <c r="G40" s="1008"/>
      <c r="H40" s="1008"/>
      <c r="I40" s="1009"/>
      <c r="J40" s="1009"/>
      <c r="K40" s="1009"/>
      <c r="L40" s="1009"/>
      <c r="M40" s="1009"/>
      <c r="N40" s="1009"/>
      <c r="O40" s="1009"/>
      <c r="P40" s="1009"/>
      <c r="Q40" s="1009"/>
      <c r="R40" s="1009"/>
      <c r="S40" s="1009"/>
      <c r="T40" s="1009"/>
      <c r="U40" s="1009"/>
      <c r="V40" s="1009"/>
      <c r="W40" s="1009"/>
      <c r="X40" s="1009"/>
      <c r="Y40" s="1009"/>
      <c r="Z40" s="1009"/>
      <c r="AA40" s="1009"/>
      <c r="AB40" s="1009"/>
      <c r="AC40" s="1009"/>
      <c r="AD40" s="1009"/>
      <c r="AE40" s="1009"/>
      <c r="AF40" s="1009"/>
      <c r="AG40" s="1009"/>
      <c r="AH40" s="1009"/>
      <c r="AI40" s="1009"/>
      <c r="AJ40" s="1009"/>
      <c r="AK40" s="1009"/>
      <c r="AL40" s="1009"/>
      <c r="AM40" s="1009"/>
      <c r="AN40" s="1009"/>
      <c r="AO40" s="1009"/>
    </row>
    <row r="41" spans="1:41" s="950" customFormat="1"/>
    <row r="42" spans="1:41" s="950" customFormat="1">
      <c r="A42" s="947" t="s">
        <v>101</v>
      </c>
      <c r="B42" s="951" t="s">
        <v>448</v>
      </c>
      <c r="C42" s="949">
        <f t="shared" ref="C42:AE42" si="75">C13-C25</f>
        <v>0</v>
      </c>
      <c r="D42" s="949">
        <f t="shared" si="75"/>
        <v>0</v>
      </c>
      <c r="E42" s="949">
        <f t="shared" si="75"/>
        <v>0</v>
      </c>
      <c r="F42" s="949">
        <f t="shared" si="75"/>
        <v>0</v>
      </c>
      <c r="G42" s="949">
        <f t="shared" si="75"/>
        <v>0</v>
      </c>
      <c r="H42" s="949">
        <f t="shared" si="75"/>
        <v>0</v>
      </c>
      <c r="I42" s="949">
        <f t="shared" si="75"/>
        <v>0</v>
      </c>
      <c r="J42" s="949">
        <f t="shared" si="75"/>
        <v>0</v>
      </c>
      <c r="K42" s="949">
        <f t="shared" si="75"/>
        <v>0</v>
      </c>
      <c r="L42" s="949">
        <f t="shared" si="75"/>
        <v>3648750</v>
      </c>
      <c r="M42" s="949">
        <f t="shared" si="75"/>
        <v>3648750</v>
      </c>
      <c r="N42" s="949">
        <f t="shared" si="75"/>
        <v>206936250</v>
      </c>
      <c r="O42" s="949">
        <f t="shared" si="75"/>
        <v>206936250</v>
      </c>
      <c r="P42" s="949">
        <f t="shared" si="75"/>
        <v>268110150</v>
      </c>
      <c r="Q42" s="949">
        <f t="shared" si="75"/>
        <v>268110150</v>
      </c>
      <c r="R42" s="949">
        <f t="shared" si="75"/>
        <v>268110150</v>
      </c>
      <c r="S42" s="949">
        <f t="shared" si="75"/>
        <v>268110150</v>
      </c>
      <c r="T42" s="949">
        <f t="shared" si="75"/>
        <v>268110150</v>
      </c>
      <c r="U42" s="949">
        <f t="shared" si="75"/>
        <v>268110150</v>
      </c>
      <c r="V42" s="949">
        <f t="shared" si="75"/>
        <v>268110150</v>
      </c>
      <c r="W42" s="949">
        <f t="shared" si="75"/>
        <v>268110150</v>
      </c>
      <c r="X42" s="949">
        <f t="shared" si="75"/>
        <v>268110150</v>
      </c>
      <c r="Y42" s="949">
        <f t="shared" si="75"/>
        <v>268110150</v>
      </c>
      <c r="Z42" s="949">
        <f t="shared" si="75"/>
        <v>268110150</v>
      </c>
      <c r="AA42" s="949">
        <f t="shared" si="75"/>
        <v>268110150</v>
      </c>
      <c r="AB42" s="949">
        <f t="shared" si="75"/>
        <v>268110150</v>
      </c>
      <c r="AC42" s="949">
        <f t="shared" si="75"/>
        <v>268110150</v>
      </c>
      <c r="AD42" s="949">
        <f t="shared" si="75"/>
        <v>268110150</v>
      </c>
      <c r="AE42" s="949">
        <f t="shared" si="75"/>
        <v>268110150</v>
      </c>
      <c r="AF42" s="949">
        <f t="shared" ref="AF42:AO42" si="76">AF13-AF25</f>
        <v>268110150</v>
      </c>
      <c r="AG42" s="949">
        <f t="shared" si="76"/>
        <v>268110150</v>
      </c>
      <c r="AH42" s="949">
        <f t="shared" si="76"/>
        <v>268110150</v>
      </c>
      <c r="AI42" s="949">
        <f t="shared" si="76"/>
        <v>268110150</v>
      </c>
      <c r="AJ42" s="949">
        <f t="shared" si="76"/>
        <v>268110150</v>
      </c>
      <c r="AK42" s="949">
        <f t="shared" si="76"/>
        <v>268110150</v>
      </c>
      <c r="AL42" s="949">
        <f t="shared" si="76"/>
        <v>268110149.99999988</v>
      </c>
      <c r="AM42" s="949">
        <f t="shared" si="76"/>
        <v>268110150.00000012</v>
      </c>
      <c r="AN42" s="949">
        <f t="shared" si="76"/>
        <v>268110150</v>
      </c>
      <c r="AO42" s="949">
        <f t="shared" si="76"/>
        <v>268110150.00000012</v>
      </c>
    </row>
    <row r="44" spans="1:41">
      <c r="B44" s="1010"/>
      <c r="D44" s="1011"/>
      <c r="E44" s="1011"/>
      <c r="F44" s="1011"/>
      <c r="G44" s="1011"/>
      <c r="H44" s="1011"/>
      <c r="I44" s="1011"/>
      <c r="J44" s="1011"/>
      <c r="K44" s="1011"/>
      <c r="L44" s="1011"/>
      <c r="M44" s="1011"/>
      <c r="N44" s="1011"/>
      <c r="O44" s="1011"/>
      <c r="P44" s="1011"/>
      <c r="Q44" s="1011"/>
      <c r="R44" s="1011"/>
      <c r="S44" s="1011"/>
      <c r="T44" s="1011"/>
      <c r="U44" s="1011"/>
      <c r="V44" s="1011"/>
      <c r="W44" s="1011"/>
      <c r="X44" s="1011"/>
      <c r="Y44" s="1011"/>
      <c r="Z44" s="1011"/>
      <c r="AA44" s="1011"/>
      <c r="AB44" s="1011"/>
    </row>
    <row r="45" spans="1:41" ht="15">
      <c r="B45" s="1010"/>
      <c r="C45" s="1012" t="s">
        <v>460</v>
      </c>
      <c r="D45" s="1004"/>
      <c r="E45" s="1004"/>
      <c r="F45" s="1004"/>
      <c r="W45" s="973"/>
      <c r="X45" s="973"/>
      <c r="Y45" s="973"/>
      <c r="Z45" s="973"/>
      <c r="AA45" s="973"/>
      <c r="AB45" s="973"/>
    </row>
    <row r="46" spans="1:41">
      <c r="C46" s="1013">
        <v>1</v>
      </c>
      <c r="D46" s="1004"/>
      <c r="E46" s="1004"/>
      <c r="F46" s="1004"/>
    </row>
    <row r="47" spans="1:41">
      <c r="B47" s="1010"/>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row>
    <row r="48" spans="1:41">
      <c r="B48" s="1010"/>
      <c r="W48" s="973"/>
      <c r="X48" s="973"/>
      <c r="Y48" s="973"/>
      <c r="Z48" s="973"/>
      <c r="AA48" s="973"/>
      <c r="AB48" s="97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9">
    <tabColor theme="4" tint="-0.499984740745262"/>
  </sheetPr>
  <dimension ref="A1:AO78"/>
  <sheetViews>
    <sheetView showGridLines="0" topLeftCell="R1" zoomScale="80" zoomScaleNormal="80" workbookViewId="0">
      <pane ySplit="4" topLeftCell="A69" activePane="bottomLeft" state="frozen"/>
      <selection activeCell="J46" sqref="J46"/>
      <selection pane="bottomLeft" activeCell="AE85" sqref="AE85"/>
    </sheetView>
  </sheetViews>
  <sheetFormatPr defaultColWidth="9.25" defaultRowHeight="14.25"/>
  <cols>
    <col min="1" max="1" width="65.75" style="880" customWidth="1"/>
    <col min="2" max="2" width="15.875" style="881" customWidth="1"/>
    <col min="3" max="31" width="13.25" style="882" customWidth="1"/>
    <col min="32" max="16384" width="9.25" style="882"/>
  </cols>
  <sheetData>
    <row r="1" spans="1:41">
      <c r="E1" s="883"/>
    </row>
    <row r="2" spans="1:41" ht="23.25">
      <c r="A2" s="884" t="s">
        <v>461</v>
      </c>
      <c r="B2" s="880"/>
      <c r="C2" s="885"/>
      <c r="D2" s="885"/>
      <c r="E2" s="886"/>
      <c r="F2" s="885"/>
      <c r="G2" s="885"/>
      <c r="J2" s="885"/>
      <c r="K2" s="885"/>
    </row>
    <row r="3" spans="1:41">
      <c r="B3" s="887" t="s">
        <v>443</v>
      </c>
    </row>
    <row r="4" spans="1:41" s="890" customFormat="1" ht="13.5" customHeight="1">
      <c r="A4" s="888"/>
      <c r="B4" s="1177">
        <f>Base.Year</f>
        <v>2022</v>
      </c>
      <c r="C4" s="889">
        <f>B4-1</f>
        <v>2021</v>
      </c>
      <c r="D4" s="889">
        <f>C4+1</f>
        <v>2022</v>
      </c>
      <c r="E4" s="889">
        <f t="shared" ref="E4:AB4" si="0">D4+1</f>
        <v>2023</v>
      </c>
      <c r="F4" s="889">
        <f>E4+1</f>
        <v>2024</v>
      </c>
      <c r="G4" s="889">
        <f t="shared" si="0"/>
        <v>2025</v>
      </c>
      <c r="H4" s="889">
        <f t="shared" si="0"/>
        <v>2026</v>
      </c>
      <c r="I4" s="889">
        <f t="shared" si="0"/>
        <v>2027</v>
      </c>
      <c r="J4" s="889">
        <f t="shared" si="0"/>
        <v>2028</v>
      </c>
      <c r="K4" s="889">
        <f t="shared" si="0"/>
        <v>2029</v>
      </c>
      <c r="L4" s="889">
        <f t="shared" si="0"/>
        <v>2030</v>
      </c>
      <c r="M4" s="889">
        <f t="shared" si="0"/>
        <v>2031</v>
      </c>
      <c r="N4" s="889">
        <f t="shared" si="0"/>
        <v>2032</v>
      </c>
      <c r="O4" s="889">
        <f t="shared" si="0"/>
        <v>2033</v>
      </c>
      <c r="P4" s="889">
        <f t="shared" si="0"/>
        <v>2034</v>
      </c>
      <c r="Q4" s="889">
        <f t="shared" si="0"/>
        <v>2035</v>
      </c>
      <c r="R4" s="889">
        <f t="shared" si="0"/>
        <v>2036</v>
      </c>
      <c r="S4" s="889">
        <f t="shared" si="0"/>
        <v>2037</v>
      </c>
      <c r="T4" s="889">
        <f t="shared" si="0"/>
        <v>2038</v>
      </c>
      <c r="U4" s="889">
        <f t="shared" si="0"/>
        <v>2039</v>
      </c>
      <c r="V4" s="889">
        <f t="shared" si="0"/>
        <v>2040</v>
      </c>
      <c r="W4" s="889">
        <f t="shared" si="0"/>
        <v>2041</v>
      </c>
      <c r="X4" s="889">
        <f t="shared" si="0"/>
        <v>2042</v>
      </c>
      <c r="Y4" s="889">
        <f t="shared" si="0"/>
        <v>2043</v>
      </c>
      <c r="Z4" s="889">
        <f t="shared" si="0"/>
        <v>2044</v>
      </c>
      <c r="AA4" s="889">
        <f t="shared" si="0"/>
        <v>2045</v>
      </c>
      <c r="AB4" s="889">
        <f t="shared" si="0"/>
        <v>2046</v>
      </c>
      <c r="AC4" s="889">
        <f t="shared" ref="AC4" si="1">AB4+1</f>
        <v>2047</v>
      </c>
      <c r="AD4" s="889">
        <f t="shared" ref="AD4" si="2">AC4+1</f>
        <v>2048</v>
      </c>
      <c r="AE4" s="889">
        <f t="shared" ref="AE4" si="3">AD4+1</f>
        <v>2049</v>
      </c>
      <c r="AF4" s="889">
        <f t="shared" ref="AF4" si="4">AE4+1</f>
        <v>2050</v>
      </c>
      <c r="AG4" s="889">
        <f t="shared" ref="AG4" si="5">AF4+1</f>
        <v>2051</v>
      </c>
      <c r="AH4" s="889">
        <f t="shared" ref="AH4" si="6">AG4+1</f>
        <v>2052</v>
      </c>
      <c r="AI4" s="889">
        <f t="shared" ref="AI4" si="7">AH4+1</f>
        <v>2053</v>
      </c>
      <c r="AJ4" s="889">
        <f t="shared" ref="AJ4" si="8">AI4+1</f>
        <v>2054</v>
      </c>
      <c r="AK4" s="889">
        <f t="shared" ref="AK4" si="9">AJ4+1</f>
        <v>2055</v>
      </c>
      <c r="AL4" s="889">
        <f t="shared" ref="AL4" si="10">AK4+1</f>
        <v>2056</v>
      </c>
      <c r="AM4" s="889">
        <f t="shared" ref="AM4" si="11">AL4+1</f>
        <v>2057</v>
      </c>
      <c r="AN4" s="889">
        <f t="shared" ref="AN4" si="12">AM4+1</f>
        <v>2058</v>
      </c>
      <c r="AO4" s="889">
        <f t="shared" ref="AO4" si="13">AN4+1</f>
        <v>2059</v>
      </c>
    </row>
    <row r="5" spans="1:41" s="890" customFormat="1" ht="13.5" customHeight="1">
      <c r="A5" s="891" t="s">
        <v>444</v>
      </c>
      <c r="B5" s="892"/>
      <c r="C5" s="893">
        <f>MAX(0,C$4-Inputs!$E$8+1)</f>
        <v>0</v>
      </c>
      <c r="D5" s="893">
        <f>MAX(0,D$4-Inputs!$E$8+1)</f>
        <v>0</v>
      </c>
      <c r="E5" s="893">
        <f>MAX(0,E$4-Inputs!$E$8+1)</f>
        <v>0</v>
      </c>
      <c r="F5" s="893">
        <f>MAX(0,F$4-Inputs!$E$8+1)</f>
        <v>0</v>
      </c>
      <c r="G5" s="893">
        <f>MAX(0,G$4-Inputs!$E$8+1)</f>
        <v>0</v>
      </c>
      <c r="H5" s="893">
        <f>MAX(0,H$4-Inputs!$E$8+1)</f>
        <v>0</v>
      </c>
      <c r="I5" s="893">
        <f>MAX(0,I$4-Inputs!$E$8+1)</f>
        <v>0</v>
      </c>
      <c r="J5" s="893">
        <f>MAX(0,J$4-Inputs!$E$8+1)</f>
        <v>0</v>
      </c>
      <c r="K5" s="893">
        <f>MAX(0,K$4-Inputs!$E$8+1)</f>
        <v>0</v>
      </c>
      <c r="L5" s="893">
        <f>MAX(0,L$4-Inputs!$E$8+1)</f>
        <v>1</v>
      </c>
      <c r="M5" s="893">
        <f>MAX(0,M$4-Inputs!$E$8+1)</f>
        <v>2</v>
      </c>
      <c r="N5" s="893">
        <f>MAX(0,N$4-Inputs!$E$8+1)</f>
        <v>3</v>
      </c>
      <c r="O5" s="893">
        <f>MAX(0,O$4-Inputs!$E$8+1)</f>
        <v>4</v>
      </c>
      <c r="P5" s="893">
        <f>MAX(0,P$4-Inputs!$E$8+1)</f>
        <v>5</v>
      </c>
      <c r="Q5" s="893">
        <f>MAX(0,Q$4-Inputs!$E$8+1)</f>
        <v>6</v>
      </c>
      <c r="R5" s="893">
        <f>MAX(0,R$4-Inputs!$E$8+1)</f>
        <v>7</v>
      </c>
      <c r="S5" s="893">
        <f>MAX(0,S$4-Inputs!$E$8+1)</f>
        <v>8</v>
      </c>
      <c r="T5" s="893">
        <f>MAX(0,T$4-Inputs!$E$8+1)</f>
        <v>9</v>
      </c>
      <c r="U5" s="893">
        <f>MAX(0,U$4-Inputs!$E$8+1)</f>
        <v>10</v>
      </c>
      <c r="V5" s="893">
        <f>MAX(0,V$4-Inputs!$E$8+1)</f>
        <v>11</v>
      </c>
      <c r="W5" s="893">
        <f>MAX(0,W$4-Inputs!$E$8+1)</f>
        <v>12</v>
      </c>
      <c r="X5" s="893">
        <f>MAX(0,X$4-Inputs!$E$8+1)</f>
        <v>13</v>
      </c>
      <c r="Y5" s="893">
        <f>MAX(0,Y$4-Inputs!$E$8+1)</f>
        <v>14</v>
      </c>
      <c r="Z5" s="893">
        <f>MAX(0,Z$4-Inputs!$E$8+1)</f>
        <v>15</v>
      </c>
      <c r="AA5" s="893">
        <f>MAX(0,AA$4-Inputs!$E$8+1)</f>
        <v>16</v>
      </c>
      <c r="AB5" s="893">
        <f>MAX(0,AB$4-Inputs!$E$8+1)</f>
        <v>17</v>
      </c>
      <c r="AC5" s="893">
        <f>MAX(0,AC$4-Inputs!$E$8+1)</f>
        <v>18</v>
      </c>
      <c r="AD5" s="893">
        <f>MAX(0,AD$4-Inputs!$E$8+1)</f>
        <v>19</v>
      </c>
      <c r="AE5" s="893">
        <f>MAX(0,AE$4-Inputs!$E$8+1)</f>
        <v>20</v>
      </c>
      <c r="AF5" s="893">
        <f>MAX(0,AF$4-Inputs!$E$8+1)</f>
        <v>21</v>
      </c>
      <c r="AG5" s="893">
        <f>MAX(0,AG$4-Inputs!$E$8+1)</f>
        <v>22</v>
      </c>
      <c r="AH5" s="893">
        <f>MAX(0,AH$4-Inputs!$E$8+1)</f>
        <v>23</v>
      </c>
      <c r="AI5" s="893">
        <f>MAX(0,AI$4-Inputs!$E$8+1)</f>
        <v>24</v>
      </c>
      <c r="AJ5" s="893">
        <f>MAX(0,AJ$4-Inputs!$E$8+1)</f>
        <v>25</v>
      </c>
      <c r="AK5" s="893">
        <f>MAX(0,AK$4-Inputs!$E$8+1)</f>
        <v>26</v>
      </c>
      <c r="AL5" s="893">
        <f>MAX(0,AL$4-Inputs!$E$8+1)</f>
        <v>27</v>
      </c>
      <c r="AM5" s="893">
        <f>MAX(0,AM$4-Inputs!$E$8+1)</f>
        <v>28</v>
      </c>
      <c r="AN5" s="893">
        <f>MAX(0,AN$4-Inputs!$E$8+1)</f>
        <v>29</v>
      </c>
      <c r="AO5" s="893">
        <f>MAX(0,AO$4-Inputs!$E$8+1)</f>
        <v>30</v>
      </c>
    </row>
    <row r="6" spans="1:41" s="894" customFormat="1">
      <c r="A6" s="888"/>
      <c r="B6" s="888"/>
    </row>
    <row r="7" spans="1:41" s="898" customFormat="1">
      <c r="A7" s="895" t="s">
        <v>462</v>
      </c>
      <c r="B7" s="896" t="s">
        <v>463</v>
      </c>
      <c r="C7" s="897">
        <f>IF(C$4&gt;2060,B7,SUMIF(Inputs!$D$181:$D$216,C$4,Inputs!$E$181:$E$216))</f>
        <v>0</v>
      </c>
      <c r="D7" s="897">
        <f>IF(D$4&gt;2060,C7,SUMIF(Inputs!$D$181:$D$216,D$4,Inputs!$E$181:$E$216))</f>
        <v>100.16890855055553</v>
      </c>
      <c r="E7" s="897">
        <f>IF(E$4&gt;2060,D7,SUMIF(Inputs!$D$181:$D$216,E$4,Inputs!$E$181:$E$216))</f>
        <v>99.577879802996947</v>
      </c>
      <c r="F7" s="897">
        <f>IF(F$4&gt;2060,E7,SUMIF(Inputs!$D$181:$D$216,F$4,Inputs!$E$181:$E$216))</f>
        <v>98.98685105543835</v>
      </c>
      <c r="G7" s="897">
        <f>IF(G$4&gt;2060,F7,SUMIF(Inputs!$D$181:$D$216,G$4,Inputs!$E$181:$E$216))</f>
        <v>98.39582230787984</v>
      </c>
      <c r="H7" s="897">
        <f>IF(H$4&gt;2060,G7,SUMIF(Inputs!$D$181:$D$216,H$4,Inputs!$E$181:$E$216))</f>
        <v>98.157040233905278</v>
      </c>
      <c r="I7" s="897">
        <f>IF(I$4&gt;2060,H7,SUMIF(Inputs!$D$181:$D$216,I$4,Inputs!$E$181:$E$216))</f>
        <v>97.918258159930645</v>
      </c>
      <c r="J7" s="897">
        <f>IF(J$4&gt;2060,I7,SUMIF(Inputs!$D$181:$D$216,J$4,Inputs!$E$181:$E$216))</f>
        <v>97.679476085956097</v>
      </c>
      <c r="K7" s="897">
        <f>IF(K$4&gt;2060,J7,SUMIF(Inputs!$D$181:$D$216,K$4,Inputs!$E$181:$E$216))</f>
        <v>97.44069401198152</v>
      </c>
      <c r="L7" s="897">
        <f>IF(L$4&gt;2060,K7,SUMIF(Inputs!$D$181:$D$216,L$4,Inputs!$E$181:$E$216))</f>
        <v>97.201911938006887</v>
      </c>
      <c r="M7" s="897">
        <f>IF(M$4&gt;2060,L7,SUMIF(Inputs!$D$181:$D$216,M$4,Inputs!$E$181:$E$216))</f>
        <v>96.963129864032325</v>
      </c>
      <c r="N7" s="897">
        <f>IF(N$4&gt;2060,M7,SUMIF(Inputs!$D$181:$D$216,N$4,Inputs!$E$181:$E$216))</f>
        <v>96.724347790057692</v>
      </c>
      <c r="O7" s="897">
        <f>IF(O$4&gt;2060,N7,SUMIF(Inputs!$D$181:$D$216,O$4,Inputs!$E$181:$E$216))</f>
        <v>96.485565716083116</v>
      </c>
      <c r="P7" s="897">
        <f>IF(P$4&gt;2060,O7,SUMIF(Inputs!$D$181:$D$216,P$4,Inputs!$E$181:$E$216))</f>
        <v>96.246783642108483</v>
      </c>
      <c r="Q7" s="897">
        <f>IF(Q$4&gt;2060,P7,SUMIF(Inputs!$D$181:$D$216,Q$4,Inputs!$E$181:$E$216))</f>
        <v>96.008001568133892</v>
      </c>
      <c r="R7" s="897">
        <f>IF(R$4&gt;2060,Q7,SUMIF(Inputs!$D$181:$D$216,R$4,Inputs!$E$181:$E$216))</f>
        <v>95.972473335852854</v>
      </c>
      <c r="S7" s="897">
        <f>IF(S$4&gt;2060,R7,SUMIF(Inputs!$D$181:$D$216,S$4,Inputs!$E$181:$E$216))</f>
        <v>95.936945103571816</v>
      </c>
      <c r="T7" s="897">
        <f>IF(T$4&gt;2060,S7,SUMIF(Inputs!$D$181:$D$216,T$4,Inputs!$E$181:$E$216))</f>
        <v>95.901416871290778</v>
      </c>
      <c r="U7" s="897">
        <f>IF(U$4&gt;2060,T7,SUMIF(Inputs!$D$181:$D$216,U$4,Inputs!$E$181:$E$216))</f>
        <v>95.865888639009739</v>
      </c>
      <c r="V7" s="897">
        <f>IF(V$4&gt;2060,U7,SUMIF(Inputs!$D$181:$D$216,V$4,Inputs!$E$181:$E$216))</f>
        <v>95.830360406728715</v>
      </c>
      <c r="W7" s="897">
        <f>IF(W$4&gt;2060,V7,SUMIF(Inputs!$D$181:$D$216,W$4,Inputs!$E$181:$E$216))</f>
        <v>95.794832174447663</v>
      </c>
      <c r="X7" s="897">
        <f>IF(X$4&gt;2060,W7,SUMIF(Inputs!$D$181:$D$216,X$4,Inputs!$E$181:$E$216))</f>
        <v>95.759303942166653</v>
      </c>
      <c r="Y7" s="897">
        <f>IF(Y$4&gt;2060,X7,SUMIF(Inputs!$D$181:$D$216,Y$4,Inputs!$E$181:$E$216))</f>
        <v>95.723775709885601</v>
      </c>
      <c r="Z7" s="897">
        <f>IF(Z$4&gt;2060,Y7,SUMIF(Inputs!$D$181:$D$216,Z$4,Inputs!$E$181:$E$216))</f>
        <v>95.688247477604563</v>
      </c>
      <c r="AA7" s="897">
        <f>IF(AA$4&gt;2060,Z7,SUMIF(Inputs!$D$181:$D$216,AA$4,Inputs!$E$181:$E$216))</f>
        <v>95.652719245323539</v>
      </c>
      <c r="AB7" s="897">
        <f>IF(AB$4&gt;2060,AA7,SUMIF(Inputs!$D$181:$D$216,AB$4,Inputs!$E$181:$E$216))</f>
        <v>95.652719245323539</v>
      </c>
      <c r="AC7" s="897">
        <f>IF(AC$4&gt;2060,AB7,SUMIF(Inputs!$D$181:$D$216,AC$4,Inputs!$E$181:$E$216))</f>
        <v>95.652719245323539</v>
      </c>
      <c r="AD7" s="897">
        <f>IF(AD$4&gt;2060,AC7,SUMIF(Inputs!$D$181:$D$216,AD$4,Inputs!$E$181:$E$216))</f>
        <v>95.652719245323539</v>
      </c>
      <c r="AE7" s="897">
        <f>IF(AE$4&gt;2060,AD7,SUMIF(Inputs!$D$181:$D$216,AE$4,Inputs!$E$181:$E$216))</f>
        <v>95.652719245323539</v>
      </c>
      <c r="AF7" s="897">
        <f>IF(AF$4&gt;2060,AE7,SUMIF(Inputs!$D$181:$D$216,AF$4,Inputs!$E$181:$E$216))</f>
        <v>95.652719245323539</v>
      </c>
      <c r="AG7" s="897">
        <f>IF(AG$4&gt;2060,AF7,SUMIF(Inputs!$D$181:$D$216,AG$4,Inputs!$E$181:$E$216))</f>
        <v>95.652719245323539</v>
      </c>
      <c r="AH7" s="897">
        <f>IF(AH$4&gt;2060,AG7,SUMIF(Inputs!$D$181:$D$216,AH$4,Inputs!$E$181:$E$216))</f>
        <v>95.652719245323539</v>
      </c>
      <c r="AI7" s="897">
        <f>IF(AI$4&gt;2060,AH7,SUMIF(Inputs!$D$181:$D$216,AI$4,Inputs!$E$181:$E$216))</f>
        <v>95.652719245323539</v>
      </c>
      <c r="AJ7" s="897">
        <f>IF(AJ$4&gt;2060,AI7,SUMIF(Inputs!$D$181:$D$216,AJ$4,Inputs!$E$181:$E$216))</f>
        <v>95.652719245323539</v>
      </c>
      <c r="AK7" s="897">
        <f>IF(AK$4&gt;2060,AJ7,SUMIF(Inputs!$D$181:$D$216,AK$4,Inputs!$E$181:$E$216))</f>
        <v>95.652719245323539</v>
      </c>
      <c r="AL7" s="897">
        <f>IF(AL$4&gt;2060,AK7,SUMIF(Inputs!$D$181:$D$216,AL$4,Inputs!$E$181:$E$216))</f>
        <v>95.652719245323539</v>
      </c>
      <c r="AM7" s="897">
        <f>IF(AM$4&gt;2060,AL7,SUMIF(Inputs!$D$181:$D$216,AM$4,Inputs!$E$181:$E$216))</f>
        <v>95.652719245323539</v>
      </c>
      <c r="AN7" s="897">
        <f>IF(AN$4&gt;2060,AM7,SUMIF(Inputs!$D$181:$D$216,AN$4,Inputs!$E$181:$E$216))</f>
        <v>0</v>
      </c>
      <c r="AO7" s="897">
        <f>IF(AO$4&gt;2060,AN7,SUMIF(Inputs!$D$181:$D$216,AO$4,Inputs!$E$181:$E$216))</f>
        <v>0</v>
      </c>
    </row>
    <row r="8" spans="1:41" s="898" customFormat="1">
      <c r="A8" s="899" t="s">
        <v>464</v>
      </c>
      <c r="B8" s="896" t="s">
        <v>463</v>
      </c>
      <c r="C8" s="900">
        <f>IF(C$4&gt;2060,B8,SUMIF(Inputs!$D$37:$D$72,C$4,Inputs!$E$37:$E$72))</f>
        <v>0</v>
      </c>
      <c r="D8" s="900">
        <f>IF(D$4&gt;2060,C8,SUMIF(Inputs!$D$37:$D$72,D$4,Inputs!$E$37:$E$72))</f>
        <v>0.24604769964505416</v>
      </c>
      <c r="E8" s="900">
        <f>IF(E$4&gt;2060,D8,SUMIF(Inputs!$D$37:$D$72,E$4,Inputs!$E$37:$E$72))</f>
        <v>0.21898626089195694</v>
      </c>
      <c r="F8" s="900">
        <f>IF(F$4&gt;2060,E8,SUMIF(Inputs!$D$37:$D$72,F$4,Inputs!$E$37:$E$72))</f>
        <v>0.1919248221388597</v>
      </c>
      <c r="G8" s="900">
        <f>IF(G$4&gt;2060,F8,SUMIF(Inputs!$D$37:$D$72,G$4,Inputs!$E$37:$E$72))</f>
        <v>0.16486338338576248</v>
      </c>
      <c r="H8" s="900">
        <f>IF(H$4&gt;2060,G8,SUMIF(Inputs!$D$37:$D$72,H$4,Inputs!$E$37:$E$72))</f>
        <v>0.15648895174444391</v>
      </c>
      <c r="I8" s="900">
        <f>IF(I$4&gt;2060,H8,SUMIF(Inputs!$D$37:$D$72,I$4,Inputs!$E$37:$E$72))</f>
        <v>0.14811452010312262</v>
      </c>
      <c r="J8" s="900">
        <f>IF(J$4&gt;2060,I8,SUMIF(Inputs!$D$37:$D$72,J$4,Inputs!$E$37:$E$72))</f>
        <v>0.13974008846180405</v>
      </c>
      <c r="K8" s="900">
        <f>IF(K$4&gt;2060,J8,SUMIF(Inputs!$D$37:$D$72,K$4,Inputs!$E$37:$E$72))</f>
        <v>0.13136565682048554</v>
      </c>
      <c r="L8" s="900">
        <f>IF(L$4&gt;2060,K8,SUMIF(Inputs!$D$37:$D$72,L$4,Inputs!$E$37:$E$72))</f>
        <v>0.12299122517916422</v>
      </c>
      <c r="M8" s="900">
        <f>IF(M$4&gt;2060,L8,SUMIF(Inputs!$D$37:$D$72,M$4,Inputs!$E$37:$E$72))</f>
        <v>0.11461679353784565</v>
      </c>
      <c r="N8" s="900">
        <f>IF(N$4&gt;2060,M8,SUMIF(Inputs!$D$37:$D$72,N$4,Inputs!$E$37:$E$72))</f>
        <v>0.10624236189652436</v>
      </c>
      <c r="O8" s="900">
        <f>IF(O$4&gt;2060,N8,SUMIF(Inputs!$D$37:$D$72,O$4,Inputs!$E$37:$E$72))</f>
        <v>9.7867930255205793E-2</v>
      </c>
      <c r="P8" s="900">
        <f>IF(P$4&gt;2060,O8,SUMIF(Inputs!$D$37:$D$72,P$4,Inputs!$E$37:$E$72))</f>
        <v>8.9493498613887251E-2</v>
      </c>
      <c r="Q8" s="900">
        <f>IF(Q$4&gt;2060,P8,SUMIF(Inputs!$D$37:$D$72,Q$4,Inputs!$E$37:$E$72))</f>
        <v>8.1119066972565781E-2</v>
      </c>
      <c r="R8" s="900">
        <f>IF(R$4&gt;2060,Q8,SUMIF(Inputs!$D$37:$D$72,R$4,Inputs!$E$37:$E$72))</f>
        <v>8.0623539175259357E-2</v>
      </c>
      <c r="S8" s="900">
        <f>IF(S$4&gt;2060,R8,SUMIF(Inputs!$D$37:$D$72,S$4,Inputs!$E$37:$E$72))</f>
        <v>8.0128011377952946E-2</v>
      </c>
      <c r="T8" s="900">
        <f>IF(T$4&gt;2060,S8,SUMIF(Inputs!$D$37:$D$72,T$4,Inputs!$E$37:$E$72))</f>
        <v>7.9632483580646701E-2</v>
      </c>
      <c r="U8" s="900">
        <f>IF(U$4&gt;2060,T8,SUMIF(Inputs!$D$37:$D$72,U$4,Inputs!$E$37:$E$72))</f>
        <v>7.9136955783340276E-2</v>
      </c>
      <c r="V8" s="900">
        <f>IF(V$4&gt;2060,U8,SUMIF(Inputs!$D$37:$D$72,V$4,Inputs!$E$37:$E$72))</f>
        <v>7.8641427986034032E-2</v>
      </c>
      <c r="W8" s="900">
        <f>IF(W$4&gt;2060,V8,SUMIF(Inputs!$D$37:$D$72,W$4,Inputs!$E$37:$E$72))</f>
        <v>7.8145900188727621E-2</v>
      </c>
      <c r="X8" s="900">
        <f>IF(X$4&gt;2060,W8,SUMIF(Inputs!$D$37:$D$72,X$4,Inputs!$E$37:$E$72))</f>
        <v>7.765037239142121E-2</v>
      </c>
      <c r="Y8" s="900">
        <f>IF(Y$4&gt;2060,X8,SUMIF(Inputs!$D$37:$D$72,Y$4,Inputs!$E$37:$E$72))</f>
        <v>7.7154844594114966E-2</v>
      </c>
      <c r="Z8" s="900">
        <f>IF(Z$4&gt;2060,Y8,SUMIF(Inputs!$D$37:$D$72,Z$4,Inputs!$E$37:$E$72))</f>
        <v>7.6659316796808541E-2</v>
      </c>
      <c r="AA8" s="900">
        <f>IF(AA$4&gt;2060,Z8,SUMIF(Inputs!$D$37:$D$72,AA$4,Inputs!$E$37:$E$72))</f>
        <v>7.6163788999502297E-2</v>
      </c>
      <c r="AB8" s="900">
        <f>IF(AB$4&gt;2060,AA8,SUMIF(Inputs!$D$37:$D$72,AB$4,Inputs!$E$37:$E$72))</f>
        <v>7.6163788999502297E-2</v>
      </c>
      <c r="AC8" s="900">
        <f>IF(AC$4&gt;2060,AB8,SUMIF(Inputs!$D$37:$D$72,AC$4,Inputs!$E$37:$E$72))</f>
        <v>7.6163788999502297E-2</v>
      </c>
      <c r="AD8" s="900">
        <f>IF(AD$4&gt;2060,AC8,SUMIF(Inputs!$D$37:$D$72,AD$4,Inputs!$E$37:$E$72))</f>
        <v>7.6163788999502297E-2</v>
      </c>
      <c r="AE8" s="900">
        <f>IF(AE$4&gt;2060,AD8,SUMIF(Inputs!$D$37:$D$72,AE$4,Inputs!$E$37:$E$72))</f>
        <v>7.6163788999502297E-2</v>
      </c>
      <c r="AF8" s="900">
        <f>IF(AF$4&gt;2060,AE8,SUMIF(Inputs!$D$37:$D$72,AF$4,Inputs!$E$37:$E$72))</f>
        <v>7.6163788999502297E-2</v>
      </c>
      <c r="AG8" s="900">
        <f>IF(AG$4&gt;2060,AF8,SUMIF(Inputs!$D$37:$D$72,AG$4,Inputs!$E$37:$E$72))</f>
        <v>7.6163788999502297E-2</v>
      </c>
      <c r="AH8" s="900">
        <f>IF(AH$4&gt;2060,AG8,SUMIF(Inputs!$D$37:$D$72,AH$4,Inputs!$E$37:$E$72))</f>
        <v>7.6163788999502297E-2</v>
      </c>
      <c r="AI8" s="900">
        <f>IF(AI$4&gt;2060,AH8,SUMIF(Inputs!$D$37:$D$72,AI$4,Inputs!$E$37:$E$72))</f>
        <v>7.6163788999502297E-2</v>
      </c>
      <c r="AJ8" s="900">
        <f>IF(AJ$4&gt;2060,AI8,SUMIF(Inputs!$D$37:$D$72,AJ$4,Inputs!$E$37:$E$72))</f>
        <v>7.6163788999502297E-2</v>
      </c>
      <c r="AK8" s="900">
        <f>IF(AK$4&gt;2060,AJ8,SUMIF(Inputs!$D$37:$D$72,AK$4,Inputs!$E$37:$E$72))</f>
        <v>7.6163788999502297E-2</v>
      </c>
      <c r="AL8" s="900">
        <f>IF(AL$4&gt;2060,AK8,SUMIF(Inputs!$D$37:$D$72,AL$4,Inputs!$E$37:$E$72))</f>
        <v>7.6163788999502297E-2</v>
      </c>
      <c r="AM8" s="900">
        <f>IF(AM$4&gt;2060,AL8,SUMIF(Inputs!$D$37:$D$72,AM$4,Inputs!$E$37:$E$72))</f>
        <v>7.6163788999502297E-2</v>
      </c>
      <c r="AN8" s="900">
        <f>IF(AN$4&gt;2060,AM8,SUMIF(Inputs!$D$37:$D$72,AN$4,Inputs!$E$37:$E$72))</f>
        <v>0</v>
      </c>
      <c r="AO8" s="900">
        <f>IF(AO$4&gt;2060,AN8,SUMIF(Inputs!$D$37:$D$72,AO$4,Inputs!$E$37:$E$72))</f>
        <v>0</v>
      </c>
    </row>
    <row r="9" spans="1:41" s="898" customFormat="1">
      <c r="A9" s="899" t="s">
        <v>465</v>
      </c>
      <c r="B9" s="896" t="s">
        <v>463</v>
      </c>
      <c r="C9" s="901">
        <f>IF(C$4&gt;2060,B9,SUMIF(Inputs!$D$73:$D$108,C$4,Inputs!$E$73:$E$108))</f>
        <v>0</v>
      </c>
      <c r="D9" s="901">
        <f>IF(D$4&gt;2060,C9,SUMIF(Inputs!$D$73:$D$108,D$4,Inputs!$E$73:$E$108))</f>
        <v>1.1878384172607578E-2</v>
      </c>
      <c r="E9" s="901">
        <f>IF(E$4&gt;2060,D9,SUMIF(Inputs!$D$73:$D$108,E$4,Inputs!$E$73:$E$108))</f>
        <v>1.0432593231660143E-2</v>
      </c>
      <c r="F9" s="901">
        <f>IF(F$4&gt;2060,E9,SUMIF(Inputs!$D$73:$D$108,F$4,Inputs!$E$73:$E$108))</f>
        <v>8.9868022907130512E-3</v>
      </c>
      <c r="G9" s="901">
        <f>IF(G$4&gt;2060,F9,SUMIF(Inputs!$D$73:$D$108,G$4,Inputs!$E$73:$E$108))</f>
        <v>7.5410113497659595E-3</v>
      </c>
      <c r="H9" s="901">
        <f>IF(H$4&gt;2060,G9,SUMIF(Inputs!$D$73:$D$108,H$4,Inputs!$E$73:$E$108))</f>
        <v>7.0746262286866465E-3</v>
      </c>
      <c r="I9" s="901">
        <f>IF(I$4&gt;2060,H9,SUMIF(Inputs!$D$73:$D$108,I$4,Inputs!$E$73:$E$108))</f>
        <v>6.6082411076075062E-3</v>
      </c>
      <c r="J9" s="901">
        <f>IF(J$4&gt;2060,I9,SUMIF(Inputs!$D$73:$D$108,J$4,Inputs!$E$73:$E$108))</f>
        <v>6.1418559865281932E-3</v>
      </c>
      <c r="K9" s="901">
        <f>IF(K$4&gt;2060,J9,SUMIF(Inputs!$D$73:$D$108,K$4,Inputs!$E$73:$E$108))</f>
        <v>5.6754708654488794E-3</v>
      </c>
      <c r="L9" s="901">
        <f>IF(L$4&gt;2060,K9,SUMIF(Inputs!$D$73:$D$108,L$4,Inputs!$E$73:$E$108))</f>
        <v>5.2090857443695664E-3</v>
      </c>
      <c r="M9" s="901">
        <f>IF(M$4&gt;2060,L9,SUMIF(Inputs!$D$73:$D$108,M$4,Inputs!$E$73:$E$108))</f>
        <v>4.7427006232902535E-3</v>
      </c>
      <c r="N9" s="901">
        <f>IF(N$4&gt;2060,M9,SUMIF(Inputs!$D$73:$D$108,N$4,Inputs!$E$73:$E$108))</f>
        <v>4.2763155022111114E-3</v>
      </c>
      <c r="O9" s="901">
        <f>IF(O$4&gt;2060,N9,SUMIF(Inputs!$D$73:$D$108,O$4,Inputs!$E$73:$E$108))</f>
        <v>3.8099303811317989E-3</v>
      </c>
      <c r="P9" s="901">
        <f>IF(P$4&gt;2060,O9,SUMIF(Inputs!$D$73:$D$108,P$4,Inputs!$E$73:$E$108))</f>
        <v>3.3435452600524859E-3</v>
      </c>
      <c r="Q9" s="901">
        <f>IF(Q$4&gt;2060,P9,SUMIF(Inputs!$D$73:$D$108,Q$4,Inputs!$E$73:$E$108))</f>
        <v>2.8771601389731725E-3</v>
      </c>
      <c r="R9" s="901">
        <f>IF(R$4&gt;2060,Q9,SUMIF(Inputs!$D$73:$D$108,R$4,Inputs!$E$73:$E$108))</f>
        <v>2.8552857085822744E-3</v>
      </c>
      <c r="S9" s="901">
        <f>IF(S$4&gt;2060,R9,SUMIF(Inputs!$D$73:$D$108,S$4,Inputs!$E$73:$E$108))</f>
        <v>2.8334112781913763E-3</v>
      </c>
      <c r="T9" s="901">
        <f>IF(T$4&gt;2060,S9,SUMIF(Inputs!$D$73:$D$108,T$4,Inputs!$E$73:$E$108))</f>
        <v>2.8115368478004782E-3</v>
      </c>
      <c r="U9" s="901">
        <f>IF(U$4&gt;2060,T9,SUMIF(Inputs!$D$73:$D$108,U$4,Inputs!$E$73:$E$108))</f>
        <v>2.78966241740958E-3</v>
      </c>
      <c r="V9" s="901">
        <f>IF(V$4&gt;2060,U9,SUMIF(Inputs!$D$73:$D$108,V$4,Inputs!$E$73:$E$108))</f>
        <v>2.7677879870186819E-3</v>
      </c>
      <c r="W9" s="901">
        <f>IF(W$4&gt;2060,V9,SUMIF(Inputs!$D$73:$D$108,W$4,Inputs!$E$73:$E$108))</f>
        <v>2.7459135566277834E-3</v>
      </c>
      <c r="X9" s="901">
        <f>IF(X$4&gt;2060,W9,SUMIF(Inputs!$D$73:$D$108,X$4,Inputs!$E$73:$E$108))</f>
        <v>2.7240391262368852E-3</v>
      </c>
      <c r="Y9" s="901">
        <f>IF(Y$4&gt;2060,X9,SUMIF(Inputs!$D$73:$D$108,Y$4,Inputs!$E$73:$E$108))</f>
        <v>2.7021646958459871E-3</v>
      </c>
      <c r="Z9" s="901">
        <f>IF(Z$4&gt;2060,Y9,SUMIF(Inputs!$D$73:$D$108,Z$4,Inputs!$E$73:$E$108))</f>
        <v>2.6802902654550894E-3</v>
      </c>
      <c r="AA9" s="901">
        <f>IF(AA$4&gt;2060,Z9,SUMIF(Inputs!$D$73:$D$108,AA$4,Inputs!$E$73:$E$108))</f>
        <v>2.6584158350641913E-3</v>
      </c>
      <c r="AB9" s="901">
        <f>IF(AB$4&gt;2060,AA9,SUMIF(Inputs!$D$73:$D$108,AB$4,Inputs!$E$73:$E$108))</f>
        <v>2.6584158350641913E-3</v>
      </c>
      <c r="AC9" s="901">
        <f>IF(AC$4&gt;2060,AB9,SUMIF(Inputs!$D$73:$D$108,AC$4,Inputs!$E$73:$E$108))</f>
        <v>2.6584158350641913E-3</v>
      </c>
      <c r="AD9" s="901">
        <f>IF(AD$4&gt;2060,AC9,SUMIF(Inputs!$D$73:$D$108,AD$4,Inputs!$E$73:$E$108))</f>
        <v>2.6584158350641913E-3</v>
      </c>
      <c r="AE9" s="901">
        <f>IF(AE$4&gt;2060,AD9,SUMIF(Inputs!$D$73:$D$108,AE$4,Inputs!$E$73:$E$108))</f>
        <v>2.6584158350641913E-3</v>
      </c>
      <c r="AF9" s="901">
        <f>IF(AF$4&gt;2060,AE9,SUMIF(Inputs!$D$73:$D$108,AF$4,Inputs!$E$73:$E$108))</f>
        <v>2.6584158350641913E-3</v>
      </c>
      <c r="AG9" s="901">
        <f>IF(AG$4&gt;2060,AF9,SUMIF(Inputs!$D$73:$D$108,AG$4,Inputs!$E$73:$E$108))</f>
        <v>2.6584158350641913E-3</v>
      </c>
      <c r="AH9" s="901">
        <f>IF(AH$4&gt;2060,AG9,SUMIF(Inputs!$D$73:$D$108,AH$4,Inputs!$E$73:$E$108))</f>
        <v>2.6584158350641913E-3</v>
      </c>
      <c r="AI9" s="901">
        <f>IF(AI$4&gt;2060,AH9,SUMIF(Inputs!$D$73:$D$108,AI$4,Inputs!$E$73:$E$108))</f>
        <v>2.6584158350641913E-3</v>
      </c>
      <c r="AJ9" s="901">
        <f>IF(AJ$4&gt;2060,AI9,SUMIF(Inputs!$D$73:$D$108,AJ$4,Inputs!$E$73:$E$108))</f>
        <v>2.6584158350641913E-3</v>
      </c>
      <c r="AK9" s="901">
        <f>IF(AK$4&gt;2060,AJ9,SUMIF(Inputs!$D$73:$D$108,AK$4,Inputs!$E$73:$E$108))</f>
        <v>2.6584158350641913E-3</v>
      </c>
      <c r="AL9" s="901">
        <f>IF(AL$4&gt;2060,AK9,SUMIF(Inputs!$D$73:$D$108,AL$4,Inputs!$E$73:$E$108))</f>
        <v>2.6584158350641913E-3</v>
      </c>
      <c r="AM9" s="901">
        <f>IF(AM$4&gt;2060,AL9,SUMIF(Inputs!$D$73:$D$108,AM$4,Inputs!$E$73:$E$108))</f>
        <v>2.6584158350641913E-3</v>
      </c>
      <c r="AN9" s="901">
        <f>IF(AN$4&gt;2060,AM9,SUMIF(Inputs!$D$73:$D$108,AN$4,Inputs!$E$73:$E$108))</f>
        <v>0</v>
      </c>
      <c r="AO9" s="901">
        <f>IF(AO$4&gt;2060,AN9,SUMIF(Inputs!$D$73:$D$108,AO$4,Inputs!$E$73:$E$108))</f>
        <v>0</v>
      </c>
    </row>
    <row r="10" spans="1:41" s="898" customFormat="1">
      <c r="A10" s="899" t="s">
        <v>466</v>
      </c>
      <c r="B10" s="896" t="s">
        <v>463</v>
      </c>
      <c r="C10" s="901">
        <f>IF(C$4&gt;2060,B10,SUMIF(Inputs!$D$109:$D$144,C$4,Inputs!$E$109:$E$144))</f>
        <v>0</v>
      </c>
      <c r="D10" s="901">
        <f>IF(D$4&gt;2060,C10,SUMIF(Inputs!$D$109:$D$144,D$4,Inputs!$E$109:$E$144))</f>
        <v>1.3289061073937826E-2</v>
      </c>
      <c r="E10" s="901">
        <f>IF(E$4&gt;2060,D10,SUMIF(Inputs!$D$109:$D$144,E$4,Inputs!$E$109:$E$144))</f>
        <v>1.1509106810075807E-2</v>
      </c>
      <c r="F10" s="901">
        <f>IF(F$4&gt;2060,E10,SUMIF(Inputs!$D$109:$D$144,F$4,Inputs!$E$109:$E$144))</f>
        <v>9.7291525462144535E-3</v>
      </c>
      <c r="G10" s="901">
        <f>IF(G$4&gt;2060,F10,SUMIF(Inputs!$D$109:$D$144,G$4,Inputs!$E$109:$E$144))</f>
        <v>7.9491982823524342E-3</v>
      </c>
      <c r="H10" s="901">
        <f>IF(H$4&gt;2060,G10,SUMIF(Inputs!$D$109:$D$144,H$4,Inputs!$E$109:$E$144))</f>
        <v>7.394878863505986E-3</v>
      </c>
      <c r="I10" s="901">
        <f>IF(I$4&gt;2060,H10,SUMIF(Inputs!$D$109:$D$144,I$4,Inputs!$E$109:$E$144))</f>
        <v>6.8405594446595379E-3</v>
      </c>
      <c r="J10" s="901">
        <f>IF(J$4&gt;2060,I10,SUMIF(Inputs!$D$109:$D$144,J$4,Inputs!$E$109:$E$144))</f>
        <v>6.2862400258132563E-3</v>
      </c>
      <c r="K10" s="901">
        <f>IF(K$4&gt;2060,J10,SUMIF(Inputs!$D$109:$D$144,K$4,Inputs!$E$109:$E$144))</f>
        <v>5.7319206069668081E-3</v>
      </c>
      <c r="L10" s="901">
        <f>IF(L$4&gt;2060,K10,SUMIF(Inputs!$D$109:$D$144,L$4,Inputs!$E$109:$E$144))</f>
        <v>5.17760118812036E-3</v>
      </c>
      <c r="M10" s="901">
        <f>IF(M$4&gt;2060,L10,SUMIF(Inputs!$D$109:$D$144,M$4,Inputs!$E$109:$E$144))</f>
        <v>4.6232817692739127E-3</v>
      </c>
      <c r="N10" s="901">
        <f>IF(N$4&gt;2060,M10,SUMIF(Inputs!$D$109:$D$144,N$4,Inputs!$E$109:$E$144))</f>
        <v>4.0689623504274637E-3</v>
      </c>
      <c r="O10" s="901">
        <f>IF(O$4&gt;2060,N10,SUMIF(Inputs!$D$109:$D$144,O$4,Inputs!$E$109:$E$144))</f>
        <v>3.5146429315811834E-3</v>
      </c>
      <c r="P10" s="901">
        <f>IF(P$4&gt;2060,O10,SUMIF(Inputs!$D$109:$D$144,P$4,Inputs!$E$109:$E$144))</f>
        <v>2.9603235127347353E-3</v>
      </c>
      <c r="Q10" s="901">
        <f>IF(Q$4&gt;2060,P10,SUMIF(Inputs!$D$109:$D$144,Q$4,Inputs!$E$109:$E$144))</f>
        <v>2.4060040938882871E-3</v>
      </c>
      <c r="R10" s="901">
        <f>IF(R$4&gt;2060,Q10,SUMIF(Inputs!$D$109:$D$144,R$4,Inputs!$E$109:$E$144))</f>
        <v>2.3817558815301654E-3</v>
      </c>
      <c r="S10" s="901">
        <f>IF(S$4&gt;2060,R10,SUMIF(Inputs!$D$109:$D$144,S$4,Inputs!$E$109:$E$144))</f>
        <v>2.3575076691720329E-3</v>
      </c>
      <c r="T10" s="901">
        <f>IF(T$4&gt;2060,S10,SUMIF(Inputs!$D$109:$D$144,T$4,Inputs!$E$109:$E$144))</f>
        <v>2.3332594568139103E-3</v>
      </c>
      <c r="U10" s="901">
        <f>IF(U$4&gt;2060,T10,SUMIF(Inputs!$D$109:$D$144,U$4,Inputs!$E$109:$E$144))</f>
        <v>2.3090112444557886E-3</v>
      </c>
      <c r="V10" s="901">
        <f>IF(V$4&gt;2060,U10,SUMIF(Inputs!$D$109:$D$144,V$4,Inputs!$E$109:$E$144))</f>
        <v>2.2847630320976557E-3</v>
      </c>
      <c r="W10" s="901">
        <f>IF(W$4&gt;2060,V10,SUMIF(Inputs!$D$109:$D$144,W$4,Inputs!$E$109:$E$144))</f>
        <v>2.2605148197395336E-3</v>
      </c>
      <c r="X10" s="901">
        <f>IF(X$4&gt;2060,W10,SUMIF(Inputs!$D$109:$D$144,X$4,Inputs!$E$109:$E$144))</f>
        <v>2.2362666073814015E-3</v>
      </c>
      <c r="Y10" s="901">
        <f>IF(Y$4&gt;2060,X10,SUMIF(Inputs!$D$109:$D$144,Y$4,Inputs!$E$109:$E$144))</f>
        <v>2.2120183950232789E-3</v>
      </c>
      <c r="Z10" s="901">
        <f>IF(Z$4&gt;2060,Y10,SUMIF(Inputs!$D$109:$D$144,Z$4,Inputs!$E$109:$E$144))</f>
        <v>2.1877701826651572E-3</v>
      </c>
      <c r="AA10" s="901">
        <f>IF(AA$4&gt;2060,Z10,SUMIF(Inputs!$D$109:$D$144,AA$4,Inputs!$E$109:$E$144))</f>
        <v>2.1635219703070242E-3</v>
      </c>
      <c r="AB10" s="901">
        <f>IF(AB$4&gt;2060,AA10,SUMIF(Inputs!$D$109:$D$144,AB$4,Inputs!$E$109:$E$144))</f>
        <v>2.1635219703070242E-3</v>
      </c>
      <c r="AC10" s="901">
        <f>IF(AC$4&gt;2060,AB10,SUMIF(Inputs!$D$109:$D$144,AC$4,Inputs!$E$109:$E$144))</f>
        <v>2.1635219703070242E-3</v>
      </c>
      <c r="AD10" s="901">
        <f>IF(AD$4&gt;2060,AC10,SUMIF(Inputs!$D$109:$D$144,AD$4,Inputs!$E$109:$E$144))</f>
        <v>2.1635219703070242E-3</v>
      </c>
      <c r="AE10" s="901">
        <f>IF(AE$4&gt;2060,AD10,SUMIF(Inputs!$D$109:$D$144,AE$4,Inputs!$E$109:$E$144))</f>
        <v>2.1635219703070242E-3</v>
      </c>
      <c r="AF10" s="901">
        <f>IF(AF$4&gt;2060,AE10,SUMIF(Inputs!$D$109:$D$144,AF$4,Inputs!$E$109:$E$144))</f>
        <v>2.1635219703070242E-3</v>
      </c>
      <c r="AG10" s="901">
        <f>IF(AG$4&gt;2060,AF10,SUMIF(Inputs!$D$109:$D$144,AG$4,Inputs!$E$109:$E$144))</f>
        <v>2.1635219703070242E-3</v>
      </c>
      <c r="AH10" s="901">
        <f>IF(AH$4&gt;2060,AG10,SUMIF(Inputs!$D$109:$D$144,AH$4,Inputs!$E$109:$E$144))</f>
        <v>2.1635219703070242E-3</v>
      </c>
      <c r="AI10" s="901">
        <f>IF(AI$4&gt;2060,AH10,SUMIF(Inputs!$D$109:$D$144,AI$4,Inputs!$E$109:$E$144))</f>
        <v>2.1635219703070242E-3</v>
      </c>
      <c r="AJ10" s="901">
        <f>IF(AJ$4&gt;2060,AI10,SUMIF(Inputs!$D$109:$D$144,AJ$4,Inputs!$E$109:$E$144))</f>
        <v>2.1635219703070242E-3</v>
      </c>
      <c r="AK10" s="901">
        <f>IF(AK$4&gt;2060,AJ10,SUMIF(Inputs!$D$109:$D$144,AK$4,Inputs!$E$109:$E$144))</f>
        <v>2.1635219703070242E-3</v>
      </c>
      <c r="AL10" s="901">
        <f>IF(AL$4&gt;2060,AK10,SUMIF(Inputs!$D$109:$D$144,AL$4,Inputs!$E$109:$E$144))</f>
        <v>2.1635219703070242E-3</v>
      </c>
      <c r="AM10" s="901">
        <f>IF(AM$4&gt;2060,AL10,SUMIF(Inputs!$D$109:$D$144,AM$4,Inputs!$E$109:$E$144))</f>
        <v>2.1635219703070242E-3</v>
      </c>
      <c r="AN10" s="901">
        <f>IF(AN$4&gt;2060,AM10,SUMIF(Inputs!$D$109:$D$144,AN$4,Inputs!$E$109:$E$144))</f>
        <v>0</v>
      </c>
      <c r="AO10" s="901">
        <f>IF(AO$4&gt;2060,AN10,SUMIF(Inputs!$D$109:$D$144,AO$4,Inputs!$E$109:$E$144))</f>
        <v>0</v>
      </c>
    </row>
    <row r="11" spans="1:41" s="898" customFormat="1">
      <c r="A11" s="899" t="s">
        <v>467</v>
      </c>
      <c r="B11" s="896" t="s">
        <v>463</v>
      </c>
      <c r="C11" s="901">
        <f>IF(C$4&gt;2060,B11,SUMIF(Inputs!$D$145:$D$180,C$4,Inputs!$E$145:$E$180))</f>
        <v>0</v>
      </c>
      <c r="D11" s="901">
        <f>IF(D$4&gt;2060,C11,SUMIF(Inputs!$D$145:$D$180,D$4,Inputs!$E$145:$E$180))</f>
        <v>8.4820855802927755E-4</v>
      </c>
      <c r="E11" s="901">
        <f>IF(E$4&gt;2060,D11,SUMIF(Inputs!$D$145:$D$180,E$4,Inputs!$E$145:$E$180))</f>
        <v>8.4123406774149303E-4</v>
      </c>
      <c r="F11" s="901">
        <f>IF(F$4&gt;2060,E11,SUMIF(Inputs!$D$145:$D$180,F$4,Inputs!$E$145:$E$180))</f>
        <v>8.3425957745370872E-4</v>
      </c>
      <c r="G11" s="901">
        <f>IF(G$4&gt;2060,F11,SUMIF(Inputs!$D$145:$D$180,G$4,Inputs!$E$145:$E$180))</f>
        <v>8.2728508716592214E-4</v>
      </c>
      <c r="H11" s="901">
        <f>IF(H$4&gt;2060,G11,SUMIF(Inputs!$D$145:$D$180,H$4,Inputs!$E$145:$E$180))</f>
        <v>8.2463060903291061E-4</v>
      </c>
      <c r="I11" s="901">
        <f>IF(I$4&gt;2060,H11,SUMIF(Inputs!$D$145:$D$180,I$4,Inputs!$E$145:$E$180))</f>
        <v>8.2197613089989973E-4</v>
      </c>
      <c r="J11" s="901">
        <f>IF(J$4&gt;2060,I11,SUMIF(Inputs!$D$145:$D$180,J$4,Inputs!$E$145:$E$180))</f>
        <v>8.1932165276688809E-4</v>
      </c>
      <c r="K11" s="901">
        <f>IF(K$4&gt;2060,J11,SUMIF(Inputs!$D$145:$D$180,K$4,Inputs!$E$145:$E$180))</f>
        <v>8.1666717463387646E-4</v>
      </c>
      <c r="L11" s="901">
        <f>IF(L$4&gt;2060,K11,SUMIF(Inputs!$D$145:$D$180,L$4,Inputs!$E$145:$E$180))</f>
        <v>8.1401269650086558E-4</v>
      </c>
      <c r="M11" s="901">
        <f>IF(M$4&gt;2060,L11,SUMIF(Inputs!$D$145:$D$180,M$4,Inputs!$E$145:$E$180))</f>
        <v>8.1135821836785394E-4</v>
      </c>
      <c r="N11" s="901">
        <f>IF(N$4&gt;2060,M11,SUMIF(Inputs!$D$145:$D$180,N$4,Inputs!$E$145:$E$180))</f>
        <v>8.0870374023484307E-4</v>
      </c>
      <c r="O11" s="901">
        <f>IF(O$4&gt;2060,N11,SUMIF(Inputs!$D$145:$D$180,O$4,Inputs!$E$145:$E$180))</f>
        <v>8.0604926210183154E-4</v>
      </c>
      <c r="P11" s="901">
        <f>IF(P$4&gt;2060,O11,SUMIF(Inputs!$D$145:$D$180,P$4,Inputs!$E$145:$E$180))</f>
        <v>8.033947839688199E-4</v>
      </c>
      <c r="Q11" s="901">
        <f>IF(Q$4&gt;2060,P11,SUMIF(Inputs!$D$145:$D$180,Q$4,Inputs!$E$145:$E$180))</f>
        <v>8.0074030583580967E-4</v>
      </c>
      <c r="R11" s="901">
        <f>IF(R$4&gt;2060,Q11,SUMIF(Inputs!$D$145:$D$180,R$4,Inputs!$E$145:$E$180))</f>
        <v>8.0041294593292207E-4</v>
      </c>
      <c r="S11" s="901">
        <f>IF(S$4&gt;2060,R11,SUMIF(Inputs!$D$145:$D$180,S$4,Inputs!$E$145:$E$180))</f>
        <v>8.0008558603003436E-4</v>
      </c>
      <c r="T11" s="901">
        <f>IF(T$4&gt;2060,S11,SUMIF(Inputs!$D$145:$D$180,T$4,Inputs!$E$145:$E$180))</f>
        <v>7.9975822612714676E-4</v>
      </c>
      <c r="U11" s="901">
        <f>IF(U$4&gt;2060,T11,SUMIF(Inputs!$D$145:$D$180,U$4,Inputs!$E$145:$E$180))</f>
        <v>7.9943086622425938E-4</v>
      </c>
      <c r="V11" s="901">
        <f>IF(V$4&gt;2060,U11,SUMIF(Inputs!$D$145:$D$180,V$4,Inputs!$E$145:$E$180))</f>
        <v>7.9910350632137199E-4</v>
      </c>
      <c r="W11" s="901">
        <f>IF(W$4&gt;2060,V11,SUMIF(Inputs!$D$145:$D$180,W$4,Inputs!$E$145:$E$180))</f>
        <v>7.9877614641848439E-4</v>
      </c>
      <c r="X11" s="901">
        <f>IF(X$4&gt;2060,W11,SUMIF(Inputs!$D$145:$D$180,X$4,Inputs!$E$145:$E$180))</f>
        <v>7.9844878651559679E-4</v>
      </c>
      <c r="Y11" s="901">
        <f>IF(Y$4&gt;2060,X11,SUMIF(Inputs!$D$145:$D$180,Y$4,Inputs!$E$145:$E$180))</f>
        <v>7.9812142661270919E-4</v>
      </c>
      <c r="Z11" s="901">
        <f>IF(Z$4&gt;2060,Y11,SUMIF(Inputs!$D$145:$D$180,Z$4,Inputs!$E$145:$E$180))</f>
        <v>7.977940667098218E-4</v>
      </c>
      <c r="AA11" s="901">
        <f>IF(AA$4&gt;2060,Z11,SUMIF(Inputs!$D$145:$D$180,AA$4,Inputs!$E$145:$E$180))</f>
        <v>7.9746670680693431E-4</v>
      </c>
      <c r="AB11" s="901">
        <f>IF(AB$4&gt;2060,AA11,SUMIF(Inputs!$D$145:$D$180,AB$4,Inputs!$E$145:$E$180))</f>
        <v>7.9746670680693431E-4</v>
      </c>
      <c r="AC11" s="901">
        <f>IF(AC$4&gt;2060,AB11,SUMIF(Inputs!$D$145:$D$180,AC$4,Inputs!$E$145:$E$180))</f>
        <v>7.9746670680693431E-4</v>
      </c>
      <c r="AD11" s="901">
        <f>IF(AD$4&gt;2060,AC11,SUMIF(Inputs!$D$145:$D$180,AD$4,Inputs!$E$145:$E$180))</f>
        <v>7.9746670680693431E-4</v>
      </c>
      <c r="AE11" s="901">
        <f>IF(AE$4&gt;2060,AD11,SUMIF(Inputs!$D$145:$D$180,AE$4,Inputs!$E$145:$E$180))</f>
        <v>7.9746670680693431E-4</v>
      </c>
      <c r="AF11" s="901">
        <f>IF(AF$4&gt;2060,AE11,SUMIF(Inputs!$D$145:$D$180,AF$4,Inputs!$E$145:$E$180))</f>
        <v>7.9746670680693431E-4</v>
      </c>
      <c r="AG11" s="901">
        <f>IF(AG$4&gt;2060,AF11,SUMIF(Inputs!$D$145:$D$180,AG$4,Inputs!$E$145:$E$180))</f>
        <v>7.9746670680693431E-4</v>
      </c>
      <c r="AH11" s="901">
        <f>IF(AH$4&gt;2060,AG11,SUMIF(Inputs!$D$145:$D$180,AH$4,Inputs!$E$145:$E$180))</f>
        <v>7.9746670680693431E-4</v>
      </c>
      <c r="AI11" s="901">
        <f>IF(AI$4&gt;2060,AH11,SUMIF(Inputs!$D$145:$D$180,AI$4,Inputs!$E$145:$E$180))</f>
        <v>7.9746670680693431E-4</v>
      </c>
      <c r="AJ11" s="901">
        <f>IF(AJ$4&gt;2060,AI11,SUMIF(Inputs!$D$145:$D$180,AJ$4,Inputs!$E$145:$E$180))</f>
        <v>7.9746670680693431E-4</v>
      </c>
      <c r="AK11" s="901">
        <f>IF(AK$4&gt;2060,AJ11,SUMIF(Inputs!$D$145:$D$180,AK$4,Inputs!$E$145:$E$180))</f>
        <v>7.9746670680693431E-4</v>
      </c>
      <c r="AL11" s="901">
        <f>IF(AL$4&gt;2060,AK11,SUMIF(Inputs!$D$145:$D$180,AL$4,Inputs!$E$145:$E$180))</f>
        <v>7.9746670680693431E-4</v>
      </c>
      <c r="AM11" s="901">
        <f>IF(AM$4&gt;2060,AL11,SUMIF(Inputs!$D$145:$D$180,AM$4,Inputs!$E$145:$E$180))</f>
        <v>7.9746670680693431E-4</v>
      </c>
      <c r="AN11" s="901">
        <f>IF(AN$4&gt;2060,AM11,SUMIF(Inputs!$D$145:$D$180,AN$4,Inputs!$E$145:$E$180))</f>
        <v>0</v>
      </c>
      <c r="AO11" s="901">
        <f>IF(AO$4&gt;2060,AN11,SUMIF(Inputs!$D$145:$D$180,AO$4,Inputs!$E$145:$E$180))</f>
        <v>0</v>
      </c>
    </row>
    <row r="12" spans="1:41" s="898" customFormat="1">
      <c r="A12" s="899"/>
      <c r="B12" s="896"/>
      <c r="C12" s="901"/>
      <c r="D12" s="901"/>
      <c r="E12" s="901"/>
      <c r="F12" s="901"/>
      <c r="G12" s="901"/>
      <c r="H12" s="901"/>
      <c r="I12" s="901"/>
      <c r="J12" s="901"/>
      <c r="K12" s="901"/>
      <c r="L12" s="901"/>
      <c r="M12" s="901"/>
      <c r="N12" s="901"/>
      <c r="O12" s="901"/>
      <c r="P12" s="901"/>
      <c r="Q12" s="901"/>
      <c r="R12" s="901"/>
      <c r="S12" s="901"/>
      <c r="T12" s="901"/>
      <c r="U12" s="901"/>
      <c r="V12" s="901"/>
      <c r="W12" s="901"/>
      <c r="X12" s="901"/>
      <c r="Y12" s="901"/>
      <c r="Z12" s="901"/>
      <c r="AA12" s="901"/>
      <c r="AB12" s="901"/>
      <c r="AC12" s="901"/>
      <c r="AD12" s="901"/>
      <c r="AE12" s="901"/>
      <c r="AF12" s="901"/>
      <c r="AG12" s="901"/>
      <c r="AH12" s="901"/>
      <c r="AI12" s="901"/>
      <c r="AJ12" s="901"/>
      <c r="AK12" s="901"/>
      <c r="AL12" s="901"/>
      <c r="AM12" s="901"/>
      <c r="AN12" s="901"/>
      <c r="AO12" s="901"/>
    </row>
    <row r="13" spans="1:41" s="905" customFormat="1">
      <c r="A13" s="895" t="s">
        <v>468</v>
      </c>
      <c r="B13" s="903" t="s">
        <v>463</v>
      </c>
      <c r="C13" s="904">
        <f>IF(C$4&gt;2040,B13,SUMIF(Inputs!$D$363:$D$398,C$4,Inputs!$E$363:$E$398))</f>
        <v>0</v>
      </c>
      <c r="D13" s="904">
        <f>IF(D$4&gt;2040,C13,SUMIF(Inputs!$D$363:$D$398,D$4,Inputs!$E$363:$E$398))</f>
        <v>25.5425</v>
      </c>
      <c r="E13" s="904">
        <f>IF(E$4&gt;2040,D13,SUMIF(Inputs!$D$363:$D$398,E$4,Inputs!$E$363:$E$398))</f>
        <v>25.5425</v>
      </c>
      <c r="F13" s="904">
        <f>IF(F$4&gt;2040,E13,SUMIF(Inputs!$D$363:$D$398,F$4,Inputs!$E$363:$E$398))</f>
        <v>25.5425</v>
      </c>
      <c r="G13" s="904">
        <f>IF(G$4&gt;2040,F13,SUMIF(Inputs!$D$363:$D$398,G$4,Inputs!$E$363:$E$398))</f>
        <v>25.5425</v>
      </c>
      <c r="H13" s="904">
        <f>IF(H$4&gt;2040,G13,SUMIF(Inputs!$D$363:$D$398,H$4,Inputs!$E$363:$E$398))</f>
        <v>25.5425</v>
      </c>
      <c r="I13" s="904">
        <f>IF(I$4&gt;2040,H13,SUMIF(Inputs!$D$363:$D$398,I$4,Inputs!$E$363:$E$398))</f>
        <v>25.5425</v>
      </c>
      <c r="J13" s="904">
        <f>IF(J$4&gt;2040,I13,SUMIF(Inputs!$D$363:$D$398,J$4,Inputs!$E$363:$E$398))</f>
        <v>25.5425</v>
      </c>
      <c r="K13" s="904">
        <f>IF(K$4&gt;2040,J13,SUMIF(Inputs!$D$363:$D$398,K$4,Inputs!$E$363:$E$398))</f>
        <v>25.5425</v>
      </c>
      <c r="L13" s="904">
        <f>IF(L$4&gt;2040,K13,SUMIF(Inputs!$D$363:$D$398,L$4,Inputs!$E$363:$E$398))</f>
        <v>25.5425</v>
      </c>
      <c r="M13" s="904">
        <f>IF(M$4&gt;2040,L13,SUMIF(Inputs!$D$363:$D$398,M$4,Inputs!$E$363:$E$398))</f>
        <v>25.5425</v>
      </c>
      <c r="N13" s="904">
        <f>IF(N$4&gt;2040,M13,SUMIF(Inputs!$D$363:$D$398,N$4,Inputs!$E$363:$E$398))</f>
        <v>25.5425</v>
      </c>
      <c r="O13" s="904">
        <f>IF(O$4&gt;2040,N13,SUMIF(Inputs!$D$363:$D$398,O$4,Inputs!$E$363:$E$398))</f>
        <v>25.5425</v>
      </c>
      <c r="P13" s="904">
        <f>IF(P$4&gt;2040,O13,SUMIF(Inputs!$D$363:$D$398,P$4,Inputs!$E$363:$E$398))</f>
        <v>25.5425</v>
      </c>
      <c r="Q13" s="904">
        <f>IF(Q$4&gt;2040,P13,SUMIF(Inputs!$D$363:$D$398,Q$4,Inputs!$E$363:$E$398))</f>
        <v>25.5425</v>
      </c>
      <c r="R13" s="904">
        <f>IF(R$4&gt;2040,Q13,SUMIF(Inputs!$D$363:$D$398,R$4,Inputs!$E$363:$E$398))</f>
        <v>25.5425</v>
      </c>
      <c r="S13" s="904">
        <f>IF(S$4&gt;2040,R13,SUMIF(Inputs!$D$363:$D$398,S$4,Inputs!$E$363:$E$398))</f>
        <v>25.5425</v>
      </c>
      <c r="T13" s="904">
        <f>IF(T$4&gt;2040,S13,SUMIF(Inputs!$D$363:$D$398,T$4,Inputs!$E$363:$E$398))</f>
        <v>25.5425</v>
      </c>
      <c r="U13" s="904">
        <f>IF(U$4&gt;2040,T13,SUMIF(Inputs!$D$363:$D$398,U$4,Inputs!$E$363:$E$398))</f>
        <v>25.5425</v>
      </c>
      <c r="V13" s="904">
        <f>IF(V$4&gt;2040,U13,SUMIF(Inputs!$D$363:$D$398,V$4,Inputs!$E$363:$E$398))</f>
        <v>25.5425</v>
      </c>
      <c r="W13" s="904">
        <f>IF(W$4&gt;2040,V13,SUMIF(Inputs!$D$363:$D$398,W$4,Inputs!$E$363:$E$398))</f>
        <v>25.5425</v>
      </c>
      <c r="X13" s="904">
        <f>IF(X$4&gt;2040,W13,SUMIF(Inputs!$D$363:$D$398,X$4,Inputs!$E$363:$E$398))</f>
        <v>25.5425</v>
      </c>
      <c r="Y13" s="904">
        <f>IF(Y$4&gt;2040,X13,SUMIF(Inputs!$D$363:$D$398,Y$4,Inputs!$E$363:$E$398))</f>
        <v>25.5425</v>
      </c>
      <c r="Z13" s="904">
        <f>IF(Z$4&gt;2040,Y13,SUMIF(Inputs!$D$363:$D$398,Z$4,Inputs!$E$363:$E$398))</f>
        <v>25.5425</v>
      </c>
      <c r="AA13" s="904">
        <f>IF(AA$4&gt;2040,Z13,SUMIF(Inputs!$D$363:$D$398,AA$4,Inputs!$E$363:$E$398))</f>
        <v>25.5425</v>
      </c>
      <c r="AB13" s="904">
        <f>IF(AB$4&gt;2040,AA13,SUMIF(Inputs!$D$363:$D$398,AB$4,Inputs!$E$363:$E$398))</f>
        <v>25.5425</v>
      </c>
      <c r="AC13" s="904">
        <f>IF(AC$4&gt;2040,AB13,SUMIF(Inputs!$D$363:$D$398,AC$4,Inputs!$E$363:$E$398))</f>
        <v>25.5425</v>
      </c>
      <c r="AD13" s="904">
        <f>IF(AD$4&gt;2040,AC13,SUMIF(Inputs!$D$363:$D$398,AD$4,Inputs!$E$363:$E$398))</f>
        <v>25.5425</v>
      </c>
      <c r="AE13" s="904">
        <f>IF(AE$4&gt;2040,AD13,SUMIF(Inputs!$D$363:$D$398,AE$4,Inputs!$E$363:$E$398))</f>
        <v>25.5425</v>
      </c>
      <c r="AF13" s="904">
        <f>IF(AF$4&gt;2040,AE13,SUMIF(Inputs!$D$363:$D$398,AF$4,Inputs!$E$363:$E$398))</f>
        <v>25.5425</v>
      </c>
      <c r="AG13" s="904">
        <f>IF(AG$4&gt;2040,AF13,SUMIF(Inputs!$D$363:$D$398,AG$4,Inputs!$E$363:$E$398))</f>
        <v>25.5425</v>
      </c>
      <c r="AH13" s="904">
        <f>IF(AH$4&gt;2040,AG13,SUMIF(Inputs!$D$363:$D$398,AH$4,Inputs!$E$363:$E$398))</f>
        <v>25.5425</v>
      </c>
      <c r="AI13" s="904">
        <f>IF(AI$4&gt;2040,AH13,SUMIF(Inputs!$D$363:$D$398,AI$4,Inputs!$E$363:$E$398))</f>
        <v>25.5425</v>
      </c>
      <c r="AJ13" s="904">
        <f>IF(AJ$4&gt;2040,AI13,SUMIF(Inputs!$D$363:$D$398,AJ$4,Inputs!$E$363:$E$398))</f>
        <v>25.5425</v>
      </c>
      <c r="AK13" s="904">
        <f>IF(AK$4&gt;2040,AJ13,SUMIF(Inputs!$D$363:$D$398,AK$4,Inputs!$E$363:$E$398))</f>
        <v>25.5425</v>
      </c>
      <c r="AL13" s="904">
        <f>IF(AL$4&gt;2040,AK13,SUMIF(Inputs!$D$363:$D$398,AL$4,Inputs!$E$363:$E$398))</f>
        <v>25.5425</v>
      </c>
      <c r="AM13" s="904">
        <f>IF(AM$4&gt;2040,AL13,SUMIF(Inputs!$D$363:$D$398,AM$4,Inputs!$E$363:$E$398))</f>
        <v>25.5425</v>
      </c>
      <c r="AN13" s="904">
        <f>IF(AN$4&gt;2040,AM13,SUMIF(Inputs!$D$363:$D$398,AN$4,Inputs!$E$363:$E$398))</f>
        <v>25.5425</v>
      </c>
      <c r="AO13" s="904">
        <f>IF(AO$4&gt;2040,AN13,SUMIF(Inputs!$D$363:$D$398,AO$4,Inputs!$E$363:$E$398))</f>
        <v>25.5425</v>
      </c>
    </row>
    <row r="14" spans="1:41" s="908" customFormat="1">
      <c r="A14" s="899" t="s">
        <v>469</v>
      </c>
      <c r="B14" s="903" t="s">
        <v>463</v>
      </c>
      <c r="C14" s="907">
        <f>IF(C$4&gt;2040,B14,SUMIF(Inputs!$D$219:$D$254,C$4,Inputs!$E$219:$E$254))</f>
        <v>0</v>
      </c>
      <c r="D14" s="907">
        <f>IF(D$4&gt;2040,C14,SUMIF(Inputs!$D$219:$D$254,D$4,Inputs!$E$219:$E$254))</f>
        <v>0.18334601120367067</v>
      </c>
      <c r="E14" s="907">
        <f>IF(E$4&gt;2040,D14,SUMIF(Inputs!$D$219:$D$254,E$4,Inputs!$E$219:$E$254))</f>
        <v>0.1704883482715264</v>
      </c>
      <c r="F14" s="907">
        <f>IF(F$4&gt;2040,E14,SUMIF(Inputs!$D$219:$D$254,F$4,Inputs!$E$219:$E$254))</f>
        <v>0.15797067221968786</v>
      </c>
      <c r="G14" s="907">
        <f>IF(G$4&gt;2040,F14,SUMIF(Inputs!$D$219:$D$254,G$4,Inputs!$E$219:$E$254))</f>
        <v>0.14578574227420218</v>
      </c>
      <c r="H14" s="907">
        <f>IF(H$4&gt;2040,G14,SUMIF(Inputs!$D$219:$D$254,H$4,Inputs!$E$219:$E$254))</f>
        <v>0.13392645742138135</v>
      </c>
      <c r="I14" s="907">
        <f>IF(I$4&gt;2040,H14,SUMIF(Inputs!$D$219:$D$254,I$4,Inputs!$E$219:$E$254))</f>
        <v>0.12429813282487025</v>
      </c>
      <c r="J14" s="907">
        <f>IF(J$4&gt;2040,I14,SUMIF(Inputs!$D$219:$D$254,J$4,Inputs!$E$219:$E$254))</f>
        <v>0.11492513986081221</v>
      </c>
      <c r="K14" s="907">
        <f>IF(K$4&gt;2040,J14,SUMIF(Inputs!$D$219:$D$254,K$4,Inputs!$E$219:$E$254))</f>
        <v>0.10580203459688763</v>
      </c>
      <c r="L14" s="907">
        <f>IF(L$4&gt;2040,K14,SUMIF(Inputs!$D$219:$D$254,L$4,Inputs!$E$219:$E$254))</f>
        <v>9.692347824103438E-2</v>
      </c>
      <c r="M14" s="907">
        <f>IF(M$4&gt;2040,L14,SUMIF(Inputs!$D$219:$D$254,M$4,Inputs!$E$219:$E$254))</f>
        <v>8.8284235222802959E-2</v>
      </c>
      <c r="N14" s="907">
        <f>IF(N$4&gt;2040,M14,SUMIF(Inputs!$D$219:$D$254,N$4,Inputs!$E$219:$E$254))</f>
        <v>8.1654264004200991E-2</v>
      </c>
      <c r="O14" s="907">
        <f>IF(O$4&gt;2040,N14,SUMIF(Inputs!$D$219:$D$254,O$4,Inputs!$E$219:$E$254))</f>
        <v>7.5200971346768966E-2</v>
      </c>
      <c r="P14" s="907">
        <f>IF(P$4&gt;2040,O14,SUMIF(Inputs!$D$219:$D$254,P$4,Inputs!$E$219:$E$254))</f>
        <v>6.8920583202446067E-2</v>
      </c>
      <c r="Q14" s="907">
        <f>IF(Q$4&gt;2040,P14,SUMIF(Inputs!$D$219:$D$254,Q$4,Inputs!$E$219:$E$254))</f>
        <v>6.2809398484987802E-2</v>
      </c>
      <c r="R14" s="907">
        <f>IF(R$4&gt;2040,Q14,SUMIF(Inputs!$D$219:$D$254,R$4,Inputs!$E$219:$E$254))</f>
        <v>5.8536252082933643E-2</v>
      </c>
      <c r="S14" s="907">
        <f>IF(S$4&gt;2040,R14,SUMIF(Inputs!$D$219:$D$254,S$4,Inputs!$E$219:$E$254))</f>
        <v>5.4375688071409169E-2</v>
      </c>
      <c r="T14" s="907">
        <f>IF(T$4&gt;2040,S14,SUMIF(Inputs!$D$219:$D$254,T$4,Inputs!$E$219:$E$254))</f>
        <v>5.0325312142519313E-2</v>
      </c>
      <c r="U14" s="907">
        <f>IF(U$4&gt;2040,T14,SUMIF(Inputs!$D$219:$D$254,U$4,Inputs!$E$219:$E$254))</f>
        <v>4.6382776168220577E-2</v>
      </c>
      <c r="V14" s="907">
        <f>IF(V$4&gt;2040,U14,SUMIF(Inputs!$D$219:$D$254,V$4,Inputs!$E$219:$E$254))</f>
        <v>4.4121546890102809E-2</v>
      </c>
      <c r="W14" s="907">
        <f>IF(W$4&gt;2040,V14,SUMIF(Inputs!$D$219:$D$254,W$4,Inputs!$E$219:$E$254))</f>
        <v>4.4121546890102809E-2</v>
      </c>
      <c r="X14" s="907">
        <f>IF(X$4&gt;2040,W14,SUMIF(Inputs!$D$219:$D$254,X$4,Inputs!$E$219:$E$254))</f>
        <v>4.4121546890102809E-2</v>
      </c>
      <c r="Y14" s="907">
        <f>IF(Y$4&gt;2040,X14,SUMIF(Inputs!$D$219:$D$254,Y$4,Inputs!$E$219:$E$254))</f>
        <v>4.4121546890102809E-2</v>
      </c>
      <c r="Z14" s="907">
        <f>IF(Z$4&gt;2040,Y14,SUMIF(Inputs!$D$219:$D$254,Z$4,Inputs!$E$219:$E$254))</f>
        <v>4.4121546890102809E-2</v>
      </c>
      <c r="AA14" s="907">
        <f>IF(AA$4&gt;2040,Z14,SUMIF(Inputs!$D$219:$D$254,AA$4,Inputs!$E$219:$E$254))</f>
        <v>4.4121546890102809E-2</v>
      </c>
      <c r="AB14" s="907">
        <f>IF(AB$4&gt;2040,AA14,SUMIF(Inputs!$D$219:$D$254,AB$4,Inputs!$E$219:$E$254))</f>
        <v>4.4121546890102809E-2</v>
      </c>
      <c r="AC14" s="907">
        <f>IF(AC$4&gt;2040,AB14,SUMIF(Inputs!$D$219:$D$254,AC$4,Inputs!$E$219:$E$254))</f>
        <v>4.4121546890102809E-2</v>
      </c>
      <c r="AD14" s="907">
        <f>IF(AD$4&gt;2040,AC14,SUMIF(Inputs!$D$219:$D$254,AD$4,Inputs!$E$219:$E$254))</f>
        <v>4.4121546890102809E-2</v>
      </c>
      <c r="AE14" s="907">
        <f>IF(AE$4&gt;2040,AD14,SUMIF(Inputs!$D$219:$D$254,AE$4,Inputs!$E$219:$E$254))</f>
        <v>4.4121546890102809E-2</v>
      </c>
      <c r="AF14" s="907">
        <f>IF(AF$4&gt;2040,AE14,SUMIF(Inputs!$D$219:$D$254,AF$4,Inputs!$E$219:$E$254))</f>
        <v>4.4121546890102809E-2</v>
      </c>
      <c r="AG14" s="907">
        <f>IF(AG$4&gt;2040,AF14,SUMIF(Inputs!$D$219:$D$254,AG$4,Inputs!$E$219:$E$254))</f>
        <v>4.4121546890102809E-2</v>
      </c>
      <c r="AH14" s="907">
        <f>IF(AH$4&gt;2040,AG14,SUMIF(Inputs!$D$219:$D$254,AH$4,Inputs!$E$219:$E$254))</f>
        <v>4.4121546890102809E-2</v>
      </c>
      <c r="AI14" s="907">
        <f>IF(AI$4&gt;2040,AH14,SUMIF(Inputs!$D$219:$D$254,AI$4,Inputs!$E$219:$E$254))</f>
        <v>4.4121546890102809E-2</v>
      </c>
      <c r="AJ14" s="907">
        <f>IF(AJ$4&gt;2040,AI14,SUMIF(Inputs!$D$219:$D$254,AJ$4,Inputs!$E$219:$E$254))</f>
        <v>4.4121546890102809E-2</v>
      </c>
      <c r="AK14" s="907">
        <f>IF(AK$4&gt;2040,AJ14,SUMIF(Inputs!$D$219:$D$254,AK$4,Inputs!$E$219:$E$254))</f>
        <v>4.4121546890102809E-2</v>
      </c>
      <c r="AL14" s="907">
        <f>IF(AL$4&gt;2040,AK14,SUMIF(Inputs!$D$219:$D$254,AL$4,Inputs!$E$219:$E$254))</f>
        <v>4.4121546890102809E-2</v>
      </c>
      <c r="AM14" s="907">
        <f>IF(AM$4&gt;2040,AL14,SUMIF(Inputs!$D$219:$D$254,AM$4,Inputs!$E$219:$E$254))</f>
        <v>4.4121546890102809E-2</v>
      </c>
      <c r="AN14" s="907">
        <f>IF(AN$4&gt;2040,AM14,SUMIF(Inputs!$D$219:$D$254,AN$4,Inputs!$E$219:$E$254))</f>
        <v>4.4121546890102809E-2</v>
      </c>
      <c r="AO14" s="907">
        <f>IF(AO$4&gt;2040,AN14,SUMIF(Inputs!$D$219:$D$254,AO$4,Inputs!$E$219:$E$254))</f>
        <v>4.4121546890102809E-2</v>
      </c>
    </row>
    <row r="15" spans="1:41" s="908" customFormat="1">
      <c r="A15" s="899" t="s">
        <v>470</v>
      </c>
      <c r="B15" s="903" t="s">
        <v>463</v>
      </c>
      <c r="C15" s="907">
        <f>IF(C$4&gt;2040,B15,SUMIF(Inputs!$D$255:$D$290,C$4,Inputs!$E$255:$E$290))</f>
        <v>0</v>
      </c>
      <c r="D15" s="907">
        <f>IF(D$4&gt;2040,C15,SUMIF(Inputs!$D$255:$D$290,D$4,Inputs!$E$255:$E$290))</f>
        <v>6.9416035882234684E-3</v>
      </c>
      <c r="E15" s="907">
        <f>IF(E$4&gt;2040,D15,SUMIF(Inputs!$D$255:$D$290,E$4,Inputs!$E$255:$E$290))</f>
        <v>6.4115796689256169E-3</v>
      </c>
      <c r="F15" s="907">
        <f>IF(F$4&gt;2040,E15,SUMIF(Inputs!$D$255:$D$290,F$4,Inputs!$E$255:$E$290))</f>
        <v>5.8957054426902224E-3</v>
      </c>
      <c r="G15" s="907">
        <f>IF(G$4&gt;2040,F15,SUMIF(Inputs!$D$255:$D$290,G$4,Inputs!$E$255:$E$290))</f>
        <v>5.3936784486258212E-3</v>
      </c>
      <c r="H15" s="907">
        <f>IF(H$4&gt;2040,G15,SUMIF(Inputs!$D$255:$D$290,H$4,Inputs!$E$255:$E$290))</f>
        <v>5.1095854950983536E-3</v>
      </c>
      <c r="I15" s="907">
        <f>IF(I$4&gt;2040,H15,SUMIF(Inputs!$D$255:$D$290,I$4,Inputs!$E$255:$E$290))</f>
        <v>4.6313484290546646E-3</v>
      </c>
      <c r="J15" s="907">
        <f>IF(J$4&gt;2040,I15,SUMIF(Inputs!$D$255:$D$290,J$4,Inputs!$E$255:$E$290))</f>
        <v>4.1661305208887554E-3</v>
      </c>
      <c r="K15" s="907">
        <f>IF(K$4&gt;2040,J15,SUMIF(Inputs!$D$255:$D$290,K$4,Inputs!$E$255:$E$290))</f>
        <v>3.9091067519481633E-3</v>
      </c>
      <c r="L15" s="907">
        <f>IF(L$4&gt;2040,K15,SUMIF(Inputs!$D$255:$D$290,L$4,Inputs!$E$255:$E$290))</f>
        <v>3.6587698663554237E-3</v>
      </c>
      <c r="M15" s="907">
        <f>IF(M$4&gt;2040,L15,SUMIF(Inputs!$D$255:$D$290,M$4,Inputs!$E$255:$E$290))</f>
        <v>3.225257336170195E-3</v>
      </c>
      <c r="N15" s="907">
        <f>IF(N$4&gt;2040,M15,SUMIF(Inputs!$D$255:$D$290,N$4,Inputs!$E$255:$E$290))</f>
        <v>2.9906761737886487E-3</v>
      </c>
      <c r="O15" s="907">
        <f>IF(O$4&gt;2040,N15,SUMIF(Inputs!$D$255:$D$290,O$4,Inputs!$E$255:$E$290))</f>
        <v>2.7623240521446879E-3</v>
      </c>
      <c r="P15" s="907">
        <f>IF(P$4&gt;2040,O15,SUMIF(Inputs!$D$255:$D$290,P$4,Inputs!$E$255:$E$290))</f>
        <v>2.5400680939261493E-3</v>
      </c>
      <c r="Q15" s="907">
        <f>IF(Q$4&gt;2040,P15,SUMIF(Inputs!$D$255:$D$290,Q$4,Inputs!$E$255:$E$290))</f>
        <v>2.323777988813508E-3</v>
      </c>
      <c r="R15" s="907">
        <f>IF(R$4&gt;2040,Q15,SUMIF(Inputs!$D$255:$D$290,R$4,Inputs!$E$255:$E$290))</f>
        <v>2.1133259466284268E-3</v>
      </c>
      <c r="S15" s="907">
        <f>IF(S$4&gt;2040,R15,SUMIF(Inputs!$D$255:$D$290,S$4,Inputs!$E$255:$E$290))</f>
        <v>2.0820945286979583E-3</v>
      </c>
      <c r="T15" s="907">
        <f>IF(T$4&gt;2040,S15,SUMIF(Inputs!$D$255:$D$290,T$4,Inputs!$E$255:$E$290))</f>
        <v>1.8803809372477458E-3</v>
      </c>
      <c r="U15" s="907">
        <f>IF(U$4&gt;2040,T15,SUMIF(Inputs!$D$255:$D$290,U$4,Inputs!$E$255:$E$290))</f>
        <v>1.8525920564017207E-3</v>
      </c>
      <c r="V15" s="907">
        <f>IF(V$4&gt;2040,U15,SUMIF(Inputs!$D$255:$D$290,V$4,Inputs!$E$255:$E$290))</f>
        <v>1.6592853169742235E-3</v>
      </c>
      <c r="W15" s="907">
        <f>IF(W$4&gt;2040,V15,SUMIF(Inputs!$D$255:$D$290,W$4,Inputs!$E$255:$E$290))</f>
        <v>1.6592853169742235E-3</v>
      </c>
      <c r="X15" s="907">
        <f>IF(X$4&gt;2040,W15,SUMIF(Inputs!$D$255:$D$290,X$4,Inputs!$E$255:$E$290))</f>
        <v>1.6592853169742235E-3</v>
      </c>
      <c r="Y15" s="907">
        <f>IF(Y$4&gt;2040,X15,SUMIF(Inputs!$D$255:$D$290,Y$4,Inputs!$E$255:$E$290))</f>
        <v>1.6592853169742235E-3</v>
      </c>
      <c r="Z15" s="907">
        <f>IF(Z$4&gt;2040,Y15,SUMIF(Inputs!$D$255:$D$290,Z$4,Inputs!$E$255:$E$290))</f>
        <v>1.6592853169742235E-3</v>
      </c>
      <c r="AA15" s="907">
        <f>IF(AA$4&gt;2040,Z15,SUMIF(Inputs!$D$255:$D$290,AA$4,Inputs!$E$255:$E$290))</f>
        <v>1.6592853169742235E-3</v>
      </c>
      <c r="AB15" s="907">
        <f>IF(AB$4&gt;2040,AA15,SUMIF(Inputs!$D$255:$D$290,AB$4,Inputs!$E$255:$E$290))</f>
        <v>1.6592853169742235E-3</v>
      </c>
      <c r="AC15" s="907">
        <f>IF(AC$4&gt;2040,AB15,SUMIF(Inputs!$D$255:$D$290,AC$4,Inputs!$E$255:$E$290))</f>
        <v>1.6592853169742235E-3</v>
      </c>
      <c r="AD15" s="907">
        <f>IF(AD$4&gt;2040,AC15,SUMIF(Inputs!$D$255:$D$290,AD$4,Inputs!$E$255:$E$290))</f>
        <v>1.6592853169742235E-3</v>
      </c>
      <c r="AE15" s="907">
        <f>IF(AE$4&gt;2040,AD15,SUMIF(Inputs!$D$255:$D$290,AE$4,Inputs!$E$255:$E$290))</f>
        <v>1.6592853169742235E-3</v>
      </c>
      <c r="AF15" s="907">
        <f>IF(AF$4&gt;2040,AE15,SUMIF(Inputs!$D$255:$D$290,AF$4,Inputs!$E$255:$E$290))</f>
        <v>1.6592853169742235E-3</v>
      </c>
      <c r="AG15" s="907">
        <f>IF(AG$4&gt;2040,AF15,SUMIF(Inputs!$D$255:$D$290,AG$4,Inputs!$E$255:$E$290))</f>
        <v>1.6592853169742235E-3</v>
      </c>
      <c r="AH15" s="907">
        <f>IF(AH$4&gt;2040,AG15,SUMIF(Inputs!$D$255:$D$290,AH$4,Inputs!$E$255:$E$290))</f>
        <v>1.6592853169742235E-3</v>
      </c>
      <c r="AI15" s="907">
        <f>IF(AI$4&gt;2040,AH15,SUMIF(Inputs!$D$255:$D$290,AI$4,Inputs!$E$255:$E$290))</f>
        <v>1.6592853169742235E-3</v>
      </c>
      <c r="AJ15" s="907">
        <f>IF(AJ$4&gt;2040,AI15,SUMIF(Inputs!$D$255:$D$290,AJ$4,Inputs!$E$255:$E$290))</f>
        <v>1.6592853169742235E-3</v>
      </c>
      <c r="AK15" s="907">
        <f>IF(AK$4&gt;2040,AJ15,SUMIF(Inputs!$D$255:$D$290,AK$4,Inputs!$E$255:$E$290))</f>
        <v>1.6592853169742235E-3</v>
      </c>
      <c r="AL15" s="907">
        <f>IF(AL$4&gt;2040,AK15,SUMIF(Inputs!$D$255:$D$290,AL$4,Inputs!$E$255:$E$290))</f>
        <v>1.6592853169742235E-3</v>
      </c>
      <c r="AM15" s="907">
        <f>IF(AM$4&gt;2040,AL15,SUMIF(Inputs!$D$255:$D$290,AM$4,Inputs!$E$255:$E$290))</f>
        <v>1.6592853169742235E-3</v>
      </c>
      <c r="AN15" s="907">
        <f>IF(AN$4&gt;2040,AM15,SUMIF(Inputs!$D$255:$D$290,AN$4,Inputs!$E$255:$E$290))</f>
        <v>1.6592853169742235E-3</v>
      </c>
      <c r="AO15" s="907">
        <f>IF(AO$4&gt;2040,AN15,SUMIF(Inputs!$D$255:$D$290,AO$4,Inputs!$E$255:$E$290))</f>
        <v>1.6592853169742235E-3</v>
      </c>
    </row>
    <row r="16" spans="1:41" s="908" customFormat="1">
      <c r="A16" s="899" t="s">
        <v>471</v>
      </c>
      <c r="B16" s="903" t="s">
        <v>463</v>
      </c>
      <c r="C16" s="907">
        <f>IF(C$4&gt;2040,B16,SUMIF(Inputs!$D$291:$D$326,C$4,Inputs!$E$291:$E$326))</f>
        <v>0</v>
      </c>
      <c r="D16" s="907">
        <f>IF(D$4&gt;2040,C16,SUMIF(Inputs!$D$291:$D$326,D$4,Inputs!$E$291:$E$326))</f>
        <v>3.9965310307316978E-3</v>
      </c>
      <c r="E16" s="907">
        <f>IF(E$4&gt;2040,D16,SUMIF(Inputs!$D$291:$D$326,E$4,Inputs!$E$291:$E$326))</f>
        <v>3.7405955460050374E-3</v>
      </c>
      <c r="F16" s="907">
        <f>IF(F$4&gt;2040,E16,SUMIF(Inputs!$D$291:$D$326,F$4,Inputs!$E$291:$E$326))</f>
        <v>3.2973878289906996E-3</v>
      </c>
      <c r="G16" s="907">
        <f>IF(G$4&gt;2040,F16,SUMIF(Inputs!$D$291:$D$326,G$4,Inputs!$E$291:$E$326))</f>
        <v>3.0575604325616462E-3</v>
      </c>
      <c r="H16" s="907">
        <f>IF(H$4&gt;2040,G16,SUMIF(Inputs!$D$291:$D$326,H$4,Inputs!$E$291:$E$326))</f>
        <v>2.8241013847552158E-3</v>
      </c>
      <c r="I16" s="907">
        <f>IF(I$4&gt;2040,H16,SUMIF(Inputs!$D$291:$D$326,I$4,Inputs!$E$291:$E$326))</f>
        <v>2.5968748365565197E-3</v>
      </c>
      <c r="J16" s="907">
        <f>IF(J$4&gt;2040,I16,SUMIF(Inputs!$D$291:$D$326,J$4,Inputs!$E$291:$E$326))</f>
        <v>2.3757475633522001E-3</v>
      </c>
      <c r="K16" s="907">
        <f>IF(K$4&gt;2040,J16,SUMIF(Inputs!$D$291:$D$326,K$4,Inputs!$E$291:$E$326))</f>
        <v>1.9805398406119138E-3</v>
      </c>
      <c r="L16" s="907">
        <f>IF(L$4&gt;2040,K16,SUMIF(Inputs!$D$291:$D$326,L$4,Inputs!$E$291:$E$326))</f>
        <v>1.7738825262981763E-3</v>
      </c>
      <c r="M16" s="907">
        <f>IF(M$4&gt;2040,L16,SUMIF(Inputs!$D$291:$D$326,M$4,Inputs!$E$291:$E$326))</f>
        <v>1.7476675135942627E-3</v>
      </c>
      <c r="N16" s="907">
        <f>IF(N$4&gt;2040,M16,SUMIF(Inputs!$D$291:$D$326,N$4,Inputs!$E$291:$E$326))</f>
        <v>1.5496559233840754E-3</v>
      </c>
      <c r="O16" s="907">
        <f>IF(O$4&gt;2040,N16,SUMIF(Inputs!$D$291:$D$326,O$4,Inputs!$E$291:$E$326))</f>
        <v>1.3571152038393656E-3</v>
      </c>
      <c r="P16" s="907">
        <f>IF(P$4&gt;2040,O16,SUMIF(Inputs!$D$291:$D$326,P$4,Inputs!$E$291:$E$326))</f>
        <v>1.1699268998615221E-3</v>
      </c>
      <c r="Q16" s="907">
        <f>IF(Q$4&gt;2040,P16,SUMIF(Inputs!$D$291:$D$326,Q$4,Inputs!$E$291:$E$326))</f>
        <v>1.1526373397650462E-3</v>
      </c>
      <c r="R16" s="907">
        <f>IF(R$4&gt;2040,Q16,SUMIF(Inputs!$D$291:$D$326,R$4,Inputs!$E$291:$E$326))</f>
        <v>9.7337424892192511E-4</v>
      </c>
      <c r="S16" s="907">
        <f>IF(S$4&gt;2040,R16,SUMIF(Inputs!$D$291:$D$326,S$4,Inputs!$E$291:$E$326))</f>
        <v>9.5898940780485265E-4</v>
      </c>
      <c r="T16" s="907">
        <f>IF(T$4&gt;2040,S16,SUMIF(Inputs!$D$291:$D$326,T$4,Inputs!$E$291:$E$326))</f>
        <v>7.87347625455544E-4</v>
      </c>
      <c r="U16" s="907">
        <f>IF(U$4&gt;2040,T16,SUMIF(Inputs!$D$291:$D$326,U$4,Inputs!$E$291:$E$326))</f>
        <v>7.7571194626161995E-4</v>
      </c>
      <c r="V16" s="907">
        <f>IF(V$4&gt;2040,U16,SUMIF(Inputs!$D$291:$D$326,V$4,Inputs!$E$291:$E$326))</f>
        <v>6.1139857833428181E-4</v>
      </c>
      <c r="W16" s="907">
        <f>IF(W$4&gt;2040,V16,SUMIF(Inputs!$D$291:$D$326,W$4,Inputs!$E$291:$E$326))</f>
        <v>6.1139857833428181E-4</v>
      </c>
      <c r="X16" s="907">
        <f>IF(X$4&gt;2040,W16,SUMIF(Inputs!$D$291:$D$326,X$4,Inputs!$E$291:$E$326))</f>
        <v>6.1139857833428181E-4</v>
      </c>
      <c r="Y16" s="907">
        <f>IF(Y$4&gt;2040,X16,SUMIF(Inputs!$D$291:$D$326,Y$4,Inputs!$E$291:$E$326))</f>
        <v>6.1139857833428181E-4</v>
      </c>
      <c r="Z16" s="907">
        <f>IF(Z$4&gt;2040,Y16,SUMIF(Inputs!$D$291:$D$326,Z$4,Inputs!$E$291:$E$326))</f>
        <v>6.1139857833428181E-4</v>
      </c>
      <c r="AA16" s="907">
        <f>IF(AA$4&gt;2040,Z16,SUMIF(Inputs!$D$291:$D$326,AA$4,Inputs!$E$291:$E$326))</f>
        <v>6.1139857833428181E-4</v>
      </c>
      <c r="AB16" s="907">
        <f>IF(AB$4&gt;2040,AA16,SUMIF(Inputs!$D$291:$D$326,AB$4,Inputs!$E$291:$E$326))</f>
        <v>6.1139857833428181E-4</v>
      </c>
      <c r="AC16" s="907">
        <f>IF(AC$4&gt;2040,AB16,SUMIF(Inputs!$D$291:$D$326,AC$4,Inputs!$E$291:$E$326))</f>
        <v>6.1139857833428181E-4</v>
      </c>
      <c r="AD16" s="907">
        <f>IF(AD$4&gt;2040,AC16,SUMIF(Inputs!$D$291:$D$326,AD$4,Inputs!$E$291:$E$326))</f>
        <v>6.1139857833428181E-4</v>
      </c>
      <c r="AE16" s="907">
        <f>IF(AE$4&gt;2040,AD16,SUMIF(Inputs!$D$291:$D$326,AE$4,Inputs!$E$291:$E$326))</f>
        <v>6.1139857833428181E-4</v>
      </c>
      <c r="AF16" s="907">
        <f>IF(AF$4&gt;2040,AE16,SUMIF(Inputs!$D$291:$D$326,AF$4,Inputs!$E$291:$E$326))</f>
        <v>6.1139857833428181E-4</v>
      </c>
      <c r="AG16" s="907">
        <f>IF(AG$4&gt;2040,AF16,SUMIF(Inputs!$D$291:$D$326,AG$4,Inputs!$E$291:$E$326))</f>
        <v>6.1139857833428181E-4</v>
      </c>
      <c r="AH16" s="907">
        <f>IF(AH$4&gt;2040,AG16,SUMIF(Inputs!$D$291:$D$326,AH$4,Inputs!$E$291:$E$326))</f>
        <v>6.1139857833428181E-4</v>
      </c>
      <c r="AI16" s="907">
        <f>IF(AI$4&gt;2040,AH16,SUMIF(Inputs!$D$291:$D$326,AI$4,Inputs!$E$291:$E$326))</f>
        <v>6.1139857833428181E-4</v>
      </c>
      <c r="AJ16" s="907">
        <f>IF(AJ$4&gt;2040,AI16,SUMIF(Inputs!$D$291:$D$326,AJ$4,Inputs!$E$291:$E$326))</f>
        <v>6.1139857833428181E-4</v>
      </c>
      <c r="AK16" s="907">
        <f>IF(AK$4&gt;2040,AJ16,SUMIF(Inputs!$D$291:$D$326,AK$4,Inputs!$E$291:$E$326))</f>
        <v>6.1139857833428181E-4</v>
      </c>
      <c r="AL16" s="907">
        <f>IF(AL$4&gt;2040,AK16,SUMIF(Inputs!$D$291:$D$326,AL$4,Inputs!$E$291:$E$326))</f>
        <v>6.1139857833428181E-4</v>
      </c>
      <c r="AM16" s="907">
        <f>IF(AM$4&gt;2040,AL16,SUMIF(Inputs!$D$291:$D$326,AM$4,Inputs!$E$291:$E$326))</f>
        <v>6.1139857833428181E-4</v>
      </c>
      <c r="AN16" s="907">
        <f>IF(AN$4&gt;2040,AM16,SUMIF(Inputs!$D$291:$D$326,AN$4,Inputs!$E$291:$E$326))</f>
        <v>6.1139857833428181E-4</v>
      </c>
      <c r="AO16" s="907">
        <f>IF(AO$4&gt;2040,AN16,SUMIF(Inputs!$D$291:$D$326,AO$4,Inputs!$E$291:$E$326))</f>
        <v>6.1139857833428181E-4</v>
      </c>
    </row>
    <row r="17" spans="1:41" s="908" customFormat="1">
      <c r="A17" s="899" t="s">
        <v>472</v>
      </c>
      <c r="B17" s="903" t="s">
        <v>463</v>
      </c>
      <c r="C17" s="907">
        <f>IF(C$4&gt;2040,B17,SUMIF(Inputs!$D$327:$D$362,C$4,Inputs!$E$327:$E$362))</f>
        <v>0</v>
      </c>
      <c r="D17" s="907">
        <f>IF(D$4&gt;2040,C17,SUMIF(Inputs!$D$327:$D$362,D$4,Inputs!$E$327:$E$362))</f>
        <v>4.6999999999999993E-3</v>
      </c>
      <c r="E17" s="907">
        <f>IF(E$4&gt;2040,D17,SUMIF(Inputs!$D$327:$D$362,E$4,Inputs!$E$327:$E$362))</f>
        <v>4.6999999999999993E-3</v>
      </c>
      <c r="F17" s="907">
        <f>IF(F$4&gt;2040,E17,SUMIF(Inputs!$D$327:$D$362,F$4,Inputs!$E$327:$E$362))</f>
        <v>4.6999999999999993E-3</v>
      </c>
      <c r="G17" s="907">
        <f>IF(G$4&gt;2040,F17,SUMIF(Inputs!$D$327:$D$362,G$4,Inputs!$E$327:$E$362))</f>
        <v>4.6999999999999993E-3</v>
      </c>
      <c r="H17" s="907">
        <f>IF(H$4&gt;2040,G17,SUMIF(Inputs!$D$327:$D$362,H$4,Inputs!$E$327:$E$362))</f>
        <v>4.6999999999999993E-3</v>
      </c>
      <c r="I17" s="907">
        <f>IF(I$4&gt;2040,H17,SUMIF(Inputs!$D$327:$D$362,I$4,Inputs!$E$327:$E$362))</f>
        <v>4.6999999999999993E-3</v>
      </c>
      <c r="J17" s="907">
        <f>IF(J$4&gt;2040,I17,SUMIF(Inputs!$D$327:$D$362,J$4,Inputs!$E$327:$E$362))</f>
        <v>4.6999999999999993E-3</v>
      </c>
      <c r="K17" s="907">
        <f>IF(K$4&gt;2040,J17,SUMIF(Inputs!$D$327:$D$362,K$4,Inputs!$E$327:$E$362))</f>
        <v>4.6999999999999993E-3</v>
      </c>
      <c r="L17" s="907">
        <f>IF(L$4&gt;2040,K17,SUMIF(Inputs!$D$327:$D$362,L$4,Inputs!$E$327:$E$362))</f>
        <v>4.6999999999999993E-3</v>
      </c>
      <c r="M17" s="907">
        <f>IF(M$4&gt;2040,L17,SUMIF(Inputs!$D$327:$D$362,M$4,Inputs!$E$327:$E$362))</f>
        <v>4.6999999999999993E-3</v>
      </c>
      <c r="N17" s="907">
        <f>IF(N$4&gt;2040,M17,SUMIF(Inputs!$D$327:$D$362,N$4,Inputs!$E$327:$E$362))</f>
        <v>4.6999999999999993E-3</v>
      </c>
      <c r="O17" s="907">
        <f>IF(O$4&gt;2040,N17,SUMIF(Inputs!$D$327:$D$362,O$4,Inputs!$E$327:$E$362))</f>
        <v>4.6999999999999993E-3</v>
      </c>
      <c r="P17" s="907">
        <f>IF(P$4&gt;2040,O17,SUMIF(Inputs!$D$327:$D$362,P$4,Inputs!$E$327:$E$362))</f>
        <v>4.6999999999999993E-3</v>
      </c>
      <c r="Q17" s="907">
        <f>IF(Q$4&gt;2040,P17,SUMIF(Inputs!$D$327:$D$362,Q$4,Inputs!$E$327:$E$362))</f>
        <v>4.6999999999999993E-3</v>
      </c>
      <c r="R17" s="907">
        <f>IF(R$4&gt;2040,Q17,SUMIF(Inputs!$D$327:$D$362,R$4,Inputs!$E$327:$E$362))</f>
        <v>4.6999999999999993E-3</v>
      </c>
      <c r="S17" s="907">
        <f>IF(S$4&gt;2040,R17,SUMIF(Inputs!$D$327:$D$362,S$4,Inputs!$E$327:$E$362))</f>
        <v>4.6999999999999993E-3</v>
      </c>
      <c r="T17" s="907">
        <f>IF(T$4&gt;2040,S17,SUMIF(Inputs!$D$327:$D$362,T$4,Inputs!$E$327:$E$362))</f>
        <v>4.6999999999999993E-3</v>
      </c>
      <c r="U17" s="907">
        <f>IF(U$4&gt;2040,T17,SUMIF(Inputs!$D$327:$D$362,U$4,Inputs!$E$327:$E$362))</f>
        <v>4.6999999999999993E-3</v>
      </c>
      <c r="V17" s="907">
        <f>IF(V$4&gt;2040,U17,SUMIF(Inputs!$D$327:$D$362,V$4,Inputs!$E$327:$E$362))</f>
        <v>4.6999999999999993E-3</v>
      </c>
      <c r="W17" s="907">
        <f>IF(W$4&gt;2040,V17,SUMIF(Inputs!$D$327:$D$362,W$4,Inputs!$E$327:$E$362))</f>
        <v>4.6999999999999993E-3</v>
      </c>
      <c r="X17" s="907">
        <f>IF(X$4&gt;2040,W17,SUMIF(Inputs!$D$327:$D$362,X$4,Inputs!$E$327:$E$362))</f>
        <v>4.6999999999999993E-3</v>
      </c>
      <c r="Y17" s="907">
        <f>IF(Y$4&gt;2040,X17,SUMIF(Inputs!$D$327:$D$362,Y$4,Inputs!$E$327:$E$362))</f>
        <v>4.6999999999999993E-3</v>
      </c>
      <c r="Z17" s="907">
        <f>IF(Z$4&gt;2040,Y17,SUMIF(Inputs!$D$327:$D$362,Z$4,Inputs!$E$327:$E$362))</f>
        <v>4.6999999999999993E-3</v>
      </c>
      <c r="AA17" s="907">
        <f>IF(AA$4&gt;2040,Z17,SUMIF(Inputs!$D$327:$D$362,AA$4,Inputs!$E$327:$E$362))</f>
        <v>4.6999999999999993E-3</v>
      </c>
      <c r="AB17" s="907">
        <f>IF(AB$4&gt;2040,AA17,SUMIF(Inputs!$D$327:$D$362,AB$4,Inputs!$E$327:$E$362))</f>
        <v>4.6999999999999993E-3</v>
      </c>
      <c r="AC17" s="907">
        <f>IF(AC$4&gt;2040,AB17,SUMIF(Inputs!$D$327:$D$362,AC$4,Inputs!$E$327:$E$362))</f>
        <v>4.6999999999999993E-3</v>
      </c>
      <c r="AD17" s="907">
        <f>IF(AD$4&gt;2040,AC17,SUMIF(Inputs!$D$327:$D$362,AD$4,Inputs!$E$327:$E$362))</f>
        <v>4.6999999999999993E-3</v>
      </c>
      <c r="AE17" s="907">
        <f>IF(AE$4&gt;2040,AD17,SUMIF(Inputs!$D$327:$D$362,AE$4,Inputs!$E$327:$E$362))</f>
        <v>4.6999999999999993E-3</v>
      </c>
      <c r="AF17" s="907">
        <f>IF(AF$4&gt;2040,AE17,SUMIF(Inputs!$D$327:$D$362,AF$4,Inputs!$E$327:$E$362))</f>
        <v>4.6999999999999993E-3</v>
      </c>
      <c r="AG17" s="907">
        <f>IF(AG$4&gt;2040,AF17,SUMIF(Inputs!$D$327:$D$362,AG$4,Inputs!$E$327:$E$362))</f>
        <v>4.6999999999999993E-3</v>
      </c>
      <c r="AH17" s="907">
        <f>IF(AH$4&gt;2040,AG17,SUMIF(Inputs!$D$327:$D$362,AH$4,Inputs!$E$327:$E$362))</f>
        <v>4.6999999999999993E-3</v>
      </c>
      <c r="AI17" s="907">
        <f>IF(AI$4&gt;2040,AH17,SUMIF(Inputs!$D$327:$D$362,AI$4,Inputs!$E$327:$E$362))</f>
        <v>4.6999999999999993E-3</v>
      </c>
      <c r="AJ17" s="907">
        <f>IF(AJ$4&gt;2040,AI17,SUMIF(Inputs!$D$327:$D$362,AJ$4,Inputs!$E$327:$E$362))</f>
        <v>4.6999999999999993E-3</v>
      </c>
      <c r="AK17" s="907">
        <f>IF(AK$4&gt;2040,AJ17,SUMIF(Inputs!$D$327:$D$362,AK$4,Inputs!$E$327:$E$362))</f>
        <v>4.6999999999999993E-3</v>
      </c>
      <c r="AL17" s="907">
        <f>IF(AL$4&gt;2040,AK17,SUMIF(Inputs!$D$327:$D$362,AL$4,Inputs!$E$327:$E$362))</f>
        <v>4.6999999999999993E-3</v>
      </c>
      <c r="AM17" s="907">
        <f>IF(AM$4&gt;2040,AL17,SUMIF(Inputs!$D$327:$D$362,AM$4,Inputs!$E$327:$E$362))</f>
        <v>4.6999999999999993E-3</v>
      </c>
      <c r="AN17" s="907">
        <f>IF(AN$4&gt;2040,AM17,SUMIF(Inputs!$D$327:$D$362,AN$4,Inputs!$E$327:$E$362))</f>
        <v>4.6999999999999993E-3</v>
      </c>
      <c r="AO17" s="907">
        <f>IF(AO$4&gt;2040,AN17,SUMIF(Inputs!$D$327:$D$362,AO$4,Inputs!$E$327:$E$362))</f>
        <v>4.6999999999999993E-3</v>
      </c>
    </row>
    <row r="18" spans="1:41" s="908" customFormat="1">
      <c r="A18" s="906"/>
      <c r="B18" s="903"/>
      <c r="C18" s="909"/>
      <c r="D18" s="909"/>
      <c r="E18" s="909"/>
      <c r="F18" s="909"/>
      <c r="G18" s="909"/>
      <c r="H18" s="909"/>
      <c r="I18" s="909"/>
      <c r="J18" s="909"/>
      <c r="K18" s="909"/>
      <c r="L18" s="909"/>
      <c r="M18" s="909"/>
      <c r="N18" s="909"/>
      <c r="O18" s="909"/>
      <c r="P18" s="909"/>
      <c r="Q18" s="909"/>
      <c r="R18" s="909"/>
      <c r="S18" s="909"/>
      <c r="T18" s="909"/>
      <c r="U18" s="909"/>
      <c r="V18" s="909"/>
      <c r="W18" s="909"/>
      <c r="X18" s="909"/>
      <c r="Y18" s="909"/>
      <c r="Z18" s="909"/>
      <c r="AA18" s="909"/>
      <c r="AB18" s="909"/>
      <c r="AC18" s="909"/>
      <c r="AD18" s="909"/>
      <c r="AE18" s="909"/>
      <c r="AF18" s="909"/>
      <c r="AG18" s="909"/>
      <c r="AH18" s="909"/>
      <c r="AI18" s="909"/>
      <c r="AJ18" s="909"/>
      <c r="AK18" s="909"/>
      <c r="AL18" s="909"/>
      <c r="AM18" s="909"/>
      <c r="AN18" s="909"/>
      <c r="AO18" s="909"/>
    </row>
    <row r="19" spans="1:41" s="905" customFormat="1">
      <c r="A19" s="910" t="s">
        <v>473</v>
      </c>
      <c r="B19" s="911" t="s">
        <v>474</v>
      </c>
      <c r="C19" s="912">
        <f>SUMIFS('Emission Costs'!$G$9:$G$38,'Emission Costs'!$C$9:$C$38,MIN('Emission Costs'!$C$38,C$4))</f>
        <v>228</v>
      </c>
      <c r="D19" s="912">
        <f>SUMIFS('Emission Costs'!$G$9:$G$38,'Emission Costs'!$C$9:$C$38,MIN('Emission Costs'!$C$38,D$4))</f>
        <v>228</v>
      </c>
      <c r="E19" s="912">
        <f>SUMIFS('Emission Costs'!$G$9:$G$38,'Emission Costs'!$C$9:$C$38,MIN('Emission Costs'!$C$38,E$4))</f>
        <v>228</v>
      </c>
      <c r="F19" s="912">
        <f>SUMIFS('Emission Costs'!$G$9:$G$38,'Emission Costs'!$C$9:$C$38,MIN('Emission Costs'!$C$38,F$4))</f>
        <v>233</v>
      </c>
      <c r="G19" s="912">
        <f>SUMIFS('Emission Costs'!$G$9:$G$38,'Emission Costs'!$C$9:$C$38,MIN('Emission Costs'!$C$38,G$4))</f>
        <v>237</v>
      </c>
      <c r="H19" s="912">
        <f>SUMIFS('Emission Costs'!$G$9:$G$38,'Emission Costs'!$C$9:$C$38,MIN('Emission Costs'!$C$38,H$4))</f>
        <v>241</v>
      </c>
      <c r="I19" s="912">
        <f>SUMIFS('Emission Costs'!$G$9:$G$38,'Emission Costs'!$C$9:$C$38,MIN('Emission Costs'!$C$38,I$4))</f>
        <v>245</v>
      </c>
      <c r="J19" s="912">
        <f>SUMIFS('Emission Costs'!$G$9:$G$38,'Emission Costs'!$C$9:$C$38,MIN('Emission Costs'!$C$38,J$4))</f>
        <v>250</v>
      </c>
      <c r="K19" s="912">
        <f>SUMIFS('Emission Costs'!$G$9:$G$38,'Emission Costs'!$C$9:$C$38,MIN('Emission Costs'!$C$38,K$4))</f>
        <v>253</v>
      </c>
      <c r="L19" s="912">
        <f>SUMIFS('Emission Costs'!$G$9:$G$38,'Emission Costs'!$C$9:$C$38,MIN('Emission Costs'!$C$38,L$4))</f>
        <v>257</v>
      </c>
      <c r="M19" s="912">
        <f>SUMIFS('Emission Costs'!$G$9:$G$38,'Emission Costs'!$C$9:$C$38,MIN('Emission Costs'!$C$38,M$4))</f>
        <v>262</v>
      </c>
      <c r="N19" s="912">
        <f>SUMIFS('Emission Costs'!$G$9:$G$38,'Emission Costs'!$C$9:$C$38,MIN('Emission Costs'!$C$38,N$4))</f>
        <v>265</v>
      </c>
      <c r="O19" s="912">
        <f>SUMIFS('Emission Costs'!$G$9:$G$38,'Emission Costs'!$C$9:$C$38,MIN('Emission Costs'!$C$38,O$4))</f>
        <v>270</v>
      </c>
      <c r="P19" s="912">
        <f>SUMIFS('Emission Costs'!$G$9:$G$38,'Emission Costs'!$C$9:$C$38,MIN('Emission Costs'!$C$38,P$4))</f>
        <v>274</v>
      </c>
      <c r="Q19" s="912">
        <f>SUMIFS('Emission Costs'!$G$9:$G$38,'Emission Costs'!$C$9:$C$38,MIN('Emission Costs'!$C$38,Q$4))</f>
        <v>278</v>
      </c>
      <c r="R19" s="912">
        <f>SUMIFS('Emission Costs'!$G$9:$G$38,'Emission Costs'!$C$9:$C$38,MIN('Emission Costs'!$C$38,R$4))</f>
        <v>282</v>
      </c>
      <c r="S19" s="912">
        <f>SUMIFS('Emission Costs'!$G$9:$G$38,'Emission Costs'!$C$9:$C$38,MIN('Emission Costs'!$C$38,S$4))</f>
        <v>287</v>
      </c>
      <c r="T19" s="912">
        <f>SUMIFS('Emission Costs'!$G$9:$G$38,'Emission Costs'!$C$9:$C$38,MIN('Emission Costs'!$C$38,T$4))</f>
        <v>290</v>
      </c>
      <c r="U19" s="912">
        <f>SUMIFS('Emission Costs'!$G$9:$G$38,'Emission Costs'!$C$9:$C$38,MIN('Emission Costs'!$C$38,U$4))</f>
        <v>294</v>
      </c>
      <c r="V19" s="912">
        <f>SUMIFS('Emission Costs'!$G$9:$G$38,'Emission Costs'!$C$9:$C$38,MIN('Emission Costs'!$C$38,V$4))</f>
        <v>299</v>
      </c>
      <c r="W19" s="912">
        <f>SUMIFS('Emission Costs'!$G$9:$G$38,'Emission Costs'!$C$9:$C$38,MIN('Emission Costs'!$C$38,W$4))</f>
        <v>303</v>
      </c>
      <c r="X19" s="912">
        <f>SUMIFS('Emission Costs'!$G$9:$G$38,'Emission Costs'!$C$9:$C$38,MIN('Emission Costs'!$C$38,X$4))</f>
        <v>308</v>
      </c>
      <c r="Y19" s="912">
        <f>SUMIFS('Emission Costs'!$G$9:$G$38,'Emission Costs'!$C$9:$C$38,MIN('Emission Costs'!$C$38,Y$4))</f>
        <v>312</v>
      </c>
      <c r="Z19" s="912">
        <f>SUMIFS('Emission Costs'!$G$9:$G$38,'Emission Costs'!$C$9:$C$38,MIN('Emission Costs'!$C$38,Z$4))</f>
        <v>317</v>
      </c>
      <c r="AA19" s="912">
        <f>SUMIFS('Emission Costs'!$G$9:$G$38,'Emission Costs'!$C$9:$C$38,MIN('Emission Costs'!$C$38,AA$4))</f>
        <v>321</v>
      </c>
      <c r="AB19" s="912">
        <f>SUMIFS('Emission Costs'!$G$9:$G$38,'Emission Costs'!$C$9:$C$38,MIN('Emission Costs'!$C$38,AB$4))</f>
        <v>326</v>
      </c>
      <c r="AC19" s="912">
        <f>SUMIFS('Emission Costs'!$G$9:$G$38,'Emission Costs'!$C$9:$C$38,MIN('Emission Costs'!$C$38,AC$4))</f>
        <v>331</v>
      </c>
      <c r="AD19" s="912">
        <f>SUMIFS('Emission Costs'!$G$9:$G$38,'Emission Costs'!$C$9:$C$38,MIN('Emission Costs'!$C$38,AD$4))</f>
        <v>336</v>
      </c>
      <c r="AE19" s="912">
        <f>SUMIFS('Emission Costs'!$G$9:$G$38,'Emission Costs'!$C$9:$C$38,MIN('Emission Costs'!$C$38,AE$4))</f>
        <v>340</v>
      </c>
      <c r="AF19" s="912">
        <f>SUMIFS('Emission Costs'!$G$9:$G$38,'Emission Costs'!$C$9:$C$38,MIN('Emission Costs'!$C$38,AF$4))</f>
        <v>345</v>
      </c>
      <c r="AG19" s="912">
        <f>SUMIFS('Emission Costs'!$G$9:$G$38,'Emission Costs'!$C$9:$C$38,MIN('Emission Costs'!$C$38,AG$4))</f>
        <v>345</v>
      </c>
      <c r="AH19" s="912">
        <f>SUMIFS('Emission Costs'!$G$9:$G$38,'Emission Costs'!$C$9:$C$38,MIN('Emission Costs'!$C$38,AH$4))</f>
        <v>345</v>
      </c>
      <c r="AI19" s="912">
        <f>SUMIFS('Emission Costs'!$G$9:$G$38,'Emission Costs'!$C$9:$C$38,MIN('Emission Costs'!$C$38,AI$4))</f>
        <v>345</v>
      </c>
      <c r="AJ19" s="912">
        <f>SUMIFS('Emission Costs'!$G$9:$G$38,'Emission Costs'!$C$9:$C$38,MIN('Emission Costs'!$C$38,AJ$4))</f>
        <v>345</v>
      </c>
      <c r="AK19" s="912">
        <f>SUMIFS('Emission Costs'!$G$9:$G$38,'Emission Costs'!$C$9:$C$38,MIN('Emission Costs'!$C$38,AK$4))</f>
        <v>345</v>
      </c>
      <c r="AL19" s="912">
        <f>SUMIFS('Emission Costs'!$G$9:$G$38,'Emission Costs'!$C$9:$C$38,MIN('Emission Costs'!$C$38,AL$4))</f>
        <v>345</v>
      </c>
      <c r="AM19" s="912">
        <f>SUMIFS('Emission Costs'!$G$9:$G$38,'Emission Costs'!$C$9:$C$38,MIN('Emission Costs'!$C$38,AM$4))</f>
        <v>345</v>
      </c>
      <c r="AN19" s="912">
        <f>SUMIFS('Emission Costs'!$G$9:$G$38,'Emission Costs'!$C$9:$C$38,MIN('Emission Costs'!$C$38,AN$4))</f>
        <v>345</v>
      </c>
      <c r="AO19" s="912">
        <f>SUMIFS('Emission Costs'!$G$9:$G$38,'Emission Costs'!$C$9:$C$38,MIN('Emission Costs'!$C$38,AO$4))</f>
        <v>345</v>
      </c>
    </row>
    <row r="20" spans="1:41" s="914" customFormat="1">
      <c r="A20" s="913" t="s">
        <v>475</v>
      </c>
      <c r="B20" s="911" t="s">
        <v>474</v>
      </c>
      <c r="C20" s="912">
        <f>SUMIFS('Emission Costs'!$D$9:$D$38,'Emission Costs'!$C$9:$C$38,MIN('Emission Costs'!$C$38,C$4))</f>
        <v>19800</v>
      </c>
      <c r="D20" s="912">
        <f>SUMIFS('Emission Costs'!$D$9:$D$38,'Emission Costs'!$C$9:$C$38,MIN('Emission Costs'!$C$38,D$4))</f>
        <v>19800</v>
      </c>
      <c r="E20" s="912">
        <f>SUMIFS('Emission Costs'!$D$9:$D$38,'Emission Costs'!$C$9:$C$38,MIN('Emission Costs'!$C$38,E$4))</f>
        <v>19800</v>
      </c>
      <c r="F20" s="912">
        <f>SUMIFS('Emission Costs'!$D$9:$D$38,'Emission Costs'!$C$9:$C$38,MIN('Emission Costs'!$C$38,F$4))</f>
        <v>20100</v>
      </c>
      <c r="G20" s="912">
        <f>SUMIFS('Emission Costs'!$D$9:$D$38,'Emission Costs'!$C$9:$C$38,MIN('Emission Costs'!$C$38,G$4))</f>
        <v>20300</v>
      </c>
      <c r="H20" s="912">
        <f>SUMIFS('Emission Costs'!$D$9:$D$38,'Emission Costs'!$C$9:$C$38,MIN('Emission Costs'!$C$38,H$4))</f>
        <v>20600</v>
      </c>
      <c r="I20" s="912">
        <f>SUMIFS('Emission Costs'!$D$9:$D$38,'Emission Costs'!$C$9:$C$38,MIN('Emission Costs'!$C$38,I$4))</f>
        <v>21000</v>
      </c>
      <c r="J20" s="912">
        <f>SUMIFS('Emission Costs'!$D$9:$D$38,'Emission Costs'!$C$9:$C$38,MIN('Emission Costs'!$C$38,J$4))</f>
        <v>21300</v>
      </c>
      <c r="K20" s="912">
        <f>SUMIFS('Emission Costs'!$D$9:$D$38,'Emission Costs'!$C$9:$C$38,MIN('Emission Costs'!$C$38,K$4))</f>
        <v>21700</v>
      </c>
      <c r="L20" s="912">
        <f>SUMIFS('Emission Costs'!$D$9:$D$38,'Emission Costs'!$C$9:$C$38,MIN('Emission Costs'!$C$38,L$4))</f>
        <v>22000</v>
      </c>
      <c r="M20" s="912">
        <f>SUMIFS('Emission Costs'!$D$9:$D$38,'Emission Costs'!$C$9:$C$38,MIN('Emission Costs'!$C$38,M$4))</f>
        <v>22000</v>
      </c>
      <c r="N20" s="912">
        <f>SUMIFS('Emission Costs'!$D$9:$D$38,'Emission Costs'!$C$9:$C$38,MIN('Emission Costs'!$C$38,N$4))</f>
        <v>22000</v>
      </c>
      <c r="O20" s="912">
        <f>SUMIFS('Emission Costs'!$D$9:$D$38,'Emission Costs'!$C$9:$C$38,MIN('Emission Costs'!$C$38,O$4))</f>
        <v>22000</v>
      </c>
      <c r="P20" s="912">
        <f>SUMIFS('Emission Costs'!$D$9:$D$38,'Emission Costs'!$C$9:$C$38,MIN('Emission Costs'!$C$38,P$4))</f>
        <v>22000</v>
      </c>
      <c r="Q20" s="912">
        <f>SUMIFS('Emission Costs'!$D$9:$D$38,'Emission Costs'!$C$9:$C$38,MIN('Emission Costs'!$C$38,Q$4))</f>
        <v>22000</v>
      </c>
      <c r="R20" s="912">
        <f>SUMIFS('Emission Costs'!$D$9:$D$38,'Emission Costs'!$C$9:$C$38,MIN('Emission Costs'!$C$38,R$4))</f>
        <v>22000</v>
      </c>
      <c r="S20" s="912">
        <f>SUMIFS('Emission Costs'!$D$9:$D$38,'Emission Costs'!$C$9:$C$38,MIN('Emission Costs'!$C$38,S$4))</f>
        <v>22000</v>
      </c>
      <c r="T20" s="912">
        <f>SUMIFS('Emission Costs'!$D$9:$D$38,'Emission Costs'!$C$9:$C$38,MIN('Emission Costs'!$C$38,T$4))</f>
        <v>22000</v>
      </c>
      <c r="U20" s="912">
        <f>SUMIFS('Emission Costs'!$D$9:$D$38,'Emission Costs'!$C$9:$C$38,MIN('Emission Costs'!$C$38,U$4))</f>
        <v>22000</v>
      </c>
      <c r="V20" s="912">
        <f>SUMIFS('Emission Costs'!$D$9:$D$38,'Emission Costs'!$C$9:$C$38,MIN('Emission Costs'!$C$38,V$4))</f>
        <v>22000</v>
      </c>
      <c r="W20" s="912">
        <f>SUMIFS('Emission Costs'!$D$9:$D$38,'Emission Costs'!$C$9:$C$38,MIN('Emission Costs'!$C$38,W$4))</f>
        <v>22000</v>
      </c>
      <c r="X20" s="912">
        <f>SUMIFS('Emission Costs'!$D$9:$D$38,'Emission Costs'!$C$9:$C$38,MIN('Emission Costs'!$C$38,X$4))</f>
        <v>22000</v>
      </c>
      <c r="Y20" s="912">
        <f>SUMIFS('Emission Costs'!$D$9:$D$38,'Emission Costs'!$C$9:$C$38,MIN('Emission Costs'!$C$38,Y$4))</f>
        <v>22000</v>
      </c>
      <c r="Z20" s="912">
        <f>SUMIFS('Emission Costs'!$D$9:$D$38,'Emission Costs'!$C$9:$C$38,MIN('Emission Costs'!$C$38,Z$4))</f>
        <v>22000</v>
      </c>
      <c r="AA20" s="912">
        <f>SUMIFS('Emission Costs'!$D$9:$D$38,'Emission Costs'!$C$9:$C$38,MIN('Emission Costs'!$C$38,AA$4))</f>
        <v>22000</v>
      </c>
      <c r="AB20" s="912">
        <f>SUMIFS('Emission Costs'!$D$9:$D$38,'Emission Costs'!$C$9:$C$38,MIN('Emission Costs'!$C$38,AB$4))</f>
        <v>22000</v>
      </c>
      <c r="AC20" s="912">
        <f>SUMIFS('Emission Costs'!$D$9:$D$38,'Emission Costs'!$C$9:$C$38,MIN('Emission Costs'!$C$38,AC$4))</f>
        <v>22000</v>
      </c>
      <c r="AD20" s="912">
        <f>SUMIFS('Emission Costs'!$D$9:$D$38,'Emission Costs'!$C$9:$C$38,MIN('Emission Costs'!$C$38,AD$4))</f>
        <v>22000</v>
      </c>
      <c r="AE20" s="912">
        <f>SUMIFS('Emission Costs'!$D$9:$D$38,'Emission Costs'!$C$9:$C$38,MIN('Emission Costs'!$C$38,AE$4))</f>
        <v>22000</v>
      </c>
      <c r="AF20" s="912">
        <f>SUMIFS('Emission Costs'!$D$9:$D$38,'Emission Costs'!$C$9:$C$38,MIN('Emission Costs'!$C$38,AF$4))</f>
        <v>22000</v>
      </c>
      <c r="AG20" s="912">
        <f>SUMIFS('Emission Costs'!$D$9:$D$38,'Emission Costs'!$C$9:$C$38,MIN('Emission Costs'!$C$38,AG$4))</f>
        <v>22000</v>
      </c>
      <c r="AH20" s="912">
        <f>SUMIFS('Emission Costs'!$D$9:$D$38,'Emission Costs'!$C$9:$C$38,MIN('Emission Costs'!$C$38,AH$4))</f>
        <v>22000</v>
      </c>
      <c r="AI20" s="912">
        <f>SUMIFS('Emission Costs'!$D$9:$D$38,'Emission Costs'!$C$9:$C$38,MIN('Emission Costs'!$C$38,AI$4))</f>
        <v>22000</v>
      </c>
      <c r="AJ20" s="912">
        <f>SUMIFS('Emission Costs'!$D$9:$D$38,'Emission Costs'!$C$9:$C$38,MIN('Emission Costs'!$C$38,AJ$4))</f>
        <v>22000</v>
      </c>
      <c r="AK20" s="912">
        <f>SUMIFS('Emission Costs'!$D$9:$D$38,'Emission Costs'!$C$9:$C$38,MIN('Emission Costs'!$C$38,AK$4))</f>
        <v>22000</v>
      </c>
      <c r="AL20" s="912">
        <f>SUMIFS('Emission Costs'!$D$9:$D$38,'Emission Costs'!$C$9:$C$38,MIN('Emission Costs'!$C$38,AL$4))</f>
        <v>22000</v>
      </c>
      <c r="AM20" s="912">
        <f>SUMIFS('Emission Costs'!$D$9:$D$38,'Emission Costs'!$C$9:$C$38,MIN('Emission Costs'!$C$38,AM$4))</f>
        <v>22000</v>
      </c>
      <c r="AN20" s="912">
        <f>SUMIFS('Emission Costs'!$D$9:$D$38,'Emission Costs'!$C$9:$C$38,MIN('Emission Costs'!$C$38,AN$4))</f>
        <v>22000</v>
      </c>
      <c r="AO20" s="912">
        <f>SUMIFS('Emission Costs'!$D$9:$D$38,'Emission Costs'!$C$9:$C$38,MIN('Emission Costs'!$C$38,AO$4))</f>
        <v>22000</v>
      </c>
    </row>
    <row r="21" spans="1:41" s="914" customFormat="1">
      <c r="A21" s="915" t="s">
        <v>476</v>
      </c>
      <c r="B21" s="911" t="s">
        <v>474</v>
      </c>
      <c r="C21" s="912">
        <v>0</v>
      </c>
      <c r="D21" s="912">
        <v>0</v>
      </c>
      <c r="E21" s="912">
        <v>0</v>
      </c>
      <c r="F21" s="912">
        <v>0</v>
      </c>
      <c r="G21" s="912">
        <v>0</v>
      </c>
      <c r="H21" s="912">
        <v>0</v>
      </c>
      <c r="I21" s="912">
        <v>0</v>
      </c>
      <c r="J21" s="912">
        <v>0</v>
      </c>
      <c r="K21" s="912">
        <v>0</v>
      </c>
      <c r="L21" s="912">
        <v>0</v>
      </c>
      <c r="M21" s="912">
        <v>0</v>
      </c>
      <c r="N21" s="912">
        <v>0</v>
      </c>
      <c r="O21" s="912">
        <v>0</v>
      </c>
      <c r="P21" s="912">
        <v>0</v>
      </c>
      <c r="Q21" s="912">
        <v>0</v>
      </c>
      <c r="R21" s="912">
        <v>0</v>
      </c>
      <c r="S21" s="912">
        <v>0</v>
      </c>
      <c r="T21" s="912">
        <v>0</v>
      </c>
      <c r="U21" s="912">
        <v>0</v>
      </c>
      <c r="V21" s="912">
        <v>0</v>
      </c>
      <c r="W21" s="912">
        <v>0</v>
      </c>
      <c r="X21" s="912">
        <v>0</v>
      </c>
      <c r="Y21" s="912">
        <v>0</v>
      </c>
      <c r="Z21" s="912">
        <v>0</v>
      </c>
      <c r="AA21" s="912">
        <v>0</v>
      </c>
      <c r="AB21" s="912">
        <v>0</v>
      </c>
      <c r="AC21" s="912">
        <v>0</v>
      </c>
      <c r="AD21" s="912">
        <v>0</v>
      </c>
      <c r="AE21" s="912">
        <v>0</v>
      </c>
      <c r="AF21" s="912">
        <v>0</v>
      </c>
      <c r="AG21" s="912">
        <v>0</v>
      </c>
      <c r="AH21" s="912">
        <v>0</v>
      </c>
      <c r="AI21" s="912">
        <v>0</v>
      </c>
      <c r="AJ21" s="912">
        <v>0</v>
      </c>
      <c r="AK21" s="912">
        <v>0</v>
      </c>
      <c r="AL21" s="912">
        <v>0</v>
      </c>
      <c r="AM21" s="912">
        <v>0</v>
      </c>
      <c r="AN21" s="912">
        <v>0</v>
      </c>
      <c r="AO21" s="912">
        <v>0</v>
      </c>
    </row>
    <row r="22" spans="1:41" s="914" customFormat="1">
      <c r="A22" s="913" t="s">
        <v>477</v>
      </c>
      <c r="B22" s="911" t="s">
        <v>474</v>
      </c>
      <c r="C22" s="912">
        <f>SUMIFS('Emission Costs'!$F$9:$F$38,'Emission Costs'!$C$9:$C$38,MIN('Emission Costs'!$C$38,C$4))</f>
        <v>951000</v>
      </c>
      <c r="D22" s="912">
        <f>SUMIFS('Emission Costs'!$F$9:$F$38,'Emission Costs'!$C$9:$C$38,MIN('Emission Costs'!$C$38,D$4))</f>
        <v>951000</v>
      </c>
      <c r="E22" s="912">
        <f>SUMIFS('Emission Costs'!$F$9:$F$38,'Emission Costs'!$C$9:$C$38,MIN('Emission Costs'!$C$38,E$4))</f>
        <v>951000</v>
      </c>
      <c r="F22" s="912">
        <f>SUMIFS('Emission Costs'!$F$9:$F$38,'Emission Costs'!$C$9:$C$38,MIN('Emission Costs'!$C$38,F$4))</f>
        <v>963200</v>
      </c>
      <c r="G22" s="912">
        <f>SUMIFS('Emission Costs'!$F$9:$F$38,'Emission Costs'!$C$9:$C$38,MIN('Emission Costs'!$C$38,G$4))</f>
        <v>975500</v>
      </c>
      <c r="H22" s="912">
        <f>SUMIFS('Emission Costs'!$F$9:$F$38,'Emission Costs'!$C$9:$C$38,MIN('Emission Costs'!$C$38,H$4))</f>
        <v>993500</v>
      </c>
      <c r="I22" s="912">
        <f>SUMIFS('Emission Costs'!$F$9:$F$38,'Emission Costs'!$C$9:$C$38,MIN('Emission Costs'!$C$38,I$4))</f>
        <v>1011900</v>
      </c>
      <c r="J22" s="912">
        <f>SUMIFS('Emission Costs'!$F$9:$F$38,'Emission Costs'!$C$9:$C$38,MIN('Emission Costs'!$C$38,J$4))</f>
        <v>1030600</v>
      </c>
      <c r="K22" s="912">
        <f>SUMIFS('Emission Costs'!$F$9:$F$38,'Emission Costs'!$C$9:$C$38,MIN('Emission Costs'!$C$38,K$4))</f>
        <v>1049600</v>
      </c>
      <c r="L22" s="912">
        <f>SUMIFS('Emission Costs'!$F$9:$F$38,'Emission Costs'!$C$9:$C$38,MIN('Emission Costs'!$C$38,L$4))</f>
        <v>1069000</v>
      </c>
      <c r="M22" s="912">
        <f>SUMIFS('Emission Costs'!$F$9:$F$38,'Emission Costs'!$C$9:$C$38,MIN('Emission Costs'!$C$38,M$4))</f>
        <v>1069000</v>
      </c>
      <c r="N22" s="912">
        <f>SUMIFS('Emission Costs'!$F$9:$F$38,'Emission Costs'!$C$9:$C$38,MIN('Emission Costs'!$C$38,N$4))</f>
        <v>1069000</v>
      </c>
      <c r="O22" s="912">
        <f>SUMIFS('Emission Costs'!$F$9:$F$38,'Emission Costs'!$C$9:$C$38,MIN('Emission Costs'!$C$38,O$4))</f>
        <v>1069000</v>
      </c>
      <c r="P22" s="912">
        <f>SUMIFS('Emission Costs'!$F$9:$F$38,'Emission Costs'!$C$9:$C$38,MIN('Emission Costs'!$C$38,P$4))</f>
        <v>1069000</v>
      </c>
      <c r="Q22" s="912">
        <f>SUMIFS('Emission Costs'!$F$9:$F$38,'Emission Costs'!$C$9:$C$38,MIN('Emission Costs'!$C$38,Q$4))</f>
        <v>1069000</v>
      </c>
      <c r="R22" s="912">
        <f>SUMIFS('Emission Costs'!$F$9:$F$38,'Emission Costs'!$C$9:$C$38,MIN('Emission Costs'!$C$38,R$4))</f>
        <v>1069000</v>
      </c>
      <c r="S22" s="912">
        <f>SUMIFS('Emission Costs'!$F$9:$F$38,'Emission Costs'!$C$9:$C$38,MIN('Emission Costs'!$C$38,S$4))</f>
        <v>1069000</v>
      </c>
      <c r="T22" s="912">
        <f>SUMIFS('Emission Costs'!$F$9:$F$38,'Emission Costs'!$C$9:$C$38,MIN('Emission Costs'!$C$38,T$4))</f>
        <v>1069000</v>
      </c>
      <c r="U22" s="912">
        <f>SUMIFS('Emission Costs'!$F$9:$F$38,'Emission Costs'!$C$9:$C$38,MIN('Emission Costs'!$C$38,U$4))</f>
        <v>1069000</v>
      </c>
      <c r="V22" s="912">
        <f>SUMIFS('Emission Costs'!$F$9:$F$38,'Emission Costs'!$C$9:$C$38,MIN('Emission Costs'!$C$38,V$4))</f>
        <v>1069000</v>
      </c>
      <c r="W22" s="912">
        <f>SUMIFS('Emission Costs'!$F$9:$F$38,'Emission Costs'!$C$9:$C$38,MIN('Emission Costs'!$C$38,W$4))</f>
        <v>1069000</v>
      </c>
      <c r="X22" s="912">
        <f>SUMIFS('Emission Costs'!$F$9:$F$38,'Emission Costs'!$C$9:$C$38,MIN('Emission Costs'!$C$38,X$4))</f>
        <v>1069000</v>
      </c>
      <c r="Y22" s="912">
        <f>SUMIFS('Emission Costs'!$F$9:$F$38,'Emission Costs'!$C$9:$C$38,MIN('Emission Costs'!$C$38,Y$4))</f>
        <v>1069000</v>
      </c>
      <c r="Z22" s="912">
        <f>SUMIFS('Emission Costs'!$F$9:$F$38,'Emission Costs'!$C$9:$C$38,MIN('Emission Costs'!$C$38,Z$4))</f>
        <v>1069000</v>
      </c>
      <c r="AA22" s="912">
        <f>SUMIFS('Emission Costs'!$F$9:$F$38,'Emission Costs'!$C$9:$C$38,MIN('Emission Costs'!$C$38,AA$4))</f>
        <v>1069000</v>
      </c>
      <c r="AB22" s="912">
        <f>SUMIFS('Emission Costs'!$F$9:$F$38,'Emission Costs'!$C$9:$C$38,MIN('Emission Costs'!$C$38,AB$4))</f>
        <v>1069000</v>
      </c>
      <c r="AC22" s="912">
        <f>SUMIFS('Emission Costs'!$F$9:$F$38,'Emission Costs'!$C$9:$C$38,MIN('Emission Costs'!$C$38,AC$4))</f>
        <v>1069000</v>
      </c>
      <c r="AD22" s="912">
        <f>SUMIFS('Emission Costs'!$F$9:$F$38,'Emission Costs'!$C$9:$C$38,MIN('Emission Costs'!$C$38,AD$4))</f>
        <v>1069000</v>
      </c>
      <c r="AE22" s="912">
        <f>SUMIFS('Emission Costs'!$F$9:$F$38,'Emission Costs'!$C$9:$C$38,MIN('Emission Costs'!$C$38,AE$4))</f>
        <v>1069000</v>
      </c>
      <c r="AF22" s="912">
        <f>SUMIFS('Emission Costs'!$F$9:$F$38,'Emission Costs'!$C$9:$C$38,MIN('Emission Costs'!$C$38,AF$4))</f>
        <v>1069000</v>
      </c>
      <c r="AG22" s="912">
        <f>SUMIFS('Emission Costs'!$F$9:$F$38,'Emission Costs'!$C$9:$C$38,MIN('Emission Costs'!$C$38,AG$4))</f>
        <v>1069000</v>
      </c>
      <c r="AH22" s="912">
        <f>SUMIFS('Emission Costs'!$F$9:$F$38,'Emission Costs'!$C$9:$C$38,MIN('Emission Costs'!$C$38,AH$4))</f>
        <v>1069000</v>
      </c>
      <c r="AI22" s="912">
        <f>SUMIFS('Emission Costs'!$F$9:$F$38,'Emission Costs'!$C$9:$C$38,MIN('Emission Costs'!$C$38,AI$4))</f>
        <v>1069000</v>
      </c>
      <c r="AJ22" s="912">
        <f>SUMIFS('Emission Costs'!$F$9:$F$38,'Emission Costs'!$C$9:$C$38,MIN('Emission Costs'!$C$38,AJ$4))</f>
        <v>1069000</v>
      </c>
      <c r="AK22" s="912">
        <f>SUMIFS('Emission Costs'!$F$9:$F$38,'Emission Costs'!$C$9:$C$38,MIN('Emission Costs'!$C$38,AK$4))</f>
        <v>1069000</v>
      </c>
      <c r="AL22" s="912">
        <f>SUMIFS('Emission Costs'!$F$9:$F$38,'Emission Costs'!$C$9:$C$38,MIN('Emission Costs'!$C$38,AL$4))</f>
        <v>1069000</v>
      </c>
      <c r="AM22" s="912">
        <f>SUMIFS('Emission Costs'!$F$9:$F$38,'Emission Costs'!$C$9:$C$38,MIN('Emission Costs'!$C$38,AM$4))</f>
        <v>1069000</v>
      </c>
      <c r="AN22" s="912">
        <f>SUMIFS('Emission Costs'!$F$9:$F$38,'Emission Costs'!$C$9:$C$38,MIN('Emission Costs'!$C$38,AN$4))</f>
        <v>1069000</v>
      </c>
      <c r="AO22" s="912">
        <f>SUMIFS('Emission Costs'!$F$9:$F$38,'Emission Costs'!$C$9:$C$38,MIN('Emission Costs'!$C$38,AO$4))</f>
        <v>1069000</v>
      </c>
    </row>
    <row r="23" spans="1:41" s="914" customFormat="1">
      <c r="A23" s="913" t="s">
        <v>478</v>
      </c>
      <c r="B23" s="911" t="s">
        <v>474</v>
      </c>
      <c r="C23" s="912">
        <f>SUMIFS('Emission Costs'!$E$9:$E$38,'Emission Costs'!$C$9:$C$38,MIN('Emission Costs'!$C$38,C$4))</f>
        <v>52900</v>
      </c>
      <c r="D23" s="912">
        <f>SUMIFS('Emission Costs'!$E$9:$E$38,'Emission Costs'!$C$9:$C$38,MIN('Emission Costs'!$C$38,D$4))</f>
        <v>52900</v>
      </c>
      <c r="E23" s="912">
        <f>SUMIFS('Emission Costs'!$E$9:$E$38,'Emission Costs'!$C$9:$C$38,MIN('Emission Costs'!$C$38,E$4))</f>
        <v>52900</v>
      </c>
      <c r="F23" s="912">
        <f>SUMIFS('Emission Costs'!$E$9:$E$38,'Emission Costs'!$C$9:$C$38,MIN('Emission Costs'!$C$38,F$4))</f>
        <v>53800</v>
      </c>
      <c r="G23" s="912">
        <f>SUMIFS('Emission Costs'!$E$9:$E$38,'Emission Costs'!$C$9:$C$38,MIN('Emission Costs'!$C$38,G$4))</f>
        <v>54800</v>
      </c>
      <c r="H23" s="912">
        <f>SUMIFS('Emission Costs'!$E$9:$E$38,'Emission Costs'!$C$9:$C$38,MIN('Emission Costs'!$C$38,H$4))</f>
        <v>56100</v>
      </c>
      <c r="I23" s="912">
        <f>SUMIFS('Emission Costs'!$E$9:$E$38,'Emission Costs'!$C$9:$C$38,MIN('Emission Costs'!$C$38,I$4))</f>
        <v>57400</v>
      </c>
      <c r="J23" s="912">
        <f>SUMIFS('Emission Costs'!$E$9:$E$38,'Emission Costs'!$C$9:$C$38,MIN('Emission Costs'!$C$38,J$4))</f>
        <v>58700</v>
      </c>
      <c r="K23" s="912">
        <f>SUMIFS('Emission Costs'!$E$9:$E$38,'Emission Costs'!$C$9:$C$38,MIN('Emission Costs'!$C$38,K$4))</f>
        <v>60100</v>
      </c>
      <c r="L23" s="912">
        <f>SUMIFS('Emission Costs'!$E$9:$E$38,'Emission Costs'!$C$9:$C$38,MIN('Emission Costs'!$C$38,L$4))</f>
        <v>61500</v>
      </c>
      <c r="M23" s="912">
        <f>SUMIFS('Emission Costs'!$E$9:$E$38,'Emission Costs'!$C$9:$C$38,MIN('Emission Costs'!$C$38,M$4))</f>
        <v>61500</v>
      </c>
      <c r="N23" s="912">
        <f>SUMIFS('Emission Costs'!$E$9:$E$38,'Emission Costs'!$C$9:$C$38,MIN('Emission Costs'!$C$38,N$4))</f>
        <v>61500</v>
      </c>
      <c r="O23" s="912">
        <f>SUMIFS('Emission Costs'!$E$9:$E$38,'Emission Costs'!$C$9:$C$38,MIN('Emission Costs'!$C$38,O$4))</f>
        <v>61500</v>
      </c>
      <c r="P23" s="912">
        <f>SUMIFS('Emission Costs'!$E$9:$E$38,'Emission Costs'!$C$9:$C$38,MIN('Emission Costs'!$C$38,P$4))</f>
        <v>61500</v>
      </c>
      <c r="Q23" s="912">
        <f>SUMIFS('Emission Costs'!$E$9:$E$38,'Emission Costs'!$C$9:$C$38,MIN('Emission Costs'!$C$38,Q$4))</f>
        <v>61500</v>
      </c>
      <c r="R23" s="912">
        <f>SUMIFS('Emission Costs'!$E$9:$E$38,'Emission Costs'!$C$9:$C$38,MIN('Emission Costs'!$C$38,R$4))</f>
        <v>61500</v>
      </c>
      <c r="S23" s="912">
        <f>SUMIFS('Emission Costs'!$E$9:$E$38,'Emission Costs'!$C$9:$C$38,MIN('Emission Costs'!$C$38,S$4))</f>
        <v>61500</v>
      </c>
      <c r="T23" s="912">
        <f>SUMIFS('Emission Costs'!$E$9:$E$38,'Emission Costs'!$C$9:$C$38,MIN('Emission Costs'!$C$38,T$4))</f>
        <v>61500</v>
      </c>
      <c r="U23" s="912">
        <f>SUMIFS('Emission Costs'!$E$9:$E$38,'Emission Costs'!$C$9:$C$38,MIN('Emission Costs'!$C$38,U$4))</f>
        <v>61500</v>
      </c>
      <c r="V23" s="912">
        <f>SUMIFS('Emission Costs'!$E$9:$E$38,'Emission Costs'!$C$9:$C$38,MIN('Emission Costs'!$C$38,V$4))</f>
        <v>61500</v>
      </c>
      <c r="W23" s="912">
        <f>SUMIFS('Emission Costs'!$E$9:$E$38,'Emission Costs'!$C$9:$C$38,MIN('Emission Costs'!$C$38,W$4))</f>
        <v>61500</v>
      </c>
      <c r="X23" s="912">
        <f>SUMIFS('Emission Costs'!$E$9:$E$38,'Emission Costs'!$C$9:$C$38,MIN('Emission Costs'!$C$38,X$4))</f>
        <v>61500</v>
      </c>
      <c r="Y23" s="912">
        <f>SUMIFS('Emission Costs'!$E$9:$E$38,'Emission Costs'!$C$9:$C$38,MIN('Emission Costs'!$C$38,Y$4))</f>
        <v>61500</v>
      </c>
      <c r="Z23" s="912">
        <f>SUMIFS('Emission Costs'!$E$9:$E$38,'Emission Costs'!$C$9:$C$38,MIN('Emission Costs'!$C$38,Z$4))</f>
        <v>61500</v>
      </c>
      <c r="AA23" s="912">
        <f>SUMIFS('Emission Costs'!$E$9:$E$38,'Emission Costs'!$C$9:$C$38,MIN('Emission Costs'!$C$38,AA$4))</f>
        <v>61500</v>
      </c>
      <c r="AB23" s="912">
        <f>SUMIFS('Emission Costs'!$E$9:$E$38,'Emission Costs'!$C$9:$C$38,MIN('Emission Costs'!$C$38,AB$4))</f>
        <v>61500</v>
      </c>
      <c r="AC23" s="912">
        <f>SUMIFS('Emission Costs'!$E$9:$E$38,'Emission Costs'!$C$9:$C$38,MIN('Emission Costs'!$C$38,AC$4))</f>
        <v>61500</v>
      </c>
      <c r="AD23" s="912">
        <f>SUMIFS('Emission Costs'!$E$9:$E$38,'Emission Costs'!$C$9:$C$38,MIN('Emission Costs'!$C$38,AD$4))</f>
        <v>61500</v>
      </c>
      <c r="AE23" s="912">
        <f>SUMIFS('Emission Costs'!$E$9:$E$38,'Emission Costs'!$C$9:$C$38,MIN('Emission Costs'!$C$38,AE$4))</f>
        <v>61500</v>
      </c>
      <c r="AF23" s="912">
        <f>SUMIFS('Emission Costs'!$E$9:$E$38,'Emission Costs'!$C$9:$C$38,MIN('Emission Costs'!$C$38,AF$4))</f>
        <v>61500</v>
      </c>
      <c r="AG23" s="912">
        <f>SUMIFS('Emission Costs'!$E$9:$E$38,'Emission Costs'!$C$9:$C$38,MIN('Emission Costs'!$C$38,AG$4))</f>
        <v>61500</v>
      </c>
      <c r="AH23" s="912">
        <f>SUMIFS('Emission Costs'!$E$9:$E$38,'Emission Costs'!$C$9:$C$38,MIN('Emission Costs'!$C$38,AH$4))</f>
        <v>61500</v>
      </c>
      <c r="AI23" s="912">
        <f>SUMIFS('Emission Costs'!$E$9:$E$38,'Emission Costs'!$C$9:$C$38,MIN('Emission Costs'!$C$38,AI$4))</f>
        <v>61500</v>
      </c>
      <c r="AJ23" s="912">
        <f>SUMIFS('Emission Costs'!$E$9:$E$38,'Emission Costs'!$C$9:$C$38,MIN('Emission Costs'!$C$38,AJ$4))</f>
        <v>61500</v>
      </c>
      <c r="AK23" s="912">
        <f>SUMIFS('Emission Costs'!$E$9:$E$38,'Emission Costs'!$C$9:$C$38,MIN('Emission Costs'!$C$38,AK$4))</f>
        <v>61500</v>
      </c>
      <c r="AL23" s="912">
        <f>SUMIFS('Emission Costs'!$E$9:$E$38,'Emission Costs'!$C$9:$C$38,MIN('Emission Costs'!$C$38,AL$4))</f>
        <v>61500</v>
      </c>
      <c r="AM23" s="912">
        <f>SUMIFS('Emission Costs'!$E$9:$E$38,'Emission Costs'!$C$9:$C$38,MIN('Emission Costs'!$C$38,AM$4))</f>
        <v>61500</v>
      </c>
      <c r="AN23" s="912">
        <f>SUMIFS('Emission Costs'!$E$9:$E$38,'Emission Costs'!$C$9:$C$38,MIN('Emission Costs'!$C$38,AN$4))</f>
        <v>61500</v>
      </c>
      <c r="AO23" s="912">
        <f>SUMIFS('Emission Costs'!$E$9:$E$38,'Emission Costs'!$C$9:$C$38,MIN('Emission Costs'!$C$38,AO$4))</f>
        <v>61500</v>
      </c>
    </row>
    <row r="24" spans="1:41" s="894" customFormat="1">
      <c r="A24" s="888"/>
      <c r="B24" s="888"/>
    </row>
    <row r="25" spans="1:41" s="919" customFormat="1" ht="15">
      <c r="A25" s="916" t="s">
        <v>446</v>
      </c>
      <c r="B25" s="917" t="s">
        <v>86</v>
      </c>
      <c r="C25" s="918" t="str">
        <f>IF(C$5&gt;0,C$4,"")</f>
        <v/>
      </c>
      <c r="D25" s="918" t="str">
        <f t="shared" ref="D25:AO25" si="14">IF(D$5&gt;0,D$4,"")</f>
        <v/>
      </c>
      <c r="E25" s="918" t="str">
        <f t="shared" si="14"/>
        <v/>
      </c>
      <c r="F25" s="918" t="str">
        <f t="shared" si="14"/>
        <v/>
      </c>
      <c r="G25" s="918" t="str">
        <f t="shared" si="14"/>
        <v/>
      </c>
      <c r="H25" s="918" t="str">
        <f t="shared" si="14"/>
        <v/>
      </c>
      <c r="I25" s="918" t="str">
        <f t="shared" si="14"/>
        <v/>
      </c>
      <c r="J25" s="918" t="str">
        <f t="shared" si="14"/>
        <v/>
      </c>
      <c r="K25" s="918" t="str">
        <f t="shared" si="14"/>
        <v/>
      </c>
      <c r="L25" s="918">
        <f t="shared" si="14"/>
        <v>2030</v>
      </c>
      <c r="M25" s="918">
        <f t="shared" si="14"/>
        <v>2031</v>
      </c>
      <c r="N25" s="918">
        <f t="shared" si="14"/>
        <v>2032</v>
      </c>
      <c r="O25" s="918">
        <f t="shared" si="14"/>
        <v>2033</v>
      </c>
      <c r="P25" s="918">
        <f t="shared" si="14"/>
        <v>2034</v>
      </c>
      <c r="Q25" s="918">
        <f t="shared" si="14"/>
        <v>2035</v>
      </c>
      <c r="R25" s="918">
        <f t="shared" si="14"/>
        <v>2036</v>
      </c>
      <c r="S25" s="918">
        <f t="shared" si="14"/>
        <v>2037</v>
      </c>
      <c r="T25" s="918">
        <f t="shared" si="14"/>
        <v>2038</v>
      </c>
      <c r="U25" s="918">
        <f t="shared" si="14"/>
        <v>2039</v>
      </c>
      <c r="V25" s="918">
        <f t="shared" si="14"/>
        <v>2040</v>
      </c>
      <c r="W25" s="918">
        <f t="shared" si="14"/>
        <v>2041</v>
      </c>
      <c r="X25" s="918">
        <f t="shared" si="14"/>
        <v>2042</v>
      </c>
      <c r="Y25" s="918">
        <f t="shared" si="14"/>
        <v>2043</v>
      </c>
      <c r="Z25" s="918">
        <f t="shared" si="14"/>
        <v>2044</v>
      </c>
      <c r="AA25" s="918">
        <f t="shared" si="14"/>
        <v>2045</v>
      </c>
      <c r="AB25" s="918">
        <f t="shared" si="14"/>
        <v>2046</v>
      </c>
      <c r="AC25" s="918">
        <f t="shared" si="14"/>
        <v>2047</v>
      </c>
      <c r="AD25" s="918">
        <f t="shared" si="14"/>
        <v>2048</v>
      </c>
      <c r="AE25" s="918">
        <f t="shared" si="14"/>
        <v>2049</v>
      </c>
      <c r="AF25" s="918">
        <f t="shared" si="14"/>
        <v>2050</v>
      </c>
      <c r="AG25" s="918">
        <f t="shared" si="14"/>
        <v>2051</v>
      </c>
      <c r="AH25" s="918">
        <f t="shared" si="14"/>
        <v>2052</v>
      </c>
      <c r="AI25" s="918">
        <f t="shared" si="14"/>
        <v>2053</v>
      </c>
      <c r="AJ25" s="918">
        <f t="shared" si="14"/>
        <v>2054</v>
      </c>
      <c r="AK25" s="918">
        <f t="shared" si="14"/>
        <v>2055</v>
      </c>
      <c r="AL25" s="918">
        <f t="shared" si="14"/>
        <v>2056</v>
      </c>
      <c r="AM25" s="918">
        <f t="shared" si="14"/>
        <v>2057</v>
      </c>
      <c r="AN25" s="918">
        <f t="shared" si="14"/>
        <v>2058</v>
      </c>
      <c r="AO25" s="918">
        <f t="shared" si="14"/>
        <v>2059</v>
      </c>
    </row>
    <row r="26" spans="1:41" s="894" customFormat="1">
      <c r="A26" s="888"/>
      <c r="B26" s="920"/>
      <c r="C26" s="921"/>
      <c r="D26" s="893"/>
      <c r="E26" s="893"/>
      <c r="F26" s="893"/>
      <c r="G26" s="893"/>
      <c r="H26" s="893"/>
      <c r="I26" s="893"/>
      <c r="J26" s="893"/>
      <c r="K26" s="893"/>
      <c r="L26" s="893"/>
      <c r="M26" s="893"/>
      <c r="N26" s="893"/>
      <c r="O26" s="893"/>
      <c r="P26" s="893"/>
      <c r="Q26" s="893"/>
      <c r="R26" s="893"/>
      <c r="S26" s="893"/>
      <c r="T26" s="893"/>
      <c r="U26" s="893"/>
      <c r="V26" s="893"/>
      <c r="W26" s="893"/>
      <c r="X26" s="893"/>
      <c r="Y26" s="893"/>
      <c r="Z26" s="893"/>
      <c r="AA26" s="893"/>
      <c r="AB26" s="893"/>
      <c r="AC26" s="893"/>
      <c r="AD26" s="893"/>
      <c r="AE26" s="893"/>
      <c r="AF26" s="893"/>
      <c r="AG26" s="893"/>
      <c r="AH26" s="893"/>
      <c r="AI26" s="893"/>
      <c r="AJ26" s="893"/>
      <c r="AK26" s="893"/>
      <c r="AL26" s="893"/>
      <c r="AM26" s="893"/>
      <c r="AN26" s="893"/>
      <c r="AO26" s="893"/>
    </row>
    <row r="27" spans="1:41" s="924" customFormat="1">
      <c r="A27" s="922" t="s">
        <v>447</v>
      </c>
      <c r="B27" s="923" t="s">
        <v>448</v>
      </c>
      <c r="C27" s="883">
        <f>SUMIFS(Demand.Forecast!$D$14:$AO$14,Demand.Forecast!$D$1:$AO$1,C$4)</f>
        <v>0</v>
      </c>
      <c r="D27" s="883">
        <f>SUMIFS(Demand.Forecast!$D$14:$AO$14,Demand.Forecast!$D$1:$AO$1,D$4)</f>
        <v>965730300</v>
      </c>
      <c r="E27" s="883">
        <f>SUMIFS(Demand.Forecast!$D$14:$AO$14,Demand.Forecast!$D$1:$AO$1,E$4)</f>
        <v>968788478.18156123</v>
      </c>
      <c r="F27" s="883">
        <f>SUMIFS(Demand.Forecast!$D$14:$AO$14,Demand.Forecast!$D$1:$AO$1,F$4)</f>
        <v>971856340.69609833</v>
      </c>
      <c r="G27" s="883">
        <f>SUMIFS(Demand.Forecast!$D$14:$AO$14,Demand.Forecast!$D$1:$AO$1,G$4)</f>
        <v>974933918.21098912</v>
      </c>
      <c r="H27" s="883">
        <f>SUMIFS(Demand.Forecast!$D$14:$AO$14,Demand.Forecast!$D$1:$AO$1,H$4)</f>
        <v>978021241.49072552</v>
      </c>
      <c r="I27" s="883">
        <f>SUMIFS(Demand.Forecast!$D$14:$AO$14,Demand.Forecast!$D$1:$AO$1,I$4)</f>
        <v>981118341.39722145</v>
      </c>
      <c r="J27" s="883">
        <f>SUMIFS(Demand.Forecast!$D$14:$AO$14,Demand.Forecast!$D$1:$AO$1,J$4)</f>
        <v>984225248.89012134</v>
      </c>
      <c r="K27" s="883">
        <f>SUMIFS(Demand.Forecast!$D$14:$AO$14,Demand.Forecast!$D$1:$AO$1,K$4)</f>
        <v>987341995.0271095</v>
      </c>
      <c r="L27" s="883">
        <f>SUMIFS(Demand.Forecast!$D$14:$AO$14,Demand.Forecast!$D$1:$AO$1,L$4)</f>
        <v>990468610.9642204</v>
      </c>
      <c r="M27" s="883">
        <f>SUMIFS(Demand.Forecast!$D$14:$AO$14,Demand.Forecast!$D$1:$AO$1,M$4)</f>
        <v>993605127.95615077</v>
      </c>
      <c r="N27" s="883">
        <f>SUMIFS(Demand.Forecast!$D$14:$AO$14,Demand.Forecast!$D$1:$AO$1,N$4)</f>
        <v>996751577.3565712</v>
      </c>
      <c r="O27" s="883">
        <f>SUMIFS(Demand.Forecast!$D$14:$AO$14,Demand.Forecast!$D$1:$AO$1,O$4)</f>
        <v>999907990.61844003</v>
      </c>
      <c r="P27" s="883">
        <f>SUMIFS(Demand.Forecast!$D$14:$AO$14,Demand.Forecast!$D$1:$AO$1,P$4)</f>
        <v>1003074399.2943177</v>
      </c>
      <c r="Q27" s="883">
        <f>SUMIFS(Demand.Forecast!$D$14:$AO$14,Demand.Forecast!$D$1:$AO$1,Q$4)</f>
        <v>1006250835.0366822</v>
      </c>
      <c r="R27" s="883">
        <f>SUMIFS(Demand.Forecast!$D$14:$AO$14,Demand.Forecast!$D$1:$AO$1,R$4)</f>
        <v>1009437329.5982455</v>
      </c>
      <c r="S27" s="883">
        <f>SUMIFS(Demand.Forecast!$D$14:$AO$14,Demand.Forecast!$D$1:$AO$1,S$4)</f>
        <v>1012633914.8322707</v>
      </c>
      <c r="T27" s="883">
        <f>SUMIFS(Demand.Forecast!$D$14:$AO$14,Demand.Forecast!$D$1:$AO$1,T$4)</f>
        <v>1015840622.6928908</v>
      </c>
      <c r="U27" s="883">
        <f>SUMIFS(Demand.Forecast!$D$14:$AO$14,Demand.Forecast!$D$1:$AO$1,U$4)</f>
        <v>1019057485.2354276</v>
      </c>
      <c r="V27" s="883">
        <f>SUMIFS(Demand.Forecast!$D$14:$AO$14,Demand.Forecast!$D$1:$AO$1,V$4)</f>
        <v>1022284534.6167132</v>
      </c>
      <c r="W27" s="883">
        <f>SUMIFS(Demand.Forecast!$D$14:$AO$14,Demand.Forecast!$D$1:$AO$1,W$4)</f>
        <v>1025521803.0954098</v>
      </c>
      <c r="X27" s="883">
        <f>SUMIFS(Demand.Forecast!$D$14:$AO$14,Demand.Forecast!$D$1:$AO$1,X$4)</f>
        <v>1028769323.0323339</v>
      </c>
      <c r="Y27" s="883">
        <f>SUMIFS(Demand.Forecast!$D$14:$AO$14,Demand.Forecast!$D$1:$AO$1,Y$4)</f>
        <v>1032027126.8907785</v>
      </c>
      <c r="Z27" s="883">
        <f>SUMIFS(Demand.Forecast!$D$14:$AO$14,Demand.Forecast!$D$1:$AO$1,Z$4)</f>
        <v>1035295247.2368385</v>
      </c>
      <c r="AA27" s="883">
        <f>SUMIFS(Demand.Forecast!$D$14:$AO$14,Demand.Forecast!$D$1:$AO$1,AA$4)</f>
        <v>1038573716.7397355</v>
      </c>
      <c r="AB27" s="883">
        <f>SUMIFS(Demand.Forecast!$D$14:$AO$14,Demand.Forecast!$D$1:$AO$1,AB$4)</f>
        <v>1041862568.1721451</v>
      </c>
      <c r="AC27" s="883">
        <f>SUMIFS(Demand.Forecast!$D$14:$AO$14,Demand.Forecast!$D$1:$AO$1,AC$4)</f>
        <v>1045161834.4105239</v>
      </c>
      <c r="AD27" s="883">
        <f>SUMIFS(Demand.Forecast!$D$14:$AO$14,Demand.Forecast!$D$1:$AO$1,AD$4)</f>
        <v>1048471548.4354383</v>
      </c>
      <c r="AE27" s="883">
        <f>SUMIFS(Demand.Forecast!$D$14:$AO$14,Demand.Forecast!$D$1:$AO$1,AE$4)</f>
        <v>1051791743.3318943</v>
      </c>
      <c r="AF27" s="883">
        <f>SUMIFS(Demand.Forecast!$D$14:$AO$14,Demand.Forecast!$D$1:$AO$1,AF$4)</f>
        <v>1055122452.2896683</v>
      </c>
      <c r="AG27" s="883">
        <f>SUMIFS(Demand.Forecast!$D$14:$AO$14,Demand.Forecast!$D$1:$AO$1,AG$4)</f>
        <v>1058463708.6036388</v>
      </c>
      <c r="AH27" s="883">
        <f>SUMIFS(Demand.Forecast!$D$14:$AO$14,Demand.Forecast!$D$1:$AO$1,AH$4)</f>
        <v>1061815545.674119</v>
      </c>
      <c r="AI27" s="883">
        <f>SUMIFS(Demand.Forecast!$D$14:$AO$14,Demand.Forecast!$D$1:$AO$1,AI$4)</f>
        <v>1065177997.0071911</v>
      </c>
      <c r="AJ27" s="883">
        <f>SUMIFS(Demand.Forecast!$D$14:$AO$14,Demand.Forecast!$D$1:$AO$1,AJ$4)</f>
        <v>1068551096.2150406</v>
      </c>
      <c r="AK27" s="883">
        <f>SUMIFS(Demand.Forecast!$D$14:$AO$14,Demand.Forecast!$D$1:$AO$1,AK$4)</f>
        <v>1071934877.0162934</v>
      </c>
      <c r="AL27" s="883">
        <f>SUMIFS(Demand.Forecast!$D$14:$AO$14,Demand.Forecast!$D$1:$AO$1,AL$4)</f>
        <v>1075329373.2363515</v>
      </c>
      <c r="AM27" s="883">
        <f>SUMIFS(Demand.Forecast!$D$14:$AO$14,Demand.Forecast!$D$1:$AO$1,AM$4)</f>
        <v>1078734618.8077326</v>
      </c>
      <c r="AN27" s="883">
        <f>SUMIFS(Demand.Forecast!$D$14:$AO$14,Demand.Forecast!$D$1:$AO$1,AN$4)</f>
        <v>1082150647.7704072</v>
      </c>
      <c r="AO27" s="883">
        <f>SUMIFS(Demand.Forecast!$D$14:$AO$14,Demand.Forecast!$D$1:$AO$1,AO$4)</f>
        <v>1085577494.2721415</v>
      </c>
    </row>
    <row r="28" spans="1:41" s="924" customFormat="1">
      <c r="A28" s="922" t="s">
        <v>479</v>
      </c>
      <c r="B28" s="923" t="s">
        <v>448</v>
      </c>
      <c r="C28" s="883">
        <f>SUMIFS(Demand.Forecast!$D$13:$AO$13,Demand.Forecast!$D$1:$AO$1,C$4)</f>
        <v>0</v>
      </c>
      <c r="D28" s="883">
        <f>SUMIFS(Demand.Forecast!$D$13:$AO$13,Demand.Forecast!$D$1:$AO$1,D$4)</f>
        <v>0</v>
      </c>
      <c r="E28" s="883">
        <f>SUMIFS(Demand.Forecast!$D$13:$AO$13,Demand.Forecast!$D$1:$AO$1,E$4)</f>
        <v>0</v>
      </c>
      <c r="F28" s="883">
        <f>SUMIFS(Demand.Forecast!$D$13:$AO$13,Demand.Forecast!$D$1:$AO$1,F$4)</f>
        <v>0</v>
      </c>
      <c r="G28" s="883">
        <f>SUMIFS(Demand.Forecast!$D$13:$AO$13,Demand.Forecast!$D$1:$AO$1,G$4)</f>
        <v>0</v>
      </c>
      <c r="H28" s="883">
        <f>SUMIFS(Demand.Forecast!$D$13:$AO$13,Demand.Forecast!$D$1:$AO$1,H$4)</f>
        <v>0</v>
      </c>
      <c r="I28" s="883">
        <f>SUMIFS(Demand.Forecast!$D$13:$AO$13,Demand.Forecast!$D$1:$AO$1,I$4)</f>
        <v>0</v>
      </c>
      <c r="J28" s="883">
        <f>SUMIFS(Demand.Forecast!$D$13:$AO$13,Demand.Forecast!$D$1:$AO$1,J$4)</f>
        <v>0</v>
      </c>
      <c r="K28" s="883">
        <f>SUMIFS(Demand.Forecast!$D$13:$AO$13,Demand.Forecast!$D$1:$AO$1,K$4)</f>
        <v>0</v>
      </c>
      <c r="L28" s="883">
        <f>SUMIFS(Demand.Forecast!$D$13:$AO$13,Demand.Forecast!$D$1:$AO$1,L$4)</f>
        <v>0</v>
      </c>
      <c r="M28" s="883">
        <f>SUMIFS(Demand.Forecast!$D$13:$AO$13,Demand.Forecast!$D$1:$AO$1,M$4)</f>
        <v>0</v>
      </c>
      <c r="N28" s="883">
        <f>SUMIFS(Demand.Forecast!$D$13:$AO$13,Demand.Forecast!$D$1:$AO$1,N$4)</f>
        <v>0</v>
      </c>
      <c r="O28" s="883">
        <f>SUMIFS(Demand.Forecast!$D$13:$AO$13,Demand.Forecast!$D$1:$AO$1,O$4)</f>
        <v>0</v>
      </c>
      <c r="P28" s="883">
        <f>SUMIFS(Demand.Forecast!$D$13:$AO$13,Demand.Forecast!$D$1:$AO$1,P$4)</f>
        <v>0</v>
      </c>
      <c r="Q28" s="883">
        <f>SUMIFS(Demand.Forecast!$D$13:$AO$13,Demand.Forecast!$D$1:$AO$1,Q$4)</f>
        <v>0</v>
      </c>
      <c r="R28" s="883">
        <f>SUMIFS(Demand.Forecast!$D$13:$AO$13,Demand.Forecast!$D$1:$AO$1,R$4)</f>
        <v>0</v>
      </c>
      <c r="S28" s="883">
        <f>SUMIFS(Demand.Forecast!$D$13:$AO$13,Demand.Forecast!$D$1:$AO$1,S$4)</f>
        <v>0</v>
      </c>
      <c r="T28" s="883">
        <f>SUMIFS(Demand.Forecast!$D$13:$AO$13,Demand.Forecast!$D$1:$AO$1,T$4)</f>
        <v>0</v>
      </c>
      <c r="U28" s="883">
        <f>SUMIFS(Demand.Forecast!$D$13:$AO$13,Demand.Forecast!$D$1:$AO$1,U$4)</f>
        <v>0</v>
      </c>
      <c r="V28" s="883">
        <f>SUMIFS(Demand.Forecast!$D$13:$AO$13,Demand.Forecast!$D$1:$AO$1,V$4)</f>
        <v>0</v>
      </c>
      <c r="W28" s="883">
        <f>SUMIFS(Demand.Forecast!$D$13:$AO$13,Demand.Forecast!$D$1:$AO$1,W$4)</f>
        <v>0</v>
      </c>
      <c r="X28" s="883">
        <f>SUMIFS(Demand.Forecast!$D$13:$AO$13,Demand.Forecast!$D$1:$AO$1,X$4)</f>
        <v>0</v>
      </c>
      <c r="Y28" s="883">
        <f>SUMIFS(Demand.Forecast!$D$13:$AO$13,Demand.Forecast!$D$1:$AO$1,Y$4)</f>
        <v>0</v>
      </c>
      <c r="Z28" s="883">
        <f>SUMIFS(Demand.Forecast!$D$13:$AO$13,Demand.Forecast!$D$1:$AO$1,Z$4)</f>
        <v>0</v>
      </c>
      <c r="AA28" s="883">
        <f>SUMIFS(Demand.Forecast!$D$13:$AO$13,Demand.Forecast!$D$1:$AO$1,AA$4)</f>
        <v>0</v>
      </c>
      <c r="AB28" s="883">
        <f>SUMIFS(Demand.Forecast!$D$13:$AO$13,Demand.Forecast!$D$1:$AO$1,AB$4)</f>
        <v>0</v>
      </c>
      <c r="AC28" s="883">
        <f>SUMIFS(Demand.Forecast!$D$13:$AO$13,Demand.Forecast!$D$1:$AO$1,AC$4)</f>
        <v>0</v>
      </c>
      <c r="AD28" s="883">
        <f>SUMIFS(Demand.Forecast!$D$13:$AO$13,Demand.Forecast!$D$1:$AO$1,AD$4)</f>
        <v>0</v>
      </c>
      <c r="AE28" s="883">
        <f>SUMIFS(Demand.Forecast!$D$13:$AO$13,Demand.Forecast!$D$1:$AO$1,AE$4)</f>
        <v>0</v>
      </c>
      <c r="AF28" s="883">
        <f>SUMIFS(Demand.Forecast!$D$13:$AO$13,Demand.Forecast!$D$1:$AO$1,AF$4)</f>
        <v>0</v>
      </c>
      <c r="AG28" s="883">
        <f>SUMIFS(Demand.Forecast!$D$13:$AO$13,Demand.Forecast!$D$1:$AO$1,AG$4)</f>
        <v>0</v>
      </c>
      <c r="AH28" s="883">
        <f>SUMIFS(Demand.Forecast!$D$13:$AO$13,Demand.Forecast!$D$1:$AO$1,AH$4)</f>
        <v>0</v>
      </c>
      <c r="AI28" s="883">
        <f>SUMIFS(Demand.Forecast!$D$13:$AO$13,Demand.Forecast!$D$1:$AO$1,AI$4)</f>
        <v>0</v>
      </c>
      <c r="AJ28" s="883">
        <f>SUMIFS(Demand.Forecast!$D$13:$AO$13,Demand.Forecast!$D$1:$AO$1,AJ$4)</f>
        <v>0</v>
      </c>
      <c r="AK28" s="883">
        <f>SUMIFS(Demand.Forecast!$D$13:$AO$13,Demand.Forecast!$D$1:$AO$1,AK$4)</f>
        <v>0</v>
      </c>
      <c r="AL28" s="883">
        <f>SUMIFS(Demand.Forecast!$D$13:$AO$13,Demand.Forecast!$D$1:$AO$1,AL$4)</f>
        <v>0</v>
      </c>
      <c r="AM28" s="883">
        <f>SUMIFS(Demand.Forecast!$D$13:$AO$13,Demand.Forecast!$D$1:$AO$1,AM$4)</f>
        <v>0</v>
      </c>
      <c r="AN28" s="883">
        <f>SUMIFS(Demand.Forecast!$D$13:$AO$13,Demand.Forecast!$D$1:$AO$1,AN$4)</f>
        <v>0</v>
      </c>
      <c r="AO28" s="883">
        <f>SUMIFS(Demand.Forecast!$D$13:$AO$13,Demand.Forecast!$D$1:$AO$1,AO$4)</f>
        <v>0</v>
      </c>
    </row>
    <row r="29" spans="1:41" s="925" customFormat="1">
      <c r="A29" s="888"/>
      <c r="B29" s="920"/>
      <c r="C29" s="921"/>
      <c r="D29" s="921"/>
      <c r="E29" s="921"/>
      <c r="F29" s="921"/>
      <c r="G29" s="921"/>
      <c r="H29" s="921"/>
      <c r="I29" s="921"/>
      <c r="J29" s="921"/>
      <c r="K29" s="921"/>
      <c r="L29" s="921"/>
      <c r="M29" s="921"/>
      <c r="N29" s="921"/>
      <c r="O29" s="921"/>
      <c r="P29" s="921"/>
      <c r="Q29" s="921"/>
      <c r="R29" s="921"/>
      <c r="S29" s="921"/>
      <c r="T29" s="921"/>
      <c r="U29" s="921"/>
      <c r="V29" s="921"/>
      <c r="W29" s="921"/>
      <c r="X29" s="921"/>
      <c r="Y29" s="921"/>
      <c r="Z29" s="921"/>
      <c r="AA29" s="921"/>
      <c r="AB29" s="921"/>
      <c r="AC29" s="921"/>
      <c r="AD29" s="921"/>
      <c r="AE29" s="921"/>
      <c r="AF29" s="921"/>
      <c r="AG29" s="921"/>
      <c r="AH29" s="921"/>
      <c r="AI29" s="921"/>
      <c r="AJ29" s="921"/>
      <c r="AK29" s="921"/>
      <c r="AL29" s="921"/>
      <c r="AM29" s="921"/>
      <c r="AN29" s="921"/>
      <c r="AO29" s="921"/>
    </row>
    <row r="30" spans="1:41" s="925" customFormat="1">
      <c r="A30" s="895" t="s">
        <v>480</v>
      </c>
      <c r="B30" s="920" t="s">
        <v>481</v>
      </c>
      <c r="C30" s="921">
        <f t="shared" ref="C30:AE30" si="15">(C27*C$7+C28*C$13)/Grams.per.Ton</f>
        <v>0</v>
      </c>
      <c r="D30" s="921">
        <f t="shared" si="15"/>
        <v>96736.150105200562</v>
      </c>
      <c r="E30" s="921">
        <f t="shared" si="15"/>
        <v>96469.902634891827</v>
      </c>
      <c r="F30" s="921">
        <f t="shared" si="15"/>
        <v>96200.998843768029</v>
      </c>
      <c r="G30" s="921">
        <f t="shared" si="15"/>
        <v>95929.42457821354</v>
      </c>
      <c r="H30" s="921">
        <f t="shared" si="15"/>
        <v>95999.670350619141</v>
      </c>
      <c r="I30" s="921">
        <f t="shared" si="15"/>
        <v>96069.399038376097</v>
      </c>
      <c r="J30" s="921">
        <f t="shared" si="15"/>
        <v>96138.606662156802</v>
      </c>
      <c r="K30" s="921">
        <f t="shared" si="15"/>
        <v>96207.289222615946</v>
      </c>
      <c r="L30" s="921">
        <f t="shared" si="15"/>
        <v>96275.442700304149</v>
      </c>
      <c r="M30" s="921">
        <f t="shared" si="15"/>
        <v>96343.0630555807</v>
      </c>
      <c r="N30" s="921">
        <f t="shared" si="15"/>
        <v>96410.146228525584</v>
      </c>
      <c r="O30" s="921">
        <f t="shared" si="15"/>
        <v>96476.688138852114</v>
      </c>
      <c r="P30" s="921">
        <f t="shared" si="15"/>
        <v>96542.684685818123</v>
      </c>
      <c r="Q30" s="921">
        <f t="shared" si="15"/>
        <v>96608.131748137836</v>
      </c>
      <c r="R30" s="921">
        <f t="shared" si="15"/>
        <v>96878.197199082118</v>
      </c>
      <c r="S30" s="921">
        <f t="shared" si="15"/>
        <v>97149.004297278574</v>
      </c>
      <c r="T30" s="921">
        <f t="shared" si="15"/>
        <v>97420.555031662516</v>
      </c>
      <c r="U30" s="921">
        <f t="shared" si="15"/>
        <v>97692.851396328813</v>
      </c>
      <c r="V30" s="921">
        <f t="shared" si="15"/>
        <v>97965.895390544552</v>
      </c>
      <c r="W30" s="921">
        <f t="shared" si="15"/>
        <v>98239.689018761739</v>
      </c>
      <c r="X30" s="921">
        <f t="shared" si="15"/>
        <v>98514.23429063028</v>
      </c>
      <c r="Y30" s="921">
        <f t="shared" si="15"/>
        <v>98789.533221010526</v>
      </c>
      <c r="Z30" s="921">
        <f t="shared" si="15"/>
        <v>99065.587829986398</v>
      </c>
      <c r="AA30" s="921">
        <f t="shared" si="15"/>
        <v>99342.40014287809</v>
      </c>
      <c r="AB30" s="921">
        <f t="shared" si="15"/>
        <v>99656.987725581959</v>
      </c>
      <c r="AC30" s="921">
        <f t="shared" si="15"/>
        <v>99972.571512797163</v>
      </c>
      <c r="AD30" s="921">
        <f t="shared" si="15"/>
        <v>100289.15465920462</v>
      </c>
      <c r="AE30" s="921">
        <f t="shared" si="15"/>
        <v>100606.74032947508</v>
      </c>
      <c r="AF30" s="921">
        <f t="shared" ref="AF30:AO30" si="16">(AF27*AF$7+AF28*AF$13)/Grams.per.Ton</f>
        <v>100925.33169830091</v>
      </c>
      <c r="AG30" s="921">
        <f t="shared" si="16"/>
        <v>101244.93195042781</v>
      </c>
      <c r="AH30" s="921">
        <f t="shared" si="16"/>
        <v>101565.54428068652</v>
      </c>
      <c r="AI30" s="921">
        <f t="shared" si="16"/>
        <v>101887.17189402491</v>
      </c>
      <c r="AJ30" s="921">
        <f t="shared" si="16"/>
        <v>102209.81800553997</v>
      </c>
      <c r="AK30" s="921">
        <f t="shared" si="16"/>
        <v>102533.48584050994</v>
      </c>
      <c r="AL30" s="921">
        <f t="shared" si="16"/>
        <v>102858.17863442645</v>
      </c>
      <c r="AM30" s="921">
        <f t="shared" si="16"/>
        <v>103183.89963302716</v>
      </c>
      <c r="AN30" s="921">
        <f t="shared" si="16"/>
        <v>0</v>
      </c>
      <c r="AO30" s="921">
        <f t="shared" si="16"/>
        <v>0</v>
      </c>
    </row>
    <row r="31" spans="1:41" s="925" customFormat="1">
      <c r="A31" s="899" t="s">
        <v>482</v>
      </c>
      <c r="B31" s="920" t="s">
        <v>481</v>
      </c>
      <c r="C31" s="963">
        <f t="shared" ref="C31:AE31" si="17">(C27*C$8+C28*C$14)/Grams.per.Ton</f>
        <v>0</v>
      </c>
      <c r="D31" s="963">
        <f t="shared" si="17"/>
        <v>237.61571879252804</v>
      </c>
      <c r="E31" s="963">
        <f t="shared" si="17"/>
        <v>212.15136643218932</v>
      </c>
      <c r="F31" s="963">
        <f t="shared" si="17"/>
        <v>186.52335533262169</v>
      </c>
      <c r="G31" s="963">
        <f t="shared" si="17"/>
        <v>160.7309043338019</v>
      </c>
      <c r="H31" s="963">
        <f t="shared" si="17"/>
        <v>153.04951886468328</v>
      </c>
      <c r="I31" s="963">
        <f t="shared" si="17"/>
        <v>145.3178723004211</v>
      </c>
      <c r="J31" s="963">
        <f t="shared" si="17"/>
        <v>137.53572334624667</v>
      </c>
      <c r="K31" s="963">
        <f t="shared" si="17"/>
        <v>129.7028296831848</v>
      </c>
      <c r="L31" s="963">
        <f t="shared" si="17"/>
        <v>121.81894796399443</v>
      </c>
      <c r="M31" s="963">
        <f t="shared" si="17"/>
        <v>113.88383380909485</v>
      </c>
      <c r="N31" s="963">
        <f t="shared" si="17"/>
        <v>105.89724180244833</v>
      </c>
      <c r="O31" s="963">
        <f t="shared" si="17"/>
        <v>97.858925487468454</v>
      </c>
      <c r="P31" s="963">
        <f t="shared" si="17"/>
        <v>89.768637362871814</v>
      </c>
      <c r="Q31" s="963">
        <f t="shared" si="17"/>
        <v>81.626128878540868</v>
      </c>
      <c r="R31" s="963">
        <f t="shared" si="17"/>
        <v>81.384410087833345</v>
      </c>
      <c r="S31" s="963">
        <f t="shared" si="17"/>
        <v>81.14034184938123</v>
      </c>
      <c r="T31" s="963">
        <f t="shared" si="17"/>
        <v>80.893911707145548</v>
      </c>
      <c r="U31" s="963">
        <f t="shared" si="17"/>
        <v>80.645107149757962</v>
      </c>
      <c r="V31" s="963">
        <f t="shared" si="17"/>
        <v>80.39391561029656</v>
      </c>
      <c r="W31" s="963">
        <f t="shared" si="17"/>
        <v>80.140324466057862</v>
      </c>
      <c r="X31" s="963">
        <f t="shared" si="17"/>
        <v>79.884321038331038</v>
      </c>
      <c r="Y31" s="963">
        <f t="shared" si="17"/>
        <v>79.625892592168981</v>
      </c>
      <c r="Z31" s="963">
        <f t="shared" si="17"/>
        <v>79.365026336159019</v>
      </c>
      <c r="AA31" s="963">
        <f t="shared" si="17"/>
        <v>79.101709422194077</v>
      </c>
      <c r="AB31" s="963">
        <f t="shared" si="17"/>
        <v>79.352200808742836</v>
      </c>
      <c r="AC31" s="963">
        <f t="shared" si="17"/>
        <v>79.603485426375897</v>
      </c>
      <c r="AD31" s="963">
        <f t="shared" si="17"/>
        <v>79.855565787018179</v>
      </c>
      <c r="AE31" s="963">
        <f t="shared" si="17"/>
        <v>80.108444410549069</v>
      </c>
      <c r="AF31" s="963">
        <f t="shared" ref="AF31:AO31" si="18">(AF27*AF$8+AF28*AF$14)/Grams.per.Ton</f>
        <v>80.362123824827734</v>
      </c>
      <c r="AG31" s="963">
        <f t="shared" si="18"/>
        <v>80.616606565718229</v>
      </c>
      <c r="AH31" s="963">
        <f t="shared" si="18"/>
        <v>80.871895177114993</v>
      </c>
      <c r="AI31" s="963">
        <f t="shared" si="18"/>
        <v>81.127992210968188</v>
      </c>
      <c r="AJ31" s="963">
        <f t="shared" si="18"/>
        <v>81.384900227309231</v>
      </c>
      <c r="AK31" s="963">
        <f t="shared" si="18"/>
        <v>81.642621794276423</v>
      </c>
      <c r="AL31" s="963">
        <f t="shared" si="18"/>
        <v>81.901159488140522</v>
      </c>
      <c r="AM31" s="963">
        <f t="shared" si="18"/>
        <v>82.160515893330697</v>
      </c>
      <c r="AN31" s="963">
        <f t="shared" si="18"/>
        <v>0</v>
      </c>
      <c r="AO31" s="963">
        <f t="shared" si="18"/>
        <v>0</v>
      </c>
    </row>
    <row r="32" spans="1:41" s="925" customFormat="1">
      <c r="A32" s="899" t="s">
        <v>483</v>
      </c>
      <c r="B32" s="920" t="s">
        <v>481</v>
      </c>
      <c r="C32" s="963">
        <f t="shared" ref="C32:AE32" si="19">(C27*C$9+C28*C$15)/Grams.per.Ton</f>
        <v>0</v>
      </c>
      <c r="D32" s="963">
        <f t="shared" si="19"/>
        <v>11.471315510527567</v>
      </c>
      <c r="E32" s="963">
        <f t="shared" si="19"/>
        <v>10.106976120387285</v>
      </c>
      <c r="F32" s="963">
        <f t="shared" si="19"/>
        <v>8.7338807888116996</v>
      </c>
      <c r="G32" s="963">
        <f t="shared" si="19"/>
        <v>7.3519877425008664</v>
      </c>
      <c r="H32" s="963">
        <f t="shared" si="19"/>
        <v>6.9191347272629633</v>
      </c>
      <c r="I32" s="963">
        <f t="shared" si="19"/>
        <v>6.483466555048814</v>
      </c>
      <c r="J32" s="963">
        <f t="shared" si="19"/>
        <v>6.0449697369879933</v>
      </c>
      <c r="K32" s="963">
        <f t="shared" si="19"/>
        <v>5.6036307270105326</v>
      </c>
      <c r="L32" s="963">
        <f t="shared" si="19"/>
        <v>5.1594359216192469</v>
      </c>
      <c r="M32" s="963">
        <f t="shared" si="19"/>
        <v>4.7123716596620291</v>
      </c>
      <c r="N32" s="963">
        <f t="shared" si="19"/>
        <v>4.2624242221032826</v>
      </c>
      <c r="O32" s="963">
        <f t="shared" si="19"/>
        <v>3.8095798317936445</v>
      </c>
      <c r="P32" s="963">
        <f t="shared" si="19"/>
        <v>3.3538246532405109</v>
      </c>
      <c r="Q32" s="963">
        <f t="shared" si="19"/>
        <v>2.8951447923760116</v>
      </c>
      <c r="R32" s="963">
        <f t="shared" si="19"/>
        <v>2.882231980911325</v>
      </c>
      <c r="S32" s="963">
        <f t="shared" si="19"/>
        <v>2.8692083549648415</v>
      </c>
      <c r="T32" s="963">
        <f t="shared" si="19"/>
        <v>2.8560733421936448</v>
      </c>
      <c r="U32" s="963">
        <f t="shared" si="19"/>
        <v>2.8428263677411905</v>
      </c>
      <c r="V32" s="963">
        <f t="shared" si="19"/>
        <v>2.8294668542271224</v>
      </c>
      <c r="W32" s="963">
        <f t="shared" si="19"/>
        <v>2.8159942217370535</v>
      </c>
      <c r="X32" s="963">
        <f t="shared" si="19"/>
        <v>2.8024078878123109</v>
      </c>
      <c r="Y32" s="963">
        <f t="shared" si="19"/>
        <v>2.7887072674396283</v>
      </c>
      <c r="Z32" s="963">
        <f t="shared" si="19"/>
        <v>2.7748917730408182</v>
      </c>
      <c r="AA32" s="963">
        <f t="shared" si="19"/>
        <v>2.7609608144623845</v>
      </c>
      <c r="AB32" s="963">
        <f t="shared" si="19"/>
        <v>2.7697039491894762</v>
      </c>
      <c r="AC32" s="963">
        <f t="shared" si="19"/>
        <v>2.778474770801675</v>
      </c>
      <c r="AD32" s="963">
        <f t="shared" si="19"/>
        <v>2.7872733669750414</v>
      </c>
      <c r="AE32" s="963">
        <f t="shared" si="19"/>
        <v>2.7960998256632794</v>
      </c>
      <c r="AF32" s="963">
        <f t="shared" ref="AF32:AO32" si="20">(AF27*AF$9+AF28*AF$15)/Grams.per.Ton</f>
        <v>2.8049542350986156</v>
      </c>
      <c r="AG32" s="963">
        <f t="shared" si="20"/>
        <v>2.8138366837926831</v>
      </c>
      <c r="AH32" s="963">
        <f t="shared" si="20"/>
        <v>2.8227472605374033</v>
      </c>
      <c r="AI32" s="963">
        <f t="shared" si="20"/>
        <v>2.8316860544058744</v>
      </c>
      <c r="AJ32" s="963">
        <f t="shared" si="20"/>
        <v>2.8406531547532641</v>
      </c>
      <c r="AK32" s="963">
        <f t="shared" si="20"/>
        <v>2.8496486512177008</v>
      </c>
      <c r="AL32" s="963">
        <f t="shared" si="20"/>
        <v>2.8586726337211688</v>
      </c>
      <c r="AM32" s="963">
        <f t="shared" si="20"/>
        <v>2.8677251924704104</v>
      </c>
      <c r="AN32" s="963">
        <f t="shared" si="20"/>
        <v>0</v>
      </c>
      <c r="AO32" s="963">
        <f t="shared" si="20"/>
        <v>0</v>
      </c>
    </row>
    <row r="33" spans="1:41" s="925" customFormat="1">
      <c r="A33" s="899" t="s">
        <v>484</v>
      </c>
      <c r="B33" s="920" t="s">
        <v>481</v>
      </c>
      <c r="C33" s="963">
        <f t="shared" ref="C33:AE33" si="21">(C27*C$10+C28*C$16)/Grams.per.Ton</f>
        <v>0</v>
      </c>
      <c r="D33" s="963">
        <f t="shared" si="21"/>
        <v>12.833648937652299</v>
      </c>
      <c r="E33" s="963">
        <f t="shared" si="21"/>
        <v>11.149890071762384</v>
      </c>
      <c r="F33" s="963">
        <f t="shared" si="21"/>
        <v>9.4553385916381067</v>
      </c>
      <c r="G33" s="963">
        <f t="shared" si="21"/>
        <v>7.7499430280499233</v>
      </c>
      <c r="H33" s="963">
        <f t="shared" si="21"/>
        <v>7.2323486067596496</v>
      </c>
      <c r="I33" s="963">
        <f t="shared" si="21"/>
        <v>6.7113983365734642</v>
      </c>
      <c r="J33" s="963">
        <f t="shared" si="21"/>
        <v>6.1870761539890955</v>
      </c>
      <c r="K33" s="963">
        <f t="shared" si="21"/>
        <v>5.6593659274196089</v>
      </c>
      <c r="L33" s="963">
        <f t="shared" si="21"/>
        <v>5.1282514569242696</v>
      </c>
      <c r="M33" s="963">
        <f t="shared" si="21"/>
        <v>4.5937164739367446</v>
      </c>
      <c r="N33" s="963">
        <f t="shared" si="21"/>
        <v>4.0557446409930762</v>
      </c>
      <c r="O33" s="963">
        <f t="shared" si="21"/>
        <v>3.5143195514586445</v>
      </c>
      <c r="P33" s="963">
        <f t="shared" si="21"/>
        <v>2.9694247292532392</v>
      </c>
      <c r="Q33" s="963">
        <f t="shared" si="21"/>
        <v>2.4210436285767649</v>
      </c>
      <c r="R33" s="963">
        <f t="shared" si="21"/>
        <v>2.404233296806725</v>
      </c>
      <c r="S33" s="963">
        <f t="shared" si="21"/>
        <v>2.3872922202807776</v>
      </c>
      <c r="T33" s="963">
        <f t="shared" si="21"/>
        <v>2.3702197395139186</v>
      </c>
      <c r="U33" s="963">
        <f t="shared" si="21"/>
        <v>2.3530151921554414</v>
      </c>
      <c r="V33" s="963">
        <f t="shared" si="21"/>
        <v>2.3356779129774226</v>
      </c>
      <c r="W33" s="963">
        <f t="shared" si="21"/>
        <v>2.3182072338631814</v>
      </c>
      <c r="X33" s="963">
        <f t="shared" si="21"/>
        <v>2.3006024837955783</v>
      </c>
      <c r="Y33" s="963">
        <f t="shared" si="21"/>
        <v>2.2828629888454257</v>
      </c>
      <c r="Z33" s="963">
        <f t="shared" si="21"/>
        <v>2.2649880721597069</v>
      </c>
      <c r="AA33" s="963">
        <f t="shared" si="21"/>
        <v>2.2469770539498417</v>
      </c>
      <c r="AB33" s="963">
        <f t="shared" si="21"/>
        <v>2.2540925562809355</v>
      </c>
      <c r="AC33" s="963">
        <f t="shared" si="21"/>
        <v>2.2612305912735606</v>
      </c>
      <c r="AD33" s="963">
        <f t="shared" si="21"/>
        <v>2.268391230281896</v>
      </c>
      <c r="AE33" s="963">
        <f t="shared" si="21"/>
        <v>2.2755745448860796</v>
      </c>
      <c r="AF33" s="963">
        <f t="shared" ref="AF33:AO33" si="22">(AF27*AF$10+AF28*AF$16)/Grams.per.Ton</f>
        <v>2.2827806068929224</v>
      </c>
      <c r="AG33" s="963">
        <f t="shared" si="22"/>
        <v>2.2900094883366244</v>
      </c>
      <c r="AH33" s="963">
        <f t="shared" si="22"/>
        <v>2.2972612614794978</v>
      </c>
      <c r="AI33" s="963">
        <f t="shared" si="22"/>
        <v>2.3045359988126877</v>
      </c>
      <c r="AJ33" s="963">
        <f t="shared" si="22"/>
        <v>2.311833773056895</v>
      </c>
      <c r="AK33" s="963">
        <f t="shared" si="22"/>
        <v>2.3191546571631085</v>
      </c>
      <c r="AL33" s="963">
        <f t="shared" si="22"/>
        <v>2.3264987243133284</v>
      </c>
      <c r="AM33" s="963">
        <f t="shared" si="22"/>
        <v>2.3338660479213025</v>
      </c>
      <c r="AN33" s="963">
        <f t="shared" si="22"/>
        <v>0</v>
      </c>
      <c r="AO33" s="963">
        <f t="shared" si="22"/>
        <v>0</v>
      </c>
    </row>
    <row r="34" spans="1:41" s="925" customFormat="1">
      <c r="A34" s="899" t="s">
        <v>485</v>
      </c>
      <c r="B34" s="920" t="s">
        <v>481</v>
      </c>
      <c r="C34" s="963">
        <f t="shared" ref="C34:AE34" si="23">(C27*C$11+C28*C$17)/Grams.per.Ton</f>
        <v>0</v>
      </c>
      <c r="D34" s="963">
        <f t="shared" si="23"/>
        <v>0.81914070520818161</v>
      </c>
      <c r="E34" s="963">
        <f t="shared" si="23"/>
        <v>0.81497787228176544</v>
      </c>
      <c r="F34" s="963">
        <f t="shared" si="23"/>
        <v>0.81078046013483451</v>
      </c>
      <c r="G34" s="963">
        <f t="shared" si="23"/>
        <v>0.80654829150819207</v>
      </c>
      <c r="H34" s="963">
        <f t="shared" si="23"/>
        <v>0.80650625201762038</v>
      </c>
      <c r="I34" s="963">
        <f t="shared" si="23"/>
        <v>0.80645585821661503</v>
      </c>
      <c r="J34" s="963">
        <f t="shared" si="23"/>
        <v>0.80639705761555602</v>
      </c>
      <c r="K34" s="963">
        <f t="shared" si="23"/>
        <v>0.8063297974761644</v>
      </c>
      <c r="L34" s="963">
        <f t="shared" si="23"/>
        <v>0.80625402481045194</v>
      </c>
      <c r="M34" s="963">
        <f t="shared" si="23"/>
        <v>0.80616968637966613</v>
      </c>
      <c r="N34" s="963">
        <f t="shared" si="23"/>
        <v>0.80607672869323865</v>
      </c>
      <c r="O34" s="963">
        <f t="shared" si="23"/>
        <v>0.80597509800771872</v>
      </c>
      <c r="P34" s="963">
        <f t="shared" si="23"/>
        <v>0.80586474032571209</v>
      </c>
      <c r="Q34" s="963">
        <f t="shared" si="23"/>
        <v>0.80574560139481177</v>
      </c>
      <c r="R34" s="963">
        <f t="shared" si="23"/>
        <v>0.80796670671839377</v>
      </c>
      <c r="S34" s="963">
        <f t="shared" si="23"/>
        <v>0.81019379918246526</v>
      </c>
      <c r="T34" s="963">
        <f t="shared" si="23"/>
        <v>0.8124268944327625</v>
      </c>
      <c r="U34" s="963">
        <f t="shared" si="23"/>
        <v>0.81466600815407331</v>
      </c>
      <c r="V34" s="963">
        <f t="shared" si="23"/>
        <v>0.81691115607032749</v>
      </c>
      <c r="W34" s="963">
        <f t="shared" si="23"/>
        <v>0.81916235394468717</v>
      </c>
      <c r="X34" s="963">
        <f t="shared" si="23"/>
        <v>0.82141961757963899</v>
      </c>
      <c r="Y34" s="963">
        <f t="shared" si="23"/>
        <v>0.82368296281708353</v>
      </c>
      <c r="Z34" s="963">
        <f t="shared" si="23"/>
        <v>0.82595240553842775</v>
      </c>
      <c r="AA34" s="963">
        <f t="shared" si="23"/>
        <v>0.82822796166467472</v>
      </c>
      <c r="AB34" s="963">
        <f t="shared" si="23"/>
        <v>0.83085071118565568</v>
      </c>
      <c r="AC34" s="963">
        <f t="shared" si="23"/>
        <v>0.8334817661676549</v>
      </c>
      <c r="AD34" s="963">
        <f t="shared" si="23"/>
        <v>0.83612115291157607</v>
      </c>
      <c r="AE34" s="963">
        <f t="shared" si="23"/>
        <v>0.83876889780161001</v>
      </c>
      <c r="AF34" s="963">
        <f t="shared" ref="AF34:AO34" si="24">(AF27*AF$11+AF28*AF$17)/Grams.per.Ton</f>
        <v>0.84142502730549851</v>
      </c>
      <c r="AG34" s="963">
        <f t="shared" si="24"/>
        <v>0.84408956797479839</v>
      </c>
      <c r="AH34" s="963">
        <f t="shared" si="24"/>
        <v>0.84676254644514759</v>
      </c>
      <c r="AI34" s="963">
        <f t="shared" si="24"/>
        <v>0.84944398943653121</v>
      </c>
      <c r="AJ34" s="963">
        <f t="shared" si="24"/>
        <v>0.85213392375354802</v>
      </c>
      <c r="AK34" s="963">
        <f t="shared" si="24"/>
        <v>0.85483237628567965</v>
      </c>
      <c r="AL34" s="963">
        <f t="shared" si="24"/>
        <v>0.85753937400755798</v>
      </c>
      <c r="AM34" s="963">
        <f t="shared" si="24"/>
        <v>0.86025494397923619</v>
      </c>
      <c r="AN34" s="963">
        <f t="shared" si="24"/>
        <v>0</v>
      </c>
      <c r="AO34" s="963">
        <f t="shared" si="24"/>
        <v>0</v>
      </c>
    </row>
    <row r="35" spans="1:41" s="925" customFormat="1">
      <c r="A35" s="888"/>
      <c r="B35" s="920"/>
      <c r="C35" s="921"/>
      <c r="D35" s="921"/>
      <c r="E35" s="921"/>
      <c r="F35" s="921"/>
      <c r="G35" s="921"/>
      <c r="H35" s="921"/>
      <c r="I35" s="921"/>
      <c r="J35" s="921"/>
      <c r="K35" s="921"/>
      <c r="L35" s="921"/>
      <c r="M35" s="921"/>
      <c r="N35" s="921"/>
      <c r="O35" s="921"/>
      <c r="P35" s="921"/>
      <c r="Q35" s="921"/>
      <c r="R35" s="921"/>
      <c r="S35" s="921"/>
      <c r="T35" s="921"/>
      <c r="U35" s="921"/>
      <c r="V35" s="921"/>
      <c r="W35" s="921"/>
      <c r="X35" s="921"/>
      <c r="Y35" s="921"/>
      <c r="Z35" s="921"/>
      <c r="AA35" s="921"/>
      <c r="AB35" s="921"/>
      <c r="AC35" s="921"/>
      <c r="AD35" s="921"/>
      <c r="AE35" s="921"/>
      <c r="AF35" s="921"/>
      <c r="AG35" s="921"/>
      <c r="AH35" s="921"/>
      <c r="AI35" s="921"/>
      <c r="AJ35" s="921"/>
      <c r="AK35" s="921"/>
      <c r="AL35" s="921"/>
      <c r="AM35" s="921"/>
      <c r="AN35" s="921"/>
      <c r="AO35" s="921"/>
    </row>
    <row r="36" spans="1:41" s="905" customFormat="1">
      <c r="A36" s="895" t="s">
        <v>480</v>
      </c>
      <c r="B36" s="926" t="s">
        <v>486</v>
      </c>
      <c r="C36" s="927">
        <f>C30*C$19</f>
        <v>0</v>
      </c>
      <c r="D36" s="927">
        <f t="shared" ref="D36:AE36" si="25">D30*D$19</f>
        <v>22055842.223985728</v>
      </c>
      <c r="E36" s="927">
        <f t="shared" si="25"/>
        <v>21995137.800755337</v>
      </c>
      <c r="F36" s="927">
        <f t="shared" si="25"/>
        <v>22414832.730597951</v>
      </c>
      <c r="G36" s="927">
        <f t="shared" si="25"/>
        <v>22735273.625036608</v>
      </c>
      <c r="H36" s="927">
        <f t="shared" si="25"/>
        <v>23135920.554499213</v>
      </c>
      <c r="I36" s="927">
        <f t="shared" si="25"/>
        <v>23537002.764402144</v>
      </c>
      <c r="J36" s="927">
        <f t="shared" si="25"/>
        <v>24034651.665539201</v>
      </c>
      <c r="K36" s="927">
        <f t="shared" si="25"/>
        <v>24340444.173321836</v>
      </c>
      <c r="L36" s="927">
        <f t="shared" si="25"/>
        <v>24742788.773978166</v>
      </c>
      <c r="M36" s="927">
        <f t="shared" si="25"/>
        <v>25241882.520562142</v>
      </c>
      <c r="N36" s="927">
        <f t="shared" si="25"/>
        <v>25548688.750559282</v>
      </c>
      <c r="O36" s="927">
        <f t="shared" si="25"/>
        <v>26048705.797490072</v>
      </c>
      <c r="P36" s="927">
        <f t="shared" si="25"/>
        <v>26452695.603914164</v>
      </c>
      <c r="Q36" s="927">
        <f t="shared" si="25"/>
        <v>26857060.625982318</v>
      </c>
      <c r="R36" s="927">
        <f t="shared" si="25"/>
        <v>27319651.610141158</v>
      </c>
      <c r="S36" s="927">
        <f t="shared" si="25"/>
        <v>27881764.233318951</v>
      </c>
      <c r="T36" s="927">
        <f t="shared" si="25"/>
        <v>28251960.959182128</v>
      </c>
      <c r="U36" s="927">
        <f t="shared" si="25"/>
        <v>28721698.310520671</v>
      </c>
      <c r="V36" s="927">
        <f t="shared" si="25"/>
        <v>29291802.72177282</v>
      </c>
      <c r="W36" s="927">
        <f t="shared" si="25"/>
        <v>29766625.772684805</v>
      </c>
      <c r="X36" s="927">
        <f t="shared" si="25"/>
        <v>30342384.161514126</v>
      </c>
      <c r="Y36" s="927">
        <f t="shared" si="25"/>
        <v>30822334.364955284</v>
      </c>
      <c r="Z36" s="927">
        <f t="shared" si="25"/>
        <v>31403791.342105687</v>
      </c>
      <c r="AA36" s="927">
        <f t="shared" si="25"/>
        <v>31888910.445863865</v>
      </c>
      <c r="AB36" s="927">
        <f t="shared" si="25"/>
        <v>32488177.99853972</v>
      </c>
      <c r="AC36" s="927">
        <f t="shared" si="25"/>
        <v>33090921.170735862</v>
      </c>
      <c r="AD36" s="927">
        <f t="shared" si="25"/>
        <v>33697155.965492755</v>
      </c>
      <c r="AE36" s="927">
        <f t="shared" si="25"/>
        <v>34206291.71202153</v>
      </c>
      <c r="AF36" s="927">
        <f t="shared" ref="AF36:AO36" si="26">AF30*AF$19</f>
        <v>34819239.435913816</v>
      </c>
      <c r="AG36" s="927">
        <f t="shared" si="26"/>
        <v>34929501.522897594</v>
      </c>
      <c r="AH36" s="927">
        <f t="shared" si="26"/>
        <v>35040112.77683685</v>
      </c>
      <c r="AI36" s="927">
        <f t="shared" si="26"/>
        <v>35151074.303438596</v>
      </c>
      <c r="AJ36" s="927">
        <f t="shared" si="26"/>
        <v>35262387.211911291</v>
      </c>
      <c r="AK36" s="927">
        <f t="shared" si="26"/>
        <v>35374052.614975929</v>
      </c>
      <c r="AL36" s="927">
        <f t="shared" si="26"/>
        <v>35486071.628877126</v>
      </c>
      <c r="AM36" s="927">
        <f t="shared" si="26"/>
        <v>35598445.37339437</v>
      </c>
      <c r="AN36" s="927">
        <f t="shared" si="26"/>
        <v>0</v>
      </c>
      <c r="AO36" s="927">
        <f t="shared" si="26"/>
        <v>0</v>
      </c>
    </row>
    <row r="37" spans="1:41" s="908" customFormat="1">
      <c r="A37" s="899" t="s">
        <v>482</v>
      </c>
      <c r="B37" s="926" t="s">
        <v>486</v>
      </c>
      <c r="C37" s="927">
        <f>C31*C$20</f>
        <v>0</v>
      </c>
      <c r="D37" s="927">
        <f t="shared" ref="D37:AE37" si="27">D31*D$20</f>
        <v>4704791.2320920555</v>
      </c>
      <c r="E37" s="927">
        <f t="shared" si="27"/>
        <v>4200597.0553573482</v>
      </c>
      <c r="F37" s="927">
        <f t="shared" si="27"/>
        <v>3749119.4421856962</v>
      </c>
      <c r="G37" s="927">
        <f t="shared" si="27"/>
        <v>3262837.3579761786</v>
      </c>
      <c r="H37" s="927">
        <f t="shared" si="27"/>
        <v>3152820.0886124754</v>
      </c>
      <c r="I37" s="927">
        <f t="shared" si="27"/>
        <v>3051675.3183088433</v>
      </c>
      <c r="J37" s="927">
        <f t="shared" si="27"/>
        <v>2929510.9072750541</v>
      </c>
      <c r="K37" s="927">
        <f t="shared" si="27"/>
        <v>2814551.4041251102</v>
      </c>
      <c r="L37" s="927">
        <f t="shared" si="27"/>
        <v>2680016.8552078777</v>
      </c>
      <c r="M37" s="927">
        <f t="shared" si="27"/>
        <v>2505444.3438000865</v>
      </c>
      <c r="N37" s="927">
        <f t="shared" si="27"/>
        <v>2329739.3196538636</v>
      </c>
      <c r="O37" s="927">
        <f t="shared" si="27"/>
        <v>2152896.3607243062</v>
      </c>
      <c r="P37" s="927">
        <f t="shared" si="27"/>
        <v>1974910.02198318</v>
      </c>
      <c r="Q37" s="927">
        <f t="shared" si="27"/>
        <v>1795774.8353278991</v>
      </c>
      <c r="R37" s="927">
        <f t="shared" si="27"/>
        <v>1790457.0219323335</v>
      </c>
      <c r="S37" s="927">
        <f t="shared" si="27"/>
        <v>1785087.5206863871</v>
      </c>
      <c r="T37" s="927">
        <f t="shared" si="27"/>
        <v>1779666.0575572022</v>
      </c>
      <c r="U37" s="927">
        <f t="shared" si="27"/>
        <v>1774192.3572946752</v>
      </c>
      <c r="V37" s="927">
        <f t="shared" si="27"/>
        <v>1768666.1434265242</v>
      </c>
      <c r="W37" s="927">
        <f t="shared" si="27"/>
        <v>1763087.138253273</v>
      </c>
      <c r="X37" s="927">
        <f t="shared" si="27"/>
        <v>1757455.0628432829</v>
      </c>
      <c r="Y37" s="927">
        <f t="shared" si="27"/>
        <v>1751769.6370277177</v>
      </c>
      <c r="Z37" s="927">
        <f t="shared" si="27"/>
        <v>1746030.5793954984</v>
      </c>
      <c r="AA37" s="927">
        <f t="shared" si="27"/>
        <v>1740237.6072882698</v>
      </c>
      <c r="AB37" s="927">
        <f t="shared" si="27"/>
        <v>1745748.4177923424</v>
      </c>
      <c r="AC37" s="927">
        <f t="shared" si="27"/>
        <v>1751276.6793802697</v>
      </c>
      <c r="AD37" s="927">
        <f t="shared" si="27"/>
        <v>1756822.4473144</v>
      </c>
      <c r="AE37" s="927">
        <f t="shared" si="27"/>
        <v>1762385.7770320794</v>
      </c>
      <c r="AF37" s="927">
        <f t="shared" ref="AF37:AO37" si="28">AF31*AF$20</f>
        <v>1767966.7241462101</v>
      </c>
      <c r="AG37" s="927">
        <f t="shared" si="28"/>
        <v>1773565.3444458011</v>
      </c>
      <c r="AH37" s="927">
        <f t="shared" si="28"/>
        <v>1779181.69389653</v>
      </c>
      <c r="AI37" s="927">
        <f t="shared" si="28"/>
        <v>1784815.8286413001</v>
      </c>
      <c r="AJ37" s="927">
        <f t="shared" si="28"/>
        <v>1790467.805000803</v>
      </c>
      <c r="AK37" s="927">
        <f t="shared" si="28"/>
        <v>1796137.6794740814</v>
      </c>
      <c r="AL37" s="927">
        <f t="shared" si="28"/>
        <v>1801825.5087390915</v>
      </c>
      <c r="AM37" s="927">
        <f t="shared" si="28"/>
        <v>1807531.3496532752</v>
      </c>
      <c r="AN37" s="927">
        <f t="shared" si="28"/>
        <v>0</v>
      </c>
      <c r="AO37" s="927">
        <f t="shared" si="28"/>
        <v>0</v>
      </c>
    </row>
    <row r="38" spans="1:41" s="908" customFormat="1">
      <c r="A38" s="899" t="s">
        <v>483</v>
      </c>
      <c r="B38" s="926" t="s">
        <v>486</v>
      </c>
      <c r="C38" s="927">
        <f>C32*C$21</f>
        <v>0</v>
      </c>
      <c r="D38" s="927">
        <f t="shared" ref="D38:AE38" si="29">D32*D$21</f>
        <v>0</v>
      </c>
      <c r="E38" s="927">
        <f t="shared" si="29"/>
        <v>0</v>
      </c>
      <c r="F38" s="927">
        <f t="shared" si="29"/>
        <v>0</v>
      </c>
      <c r="G38" s="927">
        <f t="shared" si="29"/>
        <v>0</v>
      </c>
      <c r="H38" s="927">
        <f t="shared" si="29"/>
        <v>0</v>
      </c>
      <c r="I38" s="927">
        <f t="shared" si="29"/>
        <v>0</v>
      </c>
      <c r="J38" s="927">
        <f t="shared" si="29"/>
        <v>0</v>
      </c>
      <c r="K38" s="927">
        <f t="shared" si="29"/>
        <v>0</v>
      </c>
      <c r="L38" s="927">
        <f t="shared" si="29"/>
        <v>0</v>
      </c>
      <c r="M38" s="927">
        <f t="shared" si="29"/>
        <v>0</v>
      </c>
      <c r="N38" s="927">
        <f t="shared" si="29"/>
        <v>0</v>
      </c>
      <c r="O38" s="927">
        <f t="shared" si="29"/>
        <v>0</v>
      </c>
      <c r="P38" s="927">
        <f t="shared" si="29"/>
        <v>0</v>
      </c>
      <c r="Q38" s="927">
        <f t="shared" si="29"/>
        <v>0</v>
      </c>
      <c r="R38" s="927">
        <f t="shared" si="29"/>
        <v>0</v>
      </c>
      <c r="S38" s="927">
        <f t="shared" si="29"/>
        <v>0</v>
      </c>
      <c r="T38" s="927">
        <f t="shared" si="29"/>
        <v>0</v>
      </c>
      <c r="U38" s="927">
        <f t="shared" si="29"/>
        <v>0</v>
      </c>
      <c r="V38" s="927">
        <f t="shared" si="29"/>
        <v>0</v>
      </c>
      <c r="W38" s="927">
        <f t="shared" si="29"/>
        <v>0</v>
      </c>
      <c r="X38" s="927">
        <f t="shared" si="29"/>
        <v>0</v>
      </c>
      <c r="Y38" s="927">
        <f t="shared" si="29"/>
        <v>0</v>
      </c>
      <c r="Z38" s="927">
        <f t="shared" si="29"/>
        <v>0</v>
      </c>
      <c r="AA38" s="927">
        <f t="shared" si="29"/>
        <v>0</v>
      </c>
      <c r="AB38" s="927">
        <f t="shared" si="29"/>
        <v>0</v>
      </c>
      <c r="AC38" s="927">
        <f t="shared" si="29"/>
        <v>0</v>
      </c>
      <c r="AD38" s="927">
        <f t="shared" si="29"/>
        <v>0</v>
      </c>
      <c r="AE38" s="927">
        <f t="shared" si="29"/>
        <v>0</v>
      </c>
      <c r="AF38" s="927">
        <f t="shared" ref="AF38:AO38" si="30">AF32*AF$21</f>
        <v>0</v>
      </c>
      <c r="AG38" s="927">
        <f t="shared" si="30"/>
        <v>0</v>
      </c>
      <c r="AH38" s="927">
        <f t="shared" si="30"/>
        <v>0</v>
      </c>
      <c r="AI38" s="927">
        <f t="shared" si="30"/>
        <v>0</v>
      </c>
      <c r="AJ38" s="927">
        <f t="shared" si="30"/>
        <v>0</v>
      </c>
      <c r="AK38" s="927">
        <f t="shared" si="30"/>
        <v>0</v>
      </c>
      <c r="AL38" s="927">
        <f t="shared" si="30"/>
        <v>0</v>
      </c>
      <c r="AM38" s="927">
        <f t="shared" si="30"/>
        <v>0</v>
      </c>
      <c r="AN38" s="927">
        <f t="shared" si="30"/>
        <v>0</v>
      </c>
      <c r="AO38" s="927">
        <f t="shared" si="30"/>
        <v>0</v>
      </c>
    </row>
    <row r="39" spans="1:41" s="908" customFormat="1">
      <c r="A39" s="899" t="s">
        <v>484</v>
      </c>
      <c r="B39" s="926" t="s">
        <v>486</v>
      </c>
      <c r="C39" s="927">
        <f>C33*C$22</f>
        <v>0</v>
      </c>
      <c r="D39" s="927">
        <f t="shared" ref="D39:AE39" si="31">D33*D$22</f>
        <v>12204800.139707336</v>
      </c>
      <c r="E39" s="927">
        <f t="shared" si="31"/>
        <v>10603545.458246026</v>
      </c>
      <c r="F39" s="927">
        <f t="shared" si="31"/>
        <v>9107382.1314658243</v>
      </c>
      <c r="G39" s="927">
        <f t="shared" si="31"/>
        <v>7560069.4238627004</v>
      </c>
      <c r="H39" s="927">
        <f t="shared" si="31"/>
        <v>7185338.3408157118</v>
      </c>
      <c r="I39" s="927">
        <f t="shared" si="31"/>
        <v>6791263.9767786888</v>
      </c>
      <c r="J39" s="927">
        <f t="shared" si="31"/>
        <v>6376400.6843011621</v>
      </c>
      <c r="K39" s="927">
        <f t="shared" si="31"/>
        <v>5940070.4774196213</v>
      </c>
      <c r="L39" s="927">
        <f t="shared" si="31"/>
        <v>5482100.8074520444</v>
      </c>
      <c r="M39" s="927">
        <f t="shared" si="31"/>
        <v>4910682.9106383799</v>
      </c>
      <c r="N39" s="927">
        <f t="shared" si="31"/>
        <v>4335591.0212215986</v>
      </c>
      <c r="O39" s="927">
        <f t="shared" si="31"/>
        <v>3756807.600509291</v>
      </c>
      <c r="P39" s="927">
        <f t="shared" si="31"/>
        <v>3174315.0355717125</v>
      </c>
      <c r="Q39" s="927">
        <f t="shared" si="31"/>
        <v>2588095.6389485616</v>
      </c>
      <c r="R39" s="927">
        <f t="shared" si="31"/>
        <v>2570125.394286389</v>
      </c>
      <c r="S39" s="927">
        <f t="shared" si="31"/>
        <v>2552015.3834801512</v>
      </c>
      <c r="T39" s="927">
        <f t="shared" si="31"/>
        <v>2533764.901540379</v>
      </c>
      <c r="U39" s="927">
        <f t="shared" si="31"/>
        <v>2515373.2404141668</v>
      </c>
      <c r="V39" s="927">
        <f t="shared" si="31"/>
        <v>2496839.6889728648</v>
      </c>
      <c r="W39" s="927">
        <f t="shared" si="31"/>
        <v>2478163.5329997409</v>
      </c>
      <c r="X39" s="927">
        <f t="shared" si="31"/>
        <v>2459344.055177473</v>
      </c>
      <c r="Y39" s="927">
        <f t="shared" si="31"/>
        <v>2440380.53507576</v>
      </c>
      <c r="Z39" s="927">
        <f t="shared" si="31"/>
        <v>2421272.2491387269</v>
      </c>
      <c r="AA39" s="927">
        <f t="shared" si="31"/>
        <v>2402018.4706723806</v>
      </c>
      <c r="AB39" s="927">
        <f t="shared" si="31"/>
        <v>2409624.9426643201</v>
      </c>
      <c r="AC39" s="927">
        <f t="shared" si="31"/>
        <v>2417255.5020714365</v>
      </c>
      <c r="AD39" s="927">
        <f t="shared" si="31"/>
        <v>2424910.2251713467</v>
      </c>
      <c r="AE39" s="927">
        <f t="shared" si="31"/>
        <v>2432589.1884832191</v>
      </c>
      <c r="AF39" s="927">
        <f t="shared" ref="AF39:AO39" si="32">AF33*AF$22</f>
        <v>2440292.4687685343</v>
      </c>
      <c r="AG39" s="927">
        <f t="shared" si="32"/>
        <v>2448020.1430318514</v>
      </c>
      <c r="AH39" s="927">
        <f t="shared" si="32"/>
        <v>2455772.2885215832</v>
      </c>
      <c r="AI39" s="927">
        <f t="shared" si="32"/>
        <v>2463548.982730763</v>
      </c>
      <c r="AJ39" s="927">
        <f t="shared" si="32"/>
        <v>2471350.3033978208</v>
      </c>
      <c r="AK39" s="927">
        <f t="shared" si="32"/>
        <v>2479176.3285073629</v>
      </c>
      <c r="AL39" s="927">
        <f t="shared" si="32"/>
        <v>2487027.1362909479</v>
      </c>
      <c r="AM39" s="927">
        <f t="shared" si="32"/>
        <v>2494902.8052278724</v>
      </c>
      <c r="AN39" s="927">
        <f t="shared" si="32"/>
        <v>0</v>
      </c>
      <c r="AO39" s="927">
        <f t="shared" si="32"/>
        <v>0</v>
      </c>
    </row>
    <row r="40" spans="1:41" s="908" customFormat="1">
      <c r="A40" s="899" t="s">
        <v>485</v>
      </c>
      <c r="B40" s="926" t="s">
        <v>486</v>
      </c>
      <c r="C40" s="927">
        <f>C34*C$23</f>
        <v>0</v>
      </c>
      <c r="D40" s="927">
        <f t="shared" ref="D40:AE40" si="33">D34*D$23</f>
        <v>43332.543305512809</v>
      </c>
      <c r="E40" s="927">
        <f t="shared" si="33"/>
        <v>43112.329443705392</v>
      </c>
      <c r="F40" s="927">
        <f t="shared" si="33"/>
        <v>43619.988755254097</v>
      </c>
      <c r="G40" s="927">
        <f t="shared" si="33"/>
        <v>44198.846374648929</v>
      </c>
      <c r="H40" s="927">
        <f t="shared" si="33"/>
        <v>45245.000738188501</v>
      </c>
      <c r="I40" s="927">
        <f t="shared" si="33"/>
        <v>46290.566261633699</v>
      </c>
      <c r="J40" s="927">
        <f t="shared" si="33"/>
        <v>47335.507282033141</v>
      </c>
      <c r="K40" s="927">
        <f t="shared" si="33"/>
        <v>48460.420828317481</v>
      </c>
      <c r="L40" s="927">
        <f t="shared" si="33"/>
        <v>49584.622525842795</v>
      </c>
      <c r="M40" s="927">
        <f t="shared" si="33"/>
        <v>49579.43571234947</v>
      </c>
      <c r="N40" s="927">
        <f t="shared" si="33"/>
        <v>49573.71881463418</v>
      </c>
      <c r="O40" s="927">
        <f t="shared" si="33"/>
        <v>49567.468527474703</v>
      </c>
      <c r="P40" s="927">
        <f t="shared" si="33"/>
        <v>49560.681530031296</v>
      </c>
      <c r="Q40" s="927">
        <f t="shared" si="33"/>
        <v>49553.354485780925</v>
      </c>
      <c r="R40" s="927">
        <f t="shared" si="33"/>
        <v>49689.952463181216</v>
      </c>
      <c r="S40" s="927">
        <f t="shared" si="33"/>
        <v>49826.918649721614</v>
      </c>
      <c r="T40" s="927">
        <f t="shared" si="33"/>
        <v>49964.254007614894</v>
      </c>
      <c r="U40" s="927">
        <f t="shared" si="33"/>
        <v>50101.95950147551</v>
      </c>
      <c r="V40" s="927">
        <f t="shared" si="33"/>
        <v>50240.036098325138</v>
      </c>
      <c r="W40" s="927">
        <f t="shared" si="33"/>
        <v>50378.48476759826</v>
      </c>
      <c r="X40" s="927">
        <f t="shared" si="33"/>
        <v>50517.306481147796</v>
      </c>
      <c r="Y40" s="927">
        <f t="shared" si="33"/>
        <v>50656.502213250635</v>
      </c>
      <c r="Z40" s="927">
        <f t="shared" si="33"/>
        <v>50796.072940613303</v>
      </c>
      <c r="AA40" s="927">
        <f t="shared" si="33"/>
        <v>50936.019642377498</v>
      </c>
      <c r="AB40" s="927">
        <f t="shared" si="33"/>
        <v>51097.318737917827</v>
      </c>
      <c r="AC40" s="927">
        <f t="shared" si="33"/>
        <v>51259.128619310774</v>
      </c>
      <c r="AD40" s="927">
        <f t="shared" si="33"/>
        <v>51421.45090406193</v>
      </c>
      <c r="AE40" s="927">
        <f t="shared" si="33"/>
        <v>51584.287214799013</v>
      </c>
      <c r="AF40" s="927">
        <f t="shared" ref="AF40:AO40" si="34">AF34*AF$23</f>
        <v>51747.639179288155</v>
      </c>
      <c r="AG40" s="927">
        <f t="shared" si="34"/>
        <v>51911.5084304501</v>
      </c>
      <c r="AH40" s="927">
        <f t="shared" si="34"/>
        <v>52075.896606376577</v>
      </c>
      <c r="AI40" s="927">
        <f t="shared" si="34"/>
        <v>52240.805350346673</v>
      </c>
      <c r="AJ40" s="927">
        <f t="shared" si="34"/>
        <v>52406.236310843204</v>
      </c>
      <c r="AK40" s="927">
        <f t="shared" si="34"/>
        <v>52572.191141569296</v>
      </c>
      <c r="AL40" s="927">
        <f t="shared" si="34"/>
        <v>52738.671501464814</v>
      </c>
      <c r="AM40" s="927">
        <f t="shared" si="34"/>
        <v>52905.679054723027</v>
      </c>
      <c r="AN40" s="927">
        <f t="shared" si="34"/>
        <v>0</v>
      </c>
      <c r="AO40" s="927">
        <f t="shared" si="34"/>
        <v>0</v>
      </c>
    </row>
    <row r="41" spans="1:41" s="930" customFormat="1">
      <c r="A41" s="906"/>
      <c r="B41" s="928"/>
      <c r="C41" s="929"/>
      <c r="D41" s="929"/>
      <c r="E41" s="929"/>
      <c r="F41" s="929"/>
      <c r="G41" s="929"/>
      <c r="H41" s="929"/>
      <c r="I41" s="929"/>
      <c r="J41" s="929"/>
      <c r="K41" s="929"/>
      <c r="L41" s="929"/>
      <c r="M41" s="929"/>
      <c r="N41" s="929"/>
      <c r="O41" s="929"/>
      <c r="P41" s="929"/>
      <c r="Q41" s="929"/>
      <c r="R41" s="929"/>
      <c r="S41" s="929"/>
      <c r="T41" s="929"/>
      <c r="U41" s="929"/>
      <c r="V41" s="929"/>
      <c r="W41" s="929"/>
      <c r="X41" s="929"/>
      <c r="Y41" s="929"/>
      <c r="Z41" s="929"/>
      <c r="AA41" s="929"/>
      <c r="AB41" s="929"/>
      <c r="AC41" s="929"/>
      <c r="AD41" s="929"/>
      <c r="AE41" s="929"/>
      <c r="AF41" s="929"/>
      <c r="AG41" s="929"/>
      <c r="AH41" s="929"/>
      <c r="AI41" s="929"/>
      <c r="AJ41" s="929"/>
      <c r="AK41" s="929"/>
      <c r="AL41" s="929"/>
      <c r="AM41" s="929"/>
      <c r="AN41" s="929"/>
      <c r="AO41" s="929"/>
    </row>
    <row r="42" spans="1:41" s="934" customFormat="1" ht="15">
      <c r="A42" s="931" t="s">
        <v>487</v>
      </c>
      <c r="B42" s="932" t="s">
        <v>456</v>
      </c>
      <c r="C42" s="933">
        <f t="shared" ref="C42:Y42" si="35">C36</f>
        <v>0</v>
      </c>
      <c r="D42" s="933">
        <f t="shared" si="35"/>
        <v>22055842.223985728</v>
      </c>
      <c r="E42" s="933">
        <f t="shared" si="35"/>
        <v>21995137.800755337</v>
      </c>
      <c r="F42" s="933">
        <f t="shared" si="35"/>
        <v>22414832.730597951</v>
      </c>
      <c r="G42" s="933">
        <f>G36</f>
        <v>22735273.625036608</v>
      </c>
      <c r="H42" s="933">
        <f t="shared" si="35"/>
        <v>23135920.554499213</v>
      </c>
      <c r="I42" s="933">
        <f t="shared" si="35"/>
        <v>23537002.764402144</v>
      </c>
      <c r="J42" s="933">
        <f t="shared" si="35"/>
        <v>24034651.665539201</v>
      </c>
      <c r="K42" s="933">
        <f t="shared" si="35"/>
        <v>24340444.173321836</v>
      </c>
      <c r="L42" s="933">
        <f t="shared" si="35"/>
        <v>24742788.773978166</v>
      </c>
      <c r="M42" s="933">
        <f t="shared" si="35"/>
        <v>25241882.520562142</v>
      </c>
      <c r="N42" s="933">
        <f t="shared" si="35"/>
        <v>25548688.750559282</v>
      </c>
      <c r="O42" s="933">
        <f t="shared" si="35"/>
        <v>26048705.797490072</v>
      </c>
      <c r="P42" s="933">
        <f t="shared" si="35"/>
        <v>26452695.603914164</v>
      </c>
      <c r="Q42" s="933">
        <f t="shared" si="35"/>
        <v>26857060.625982318</v>
      </c>
      <c r="R42" s="933">
        <f t="shared" si="35"/>
        <v>27319651.610141158</v>
      </c>
      <c r="S42" s="933">
        <f t="shared" si="35"/>
        <v>27881764.233318951</v>
      </c>
      <c r="T42" s="933">
        <f t="shared" si="35"/>
        <v>28251960.959182128</v>
      </c>
      <c r="U42" s="933">
        <f t="shared" si="35"/>
        <v>28721698.310520671</v>
      </c>
      <c r="V42" s="933">
        <f t="shared" si="35"/>
        <v>29291802.72177282</v>
      </c>
      <c r="W42" s="933">
        <f t="shared" si="35"/>
        <v>29766625.772684805</v>
      </c>
      <c r="X42" s="933">
        <f t="shared" si="35"/>
        <v>30342384.161514126</v>
      </c>
      <c r="Y42" s="933">
        <f t="shared" si="35"/>
        <v>30822334.364955284</v>
      </c>
      <c r="Z42" s="933">
        <f t="shared" ref="Z42:AB42" si="36">Z36</f>
        <v>31403791.342105687</v>
      </c>
      <c r="AA42" s="933">
        <f t="shared" si="36"/>
        <v>31888910.445863865</v>
      </c>
      <c r="AB42" s="933">
        <f t="shared" si="36"/>
        <v>32488177.99853972</v>
      </c>
      <c r="AC42" s="933">
        <f t="shared" ref="AC42:AE42" si="37">AC36</f>
        <v>33090921.170735862</v>
      </c>
      <c r="AD42" s="933">
        <f t="shared" si="37"/>
        <v>33697155.965492755</v>
      </c>
      <c r="AE42" s="933">
        <f t="shared" si="37"/>
        <v>34206291.71202153</v>
      </c>
      <c r="AF42" s="933">
        <f t="shared" ref="AF42:AO42" si="38">AF36</f>
        <v>34819239.435913816</v>
      </c>
      <c r="AG42" s="933">
        <f t="shared" si="38"/>
        <v>34929501.522897594</v>
      </c>
      <c r="AH42" s="933">
        <f t="shared" si="38"/>
        <v>35040112.77683685</v>
      </c>
      <c r="AI42" s="933">
        <f t="shared" si="38"/>
        <v>35151074.303438596</v>
      </c>
      <c r="AJ42" s="933">
        <f t="shared" si="38"/>
        <v>35262387.211911291</v>
      </c>
      <c r="AK42" s="933">
        <f t="shared" si="38"/>
        <v>35374052.614975929</v>
      </c>
      <c r="AL42" s="933">
        <f t="shared" si="38"/>
        <v>35486071.628877126</v>
      </c>
      <c r="AM42" s="933">
        <f t="shared" si="38"/>
        <v>35598445.37339437</v>
      </c>
      <c r="AN42" s="933">
        <f t="shared" si="38"/>
        <v>0</v>
      </c>
      <c r="AO42" s="933">
        <f t="shared" si="38"/>
        <v>0</v>
      </c>
    </row>
    <row r="43" spans="1:41" s="934" customFormat="1" ht="15">
      <c r="A43" s="931" t="s">
        <v>488</v>
      </c>
      <c r="B43" s="932" t="s">
        <v>456</v>
      </c>
      <c r="C43" s="933">
        <f>SUM(C37:C40)</f>
        <v>0</v>
      </c>
      <c r="D43" s="933">
        <f t="shared" ref="D43:AB43" si="39">SUM(D37:D40)</f>
        <v>16952923.915104903</v>
      </c>
      <c r="E43" s="933">
        <f t="shared" si="39"/>
        <v>14847254.843047081</v>
      </c>
      <c r="F43" s="933">
        <f t="shared" si="39"/>
        <v>12900121.562406775</v>
      </c>
      <c r="G43" s="933">
        <f t="shared" si="39"/>
        <v>10867105.628213529</v>
      </c>
      <c r="H43" s="933">
        <f t="shared" si="39"/>
        <v>10383403.430166375</v>
      </c>
      <c r="I43" s="933">
        <f t="shared" si="39"/>
        <v>9889229.8613491654</v>
      </c>
      <c r="J43" s="933">
        <f t="shared" si="39"/>
        <v>9353247.0988582503</v>
      </c>
      <c r="K43" s="933">
        <f t="shared" si="39"/>
        <v>8803082.3023730498</v>
      </c>
      <c r="L43" s="933">
        <f t="shared" si="39"/>
        <v>8211702.2851857655</v>
      </c>
      <c r="M43" s="933">
        <f t="shared" si="39"/>
        <v>7465706.690150816</v>
      </c>
      <c r="N43" s="933">
        <f t="shared" si="39"/>
        <v>6714904.0596900955</v>
      </c>
      <c r="O43" s="933">
        <f t="shared" si="39"/>
        <v>5959271.4297610717</v>
      </c>
      <c r="P43" s="933">
        <f t="shared" si="39"/>
        <v>5198785.7390849236</v>
      </c>
      <c r="Q43" s="933">
        <f t="shared" si="39"/>
        <v>4433423.8287622416</v>
      </c>
      <c r="R43" s="933">
        <f t="shared" si="39"/>
        <v>4410272.368681903</v>
      </c>
      <c r="S43" s="933">
        <f t="shared" si="39"/>
        <v>4386929.8228162602</v>
      </c>
      <c r="T43" s="933">
        <f t="shared" si="39"/>
        <v>4363395.2131051961</v>
      </c>
      <c r="U43" s="933">
        <f t="shared" si="39"/>
        <v>4339667.5572103169</v>
      </c>
      <c r="V43" s="933">
        <f t="shared" si="39"/>
        <v>4315745.8684977135</v>
      </c>
      <c r="W43" s="933">
        <f t="shared" si="39"/>
        <v>4291629.1560206125</v>
      </c>
      <c r="X43" s="933">
        <f t="shared" si="39"/>
        <v>4267316.4245019043</v>
      </c>
      <c r="Y43" s="933">
        <f t="shared" si="39"/>
        <v>4242806.6743167285</v>
      </c>
      <c r="Z43" s="933">
        <f t="shared" si="39"/>
        <v>4218098.9014748381</v>
      </c>
      <c r="AA43" s="933">
        <f t="shared" si="39"/>
        <v>4193192.0976030277</v>
      </c>
      <c r="AB43" s="933">
        <f t="shared" si="39"/>
        <v>4206470.6791945798</v>
      </c>
      <c r="AC43" s="933">
        <f t="shared" ref="AC43:AE43" si="40">SUM(AC37:AC40)</f>
        <v>4219791.3100710167</v>
      </c>
      <c r="AD43" s="933">
        <f t="shared" si="40"/>
        <v>4233154.1233898085</v>
      </c>
      <c r="AE43" s="933">
        <f t="shared" si="40"/>
        <v>4246559.2527300976</v>
      </c>
      <c r="AF43" s="933">
        <f t="shared" ref="AF43:AO43" si="41">SUM(AF37:AF40)</f>
        <v>4260006.8320940332</v>
      </c>
      <c r="AG43" s="933">
        <f t="shared" si="41"/>
        <v>4273496.995908103</v>
      </c>
      <c r="AH43" s="933">
        <f t="shared" si="41"/>
        <v>4287029.8790244898</v>
      </c>
      <c r="AI43" s="933">
        <f t="shared" si="41"/>
        <v>4300605.6167224096</v>
      </c>
      <c r="AJ43" s="933">
        <f t="shared" si="41"/>
        <v>4314224.3447094671</v>
      </c>
      <c r="AK43" s="933">
        <f t="shared" si="41"/>
        <v>4327886.1991230128</v>
      </c>
      <c r="AL43" s="933">
        <f t="shared" si="41"/>
        <v>4341591.3165315045</v>
      </c>
      <c r="AM43" s="933">
        <f t="shared" si="41"/>
        <v>4355339.8339358708</v>
      </c>
      <c r="AN43" s="933">
        <f t="shared" si="41"/>
        <v>0</v>
      </c>
      <c r="AO43" s="933">
        <f t="shared" si="41"/>
        <v>0</v>
      </c>
    </row>
    <row r="44" spans="1:41" s="936" customFormat="1">
      <c r="A44" s="888"/>
      <c r="B44" s="926"/>
      <c r="C44" s="935"/>
      <c r="D44" s="935"/>
      <c r="E44" s="935"/>
      <c r="F44" s="935"/>
      <c r="G44" s="935"/>
      <c r="H44" s="935"/>
      <c r="I44" s="935"/>
      <c r="J44" s="935"/>
      <c r="K44" s="935"/>
      <c r="L44" s="935"/>
      <c r="M44" s="935"/>
      <c r="N44" s="935"/>
      <c r="O44" s="935"/>
      <c r="P44" s="935"/>
      <c r="Q44" s="935"/>
      <c r="R44" s="935"/>
      <c r="S44" s="935"/>
      <c r="T44" s="935"/>
      <c r="U44" s="935"/>
      <c r="V44" s="935"/>
      <c r="W44" s="935"/>
      <c r="X44" s="935"/>
      <c r="Y44" s="935"/>
      <c r="Z44" s="935"/>
      <c r="AA44" s="935"/>
      <c r="AB44" s="935"/>
      <c r="AC44" s="935"/>
      <c r="AD44" s="935"/>
      <c r="AE44" s="935"/>
      <c r="AF44" s="935"/>
      <c r="AG44" s="935"/>
      <c r="AH44" s="935"/>
      <c r="AI44" s="935"/>
      <c r="AJ44" s="935"/>
      <c r="AK44" s="935"/>
      <c r="AL44" s="935"/>
      <c r="AM44" s="935"/>
      <c r="AN44" s="935"/>
      <c r="AO44" s="935"/>
    </row>
    <row r="45" spans="1:41" s="919" customFormat="1" ht="15">
      <c r="A45" s="916" t="s">
        <v>489</v>
      </c>
      <c r="B45" s="917" t="s">
        <v>86</v>
      </c>
      <c r="C45" s="918" t="str">
        <f>IF(C$5&gt;0,C$4,"")</f>
        <v/>
      </c>
      <c r="D45" s="918" t="str">
        <f t="shared" ref="D45:AO45" si="42">IF(D$5&gt;0,D$4,"")</f>
        <v/>
      </c>
      <c r="E45" s="918" t="str">
        <f t="shared" si="42"/>
        <v/>
      </c>
      <c r="F45" s="918" t="str">
        <f t="shared" si="42"/>
        <v/>
      </c>
      <c r="G45" s="918" t="str">
        <f t="shared" si="42"/>
        <v/>
      </c>
      <c r="H45" s="918" t="str">
        <f t="shared" si="42"/>
        <v/>
      </c>
      <c r="I45" s="918" t="str">
        <f t="shared" si="42"/>
        <v/>
      </c>
      <c r="J45" s="918" t="str">
        <f t="shared" si="42"/>
        <v/>
      </c>
      <c r="K45" s="918" t="str">
        <f t="shared" si="42"/>
        <v/>
      </c>
      <c r="L45" s="918">
        <f t="shared" si="42"/>
        <v>2030</v>
      </c>
      <c r="M45" s="918">
        <f t="shared" si="42"/>
        <v>2031</v>
      </c>
      <c r="N45" s="918">
        <f t="shared" si="42"/>
        <v>2032</v>
      </c>
      <c r="O45" s="918">
        <f t="shared" si="42"/>
        <v>2033</v>
      </c>
      <c r="P45" s="918">
        <f t="shared" si="42"/>
        <v>2034</v>
      </c>
      <c r="Q45" s="918">
        <f t="shared" si="42"/>
        <v>2035</v>
      </c>
      <c r="R45" s="918">
        <f t="shared" si="42"/>
        <v>2036</v>
      </c>
      <c r="S45" s="918">
        <f t="shared" si="42"/>
        <v>2037</v>
      </c>
      <c r="T45" s="918">
        <f t="shared" si="42"/>
        <v>2038</v>
      </c>
      <c r="U45" s="918">
        <f t="shared" si="42"/>
        <v>2039</v>
      </c>
      <c r="V45" s="918">
        <f t="shared" si="42"/>
        <v>2040</v>
      </c>
      <c r="W45" s="918">
        <f t="shared" si="42"/>
        <v>2041</v>
      </c>
      <c r="X45" s="918">
        <f t="shared" si="42"/>
        <v>2042</v>
      </c>
      <c r="Y45" s="918">
        <f t="shared" si="42"/>
        <v>2043</v>
      </c>
      <c r="Z45" s="918">
        <f t="shared" si="42"/>
        <v>2044</v>
      </c>
      <c r="AA45" s="918">
        <f t="shared" si="42"/>
        <v>2045</v>
      </c>
      <c r="AB45" s="918">
        <f t="shared" si="42"/>
        <v>2046</v>
      </c>
      <c r="AC45" s="918">
        <f t="shared" si="42"/>
        <v>2047</v>
      </c>
      <c r="AD45" s="918">
        <f t="shared" si="42"/>
        <v>2048</v>
      </c>
      <c r="AE45" s="918">
        <f t="shared" si="42"/>
        <v>2049</v>
      </c>
      <c r="AF45" s="918">
        <f t="shared" si="42"/>
        <v>2050</v>
      </c>
      <c r="AG45" s="918">
        <f t="shared" si="42"/>
        <v>2051</v>
      </c>
      <c r="AH45" s="918">
        <f t="shared" si="42"/>
        <v>2052</v>
      </c>
      <c r="AI45" s="918">
        <f t="shared" si="42"/>
        <v>2053</v>
      </c>
      <c r="AJ45" s="918">
        <f t="shared" si="42"/>
        <v>2054</v>
      </c>
      <c r="AK45" s="918">
        <f t="shared" si="42"/>
        <v>2055</v>
      </c>
      <c r="AL45" s="918">
        <f t="shared" si="42"/>
        <v>2056</v>
      </c>
      <c r="AM45" s="918">
        <f t="shared" si="42"/>
        <v>2057</v>
      </c>
      <c r="AN45" s="918">
        <f t="shared" si="42"/>
        <v>2058</v>
      </c>
      <c r="AO45" s="918">
        <f t="shared" si="42"/>
        <v>2059</v>
      </c>
    </row>
    <row r="46" spans="1:41" s="894" customFormat="1">
      <c r="A46" s="888"/>
      <c r="B46" s="920"/>
      <c r="C46" s="921"/>
      <c r="D46" s="893"/>
      <c r="E46" s="893"/>
      <c r="F46" s="893"/>
      <c r="G46" s="893"/>
      <c r="H46" s="893"/>
      <c r="I46" s="893"/>
      <c r="J46" s="893"/>
      <c r="K46" s="893"/>
      <c r="L46" s="893"/>
      <c r="M46" s="893"/>
      <c r="N46" s="893"/>
      <c r="O46" s="893"/>
      <c r="P46" s="893"/>
      <c r="Q46" s="893"/>
      <c r="R46" s="893"/>
      <c r="S46" s="893"/>
      <c r="T46" s="893"/>
      <c r="U46" s="893"/>
      <c r="V46" s="893"/>
      <c r="W46" s="893"/>
      <c r="X46" s="893"/>
      <c r="Y46" s="893"/>
      <c r="Z46" s="893"/>
      <c r="AA46" s="893"/>
      <c r="AB46" s="893"/>
      <c r="AC46" s="893"/>
      <c r="AD46" s="893"/>
      <c r="AE46" s="893"/>
      <c r="AF46" s="893"/>
      <c r="AG46" s="893"/>
      <c r="AH46" s="893"/>
      <c r="AI46" s="893"/>
      <c r="AJ46" s="893"/>
      <c r="AK46" s="893"/>
      <c r="AL46" s="893"/>
      <c r="AM46" s="893"/>
      <c r="AN46" s="893"/>
      <c r="AO46" s="893"/>
    </row>
    <row r="47" spans="1:41" s="934" customFormat="1">
      <c r="A47" s="922" t="s">
        <v>447</v>
      </c>
      <c r="B47" s="923" t="s">
        <v>448</v>
      </c>
      <c r="C47" s="883">
        <f>SUMIFS(Demand.Forecast!$D$34:$AO$34,Demand.Forecast!$D$1:$AO$1,C$4)</f>
        <v>0</v>
      </c>
      <c r="D47" s="883">
        <f>SUMIFS(Demand.Forecast!$D$34:$AO$34,Demand.Forecast!$D$1:$AO$1,D$4)</f>
        <v>965730300</v>
      </c>
      <c r="E47" s="883">
        <f>SUMIFS(Demand.Forecast!$D$34:$AO$34,Demand.Forecast!$D$1:$AO$1,E$4)</f>
        <v>968788478.18156123</v>
      </c>
      <c r="F47" s="883">
        <f>SUMIFS(Demand.Forecast!$D$34:$AO$34,Demand.Forecast!$D$1:$AO$1,F$4)</f>
        <v>971856340.69609833</v>
      </c>
      <c r="G47" s="883">
        <f>SUMIFS(Demand.Forecast!$D$34:$AO$34,Demand.Forecast!$D$1:$AO$1,G$4)</f>
        <v>974933918.21098912</v>
      </c>
      <c r="H47" s="883">
        <f>SUMIFS(Demand.Forecast!$D$34:$AO$34,Demand.Forecast!$D$1:$AO$1,H$4)</f>
        <v>978021241.49072552</v>
      </c>
      <c r="I47" s="883">
        <f>SUMIFS(Demand.Forecast!$D$34:$AO$34,Demand.Forecast!$D$1:$AO$1,I$4)</f>
        <v>981118341.39722145</v>
      </c>
      <c r="J47" s="883">
        <f>SUMIFS(Demand.Forecast!$D$34:$AO$34,Demand.Forecast!$D$1:$AO$1,J$4)</f>
        <v>984225248.89012134</v>
      </c>
      <c r="K47" s="883">
        <f>SUMIFS(Demand.Forecast!$D$34:$AO$34,Demand.Forecast!$D$1:$AO$1,K$4)</f>
        <v>987341995.0271095</v>
      </c>
      <c r="L47" s="883">
        <f>SUMIFS(Demand.Forecast!$D$34:$AO$34,Demand.Forecast!$D$1:$AO$1,L$4)</f>
        <v>986819860.9642204</v>
      </c>
      <c r="M47" s="883">
        <f>SUMIFS(Demand.Forecast!$D$34:$AO$34,Demand.Forecast!$D$1:$AO$1,M$4)</f>
        <v>989956377.95615077</v>
      </c>
      <c r="N47" s="883">
        <f>SUMIFS(Demand.Forecast!$D$34:$AO$34,Demand.Forecast!$D$1:$AO$1,N$4)</f>
        <v>789815327.3565712</v>
      </c>
      <c r="O47" s="883">
        <f>SUMIFS(Demand.Forecast!$D$34:$AO$34,Demand.Forecast!$D$1:$AO$1,O$4)</f>
        <v>792971740.61844003</v>
      </c>
      <c r="P47" s="883">
        <f>SUMIFS(Demand.Forecast!$D$34:$AO$34,Demand.Forecast!$D$1:$AO$1,P$4)</f>
        <v>734964249.29431772</v>
      </c>
      <c r="Q47" s="883">
        <f>SUMIFS(Demand.Forecast!$D$34:$AO$34,Demand.Forecast!$D$1:$AO$1,Q$4)</f>
        <v>738140685.03668225</v>
      </c>
      <c r="R47" s="883">
        <f>SUMIFS(Demand.Forecast!$D$34:$AO$34,Demand.Forecast!$D$1:$AO$1,R$4)</f>
        <v>741327179.5982455</v>
      </c>
      <c r="S47" s="883">
        <f>SUMIFS(Demand.Forecast!$D$34:$AO$34,Demand.Forecast!$D$1:$AO$1,S$4)</f>
        <v>744523764.83227074</v>
      </c>
      <c r="T47" s="883">
        <f>SUMIFS(Demand.Forecast!$D$34:$AO$34,Demand.Forecast!$D$1:$AO$1,T$4)</f>
        <v>747730472.69289076</v>
      </c>
      <c r="U47" s="883">
        <f>SUMIFS(Demand.Forecast!$D$34:$AO$34,Demand.Forecast!$D$1:$AO$1,U$4)</f>
        <v>750947335.23542762</v>
      </c>
      <c r="V47" s="883">
        <f>SUMIFS(Demand.Forecast!$D$34:$AO$34,Demand.Forecast!$D$1:$AO$1,V$4)</f>
        <v>754174384.61671317</v>
      </c>
      <c r="W47" s="883">
        <f>SUMIFS(Demand.Forecast!$D$34:$AO$34,Demand.Forecast!$D$1:$AO$1,W$4)</f>
        <v>757411653.09540975</v>
      </c>
      <c r="X47" s="883">
        <f>SUMIFS(Demand.Forecast!$D$34:$AO$34,Demand.Forecast!$D$1:$AO$1,X$4)</f>
        <v>760659173.03233385</v>
      </c>
      <c r="Y47" s="883">
        <f>SUMIFS(Demand.Forecast!$D$34:$AO$34,Demand.Forecast!$D$1:$AO$1,Y$4)</f>
        <v>763916976.89077854</v>
      </c>
      <c r="Z47" s="883">
        <f>SUMIFS(Demand.Forecast!$D$34:$AO$34,Demand.Forecast!$D$1:$AO$1,Z$4)</f>
        <v>767185097.23683846</v>
      </c>
      <c r="AA47" s="883">
        <f>SUMIFS(Demand.Forecast!$D$34:$AO$34,Demand.Forecast!$D$1:$AO$1,AA$4)</f>
        <v>770463566.73973548</v>
      </c>
      <c r="AB47" s="883">
        <f>SUMIFS(Demand.Forecast!$D$34:$AO$34,Demand.Forecast!$D$1:$AO$1,AB$4)</f>
        <v>773752418.17214513</v>
      </c>
      <c r="AC47" s="883">
        <f>SUMIFS(Demand.Forecast!$D$34:$AO$34,Demand.Forecast!$D$1:$AO$1,AC$4)</f>
        <v>777051684.41052389</v>
      </c>
      <c r="AD47" s="883">
        <f>SUMIFS(Demand.Forecast!$D$34:$AO$34,Demand.Forecast!$D$1:$AO$1,AD$4)</f>
        <v>780361398.43543828</v>
      </c>
      <c r="AE47" s="883">
        <f>SUMIFS(Demand.Forecast!$D$34:$AO$34,Demand.Forecast!$D$1:$AO$1,AE$4)</f>
        <v>783681593.33189428</v>
      </c>
      <c r="AF47" s="883">
        <f>SUMIFS(Demand.Forecast!$D$34:$AO$34,Demand.Forecast!$D$1:$AO$1,AF$4)</f>
        <v>787012302.28966832</v>
      </c>
      <c r="AG47" s="883">
        <f>SUMIFS(Demand.Forecast!$D$34:$AO$34,Demand.Forecast!$D$1:$AO$1,AG$4)</f>
        <v>790353558.60363877</v>
      </c>
      <c r="AH47" s="883">
        <f>SUMIFS(Demand.Forecast!$D$34:$AO$34,Demand.Forecast!$D$1:$AO$1,AH$4)</f>
        <v>793705395.674119</v>
      </c>
      <c r="AI47" s="883">
        <f>SUMIFS(Demand.Forecast!$D$34:$AO$34,Demand.Forecast!$D$1:$AO$1,AI$4)</f>
        <v>797067847.00719106</v>
      </c>
      <c r="AJ47" s="883">
        <f>SUMIFS(Demand.Forecast!$D$34:$AO$34,Demand.Forecast!$D$1:$AO$1,AJ$4)</f>
        <v>800440946.21504056</v>
      </c>
      <c r="AK47" s="883">
        <f>SUMIFS(Demand.Forecast!$D$34:$AO$34,Demand.Forecast!$D$1:$AO$1,AK$4)</f>
        <v>803824727.01629341</v>
      </c>
      <c r="AL47" s="883">
        <f>SUMIFS(Demand.Forecast!$D$34:$AO$34,Demand.Forecast!$D$1:$AO$1,AL$4)</f>
        <v>807219223.23635161</v>
      </c>
      <c r="AM47" s="883">
        <f>SUMIFS(Demand.Forecast!$D$34:$AO$34,Demand.Forecast!$D$1:$AO$1,AM$4)</f>
        <v>810624468.80773246</v>
      </c>
      <c r="AN47" s="883">
        <f>SUMIFS(Demand.Forecast!$D$34:$AO$34,Demand.Forecast!$D$1:$AO$1,AN$4)</f>
        <v>814040497.7704072</v>
      </c>
      <c r="AO47" s="883">
        <f>SUMIFS(Demand.Forecast!$D$34:$AO$34,Demand.Forecast!$D$1:$AO$1,AO$4)</f>
        <v>817467344.27214134</v>
      </c>
    </row>
    <row r="48" spans="1:41" s="934" customFormat="1">
      <c r="A48" s="922" t="s">
        <v>479</v>
      </c>
      <c r="B48" s="923" t="s">
        <v>448</v>
      </c>
      <c r="C48" s="883">
        <f>SUMIFS(Demand.Forecast!$D$33:$AO$33,Demand.Forecast!$D$1:$AO$1,C$4)</f>
        <v>0</v>
      </c>
      <c r="D48" s="883">
        <f>SUMIFS(Demand.Forecast!$D$33:$AO$33,Demand.Forecast!$D$1:$AO$1,D$4)</f>
        <v>0</v>
      </c>
      <c r="E48" s="883">
        <f>SUMIFS(Demand.Forecast!$D$33:$AO$33,Demand.Forecast!$D$1:$AO$1,E$4)</f>
        <v>0</v>
      </c>
      <c r="F48" s="883">
        <f>SUMIFS(Demand.Forecast!$D$33:$AO$33,Demand.Forecast!$D$1:$AO$1,F$4)</f>
        <v>0</v>
      </c>
      <c r="G48" s="883">
        <f>SUMIFS(Demand.Forecast!$D$33:$AO$33,Demand.Forecast!$D$1:$AO$1,G$4)</f>
        <v>0</v>
      </c>
      <c r="H48" s="883">
        <f>SUMIFS(Demand.Forecast!$D$33:$AO$33,Demand.Forecast!$D$1:$AO$1,H$4)</f>
        <v>0</v>
      </c>
      <c r="I48" s="883">
        <f>SUMIFS(Demand.Forecast!$D$33:$AO$33,Demand.Forecast!$D$1:$AO$1,I$4)</f>
        <v>0</v>
      </c>
      <c r="J48" s="883">
        <f>SUMIFS(Demand.Forecast!$D$33:$AO$33,Demand.Forecast!$D$1:$AO$1,J$4)</f>
        <v>0</v>
      </c>
      <c r="K48" s="883">
        <f>SUMIFS(Demand.Forecast!$D$33:$AO$33,Demand.Forecast!$D$1:$AO$1,K$4)</f>
        <v>0</v>
      </c>
      <c r="L48" s="883">
        <f>SUMIFS(Demand.Forecast!$D$33:$AO$33,Demand.Forecast!$D$1:$AO$1,L$4)</f>
        <v>3648750</v>
      </c>
      <c r="M48" s="883">
        <f>SUMIFS(Demand.Forecast!$D$33:$AO$33,Demand.Forecast!$D$1:$AO$1,M$4)</f>
        <v>3648750</v>
      </c>
      <c r="N48" s="883">
        <f>SUMIFS(Demand.Forecast!$D$33:$AO$33,Demand.Forecast!$D$1:$AO$1,N$4)</f>
        <v>206936250</v>
      </c>
      <c r="O48" s="883">
        <f>SUMIFS(Demand.Forecast!$D$33:$AO$33,Demand.Forecast!$D$1:$AO$1,O$4)</f>
        <v>206936250</v>
      </c>
      <c r="P48" s="883">
        <f>SUMIFS(Demand.Forecast!$D$33:$AO$33,Demand.Forecast!$D$1:$AO$1,P$4)</f>
        <v>268110150</v>
      </c>
      <c r="Q48" s="883">
        <f>SUMIFS(Demand.Forecast!$D$33:$AO$33,Demand.Forecast!$D$1:$AO$1,Q$4)</f>
        <v>268110150</v>
      </c>
      <c r="R48" s="883">
        <f>SUMIFS(Demand.Forecast!$D$33:$AO$33,Demand.Forecast!$D$1:$AO$1,R$4)</f>
        <v>268110150</v>
      </c>
      <c r="S48" s="883">
        <f>SUMIFS(Demand.Forecast!$D$33:$AO$33,Demand.Forecast!$D$1:$AO$1,S$4)</f>
        <v>268110150</v>
      </c>
      <c r="T48" s="883">
        <f>SUMIFS(Demand.Forecast!$D$33:$AO$33,Demand.Forecast!$D$1:$AO$1,T$4)</f>
        <v>268110150</v>
      </c>
      <c r="U48" s="883">
        <f>SUMIFS(Demand.Forecast!$D$33:$AO$33,Demand.Forecast!$D$1:$AO$1,U$4)</f>
        <v>268110150</v>
      </c>
      <c r="V48" s="883">
        <f>SUMIFS(Demand.Forecast!$D$33:$AO$33,Demand.Forecast!$D$1:$AO$1,V$4)</f>
        <v>268110150</v>
      </c>
      <c r="W48" s="883">
        <f>SUMIFS(Demand.Forecast!$D$33:$AO$33,Demand.Forecast!$D$1:$AO$1,W$4)</f>
        <v>268110150</v>
      </c>
      <c r="X48" s="883">
        <f>SUMIFS(Demand.Forecast!$D$33:$AO$33,Demand.Forecast!$D$1:$AO$1,X$4)</f>
        <v>268110150</v>
      </c>
      <c r="Y48" s="883">
        <f>SUMIFS(Demand.Forecast!$D$33:$AO$33,Demand.Forecast!$D$1:$AO$1,Y$4)</f>
        <v>268110150</v>
      </c>
      <c r="Z48" s="883">
        <f>SUMIFS(Demand.Forecast!$D$33:$AO$33,Demand.Forecast!$D$1:$AO$1,Z$4)</f>
        <v>268110150</v>
      </c>
      <c r="AA48" s="883">
        <f>SUMIFS(Demand.Forecast!$D$33:$AO$33,Demand.Forecast!$D$1:$AO$1,AA$4)</f>
        <v>268110150</v>
      </c>
      <c r="AB48" s="883">
        <f>SUMIFS(Demand.Forecast!$D$33:$AO$33,Demand.Forecast!$D$1:$AO$1,AB$4)</f>
        <v>268110150</v>
      </c>
      <c r="AC48" s="883">
        <f>SUMIFS(Demand.Forecast!$D$33:$AO$33,Demand.Forecast!$D$1:$AO$1,AC$4)</f>
        <v>268110150</v>
      </c>
      <c r="AD48" s="883">
        <f>SUMIFS(Demand.Forecast!$D$33:$AO$33,Demand.Forecast!$D$1:$AO$1,AD$4)</f>
        <v>268110150</v>
      </c>
      <c r="AE48" s="883">
        <f>SUMIFS(Demand.Forecast!$D$33:$AO$33,Demand.Forecast!$D$1:$AO$1,AE$4)</f>
        <v>268110150</v>
      </c>
      <c r="AF48" s="883">
        <f>SUMIFS(Demand.Forecast!$D$33:$AO$33,Demand.Forecast!$D$1:$AO$1,AF$4)</f>
        <v>268110150</v>
      </c>
      <c r="AG48" s="883">
        <f>SUMIFS(Demand.Forecast!$D$33:$AO$33,Demand.Forecast!$D$1:$AO$1,AG$4)</f>
        <v>268110150</v>
      </c>
      <c r="AH48" s="883">
        <f>SUMIFS(Demand.Forecast!$D$33:$AO$33,Demand.Forecast!$D$1:$AO$1,AH$4)</f>
        <v>268110150</v>
      </c>
      <c r="AI48" s="883">
        <f>SUMIFS(Demand.Forecast!$D$33:$AO$33,Demand.Forecast!$D$1:$AO$1,AI$4)</f>
        <v>268110150</v>
      </c>
      <c r="AJ48" s="883">
        <f>SUMIFS(Demand.Forecast!$D$33:$AO$33,Demand.Forecast!$D$1:$AO$1,AJ$4)</f>
        <v>268110150</v>
      </c>
      <c r="AK48" s="883">
        <f>SUMIFS(Demand.Forecast!$D$33:$AO$33,Demand.Forecast!$D$1:$AO$1,AK$4)</f>
        <v>268110150</v>
      </c>
      <c r="AL48" s="883">
        <f>SUMIFS(Demand.Forecast!$D$33:$AO$33,Demand.Forecast!$D$1:$AO$1,AL$4)</f>
        <v>268110150</v>
      </c>
      <c r="AM48" s="883">
        <f>SUMIFS(Demand.Forecast!$D$33:$AO$33,Demand.Forecast!$D$1:$AO$1,AM$4)</f>
        <v>268110150</v>
      </c>
      <c r="AN48" s="883">
        <f>SUMIFS(Demand.Forecast!$D$33:$AO$33,Demand.Forecast!$D$1:$AO$1,AN$4)</f>
        <v>268110150</v>
      </c>
      <c r="AO48" s="883">
        <f>SUMIFS(Demand.Forecast!$D$33:$AO$33,Demand.Forecast!$D$1:$AO$1,AO$4)</f>
        <v>268110150</v>
      </c>
    </row>
    <row r="49" spans="1:41" s="925" customFormat="1">
      <c r="A49" s="888"/>
      <c r="B49" s="920"/>
      <c r="C49" s="921"/>
      <c r="D49" s="921"/>
      <c r="E49" s="921"/>
      <c r="F49" s="921"/>
      <c r="G49" s="921"/>
      <c r="H49" s="921"/>
      <c r="I49" s="921"/>
      <c r="J49" s="921"/>
      <c r="K49" s="921"/>
      <c r="L49" s="921"/>
      <c r="M49" s="921"/>
      <c r="N49" s="921"/>
      <c r="O49" s="921"/>
      <c r="P49" s="921"/>
      <c r="Q49" s="921"/>
      <c r="R49" s="921"/>
      <c r="S49" s="921"/>
      <c r="T49" s="921"/>
      <c r="U49" s="921"/>
      <c r="V49" s="921"/>
      <c r="W49" s="921"/>
      <c r="X49" s="921"/>
      <c r="Y49" s="921"/>
      <c r="Z49" s="921"/>
      <c r="AA49" s="921"/>
      <c r="AB49" s="921"/>
      <c r="AC49" s="921"/>
      <c r="AD49" s="921"/>
      <c r="AE49" s="921"/>
      <c r="AF49" s="921"/>
      <c r="AG49" s="921"/>
      <c r="AH49" s="921"/>
      <c r="AI49" s="921"/>
      <c r="AJ49" s="921"/>
      <c r="AK49" s="921"/>
      <c r="AL49" s="921"/>
      <c r="AM49" s="921"/>
      <c r="AN49" s="921"/>
      <c r="AO49" s="921"/>
    </row>
    <row r="50" spans="1:41" s="925" customFormat="1">
      <c r="A50" s="895" t="s">
        <v>480</v>
      </c>
      <c r="B50" s="920" t="s">
        <v>481</v>
      </c>
      <c r="C50" s="921">
        <f t="shared" ref="C50:AE50" si="43">(C47*C$7+C48*C$13)/Grams.per.Ton</f>
        <v>0</v>
      </c>
      <c r="D50" s="921">
        <f t="shared" si="43"/>
        <v>96736.150105200562</v>
      </c>
      <c r="E50" s="921">
        <f t="shared" si="43"/>
        <v>96469.902634891827</v>
      </c>
      <c r="F50" s="921">
        <f t="shared" si="43"/>
        <v>96200.998843768029</v>
      </c>
      <c r="G50" s="921">
        <f t="shared" si="43"/>
        <v>95929.42457821354</v>
      </c>
      <c r="H50" s="921">
        <f t="shared" si="43"/>
        <v>95999.670350619141</v>
      </c>
      <c r="I50" s="921">
        <f t="shared" si="43"/>
        <v>96069.399038376097</v>
      </c>
      <c r="J50" s="921">
        <f t="shared" si="43"/>
        <v>96138.606662156802</v>
      </c>
      <c r="K50" s="921">
        <f t="shared" si="43"/>
        <v>96207.289222615946</v>
      </c>
      <c r="L50" s="921">
        <f t="shared" si="43"/>
        <v>96013.975420995339</v>
      </c>
      <c r="M50" s="921">
        <f t="shared" si="43"/>
        <v>96082.467032364322</v>
      </c>
      <c r="N50" s="921">
        <f t="shared" si="43"/>
        <v>81680.041578780263</v>
      </c>
      <c r="O50" s="921">
        <f t="shared" si="43"/>
        <v>81795.99615606232</v>
      </c>
      <c r="P50" s="921">
        <f t="shared" si="43"/>
        <v>77586.148592889876</v>
      </c>
      <c r="Q50" s="921">
        <f t="shared" si="43"/>
        <v>77715.615552880219</v>
      </c>
      <c r="R50" s="921">
        <f t="shared" si="43"/>
        <v>77995.206483510614</v>
      </c>
      <c r="S50" s="921">
        <f t="shared" si="43"/>
        <v>78275.539061393167</v>
      </c>
      <c r="T50" s="921">
        <f t="shared" si="43"/>
        <v>78556.61527546322</v>
      </c>
      <c r="U50" s="921">
        <f t="shared" si="43"/>
        <v>78838.437119815615</v>
      </c>
      <c r="V50" s="921">
        <f t="shared" si="43"/>
        <v>79121.006593717466</v>
      </c>
      <c r="W50" s="921">
        <f t="shared" si="43"/>
        <v>79404.32570162075</v>
      </c>
      <c r="X50" s="921">
        <f t="shared" si="43"/>
        <v>79688.396453175403</v>
      </c>
      <c r="Y50" s="921">
        <f t="shared" si="43"/>
        <v>79973.220863241746</v>
      </c>
      <c r="Z50" s="921">
        <f t="shared" si="43"/>
        <v>80258.800951903715</v>
      </c>
      <c r="AA50" s="921">
        <f t="shared" si="43"/>
        <v>80545.138744481505</v>
      </c>
      <c r="AB50" s="921">
        <f t="shared" si="43"/>
        <v>80859.726327185374</v>
      </c>
      <c r="AC50" s="921">
        <f t="shared" si="43"/>
        <v>81175.310114400592</v>
      </c>
      <c r="AD50" s="921">
        <f t="shared" si="43"/>
        <v>81491.893260808036</v>
      </c>
      <c r="AE50" s="921">
        <f t="shared" si="43"/>
        <v>81809.478931078498</v>
      </c>
      <c r="AF50" s="921">
        <f t="shared" ref="AF50:AO50" si="44">(AF47*AF$7+AF48*AF$13)/Grams.per.Ton</f>
        <v>82128.070299904342</v>
      </c>
      <c r="AG50" s="921">
        <f t="shared" si="44"/>
        <v>82447.670552031224</v>
      </c>
      <c r="AH50" s="921">
        <f t="shared" si="44"/>
        <v>82768.282882289932</v>
      </c>
      <c r="AI50" s="921">
        <f t="shared" si="44"/>
        <v>83089.910495628341</v>
      </c>
      <c r="AJ50" s="921">
        <f t="shared" si="44"/>
        <v>83412.556607143386</v>
      </c>
      <c r="AK50" s="921">
        <f t="shared" si="44"/>
        <v>83736.224442113336</v>
      </c>
      <c r="AL50" s="921">
        <f t="shared" si="44"/>
        <v>84060.917236029898</v>
      </c>
      <c r="AM50" s="921">
        <f t="shared" si="44"/>
        <v>84386.638234630547</v>
      </c>
      <c r="AN50" s="921">
        <f t="shared" si="44"/>
        <v>6848.203506375</v>
      </c>
      <c r="AO50" s="921">
        <f t="shared" si="44"/>
        <v>6848.203506375</v>
      </c>
    </row>
    <row r="51" spans="1:41" s="925" customFormat="1">
      <c r="A51" s="899" t="s">
        <v>482</v>
      </c>
      <c r="B51" s="920" t="s">
        <v>481</v>
      </c>
      <c r="C51" s="963">
        <f t="shared" ref="C51:AE51" si="45">(C47*C$8+C48*C$14)/Grams.per.Ton</f>
        <v>0</v>
      </c>
      <c r="D51" s="963">
        <f t="shared" si="45"/>
        <v>237.61571879252804</v>
      </c>
      <c r="E51" s="963">
        <f t="shared" si="45"/>
        <v>212.15136643218932</v>
      </c>
      <c r="F51" s="963">
        <f t="shared" si="45"/>
        <v>186.52335533262169</v>
      </c>
      <c r="G51" s="963">
        <f t="shared" si="45"/>
        <v>160.7309043338019</v>
      </c>
      <c r="H51" s="963">
        <f t="shared" si="45"/>
        <v>153.04951886468328</v>
      </c>
      <c r="I51" s="963">
        <f t="shared" si="45"/>
        <v>145.3178723004211</v>
      </c>
      <c r="J51" s="963">
        <f t="shared" si="45"/>
        <v>137.53572334624667</v>
      </c>
      <c r="K51" s="963">
        <f t="shared" si="45"/>
        <v>129.7028296831848</v>
      </c>
      <c r="L51" s="963">
        <f t="shared" si="45"/>
        <v>121.72383327235393</v>
      </c>
      <c r="M51" s="963">
        <f t="shared" si="45"/>
        <v>113.78775288694284</v>
      </c>
      <c r="N51" s="963">
        <f t="shared" si="45"/>
        <v>100.80907302997804</v>
      </c>
      <c r="O51" s="963">
        <f t="shared" si="45"/>
        <v>93.168310012052444</v>
      </c>
      <c r="P51" s="963">
        <f t="shared" si="45"/>
        <v>84.252829925973003</v>
      </c>
      <c r="Q51" s="963">
        <f t="shared" si="45"/>
        <v>76.717120913886063</v>
      </c>
      <c r="R51" s="963">
        <f t="shared" si="45"/>
        <v>75.46258423241683</v>
      </c>
      <c r="S51" s="963">
        <f t="shared" si="45"/>
        <v>74.235882584815272</v>
      </c>
      <c r="T51" s="963">
        <f t="shared" si="45"/>
        <v>73.036361576793496</v>
      </c>
      <c r="U51" s="963">
        <f t="shared" si="45"/>
        <v>71.86337914002128</v>
      </c>
      <c r="V51" s="963">
        <f t="shared" si="45"/>
        <v>71.138785111684271</v>
      </c>
      <c r="W51" s="963">
        <f t="shared" si="45"/>
        <v>71.018049999510581</v>
      </c>
      <c r="X51" s="963">
        <f t="shared" si="45"/>
        <v>70.89490260384872</v>
      </c>
      <c r="Y51" s="963">
        <f t="shared" si="45"/>
        <v>70.769330189751628</v>
      </c>
      <c r="Z51" s="963">
        <f t="shared" si="45"/>
        <v>70.641319965806659</v>
      </c>
      <c r="AA51" s="963">
        <f t="shared" si="45"/>
        <v>70.510859083906666</v>
      </c>
      <c r="AB51" s="963">
        <f t="shared" si="45"/>
        <v>70.761350470455426</v>
      </c>
      <c r="AC51" s="963">
        <f t="shared" si="45"/>
        <v>71.012635088088487</v>
      </c>
      <c r="AD51" s="963">
        <f t="shared" si="45"/>
        <v>71.264715448730769</v>
      </c>
      <c r="AE51" s="963">
        <f t="shared" si="45"/>
        <v>71.517594072261659</v>
      </c>
      <c r="AF51" s="963">
        <f t="shared" ref="AF51:AO51" si="46">(AF47*AF$8+AF48*AF$14)/Grams.per.Ton</f>
        <v>71.771273486540323</v>
      </c>
      <c r="AG51" s="963">
        <f t="shared" si="46"/>
        <v>72.025756227430819</v>
      </c>
      <c r="AH51" s="963">
        <f t="shared" si="46"/>
        <v>72.281044838827583</v>
      </c>
      <c r="AI51" s="963">
        <f t="shared" si="46"/>
        <v>72.537141872680778</v>
      </c>
      <c r="AJ51" s="963">
        <f t="shared" si="46"/>
        <v>72.794049889021821</v>
      </c>
      <c r="AK51" s="963">
        <f t="shared" si="46"/>
        <v>73.051771455988998</v>
      </c>
      <c r="AL51" s="963">
        <f t="shared" si="46"/>
        <v>73.310309149853126</v>
      </c>
      <c r="AM51" s="963">
        <f t="shared" si="46"/>
        <v>73.569665555043272</v>
      </c>
      <c r="AN51" s="963">
        <f t="shared" si="46"/>
        <v>11.829434554937496</v>
      </c>
      <c r="AO51" s="963">
        <f t="shared" si="46"/>
        <v>11.829434554937496</v>
      </c>
    </row>
    <row r="52" spans="1:41" s="925" customFormat="1">
      <c r="A52" s="899" t="s">
        <v>483</v>
      </c>
      <c r="B52" s="920" t="s">
        <v>481</v>
      </c>
      <c r="C52" s="963">
        <f t="shared" ref="C52:AE52" si="47">(C47*C$9+C48*C$15)/Grams.per.Ton</f>
        <v>0</v>
      </c>
      <c r="D52" s="963">
        <f t="shared" si="47"/>
        <v>11.471315510527567</v>
      </c>
      <c r="E52" s="963">
        <f t="shared" si="47"/>
        <v>10.106976120387285</v>
      </c>
      <c r="F52" s="963">
        <f t="shared" si="47"/>
        <v>8.7338807888116996</v>
      </c>
      <c r="G52" s="963">
        <f t="shared" si="47"/>
        <v>7.3519877425008664</v>
      </c>
      <c r="H52" s="963">
        <f t="shared" si="47"/>
        <v>6.9191347272629633</v>
      </c>
      <c r="I52" s="963">
        <f t="shared" si="47"/>
        <v>6.483466555048814</v>
      </c>
      <c r="J52" s="963">
        <f t="shared" si="47"/>
        <v>6.0449697369879933</v>
      </c>
      <c r="K52" s="963">
        <f t="shared" si="47"/>
        <v>5.6036307270105326</v>
      </c>
      <c r="L52" s="963">
        <f t="shared" si="47"/>
        <v>5.1537792065593431</v>
      </c>
      <c r="M52" s="963">
        <f t="shared" si="47"/>
        <v>4.7068348884681495</v>
      </c>
      <c r="N52" s="963">
        <f t="shared" si="47"/>
        <v>3.9963788406270204</v>
      </c>
      <c r="O52" s="963">
        <f t="shared" si="47"/>
        <v>3.5927921065967854</v>
      </c>
      <c r="P52" s="963">
        <f t="shared" si="47"/>
        <v>3.1384042697088033</v>
      </c>
      <c r="Q52" s="963">
        <f t="shared" si="47"/>
        <v>2.7467774210893814</v>
      </c>
      <c r="R52" s="963">
        <f t="shared" si="47"/>
        <v>2.6833050378399146</v>
      </c>
      <c r="S52" s="963">
        <f t="shared" si="47"/>
        <v>2.6677727085606486</v>
      </c>
      <c r="T52" s="963">
        <f t="shared" si="47"/>
        <v>2.6064209913419654</v>
      </c>
      <c r="U52" s="963">
        <f t="shared" si="47"/>
        <v>2.5915882926908189</v>
      </c>
      <c r="V52" s="963">
        <f t="shared" si="47"/>
        <v>2.5322660370861021</v>
      </c>
      <c r="W52" s="963">
        <f t="shared" si="47"/>
        <v>2.524658161409302</v>
      </c>
      <c r="X52" s="963">
        <f t="shared" si="47"/>
        <v>2.5169365842978269</v>
      </c>
      <c r="Y52" s="963">
        <f t="shared" si="47"/>
        <v>2.5091007207384131</v>
      </c>
      <c r="Z52" s="963">
        <f t="shared" si="47"/>
        <v>2.501149983152871</v>
      </c>
      <c r="AA52" s="963">
        <f t="shared" si="47"/>
        <v>2.493083781387706</v>
      </c>
      <c r="AB52" s="963">
        <f t="shared" si="47"/>
        <v>2.5018269161147968</v>
      </c>
      <c r="AC52" s="963">
        <f t="shared" si="47"/>
        <v>2.5105977377269957</v>
      </c>
      <c r="AD52" s="963">
        <f t="shared" si="47"/>
        <v>2.5193963339003624</v>
      </c>
      <c r="AE52" s="963">
        <f t="shared" si="47"/>
        <v>2.5282227925886005</v>
      </c>
      <c r="AF52" s="963">
        <f t="shared" ref="AF52:AO52" si="48">(AF47*AF$9+AF48*AF$15)/Grams.per.Ton</f>
        <v>2.5370772020239367</v>
      </c>
      <c r="AG52" s="963">
        <f t="shared" si="48"/>
        <v>2.5459596507180038</v>
      </c>
      <c r="AH52" s="963">
        <f t="shared" si="48"/>
        <v>2.554870227462724</v>
      </c>
      <c r="AI52" s="963">
        <f t="shared" si="48"/>
        <v>2.563809021331195</v>
      </c>
      <c r="AJ52" s="963">
        <f t="shared" si="48"/>
        <v>2.5727761216785847</v>
      </c>
      <c r="AK52" s="963">
        <f t="shared" si="48"/>
        <v>2.5817716181430215</v>
      </c>
      <c r="AL52" s="963">
        <f t="shared" si="48"/>
        <v>2.5907956006464898</v>
      </c>
      <c r="AM52" s="963">
        <f t="shared" si="48"/>
        <v>2.599848159395731</v>
      </c>
      <c r="AN52" s="963">
        <f t="shared" si="48"/>
        <v>0.44487123522675659</v>
      </c>
      <c r="AO52" s="963">
        <f t="shared" si="48"/>
        <v>0.44487123522675659</v>
      </c>
    </row>
    <row r="53" spans="1:41" s="925" customFormat="1">
      <c r="A53" s="899" t="s">
        <v>484</v>
      </c>
      <c r="B53" s="920" t="s">
        <v>481</v>
      </c>
      <c r="C53" s="963">
        <f t="shared" ref="C53:AE53" si="49">(C47*C$10+C48*C$16)/Grams.per.Ton</f>
        <v>0</v>
      </c>
      <c r="D53" s="963">
        <f t="shared" si="49"/>
        <v>12.833648937652299</v>
      </c>
      <c r="E53" s="963">
        <f t="shared" si="49"/>
        <v>11.149890071762384</v>
      </c>
      <c r="F53" s="963">
        <f t="shared" si="49"/>
        <v>9.4553385916381067</v>
      </c>
      <c r="G53" s="963">
        <f t="shared" si="49"/>
        <v>7.7499430280499233</v>
      </c>
      <c r="H53" s="963">
        <f t="shared" si="49"/>
        <v>7.2323486067596496</v>
      </c>
      <c r="I53" s="963">
        <f t="shared" si="49"/>
        <v>6.7113983365734642</v>
      </c>
      <c r="J53" s="963">
        <f t="shared" si="49"/>
        <v>6.1870761539890955</v>
      </c>
      <c r="K53" s="963">
        <f t="shared" si="49"/>
        <v>5.6593659274196089</v>
      </c>
      <c r="L53" s="963">
        <f t="shared" si="49"/>
        <v>5.1158321384569465</v>
      </c>
      <c r="M53" s="963">
        <f t="shared" si="49"/>
        <v>4.5832240764213346</v>
      </c>
      <c r="N53" s="963">
        <f t="shared" si="49"/>
        <v>3.534408816379818</v>
      </c>
      <c r="O53" s="963">
        <f t="shared" si="49"/>
        <v>3.0678488542087314</v>
      </c>
      <c r="P53" s="963">
        <f t="shared" si="49"/>
        <v>2.4894012248163095</v>
      </c>
      <c r="Q53" s="963">
        <f t="shared" si="49"/>
        <v>2.0850032801237699</v>
      </c>
      <c r="R53" s="963">
        <f t="shared" si="49"/>
        <v>2.0266318860308852</v>
      </c>
      <c r="S53" s="963">
        <f t="shared" si="49"/>
        <v>2.0123352794478837</v>
      </c>
      <c r="T53" s="963">
        <f t="shared" si="49"/>
        <v>1.9557450865216524</v>
      </c>
      <c r="U53" s="963">
        <f t="shared" si="49"/>
        <v>1.941922087321708</v>
      </c>
      <c r="V53" s="963">
        <f t="shared" si="49"/>
        <v>1.8870319182742561</v>
      </c>
      <c r="W53" s="963">
        <f t="shared" si="49"/>
        <v>1.8760624310125833</v>
      </c>
      <c r="X53" s="963">
        <f t="shared" si="49"/>
        <v>1.8649588727975506</v>
      </c>
      <c r="Y53" s="963">
        <f t="shared" si="49"/>
        <v>1.8537205696999661</v>
      </c>
      <c r="Z53" s="963">
        <f t="shared" si="49"/>
        <v>1.8423468448668154</v>
      </c>
      <c r="AA53" s="963">
        <f t="shared" si="49"/>
        <v>1.8308370185095209</v>
      </c>
      <c r="AB53" s="963">
        <f t="shared" si="49"/>
        <v>1.8379525208406151</v>
      </c>
      <c r="AC53" s="963">
        <f t="shared" si="49"/>
        <v>1.8450905558332396</v>
      </c>
      <c r="AD53" s="963">
        <f t="shared" si="49"/>
        <v>1.8522511948415752</v>
      </c>
      <c r="AE53" s="963">
        <f t="shared" si="49"/>
        <v>1.8594345094457589</v>
      </c>
      <c r="AF53" s="963">
        <f t="shared" ref="AF53:AO53" si="50">(AF47*AF$10+AF48*AF$16)/Grams.per.Ton</f>
        <v>1.8666405714526015</v>
      </c>
      <c r="AG53" s="963">
        <f t="shared" si="50"/>
        <v>1.8738694528963038</v>
      </c>
      <c r="AH53" s="963">
        <f t="shared" si="50"/>
        <v>1.8811212260391772</v>
      </c>
      <c r="AI53" s="963">
        <f t="shared" si="50"/>
        <v>1.8883959633723668</v>
      </c>
      <c r="AJ53" s="963">
        <f t="shared" si="50"/>
        <v>1.8956937376165743</v>
      </c>
      <c r="AK53" s="963">
        <f t="shared" si="50"/>
        <v>1.9030146217227881</v>
      </c>
      <c r="AL53" s="963">
        <f t="shared" si="50"/>
        <v>1.9103586888730082</v>
      </c>
      <c r="AM53" s="963">
        <f t="shared" si="50"/>
        <v>1.9177260124809812</v>
      </c>
      <c r="AN53" s="963">
        <f t="shared" si="50"/>
        <v>0.16392216454699104</v>
      </c>
      <c r="AO53" s="963">
        <f t="shared" si="50"/>
        <v>0.16392216454699104</v>
      </c>
    </row>
    <row r="54" spans="1:41" s="925" customFormat="1">
      <c r="A54" s="899" t="s">
        <v>485</v>
      </c>
      <c r="B54" s="920" t="s">
        <v>481</v>
      </c>
      <c r="C54" s="963">
        <f t="shared" ref="C54:AE54" si="51">(C47*C$11+C48*C$17)/Grams.per.Ton</f>
        <v>0</v>
      </c>
      <c r="D54" s="963">
        <f t="shared" si="51"/>
        <v>0.81914070520818161</v>
      </c>
      <c r="E54" s="963">
        <f t="shared" si="51"/>
        <v>0.81497787228176544</v>
      </c>
      <c r="F54" s="963">
        <f t="shared" si="51"/>
        <v>0.81078046013483451</v>
      </c>
      <c r="G54" s="963">
        <f t="shared" si="51"/>
        <v>0.80654829150819207</v>
      </c>
      <c r="H54" s="963">
        <f t="shared" si="51"/>
        <v>0.80650625201762038</v>
      </c>
      <c r="I54" s="963">
        <f t="shared" si="51"/>
        <v>0.80645585821661503</v>
      </c>
      <c r="J54" s="963">
        <f t="shared" si="51"/>
        <v>0.80639705761555602</v>
      </c>
      <c r="K54" s="963">
        <f t="shared" si="51"/>
        <v>0.8063297974761644</v>
      </c>
      <c r="L54" s="963">
        <f t="shared" si="51"/>
        <v>0.82043302098409432</v>
      </c>
      <c r="M54" s="963">
        <f t="shared" si="51"/>
        <v>0.82035836808039631</v>
      </c>
      <c r="N54" s="963">
        <f t="shared" si="51"/>
        <v>1.611326984328066</v>
      </c>
      <c r="O54" s="963">
        <f t="shared" si="51"/>
        <v>1.6117746613930986</v>
      </c>
      <c r="P54" s="963">
        <f t="shared" si="51"/>
        <v>1.8505841492866142</v>
      </c>
      <c r="Q54" s="963">
        <f t="shared" si="51"/>
        <v>1.851176702886127</v>
      </c>
      <c r="R54" s="963">
        <f t="shared" si="51"/>
        <v>1.8534855767223761</v>
      </c>
      <c r="S54" s="963">
        <f t="shared" si="51"/>
        <v>1.8558004376991146</v>
      </c>
      <c r="T54" s="963">
        <f t="shared" si="51"/>
        <v>1.8581213014620792</v>
      </c>
      <c r="U54" s="963">
        <f t="shared" si="51"/>
        <v>1.8604481836960571</v>
      </c>
      <c r="V54" s="963">
        <f t="shared" si="51"/>
        <v>1.8627811001249786</v>
      </c>
      <c r="W54" s="963">
        <f t="shared" si="51"/>
        <v>1.8651200665120051</v>
      </c>
      <c r="X54" s="963">
        <f t="shared" si="51"/>
        <v>1.8674650986596242</v>
      </c>
      <c r="Y54" s="963">
        <f t="shared" si="51"/>
        <v>1.8698162124097362</v>
      </c>
      <c r="Z54" s="963">
        <f t="shared" si="51"/>
        <v>1.8721734236437473</v>
      </c>
      <c r="AA54" s="963">
        <f t="shared" si="51"/>
        <v>1.8745367482826611</v>
      </c>
      <c r="AB54" s="963">
        <f t="shared" si="51"/>
        <v>1.8771594978036423</v>
      </c>
      <c r="AC54" s="963">
        <f t="shared" si="51"/>
        <v>1.8797905527856416</v>
      </c>
      <c r="AD54" s="963">
        <f t="shared" si="51"/>
        <v>1.8824299395295629</v>
      </c>
      <c r="AE54" s="963">
        <f t="shared" si="51"/>
        <v>1.8850776844195967</v>
      </c>
      <c r="AF54" s="963">
        <f t="shared" ref="AF54:AO54" si="52">(AF47*AF$11+AF48*AF$17)/Grams.per.Ton</f>
        <v>1.8877338139234852</v>
      </c>
      <c r="AG54" s="963">
        <f t="shared" si="52"/>
        <v>1.8903983545927849</v>
      </c>
      <c r="AH54" s="963">
        <f t="shared" si="52"/>
        <v>1.8930713330631341</v>
      </c>
      <c r="AI54" s="963">
        <f t="shared" si="52"/>
        <v>1.8957527760545179</v>
      </c>
      <c r="AJ54" s="963">
        <f t="shared" si="52"/>
        <v>1.8984427103715349</v>
      </c>
      <c r="AK54" s="963">
        <f t="shared" si="52"/>
        <v>1.9011411629036663</v>
      </c>
      <c r="AL54" s="963">
        <f t="shared" si="52"/>
        <v>1.9038481606255448</v>
      </c>
      <c r="AM54" s="963">
        <f t="shared" si="52"/>
        <v>1.9065637305972227</v>
      </c>
      <c r="AN54" s="963">
        <f t="shared" si="52"/>
        <v>1.2601177049999999</v>
      </c>
      <c r="AO54" s="963">
        <f t="shared" si="52"/>
        <v>1.2601177049999999</v>
      </c>
    </row>
    <row r="55" spans="1:41" s="925" customFormat="1">
      <c r="A55" s="888"/>
      <c r="B55" s="920"/>
      <c r="C55" s="921"/>
      <c r="D55" s="921"/>
      <c r="E55" s="921"/>
      <c r="F55" s="921"/>
      <c r="G55" s="921"/>
      <c r="H55" s="921"/>
      <c r="I55" s="921"/>
      <c r="J55" s="921"/>
      <c r="K55" s="921"/>
      <c r="L55" s="921"/>
      <c r="M55" s="921"/>
      <c r="N55" s="921"/>
      <c r="O55" s="921"/>
      <c r="P55" s="921"/>
      <c r="Q55" s="921"/>
      <c r="R55" s="921"/>
      <c r="S55" s="921"/>
      <c r="T55" s="921"/>
      <c r="U55" s="921"/>
      <c r="V55" s="921"/>
      <c r="W55" s="921"/>
      <c r="X55" s="921"/>
      <c r="Y55" s="921"/>
      <c r="Z55" s="921"/>
      <c r="AA55" s="921"/>
      <c r="AB55" s="921"/>
      <c r="AC55" s="921"/>
      <c r="AD55" s="921"/>
      <c r="AE55" s="921"/>
      <c r="AF55" s="921"/>
      <c r="AG55" s="921"/>
      <c r="AH55" s="921"/>
      <c r="AI55" s="921"/>
      <c r="AJ55" s="921"/>
      <c r="AK55" s="921"/>
      <c r="AL55" s="921"/>
      <c r="AM55" s="921"/>
      <c r="AN55" s="921"/>
      <c r="AO55" s="921"/>
    </row>
    <row r="56" spans="1:41" s="905" customFormat="1">
      <c r="A56" s="895" t="s">
        <v>480</v>
      </c>
      <c r="B56" s="926" t="s">
        <v>486</v>
      </c>
      <c r="C56" s="927">
        <f>C50*C$19</f>
        <v>0</v>
      </c>
      <c r="D56" s="927">
        <f t="shared" ref="D56:AE56" si="53">D50*D$19</f>
        <v>22055842.223985728</v>
      </c>
      <c r="E56" s="927">
        <f t="shared" si="53"/>
        <v>21995137.800755337</v>
      </c>
      <c r="F56" s="927">
        <f t="shared" si="53"/>
        <v>22414832.730597951</v>
      </c>
      <c r="G56" s="927">
        <f t="shared" si="53"/>
        <v>22735273.625036608</v>
      </c>
      <c r="H56" s="927">
        <f t="shared" si="53"/>
        <v>23135920.554499213</v>
      </c>
      <c r="I56" s="927">
        <f t="shared" si="53"/>
        <v>23537002.764402144</v>
      </c>
      <c r="J56" s="927">
        <f t="shared" si="53"/>
        <v>24034651.665539201</v>
      </c>
      <c r="K56" s="927">
        <f t="shared" si="53"/>
        <v>24340444.173321836</v>
      </c>
      <c r="L56" s="927">
        <f t="shared" si="53"/>
        <v>24675591.683195803</v>
      </c>
      <c r="M56" s="927">
        <f t="shared" si="53"/>
        <v>25173606.362479452</v>
      </c>
      <c r="N56" s="927">
        <f t="shared" si="53"/>
        <v>21645211.018376771</v>
      </c>
      <c r="O56" s="927">
        <f t="shared" si="53"/>
        <v>22084918.962136827</v>
      </c>
      <c r="P56" s="927">
        <f t="shared" si="53"/>
        <v>21258604.714451827</v>
      </c>
      <c r="Q56" s="927">
        <f t="shared" si="53"/>
        <v>21604941.123700701</v>
      </c>
      <c r="R56" s="927">
        <f t="shared" si="53"/>
        <v>21994648.228349995</v>
      </c>
      <c r="S56" s="927">
        <f t="shared" si="53"/>
        <v>22465079.710619837</v>
      </c>
      <c r="T56" s="927">
        <f t="shared" si="53"/>
        <v>22781418.429884333</v>
      </c>
      <c r="U56" s="927">
        <f t="shared" si="53"/>
        <v>23178500.51322579</v>
      </c>
      <c r="V56" s="927">
        <f t="shared" si="53"/>
        <v>23657180.971521523</v>
      </c>
      <c r="W56" s="927">
        <f t="shared" si="53"/>
        <v>24059510.687591087</v>
      </c>
      <c r="X56" s="927">
        <f t="shared" si="53"/>
        <v>24544026.107578024</v>
      </c>
      <c r="Y56" s="927">
        <f t="shared" si="53"/>
        <v>24951644.909331426</v>
      </c>
      <c r="Z56" s="927">
        <f t="shared" si="53"/>
        <v>25442039.901753478</v>
      </c>
      <c r="AA56" s="927">
        <f t="shared" si="53"/>
        <v>25854989.536978561</v>
      </c>
      <c r="AB56" s="927">
        <f t="shared" si="53"/>
        <v>26360270.782662433</v>
      </c>
      <c r="AC56" s="927">
        <f t="shared" si="53"/>
        <v>26869027.647866596</v>
      </c>
      <c r="AD56" s="927">
        <f t="shared" si="53"/>
        <v>27381276.135631502</v>
      </c>
      <c r="AE56" s="927">
        <f t="shared" si="53"/>
        <v>27815222.83656669</v>
      </c>
      <c r="AF56" s="927">
        <f t="shared" ref="AF56:AO56" si="54">AF50*AF$19</f>
        <v>28334184.253466997</v>
      </c>
      <c r="AG56" s="927">
        <f t="shared" si="54"/>
        <v>28444446.340450771</v>
      </c>
      <c r="AH56" s="927">
        <f t="shared" si="54"/>
        <v>28555057.594390027</v>
      </c>
      <c r="AI56" s="927">
        <f t="shared" si="54"/>
        <v>28666019.120991778</v>
      </c>
      <c r="AJ56" s="927">
        <f t="shared" si="54"/>
        <v>28777332.029464468</v>
      </c>
      <c r="AK56" s="927">
        <f t="shared" si="54"/>
        <v>28888997.432529099</v>
      </c>
      <c r="AL56" s="927">
        <f t="shared" si="54"/>
        <v>29001016.446430314</v>
      </c>
      <c r="AM56" s="927">
        <f t="shared" si="54"/>
        <v>29113390.19094754</v>
      </c>
      <c r="AN56" s="927">
        <f t="shared" si="54"/>
        <v>2362630.2096993751</v>
      </c>
      <c r="AO56" s="927">
        <f t="shared" si="54"/>
        <v>2362630.2096993751</v>
      </c>
    </row>
    <row r="57" spans="1:41" s="908" customFormat="1">
      <c r="A57" s="899" t="s">
        <v>482</v>
      </c>
      <c r="B57" s="926" t="s">
        <v>486</v>
      </c>
      <c r="C57" s="927">
        <f>C51*C$20</f>
        <v>0</v>
      </c>
      <c r="D57" s="927">
        <f t="shared" ref="D57:AE57" si="55">D51*D$20</f>
        <v>4704791.2320920555</v>
      </c>
      <c r="E57" s="927">
        <f t="shared" si="55"/>
        <v>4200597.0553573482</v>
      </c>
      <c r="F57" s="927">
        <f t="shared" si="55"/>
        <v>3749119.4421856962</v>
      </c>
      <c r="G57" s="927">
        <f t="shared" si="55"/>
        <v>3262837.3579761786</v>
      </c>
      <c r="H57" s="927">
        <f t="shared" si="55"/>
        <v>3152820.0886124754</v>
      </c>
      <c r="I57" s="927">
        <f t="shared" si="55"/>
        <v>3051675.3183088433</v>
      </c>
      <c r="J57" s="927">
        <f t="shared" si="55"/>
        <v>2929510.9072750541</v>
      </c>
      <c r="K57" s="927">
        <f t="shared" si="55"/>
        <v>2814551.4041251102</v>
      </c>
      <c r="L57" s="927">
        <f t="shared" si="55"/>
        <v>2677924.3319917866</v>
      </c>
      <c r="M57" s="927">
        <f t="shared" si="55"/>
        <v>2503330.5635127425</v>
      </c>
      <c r="N57" s="927">
        <f t="shared" si="55"/>
        <v>2217799.6066595167</v>
      </c>
      <c r="O57" s="927">
        <f t="shared" si="55"/>
        <v>2049702.8202651539</v>
      </c>
      <c r="P57" s="927">
        <f t="shared" si="55"/>
        <v>1853562.258371406</v>
      </c>
      <c r="Q57" s="927">
        <f t="shared" si="55"/>
        <v>1687776.6601054934</v>
      </c>
      <c r="R57" s="927">
        <f t="shared" si="55"/>
        <v>1660176.8531131702</v>
      </c>
      <c r="S57" s="927">
        <f t="shared" si="55"/>
        <v>1633189.416865936</v>
      </c>
      <c r="T57" s="927">
        <f t="shared" si="55"/>
        <v>1606799.9546894568</v>
      </c>
      <c r="U57" s="927">
        <f t="shared" si="55"/>
        <v>1580994.3410804681</v>
      </c>
      <c r="V57" s="927">
        <f t="shared" si="55"/>
        <v>1565053.2724570539</v>
      </c>
      <c r="W57" s="927">
        <f t="shared" si="55"/>
        <v>1562397.0999892328</v>
      </c>
      <c r="X57" s="927">
        <f t="shared" si="55"/>
        <v>1559687.8572846719</v>
      </c>
      <c r="Y57" s="927">
        <f t="shared" si="55"/>
        <v>1556925.2641745359</v>
      </c>
      <c r="Z57" s="927">
        <f t="shared" si="55"/>
        <v>1554109.0392477466</v>
      </c>
      <c r="AA57" s="927">
        <f t="shared" si="55"/>
        <v>1551238.8998459466</v>
      </c>
      <c r="AB57" s="927">
        <f t="shared" si="55"/>
        <v>1556749.7103500194</v>
      </c>
      <c r="AC57" s="927">
        <f t="shared" si="55"/>
        <v>1562277.9719379467</v>
      </c>
      <c r="AD57" s="927">
        <f t="shared" si="55"/>
        <v>1567823.739872077</v>
      </c>
      <c r="AE57" s="927">
        <f t="shared" si="55"/>
        <v>1573387.0695897564</v>
      </c>
      <c r="AF57" s="927">
        <f t="shared" ref="AF57:AO57" si="56">AF51*AF$20</f>
        <v>1578968.0167038871</v>
      </c>
      <c r="AG57" s="927">
        <f t="shared" si="56"/>
        <v>1584566.6370034779</v>
      </c>
      <c r="AH57" s="927">
        <f t="shared" si="56"/>
        <v>1590182.9864542068</v>
      </c>
      <c r="AI57" s="927">
        <f t="shared" si="56"/>
        <v>1595817.1211989771</v>
      </c>
      <c r="AJ57" s="927">
        <f t="shared" si="56"/>
        <v>1601469.09755848</v>
      </c>
      <c r="AK57" s="927">
        <f t="shared" si="56"/>
        <v>1607138.9720317579</v>
      </c>
      <c r="AL57" s="927">
        <f t="shared" si="56"/>
        <v>1612826.8012967687</v>
      </c>
      <c r="AM57" s="927">
        <f t="shared" si="56"/>
        <v>1618532.642210952</v>
      </c>
      <c r="AN57" s="927">
        <f t="shared" si="56"/>
        <v>260247.5602086249</v>
      </c>
      <c r="AO57" s="927">
        <f t="shared" si="56"/>
        <v>260247.5602086249</v>
      </c>
    </row>
    <row r="58" spans="1:41" s="908" customFormat="1">
      <c r="A58" s="899" t="s">
        <v>483</v>
      </c>
      <c r="B58" s="926" t="s">
        <v>486</v>
      </c>
      <c r="C58" s="927">
        <f>C52*C$21</f>
        <v>0</v>
      </c>
      <c r="D58" s="927">
        <f t="shared" ref="D58:AE58" si="57">D52*D$21</f>
        <v>0</v>
      </c>
      <c r="E58" s="927">
        <f t="shared" si="57"/>
        <v>0</v>
      </c>
      <c r="F58" s="927">
        <f t="shared" si="57"/>
        <v>0</v>
      </c>
      <c r="G58" s="927">
        <f t="shared" si="57"/>
        <v>0</v>
      </c>
      <c r="H58" s="927">
        <f t="shared" si="57"/>
        <v>0</v>
      </c>
      <c r="I58" s="927">
        <f t="shared" si="57"/>
        <v>0</v>
      </c>
      <c r="J58" s="927">
        <f t="shared" si="57"/>
        <v>0</v>
      </c>
      <c r="K58" s="927">
        <f t="shared" si="57"/>
        <v>0</v>
      </c>
      <c r="L58" s="927">
        <f t="shared" si="57"/>
        <v>0</v>
      </c>
      <c r="M58" s="927">
        <f t="shared" si="57"/>
        <v>0</v>
      </c>
      <c r="N58" s="927">
        <f t="shared" si="57"/>
        <v>0</v>
      </c>
      <c r="O58" s="927">
        <f t="shared" si="57"/>
        <v>0</v>
      </c>
      <c r="P58" s="927">
        <f t="shared" si="57"/>
        <v>0</v>
      </c>
      <c r="Q58" s="927">
        <f t="shared" si="57"/>
        <v>0</v>
      </c>
      <c r="R58" s="927">
        <f t="shared" si="57"/>
        <v>0</v>
      </c>
      <c r="S58" s="927">
        <f t="shared" si="57"/>
        <v>0</v>
      </c>
      <c r="T58" s="927">
        <f t="shared" si="57"/>
        <v>0</v>
      </c>
      <c r="U58" s="927">
        <f t="shared" si="57"/>
        <v>0</v>
      </c>
      <c r="V58" s="927">
        <f t="shared" si="57"/>
        <v>0</v>
      </c>
      <c r="W58" s="927">
        <f t="shared" si="57"/>
        <v>0</v>
      </c>
      <c r="X58" s="927">
        <f t="shared" si="57"/>
        <v>0</v>
      </c>
      <c r="Y58" s="927">
        <f t="shared" si="57"/>
        <v>0</v>
      </c>
      <c r="Z58" s="927">
        <f t="shared" si="57"/>
        <v>0</v>
      </c>
      <c r="AA58" s="927">
        <f t="shared" si="57"/>
        <v>0</v>
      </c>
      <c r="AB58" s="927">
        <f t="shared" si="57"/>
        <v>0</v>
      </c>
      <c r="AC58" s="927">
        <f t="shared" si="57"/>
        <v>0</v>
      </c>
      <c r="AD58" s="927">
        <f t="shared" si="57"/>
        <v>0</v>
      </c>
      <c r="AE58" s="927">
        <f t="shared" si="57"/>
        <v>0</v>
      </c>
      <c r="AF58" s="927">
        <f t="shared" ref="AF58:AO58" si="58">AF52*AF$21</f>
        <v>0</v>
      </c>
      <c r="AG58" s="927">
        <f t="shared" si="58"/>
        <v>0</v>
      </c>
      <c r="AH58" s="927">
        <f t="shared" si="58"/>
        <v>0</v>
      </c>
      <c r="AI58" s="927">
        <f t="shared" si="58"/>
        <v>0</v>
      </c>
      <c r="AJ58" s="927">
        <f t="shared" si="58"/>
        <v>0</v>
      </c>
      <c r="AK58" s="927">
        <f t="shared" si="58"/>
        <v>0</v>
      </c>
      <c r="AL58" s="927">
        <f t="shared" si="58"/>
        <v>0</v>
      </c>
      <c r="AM58" s="927">
        <f t="shared" si="58"/>
        <v>0</v>
      </c>
      <c r="AN58" s="927">
        <f t="shared" si="58"/>
        <v>0</v>
      </c>
      <c r="AO58" s="927">
        <f t="shared" si="58"/>
        <v>0</v>
      </c>
    </row>
    <row r="59" spans="1:41" s="908" customFormat="1">
      <c r="A59" s="899" t="s">
        <v>484</v>
      </c>
      <c r="B59" s="926" t="s">
        <v>486</v>
      </c>
      <c r="C59" s="927">
        <f>C53*C$22</f>
        <v>0</v>
      </c>
      <c r="D59" s="927">
        <f t="shared" ref="D59:AE59" si="59">D53*D$22</f>
        <v>12204800.139707336</v>
      </c>
      <c r="E59" s="927">
        <f t="shared" si="59"/>
        <v>10603545.458246026</v>
      </c>
      <c r="F59" s="927">
        <f t="shared" si="59"/>
        <v>9107382.1314658243</v>
      </c>
      <c r="G59" s="927">
        <f t="shared" si="59"/>
        <v>7560069.4238627004</v>
      </c>
      <c r="H59" s="927">
        <f t="shared" si="59"/>
        <v>7185338.3408157118</v>
      </c>
      <c r="I59" s="927">
        <f t="shared" si="59"/>
        <v>6791263.9767786888</v>
      </c>
      <c r="J59" s="927">
        <f t="shared" si="59"/>
        <v>6376400.6843011621</v>
      </c>
      <c r="K59" s="927">
        <f t="shared" si="59"/>
        <v>5940070.4774196213</v>
      </c>
      <c r="L59" s="927">
        <f t="shared" si="59"/>
        <v>5468824.5560104754</v>
      </c>
      <c r="M59" s="927">
        <f t="shared" si="59"/>
        <v>4899466.5376944067</v>
      </c>
      <c r="N59" s="927">
        <f t="shared" si="59"/>
        <v>3778283.0247100252</v>
      </c>
      <c r="O59" s="927">
        <f t="shared" si="59"/>
        <v>3279530.4251491339</v>
      </c>
      <c r="P59" s="927">
        <f t="shared" si="59"/>
        <v>2661169.9093286349</v>
      </c>
      <c r="Q59" s="927">
        <f t="shared" si="59"/>
        <v>2228868.5064523099</v>
      </c>
      <c r="R59" s="927">
        <f t="shared" si="59"/>
        <v>2166469.4861670164</v>
      </c>
      <c r="S59" s="927">
        <f t="shared" si="59"/>
        <v>2151186.4137297878</v>
      </c>
      <c r="T59" s="927">
        <f t="shared" si="59"/>
        <v>2090691.4974916463</v>
      </c>
      <c r="U59" s="927">
        <f t="shared" si="59"/>
        <v>2075914.7113469059</v>
      </c>
      <c r="V59" s="927">
        <f t="shared" si="59"/>
        <v>2017237.1206351798</v>
      </c>
      <c r="W59" s="927">
        <f t="shared" si="59"/>
        <v>2005510.7387524515</v>
      </c>
      <c r="X59" s="927">
        <f t="shared" si="59"/>
        <v>1993641.0350205814</v>
      </c>
      <c r="Y59" s="927">
        <f t="shared" si="59"/>
        <v>1981627.2890092637</v>
      </c>
      <c r="Z59" s="927">
        <f t="shared" si="59"/>
        <v>1969468.7771626257</v>
      </c>
      <c r="AA59" s="927">
        <f t="shared" si="59"/>
        <v>1957164.7727866778</v>
      </c>
      <c r="AB59" s="927">
        <f t="shared" si="59"/>
        <v>1964771.2447786175</v>
      </c>
      <c r="AC59" s="927">
        <f t="shared" si="59"/>
        <v>1972401.8041857332</v>
      </c>
      <c r="AD59" s="927">
        <f t="shared" si="59"/>
        <v>1980056.5272856439</v>
      </c>
      <c r="AE59" s="927">
        <f t="shared" si="59"/>
        <v>1987735.4905975163</v>
      </c>
      <c r="AF59" s="927">
        <f t="shared" ref="AF59:AO59" si="60">AF53*AF$22</f>
        <v>1995438.770882831</v>
      </c>
      <c r="AG59" s="927">
        <f t="shared" si="60"/>
        <v>2003166.4451461488</v>
      </c>
      <c r="AH59" s="927">
        <f t="shared" si="60"/>
        <v>2010918.5906358804</v>
      </c>
      <c r="AI59" s="927">
        <f t="shared" si="60"/>
        <v>2018695.2848450602</v>
      </c>
      <c r="AJ59" s="927">
        <f t="shared" si="60"/>
        <v>2026496.605512118</v>
      </c>
      <c r="AK59" s="927">
        <f t="shared" si="60"/>
        <v>2034322.6306216605</v>
      </c>
      <c r="AL59" s="927">
        <f t="shared" si="60"/>
        <v>2042173.4384052458</v>
      </c>
      <c r="AM59" s="927">
        <f t="shared" si="60"/>
        <v>2050049.1073421689</v>
      </c>
      <c r="AN59" s="927">
        <f t="shared" si="60"/>
        <v>175232.79390073344</v>
      </c>
      <c r="AO59" s="927">
        <f t="shared" si="60"/>
        <v>175232.79390073344</v>
      </c>
    </row>
    <row r="60" spans="1:41" s="908" customFormat="1">
      <c r="A60" s="899" t="s">
        <v>485</v>
      </c>
      <c r="B60" s="926" t="s">
        <v>486</v>
      </c>
      <c r="C60" s="927">
        <f>C54*C$23</f>
        <v>0</v>
      </c>
      <c r="D60" s="927">
        <f t="shared" ref="D60:AE60" si="61">D54*D$23</f>
        <v>43332.543305512809</v>
      </c>
      <c r="E60" s="927">
        <f t="shared" si="61"/>
        <v>43112.329443705392</v>
      </c>
      <c r="F60" s="927">
        <f t="shared" si="61"/>
        <v>43619.988755254097</v>
      </c>
      <c r="G60" s="927">
        <f t="shared" si="61"/>
        <v>44198.846374648929</v>
      </c>
      <c r="H60" s="927">
        <f t="shared" si="61"/>
        <v>45245.000738188501</v>
      </c>
      <c r="I60" s="927">
        <f t="shared" si="61"/>
        <v>46290.566261633699</v>
      </c>
      <c r="J60" s="927">
        <f t="shared" si="61"/>
        <v>47335.507282033141</v>
      </c>
      <c r="K60" s="927">
        <f t="shared" si="61"/>
        <v>48460.420828317481</v>
      </c>
      <c r="L60" s="927">
        <f t="shared" si="61"/>
        <v>50456.630790521798</v>
      </c>
      <c r="M60" s="927">
        <f t="shared" si="61"/>
        <v>50452.03963694437</v>
      </c>
      <c r="N60" s="927">
        <f t="shared" si="61"/>
        <v>99096.609536176053</v>
      </c>
      <c r="O60" s="927">
        <f t="shared" si="61"/>
        <v>99124.141675675564</v>
      </c>
      <c r="P60" s="927">
        <f t="shared" si="61"/>
        <v>113810.92518112677</v>
      </c>
      <c r="Q60" s="927">
        <f t="shared" si="61"/>
        <v>113847.36722749681</v>
      </c>
      <c r="R60" s="927">
        <f t="shared" si="61"/>
        <v>113989.36296842613</v>
      </c>
      <c r="S60" s="927">
        <f t="shared" si="61"/>
        <v>114131.72691849555</v>
      </c>
      <c r="T60" s="927">
        <f t="shared" si="61"/>
        <v>114274.46003991787</v>
      </c>
      <c r="U60" s="927">
        <f t="shared" si="61"/>
        <v>114417.56329730751</v>
      </c>
      <c r="V60" s="927">
        <f t="shared" si="61"/>
        <v>114561.03765768617</v>
      </c>
      <c r="W60" s="927">
        <f t="shared" si="61"/>
        <v>114704.88409048831</v>
      </c>
      <c r="X60" s="927">
        <f t="shared" si="61"/>
        <v>114849.10356756688</v>
      </c>
      <c r="Y60" s="927">
        <f t="shared" si="61"/>
        <v>114993.69706319878</v>
      </c>
      <c r="Z60" s="927">
        <f t="shared" si="61"/>
        <v>115138.66555409046</v>
      </c>
      <c r="AA60" s="927">
        <f t="shared" si="61"/>
        <v>115284.01001938366</v>
      </c>
      <c r="AB60" s="927">
        <f t="shared" si="61"/>
        <v>115445.30911492401</v>
      </c>
      <c r="AC60" s="927">
        <f t="shared" si="61"/>
        <v>115607.11899631696</v>
      </c>
      <c r="AD60" s="927">
        <f t="shared" si="61"/>
        <v>115769.44128106812</v>
      </c>
      <c r="AE60" s="927">
        <f t="shared" si="61"/>
        <v>115932.27759180519</v>
      </c>
      <c r="AF60" s="927">
        <f t="shared" ref="AF60:AO60" si="62">AF54*AF$23</f>
        <v>116095.62955629434</v>
      </c>
      <c r="AG60" s="927">
        <f t="shared" si="62"/>
        <v>116259.49880745627</v>
      </c>
      <c r="AH60" s="927">
        <f t="shared" si="62"/>
        <v>116423.88698338275</v>
      </c>
      <c r="AI60" s="927">
        <f t="shared" si="62"/>
        <v>116588.79572735284</v>
      </c>
      <c r="AJ60" s="927">
        <f t="shared" si="62"/>
        <v>116754.2266878494</v>
      </c>
      <c r="AK60" s="927">
        <f t="shared" si="62"/>
        <v>116920.18151857548</v>
      </c>
      <c r="AL60" s="927">
        <f t="shared" si="62"/>
        <v>117086.66187847102</v>
      </c>
      <c r="AM60" s="927">
        <f t="shared" si="62"/>
        <v>117253.6694317292</v>
      </c>
      <c r="AN60" s="927">
        <f t="shared" si="62"/>
        <v>77497.238857499993</v>
      </c>
      <c r="AO60" s="927">
        <f t="shared" si="62"/>
        <v>77497.238857499993</v>
      </c>
    </row>
    <row r="61" spans="1:41" s="930" customFormat="1">
      <c r="A61" s="906"/>
      <c r="B61" s="928"/>
      <c r="C61" s="929"/>
      <c r="D61" s="929"/>
      <c r="E61" s="929"/>
      <c r="F61" s="929"/>
      <c r="G61" s="929"/>
      <c r="H61" s="929"/>
      <c r="I61" s="929"/>
      <c r="J61" s="929"/>
      <c r="K61" s="929"/>
      <c r="L61" s="929"/>
      <c r="M61" s="929"/>
      <c r="N61" s="929"/>
      <c r="O61" s="929"/>
      <c r="P61" s="929"/>
      <c r="Q61" s="929"/>
      <c r="R61" s="929"/>
      <c r="S61" s="929"/>
      <c r="T61" s="929"/>
      <c r="U61" s="929"/>
      <c r="V61" s="929"/>
      <c r="W61" s="929"/>
      <c r="X61" s="929"/>
      <c r="Y61" s="929"/>
      <c r="Z61" s="929"/>
      <c r="AA61" s="929"/>
      <c r="AB61" s="929"/>
      <c r="AC61" s="929"/>
      <c r="AD61" s="929"/>
      <c r="AE61" s="929"/>
      <c r="AF61" s="929"/>
      <c r="AG61" s="929"/>
      <c r="AH61" s="929"/>
      <c r="AI61" s="929"/>
      <c r="AJ61" s="929"/>
      <c r="AK61" s="929"/>
      <c r="AL61" s="929"/>
      <c r="AM61" s="929"/>
      <c r="AN61" s="929"/>
      <c r="AO61" s="929"/>
    </row>
    <row r="62" spans="1:41" s="934" customFormat="1" ht="15">
      <c r="A62" s="931" t="s">
        <v>487</v>
      </c>
      <c r="B62" s="932" t="s">
        <v>456</v>
      </c>
      <c r="C62" s="933">
        <f>C56</f>
        <v>0</v>
      </c>
      <c r="D62" s="933">
        <f t="shared" ref="D62:Y62" si="63">D56</f>
        <v>22055842.223985728</v>
      </c>
      <c r="E62" s="933">
        <f t="shared" si="63"/>
        <v>21995137.800755337</v>
      </c>
      <c r="F62" s="933">
        <f t="shared" si="63"/>
        <v>22414832.730597951</v>
      </c>
      <c r="G62" s="933">
        <f t="shared" si="63"/>
        <v>22735273.625036608</v>
      </c>
      <c r="H62" s="933">
        <f t="shared" si="63"/>
        <v>23135920.554499213</v>
      </c>
      <c r="I62" s="933">
        <f t="shared" si="63"/>
        <v>23537002.764402144</v>
      </c>
      <c r="J62" s="933">
        <f t="shared" si="63"/>
        <v>24034651.665539201</v>
      </c>
      <c r="K62" s="933">
        <f t="shared" si="63"/>
        <v>24340444.173321836</v>
      </c>
      <c r="L62" s="933">
        <f t="shared" si="63"/>
        <v>24675591.683195803</v>
      </c>
      <c r="M62" s="933">
        <f t="shared" si="63"/>
        <v>25173606.362479452</v>
      </c>
      <c r="N62" s="933">
        <f t="shared" si="63"/>
        <v>21645211.018376771</v>
      </c>
      <c r="O62" s="933">
        <f t="shared" si="63"/>
        <v>22084918.962136827</v>
      </c>
      <c r="P62" s="933">
        <f t="shared" si="63"/>
        <v>21258604.714451827</v>
      </c>
      <c r="Q62" s="933">
        <f t="shared" si="63"/>
        <v>21604941.123700701</v>
      </c>
      <c r="R62" s="933">
        <f t="shared" si="63"/>
        <v>21994648.228349995</v>
      </c>
      <c r="S62" s="933">
        <f t="shared" si="63"/>
        <v>22465079.710619837</v>
      </c>
      <c r="T62" s="933">
        <f t="shared" si="63"/>
        <v>22781418.429884333</v>
      </c>
      <c r="U62" s="933">
        <f t="shared" si="63"/>
        <v>23178500.51322579</v>
      </c>
      <c r="V62" s="933">
        <f t="shared" si="63"/>
        <v>23657180.971521523</v>
      </c>
      <c r="W62" s="933">
        <f t="shared" si="63"/>
        <v>24059510.687591087</v>
      </c>
      <c r="X62" s="933">
        <f t="shared" si="63"/>
        <v>24544026.107578024</v>
      </c>
      <c r="Y62" s="933">
        <f t="shared" si="63"/>
        <v>24951644.909331426</v>
      </c>
      <c r="Z62" s="933">
        <f t="shared" ref="Z62:AB62" si="64">Z56</f>
        <v>25442039.901753478</v>
      </c>
      <c r="AA62" s="933">
        <f t="shared" si="64"/>
        <v>25854989.536978561</v>
      </c>
      <c r="AB62" s="933">
        <f t="shared" si="64"/>
        <v>26360270.782662433</v>
      </c>
      <c r="AC62" s="933">
        <f t="shared" ref="AC62:AE62" si="65">AC56</f>
        <v>26869027.647866596</v>
      </c>
      <c r="AD62" s="933">
        <f t="shared" si="65"/>
        <v>27381276.135631502</v>
      </c>
      <c r="AE62" s="933">
        <f t="shared" si="65"/>
        <v>27815222.83656669</v>
      </c>
      <c r="AF62" s="933">
        <f t="shared" ref="AF62:AO62" si="66">AF56</f>
        <v>28334184.253466997</v>
      </c>
      <c r="AG62" s="933">
        <f t="shared" si="66"/>
        <v>28444446.340450771</v>
      </c>
      <c r="AH62" s="933">
        <f t="shared" si="66"/>
        <v>28555057.594390027</v>
      </c>
      <c r="AI62" s="933">
        <f t="shared" si="66"/>
        <v>28666019.120991778</v>
      </c>
      <c r="AJ62" s="933">
        <f t="shared" si="66"/>
        <v>28777332.029464468</v>
      </c>
      <c r="AK62" s="933">
        <f t="shared" si="66"/>
        <v>28888997.432529099</v>
      </c>
      <c r="AL62" s="933">
        <f t="shared" si="66"/>
        <v>29001016.446430314</v>
      </c>
      <c r="AM62" s="933">
        <f t="shared" si="66"/>
        <v>29113390.19094754</v>
      </c>
      <c r="AN62" s="933">
        <f t="shared" si="66"/>
        <v>2362630.2096993751</v>
      </c>
      <c r="AO62" s="933">
        <f t="shared" si="66"/>
        <v>2362630.2096993751</v>
      </c>
    </row>
    <row r="63" spans="1:41" s="934" customFormat="1" ht="15">
      <c r="A63" s="931" t="s">
        <v>488</v>
      </c>
      <c r="B63" s="932" t="s">
        <v>456</v>
      </c>
      <c r="C63" s="933">
        <f>SUM(C57:C60)</f>
        <v>0</v>
      </c>
      <c r="D63" s="933">
        <f t="shared" ref="D63:AB63" si="67">SUM(D57:D60)</f>
        <v>16952923.915104903</v>
      </c>
      <c r="E63" s="933">
        <f t="shared" si="67"/>
        <v>14847254.843047081</v>
      </c>
      <c r="F63" s="933">
        <f t="shared" si="67"/>
        <v>12900121.562406775</v>
      </c>
      <c r="G63" s="933">
        <f t="shared" si="67"/>
        <v>10867105.628213529</v>
      </c>
      <c r="H63" s="933">
        <f t="shared" si="67"/>
        <v>10383403.430166375</v>
      </c>
      <c r="I63" s="933">
        <f t="shared" si="67"/>
        <v>9889229.8613491654</v>
      </c>
      <c r="J63" s="933">
        <f t="shared" si="67"/>
        <v>9353247.0988582503</v>
      </c>
      <c r="K63" s="933">
        <f t="shared" si="67"/>
        <v>8803082.3023730498</v>
      </c>
      <c r="L63" s="933">
        <f t="shared" si="67"/>
        <v>8197205.5187927829</v>
      </c>
      <c r="M63" s="933">
        <f t="shared" si="67"/>
        <v>7453249.1408440936</v>
      </c>
      <c r="N63" s="933">
        <f t="shared" si="67"/>
        <v>6095179.2409057179</v>
      </c>
      <c r="O63" s="933">
        <f t="shared" si="67"/>
        <v>5428357.3870899631</v>
      </c>
      <c r="P63" s="933">
        <f t="shared" si="67"/>
        <v>4628543.0928811682</v>
      </c>
      <c r="Q63" s="933">
        <f t="shared" si="67"/>
        <v>4030492.5337853003</v>
      </c>
      <c r="R63" s="933">
        <f t="shared" si="67"/>
        <v>3940635.7022486129</v>
      </c>
      <c r="S63" s="933">
        <f t="shared" si="67"/>
        <v>3898507.5575142195</v>
      </c>
      <c r="T63" s="933">
        <f t="shared" si="67"/>
        <v>3811765.912221021</v>
      </c>
      <c r="U63" s="933">
        <f t="shared" si="67"/>
        <v>3771326.6157246814</v>
      </c>
      <c r="V63" s="933">
        <f t="shared" si="67"/>
        <v>3696851.4307499197</v>
      </c>
      <c r="W63" s="933">
        <f t="shared" si="67"/>
        <v>3682612.7228321726</v>
      </c>
      <c r="X63" s="933">
        <f t="shared" si="67"/>
        <v>3668177.9958728198</v>
      </c>
      <c r="Y63" s="933">
        <f t="shared" si="67"/>
        <v>3653546.2502469984</v>
      </c>
      <c r="Z63" s="933">
        <f t="shared" si="67"/>
        <v>3638716.4819644624</v>
      </c>
      <c r="AA63" s="933">
        <f t="shared" si="67"/>
        <v>3623687.6826520083</v>
      </c>
      <c r="AB63" s="933">
        <f t="shared" si="67"/>
        <v>3636966.2642435613</v>
      </c>
      <c r="AC63" s="933">
        <f t="shared" ref="AC63:AE63" si="68">SUM(AC57:AC60)</f>
        <v>3650286.8951199972</v>
      </c>
      <c r="AD63" s="933">
        <f t="shared" si="68"/>
        <v>3663649.708438789</v>
      </c>
      <c r="AE63" s="933">
        <f t="shared" si="68"/>
        <v>3677054.8377790777</v>
      </c>
      <c r="AF63" s="933">
        <f t="shared" ref="AF63:AO63" si="69">SUM(AF57:AF60)</f>
        <v>3690502.4171430124</v>
      </c>
      <c r="AG63" s="933">
        <f t="shared" si="69"/>
        <v>3703992.580957083</v>
      </c>
      <c r="AH63" s="933">
        <f t="shared" si="69"/>
        <v>3717525.4640734699</v>
      </c>
      <c r="AI63" s="933">
        <f t="shared" si="69"/>
        <v>3731101.2017713897</v>
      </c>
      <c r="AJ63" s="933">
        <f t="shared" si="69"/>
        <v>3744719.9297584472</v>
      </c>
      <c r="AK63" s="933">
        <f t="shared" si="69"/>
        <v>3758381.7841719943</v>
      </c>
      <c r="AL63" s="933">
        <f t="shared" si="69"/>
        <v>3772086.901580485</v>
      </c>
      <c r="AM63" s="933">
        <f t="shared" si="69"/>
        <v>3785835.4189848499</v>
      </c>
      <c r="AN63" s="933">
        <f t="shared" si="69"/>
        <v>512977.5929668583</v>
      </c>
      <c r="AO63" s="933">
        <f t="shared" si="69"/>
        <v>512977.5929668583</v>
      </c>
    </row>
    <row r="64" spans="1:41" s="894" customFormat="1" ht="15">
      <c r="A64" s="888"/>
      <c r="B64" s="920"/>
      <c r="C64" s="937"/>
      <c r="D64" s="937"/>
      <c r="E64" s="937"/>
      <c r="F64" s="937"/>
      <c r="G64" s="937"/>
      <c r="H64" s="937"/>
      <c r="I64" s="937"/>
      <c r="J64" s="937"/>
      <c r="K64" s="937"/>
      <c r="L64" s="937"/>
      <c r="M64" s="937"/>
      <c r="N64" s="937"/>
      <c r="O64" s="937"/>
      <c r="P64" s="937"/>
      <c r="Q64" s="937"/>
      <c r="R64" s="937"/>
      <c r="S64" s="937"/>
      <c r="T64" s="937"/>
      <c r="U64" s="937"/>
      <c r="V64" s="937"/>
      <c r="W64" s="937"/>
      <c r="X64" s="937"/>
      <c r="Y64" s="937"/>
      <c r="Z64" s="937"/>
      <c r="AA64" s="937"/>
      <c r="AB64" s="937"/>
      <c r="AC64" s="937"/>
      <c r="AD64" s="937"/>
      <c r="AE64" s="937"/>
      <c r="AF64" s="937"/>
      <c r="AG64" s="937"/>
      <c r="AH64" s="937"/>
      <c r="AI64" s="937"/>
      <c r="AJ64" s="937"/>
      <c r="AK64" s="937"/>
      <c r="AL64" s="937"/>
      <c r="AM64" s="937"/>
      <c r="AN64" s="937"/>
      <c r="AO64" s="937"/>
    </row>
    <row r="65" spans="1:41" s="919" customFormat="1" ht="15">
      <c r="A65" s="916" t="s">
        <v>490</v>
      </c>
      <c r="B65" s="917" t="s">
        <v>86</v>
      </c>
      <c r="C65" s="918" t="str">
        <f>IF(C$5&gt;0,C$4,"")</f>
        <v/>
      </c>
      <c r="D65" s="918" t="str">
        <f t="shared" ref="D65:AO65" si="70">IF(D$5&gt;0,D$4,"")</f>
        <v/>
      </c>
      <c r="E65" s="918" t="str">
        <f t="shared" si="70"/>
        <v/>
      </c>
      <c r="F65" s="918" t="str">
        <f t="shared" si="70"/>
        <v/>
      </c>
      <c r="G65" s="918" t="str">
        <f t="shared" si="70"/>
        <v/>
      </c>
      <c r="H65" s="918" t="str">
        <f t="shared" si="70"/>
        <v/>
      </c>
      <c r="I65" s="918" t="str">
        <f t="shared" si="70"/>
        <v/>
      </c>
      <c r="J65" s="918" t="str">
        <f t="shared" si="70"/>
        <v/>
      </c>
      <c r="K65" s="918" t="str">
        <f t="shared" si="70"/>
        <v/>
      </c>
      <c r="L65" s="918">
        <f t="shared" si="70"/>
        <v>2030</v>
      </c>
      <c r="M65" s="918">
        <f t="shared" si="70"/>
        <v>2031</v>
      </c>
      <c r="N65" s="918">
        <f t="shared" si="70"/>
        <v>2032</v>
      </c>
      <c r="O65" s="918">
        <f t="shared" si="70"/>
        <v>2033</v>
      </c>
      <c r="P65" s="918">
        <f t="shared" si="70"/>
        <v>2034</v>
      </c>
      <c r="Q65" s="918">
        <f t="shared" si="70"/>
        <v>2035</v>
      </c>
      <c r="R65" s="918">
        <f t="shared" si="70"/>
        <v>2036</v>
      </c>
      <c r="S65" s="918">
        <f t="shared" si="70"/>
        <v>2037</v>
      </c>
      <c r="T65" s="918">
        <f t="shared" si="70"/>
        <v>2038</v>
      </c>
      <c r="U65" s="918">
        <f t="shared" si="70"/>
        <v>2039</v>
      </c>
      <c r="V65" s="918">
        <f t="shared" si="70"/>
        <v>2040</v>
      </c>
      <c r="W65" s="918">
        <f t="shared" si="70"/>
        <v>2041</v>
      </c>
      <c r="X65" s="918">
        <f t="shared" si="70"/>
        <v>2042</v>
      </c>
      <c r="Y65" s="918">
        <f t="shared" si="70"/>
        <v>2043</v>
      </c>
      <c r="Z65" s="918">
        <f t="shared" si="70"/>
        <v>2044</v>
      </c>
      <c r="AA65" s="918">
        <f t="shared" si="70"/>
        <v>2045</v>
      </c>
      <c r="AB65" s="918">
        <f t="shared" si="70"/>
        <v>2046</v>
      </c>
      <c r="AC65" s="918">
        <f t="shared" si="70"/>
        <v>2047</v>
      </c>
      <c r="AD65" s="918">
        <f t="shared" si="70"/>
        <v>2048</v>
      </c>
      <c r="AE65" s="918">
        <f t="shared" si="70"/>
        <v>2049</v>
      </c>
      <c r="AF65" s="918">
        <f t="shared" si="70"/>
        <v>2050</v>
      </c>
      <c r="AG65" s="918">
        <f t="shared" si="70"/>
        <v>2051</v>
      </c>
      <c r="AH65" s="918">
        <f t="shared" si="70"/>
        <v>2052</v>
      </c>
      <c r="AI65" s="918">
        <f t="shared" si="70"/>
        <v>2053</v>
      </c>
      <c r="AJ65" s="918">
        <f t="shared" si="70"/>
        <v>2054</v>
      </c>
      <c r="AK65" s="918">
        <f t="shared" si="70"/>
        <v>2055</v>
      </c>
      <c r="AL65" s="918">
        <f t="shared" si="70"/>
        <v>2056</v>
      </c>
      <c r="AM65" s="918">
        <f t="shared" si="70"/>
        <v>2057</v>
      </c>
      <c r="AN65" s="918">
        <f t="shared" si="70"/>
        <v>2058</v>
      </c>
      <c r="AO65" s="918">
        <f t="shared" si="70"/>
        <v>2059</v>
      </c>
    </row>
    <row r="66" spans="1:41" s="940" customFormat="1" ht="15"/>
    <row r="67" spans="1:41" s="940" customFormat="1" ht="15">
      <c r="A67" s="938" t="s">
        <v>491</v>
      </c>
      <c r="B67" s="932" t="s">
        <v>456</v>
      </c>
      <c r="C67" s="933">
        <f>C42-C62</f>
        <v>0</v>
      </c>
      <c r="D67" s="933">
        <f t="shared" ref="D67:AE67" si="71">D42-D62</f>
        <v>0</v>
      </c>
      <c r="E67" s="933">
        <f t="shared" si="71"/>
        <v>0</v>
      </c>
      <c r="F67" s="933">
        <f t="shared" si="71"/>
        <v>0</v>
      </c>
      <c r="G67" s="933">
        <f t="shared" si="71"/>
        <v>0</v>
      </c>
      <c r="H67" s="933">
        <f t="shared" si="71"/>
        <v>0</v>
      </c>
      <c r="I67" s="933">
        <f t="shared" si="71"/>
        <v>0</v>
      </c>
      <c r="J67" s="933">
        <f t="shared" si="71"/>
        <v>0</v>
      </c>
      <c r="K67" s="933">
        <f t="shared" si="71"/>
        <v>0</v>
      </c>
      <c r="L67" s="933">
        <f t="shared" si="71"/>
        <v>67197.090782362968</v>
      </c>
      <c r="M67" s="933">
        <f t="shared" si="71"/>
        <v>68276.15808269009</v>
      </c>
      <c r="N67" s="933">
        <f t="shared" si="71"/>
        <v>3903477.7321825102</v>
      </c>
      <c r="O67" s="933">
        <f t="shared" si="71"/>
        <v>3963786.8353532441</v>
      </c>
      <c r="P67" s="933">
        <f t="shared" si="71"/>
        <v>5194090.8894623369</v>
      </c>
      <c r="Q67" s="933">
        <f t="shared" si="71"/>
        <v>5252119.5022816174</v>
      </c>
      <c r="R67" s="933">
        <f t="shared" si="71"/>
        <v>5325003.3817911632</v>
      </c>
      <c r="S67" s="933">
        <f t="shared" si="71"/>
        <v>5416684.5226991139</v>
      </c>
      <c r="T67" s="933">
        <f t="shared" si="71"/>
        <v>5470542.5292977951</v>
      </c>
      <c r="U67" s="933">
        <f t="shared" si="71"/>
        <v>5543197.7972948812</v>
      </c>
      <c r="V67" s="933">
        <f t="shared" si="71"/>
        <v>5634621.7502512969</v>
      </c>
      <c r="W67" s="933">
        <f t="shared" si="71"/>
        <v>5707115.085093718</v>
      </c>
      <c r="X67" s="933">
        <f t="shared" si="71"/>
        <v>5798358.0539361015</v>
      </c>
      <c r="Y67" s="933">
        <f t="shared" si="71"/>
        <v>5870689.4556238577</v>
      </c>
      <c r="Z67" s="933">
        <f t="shared" si="71"/>
        <v>5961751.4403522089</v>
      </c>
      <c r="AA67" s="933">
        <f t="shared" si="71"/>
        <v>6033920.9088853039</v>
      </c>
      <c r="AB67" s="933">
        <f t="shared" si="71"/>
        <v>6127907.2158772871</v>
      </c>
      <c r="AC67" s="933">
        <f t="shared" si="71"/>
        <v>6221893.5228692666</v>
      </c>
      <c r="AD67" s="933">
        <f t="shared" si="71"/>
        <v>6315879.8298612535</v>
      </c>
      <c r="AE67" s="933">
        <f t="shared" si="71"/>
        <v>6391068.8754548393</v>
      </c>
      <c r="AF67" s="933">
        <f t="shared" ref="AF67:AO67" si="72">AF42-AF62</f>
        <v>6485055.1824468188</v>
      </c>
      <c r="AG67" s="933">
        <f t="shared" si="72"/>
        <v>6485055.1824468225</v>
      </c>
      <c r="AH67" s="933">
        <f t="shared" si="72"/>
        <v>6485055.1824468225</v>
      </c>
      <c r="AI67" s="933">
        <f t="shared" si="72"/>
        <v>6485055.1824468188</v>
      </c>
      <c r="AJ67" s="933">
        <f t="shared" si="72"/>
        <v>6485055.1824468225</v>
      </c>
      <c r="AK67" s="933">
        <f t="shared" si="72"/>
        <v>6485055.18244683</v>
      </c>
      <c r="AL67" s="933">
        <f t="shared" si="72"/>
        <v>6485055.1824468113</v>
      </c>
      <c r="AM67" s="933">
        <f t="shared" si="72"/>
        <v>6485055.18244683</v>
      </c>
      <c r="AN67" s="933">
        <f t="shared" si="72"/>
        <v>-2362630.2096993751</v>
      </c>
      <c r="AO67" s="933">
        <f t="shared" si="72"/>
        <v>-2362630.2096993751</v>
      </c>
    </row>
    <row r="68" spans="1:41" s="894" customFormat="1" ht="15">
      <c r="A68" s="938" t="s">
        <v>492</v>
      </c>
      <c r="B68" s="932" t="s">
        <v>456</v>
      </c>
      <c r="C68" s="933">
        <f t="shared" ref="C68:AE68" si="73">C43-C63</f>
        <v>0</v>
      </c>
      <c r="D68" s="933">
        <f t="shared" si="73"/>
        <v>0</v>
      </c>
      <c r="E68" s="933">
        <f t="shared" si="73"/>
        <v>0</v>
      </c>
      <c r="F68" s="933">
        <f t="shared" si="73"/>
        <v>0</v>
      </c>
      <c r="G68" s="933">
        <f t="shared" si="73"/>
        <v>0</v>
      </c>
      <c r="H68" s="933">
        <f t="shared" si="73"/>
        <v>0</v>
      </c>
      <c r="I68" s="933">
        <f t="shared" si="73"/>
        <v>0</v>
      </c>
      <c r="J68" s="933">
        <f t="shared" si="73"/>
        <v>0</v>
      </c>
      <c r="K68" s="933">
        <f t="shared" si="73"/>
        <v>0</v>
      </c>
      <c r="L68" s="933">
        <f t="shared" si="73"/>
        <v>14496.766392982565</v>
      </c>
      <c r="M68" s="933">
        <f t="shared" si="73"/>
        <v>12457.549306722358</v>
      </c>
      <c r="N68" s="933">
        <f t="shared" si="73"/>
        <v>619724.81878437754</v>
      </c>
      <c r="O68" s="933">
        <f t="shared" si="73"/>
        <v>530914.04267110862</v>
      </c>
      <c r="P68" s="933">
        <f t="shared" si="73"/>
        <v>570242.6462037554</v>
      </c>
      <c r="Q68" s="933">
        <f t="shared" si="73"/>
        <v>402931.29497694131</v>
      </c>
      <c r="R68" s="933">
        <f t="shared" si="73"/>
        <v>469636.66643329011</v>
      </c>
      <c r="S68" s="933">
        <f t="shared" si="73"/>
        <v>488422.26530204061</v>
      </c>
      <c r="T68" s="933">
        <f t="shared" si="73"/>
        <v>551629.30088417511</v>
      </c>
      <c r="U68" s="933">
        <f t="shared" si="73"/>
        <v>568340.94148563547</v>
      </c>
      <c r="V68" s="933">
        <f t="shared" si="73"/>
        <v>618894.43774779374</v>
      </c>
      <c r="W68" s="933">
        <f t="shared" si="73"/>
        <v>609016.43318843981</v>
      </c>
      <c r="X68" s="933">
        <f t="shared" si="73"/>
        <v>599138.42862908449</v>
      </c>
      <c r="Y68" s="933">
        <f t="shared" si="73"/>
        <v>589260.4240697301</v>
      </c>
      <c r="Z68" s="933">
        <f t="shared" si="73"/>
        <v>579382.41951037571</v>
      </c>
      <c r="AA68" s="933">
        <f t="shared" si="73"/>
        <v>569504.41495101945</v>
      </c>
      <c r="AB68" s="933">
        <f t="shared" si="73"/>
        <v>569504.41495101852</v>
      </c>
      <c r="AC68" s="933">
        <f t="shared" si="73"/>
        <v>569504.41495101945</v>
      </c>
      <c r="AD68" s="933">
        <f t="shared" si="73"/>
        <v>569504.41495101945</v>
      </c>
      <c r="AE68" s="933">
        <f t="shared" si="73"/>
        <v>569504.41495101992</v>
      </c>
      <c r="AF68" s="933">
        <f t="shared" ref="AF68:AO68" si="74">AF43-AF63</f>
        <v>569504.41495102085</v>
      </c>
      <c r="AG68" s="933">
        <f t="shared" si="74"/>
        <v>569504.41495101992</v>
      </c>
      <c r="AH68" s="933">
        <f t="shared" si="74"/>
        <v>569504.41495101992</v>
      </c>
      <c r="AI68" s="933">
        <f t="shared" si="74"/>
        <v>569504.41495101992</v>
      </c>
      <c r="AJ68" s="933">
        <f t="shared" si="74"/>
        <v>569504.41495101992</v>
      </c>
      <c r="AK68" s="933">
        <f t="shared" si="74"/>
        <v>569504.41495101852</v>
      </c>
      <c r="AL68" s="933">
        <f t="shared" si="74"/>
        <v>569504.41495101945</v>
      </c>
      <c r="AM68" s="933">
        <f t="shared" si="74"/>
        <v>569504.41495102085</v>
      </c>
      <c r="AN68" s="933">
        <f t="shared" si="74"/>
        <v>-512977.5929668583</v>
      </c>
      <c r="AO68" s="933">
        <f t="shared" si="74"/>
        <v>-512977.5929668583</v>
      </c>
    </row>
    <row r="69" spans="1:41" s="894" customFormat="1">
      <c r="A69" s="888"/>
      <c r="B69" s="941">
        <f>SUM(C67:AB68)</f>
        <v>89702237.614735961</v>
      </c>
    </row>
    <row r="70" spans="1:41" s="894" customFormat="1">
      <c r="A70" s="888"/>
      <c r="B70" s="941"/>
    </row>
    <row r="71" spans="1:41" s="946" customFormat="1" ht="15">
      <c r="A71" s="942" t="s">
        <v>89</v>
      </c>
      <c r="B71" s="943"/>
      <c r="C71" s="944"/>
      <c r="D71" s="944"/>
      <c r="E71" s="944"/>
      <c r="F71" s="944"/>
      <c r="G71" s="944"/>
      <c r="H71" s="944"/>
      <c r="I71" s="945"/>
      <c r="J71" s="945"/>
      <c r="K71" s="945"/>
      <c r="L71" s="945"/>
      <c r="M71" s="945"/>
      <c r="N71" s="945"/>
      <c r="O71" s="945"/>
      <c r="P71" s="945"/>
      <c r="Q71" s="945"/>
      <c r="R71" s="945"/>
      <c r="S71" s="945"/>
      <c r="T71" s="945"/>
      <c r="U71" s="945"/>
      <c r="V71" s="945"/>
      <c r="W71" s="945"/>
      <c r="X71" s="945"/>
      <c r="Y71" s="945"/>
      <c r="Z71" s="945"/>
      <c r="AA71" s="945"/>
      <c r="AB71" s="945"/>
      <c r="AC71" s="945"/>
      <c r="AD71" s="945"/>
      <c r="AE71" s="945"/>
      <c r="AF71" s="945"/>
      <c r="AG71" s="945"/>
      <c r="AH71" s="945"/>
      <c r="AI71" s="945"/>
      <c r="AJ71" s="945"/>
      <c r="AK71" s="945"/>
      <c r="AL71" s="945"/>
      <c r="AM71" s="945"/>
      <c r="AN71" s="945"/>
      <c r="AO71" s="945"/>
    </row>
    <row r="72" spans="1:41" s="950" customFormat="1"/>
    <row r="73" spans="1:41" s="954" customFormat="1" ht="15">
      <c r="A73" s="947" t="s">
        <v>101</v>
      </c>
      <c r="B73" s="948" t="s">
        <v>448</v>
      </c>
      <c r="C73" s="949">
        <f t="shared" ref="C73:AE73" si="75">C27-C47</f>
        <v>0</v>
      </c>
      <c r="D73" s="949">
        <f t="shared" si="75"/>
        <v>0</v>
      </c>
      <c r="E73" s="949">
        <f t="shared" si="75"/>
        <v>0</v>
      </c>
      <c r="F73" s="949">
        <f t="shared" si="75"/>
        <v>0</v>
      </c>
      <c r="G73" s="949">
        <f t="shared" si="75"/>
        <v>0</v>
      </c>
      <c r="H73" s="949">
        <f t="shared" si="75"/>
        <v>0</v>
      </c>
      <c r="I73" s="949">
        <f t="shared" si="75"/>
        <v>0</v>
      </c>
      <c r="J73" s="949">
        <f t="shared" si="75"/>
        <v>0</v>
      </c>
      <c r="K73" s="949">
        <f t="shared" si="75"/>
        <v>0</v>
      </c>
      <c r="L73" s="949">
        <f t="shared" si="75"/>
        <v>3648750</v>
      </c>
      <c r="M73" s="949">
        <f t="shared" si="75"/>
        <v>3648750</v>
      </c>
      <c r="N73" s="949">
        <f t="shared" si="75"/>
        <v>206936250</v>
      </c>
      <c r="O73" s="949">
        <f t="shared" si="75"/>
        <v>206936250</v>
      </c>
      <c r="P73" s="949">
        <f t="shared" si="75"/>
        <v>268110150</v>
      </c>
      <c r="Q73" s="949">
        <f t="shared" si="75"/>
        <v>268110150</v>
      </c>
      <c r="R73" s="949">
        <f t="shared" si="75"/>
        <v>268110150</v>
      </c>
      <c r="S73" s="949">
        <f t="shared" si="75"/>
        <v>268110150</v>
      </c>
      <c r="T73" s="949">
        <f t="shared" si="75"/>
        <v>268110150</v>
      </c>
      <c r="U73" s="949">
        <f t="shared" si="75"/>
        <v>268110150</v>
      </c>
      <c r="V73" s="949">
        <f t="shared" si="75"/>
        <v>268110150</v>
      </c>
      <c r="W73" s="949">
        <f t="shared" si="75"/>
        <v>268110150</v>
      </c>
      <c r="X73" s="949">
        <f t="shared" si="75"/>
        <v>268110150</v>
      </c>
      <c r="Y73" s="949">
        <f t="shared" si="75"/>
        <v>268110150</v>
      </c>
      <c r="Z73" s="949">
        <f t="shared" si="75"/>
        <v>268110150</v>
      </c>
      <c r="AA73" s="949">
        <f t="shared" si="75"/>
        <v>268110150</v>
      </c>
      <c r="AB73" s="949">
        <f t="shared" si="75"/>
        <v>268110150</v>
      </c>
      <c r="AC73" s="949">
        <f t="shared" si="75"/>
        <v>268110150</v>
      </c>
      <c r="AD73" s="949">
        <f t="shared" si="75"/>
        <v>268110150</v>
      </c>
      <c r="AE73" s="949">
        <f t="shared" si="75"/>
        <v>268110150</v>
      </c>
      <c r="AF73" s="949">
        <f t="shared" ref="AF73:AO73" si="76">AF27-AF47</f>
        <v>268110150</v>
      </c>
      <c r="AG73" s="949">
        <f t="shared" si="76"/>
        <v>268110150</v>
      </c>
      <c r="AH73" s="949">
        <f t="shared" si="76"/>
        <v>268110150</v>
      </c>
      <c r="AI73" s="949">
        <f t="shared" si="76"/>
        <v>268110150</v>
      </c>
      <c r="AJ73" s="949">
        <f t="shared" si="76"/>
        <v>268110150</v>
      </c>
      <c r="AK73" s="949">
        <f t="shared" si="76"/>
        <v>268110150</v>
      </c>
      <c r="AL73" s="949">
        <f t="shared" si="76"/>
        <v>268110149.99999988</v>
      </c>
      <c r="AM73" s="949">
        <f t="shared" si="76"/>
        <v>268110150.00000012</v>
      </c>
      <c r="AN73" s="949">
        <f t="shared" si="76"/>
        <v>268110150</v>
      </c>
      <c r="AO73" s="949">
        <f t="shared" si="76"/>
        <v>268110150.00000012</v>
      </c>
    </row>
    <row r="74" spans="1:41" s="954" customFormat="1">
      <c r="A74" s="947" t="s">
        <v>493</v>
      </c>
      <c r="B74" s="951" t="s">
        <v>481</v>
      </c>
      <c r="C74" s="952">
        <f>C30-C50</f>
        <v>0</v>
      </c>
      <c r="D74" s="952">
        <f t="shared" ref="D74:AE74" si="77">D30-D50</f>
        <v>0</v>
      </c>
      <c r="E74" s="952">
        <f t="shared" si="77"/>
        <v>0</v>
      </c>
      <c r="F74" s="952">
        <f t="shared" si="77"/>
        <v>0</v>
      </c>
      <c r="G74" s="952">
        <f t="shared" si="77"/>
        <v>0</v>
      </c>
      <c r="H74" s="952">
        <f t="shared" si="77"/>
        <v>0</v>
      </c>
      <c r="I74" s="953">
        <f t="shared" si="77"/>
        <v>0</v>
      </c>
      <c r="J74" s="952">
        <f t="shared" si="77"/>
        <v>0</v>
      </c>
      <c r="K74" s="952">
        <f t="shared" si="77"/>
        <v>0</v>
      </c>
      <c r="L74" s="952">
        <f t="shared" si="77"/>
        <v>261.46727930881025</v>
      </c>
      <c r="M74" s="952">
        <f t="shared" si="77"/>
        <v>260.59602321637794</v>
      </c>
      <c r="N74" s="952">
        <f t="shared" si="77"/>
        <v>14730.104649745321</v>
      </c>
      <c r="O74" s="952">
        <f t="shared" si="77"/>
        <v>14680.691982789795</v>
      </c>
      <c r="P74" s="952">
        <f t="shared" si="77"/>
        <v>18956.536092928247</v>
      </c>
      <c r="Q74" s="952">
        <f t="shared" si="77"/>
        <v>18892.516195257616</v>
      </c>
      <c r="R74" s="952">
        <f t="shared" si="77"/>
        <v>18882.990715571505</v>
      </c>
      <c r="S74" s="952">
        <f t="shared" si="77"/>
        <v>18873.465235885407</v>
      </c>
      <c r="T74" s="952">
        <f t="shared" si="77"/>
        <v>18863.939756199296</v>
      </c>
      <c r="U74" s="952">
        <f t="shared" si="77"/>
        <v>18854.414276513198</v>
      </c>
      <c r="V74" s="952">
        <f t="shared" si="77"/>
        <v>18844.888796827086</v>
      </c>
      <c r="W74" s="952">
        <f t="shared" si="77"/>
        <v>18835.363317140989</v>
      </c>
      <c r="X74" s="952">
        <f t="shared" si="77"/>
        <v>18825.837837454877</v>
      </c>
      <c r="Y74" s="952">
        <f t="shared" si="77"/>
        <v>18816.31235776878</v>
      </c>
      <c r="Z74" s="952">
        <f t="shared" si="77"/>
        <v>18806.786878082683</v>
      </c>
      <c r="AA74" s="952">
        <f t="shared" si="77"/>
        <v>18797.261398396586</v>
      </c>
      <c r="AB74" s="952">
        <f t="shared" si="77"/>
        <v>18797.261398396586</v>
      </c>
      <c r="AC74" s="952">
        <f t="shared" si="77"/>
        <v>18797.261398396571</v>
      </c>
      <c r="AD74" s="952">
        <f t="shared" si="77"/>
        <v>18797.261398396586</v>
      </c>
      <c r="AE74" s="952">
        <f t="shared" si="77"/>
        <v>18797.261398396586</v>
      </c>
      <c r="AF74" s="952">
        <f t="shared" ref="AF74:AO74" si="78">AF30-AF50</f>
        <v>18797.261398396571</v>
      </c>
      <c r="AG74" s="952">
        <f t="shared" si="78"/>
        <v>18797.261398396586</v>
      </c>
      <c r="AH74" s="952">
        <f t="shared" si="78"/>
        <v>18797.261398396586</v>
      </c>
      <c r="AI74" s="952">
        <f t="shared" si="78"/>
        <v>18797.261398396571</v>
      </c>
      <c r="AJ74" s="952">
        <f t="shared" si="78"/>
        <v>18797.261398396586</v>
      </c>
      <c r="AK74" s="952">
        <f t="shared" si="78"/>
        <v>18797.2613983966</v>
      </c>
      <c r="AL74" s="952">
        <f t="shared" si="78"/>
        <v>18797.261398396557</v>
      </c>
      <c r="AM74" s="952">
        <f t="shared" si="78"/>
        <v>18797.261398396615</v>
      </c>
      <c r="AN74" s="952">
        <f t="shared" si="78"/>
        <v>-6848.203506375</v>
      </c>
      <c r="AO74" s="952">
        <f t="shared" si="78"/>
        <v>-6848.203506375</v>
      </c>
    </row>
    <row r="75" spans="1:41" s="954" customFormat="1">
      <c r="A75" s="947" t="s">
        <v>93</v>
      </c>
      <c r="B75" s="951" t="s">
        <v>481</v>
      </c>
      <c r="C75" s="955">
        <f t="shared" ref="C75:AE75" si="79">C31-C51</f>
        <v>0</v>
      </c>
      <c r="D75" s="955">
        <f t="shared" si="79"/>
        <v>0</v>
      </c>
      <c r="E75" s="955">
        <f t="shared" si="79"/>
        <v>0</v>
      </c>
      <c r="F75" s="955">
        <f t="shared" si="79"/>
        <v>0</v>
      </c>
      <c r="G75" s="955">
        <f t="shared" si="79"/>
        <v>0</v>
      </c>
      <c r="H75" s="955">
        <f t="shared" si="79"/>
        <v>0</v>
      </c>
      <c r="I75" s="955">
        <f t="shared" si="79"/>
        <v>0</v>
      </c>
      <c r="J75" s="955">
        <f t="shared" si="79"/>
        <v>0</v>
      </c>
      <c r="K75" s="955">
        <f t="shared" si="79"/>
        <v>0</v>
      </c>
      <c r="L75" s="955">
        <f t="shared" si="79"/>
        <v>9.5114691640503679E-2</v>
      </c>
      <c r="M75" s="955">
        <f t="shared" si="79"/>
        <v>9.6080922152012249E-2</v>
      </c>
      <c r="N75" s="955">
        <f t="shared" si="79"/>
        <v>5.0881687724702971</v>
      </c>
      <c r="O75" s="955">
        <f t="shared" si="79"/>
        <v>4.6906154754160099</v>
      </c>
      <c r="P75" s="955">
        <f t="shared" si="79"/>
        <v>5.515807436898811</v>
      </c>
      <c r="Q75" s="955">
        <f t="shared" si="79"/>
        <v>4.9090079646548048</v>
      </c>
      <c r="R75" s="955">
        <f t="shared" si="79"/>
        <v>5.9218258554165146</v>
      </c>
      <c r="S75" s="955">
        <f t="shared" si="79"/>
        <v>6.9044592645659577</v>
      </c>
      <c r="T75" s="955">
        <f t="shared" si="79"/>
        <v>7.8575501303520525</v>
      </c>
      <c r="U75" s="955">
        <f t="shared" si="79"/>
        <v>8.7817280097366819</v>
      </c>
      <c r="V75" s="955">
        <f t="shared" si="79"/>
        <v>9.2551304986122886</v>
      </c>
      <c r="W75" s="955">
        <f t="shared" si="79"/>
        <v>9.1222744665472817</v>
      </c>
      <c r="X75" s="955">
        <f t="shared" si="79"/>
        <v>8.9894184344823174</v>
      </c>
      <c r="Y75" s="955">
        <f t="shared" si="79"/>
        <v>8.856562402417353</v>
      </c>
      <c r="Z75" s="955">
        <f t="shared" si="79"/>
        <v>8.7237063703523603</v>
      </c>
      <c r="AA75" s="955">
        <f t="shared" si="79"/>
        <v>8.5908503382874102</v>
      </c>
      <c r="AB75" s="955">
        <f t="shared" si="79"/>
        <v>8.5908503382874102</v>
      </c>
      <c r="AC75" s="955">
        <f t="shared" si="79"/>
        <v>8.5908503382874102</v>
      </c>
      <c r="AD75" s="955">
        <f t="shared" si="79"/>
        <v>8.5908503382874102</v>
      </c>
      <c r="AE75" s="955">
        <f t="shared" si="79"/>
        <v>8.5908503382874102</v>
      </c>
      <c r="AF75" s="955">
        <f t="shared" ref="AF75:AO75" si="80">AF31-AF51</f>
        <v>8.5908503382874102</v>
      </c>
      <c r="AG75" s="955">
        <f t="shared" si="80"/>
        <v>8.5908503382874102</v>
      </c>
      <c r="AH75" s="955">
        <f t="shared" si="80"/>
        <v>8.5908503382874102</v>
      </c>
      <c r="AI75" s="955">
        <f t="shared" si="80"/>
        <v>8.5908503382874102</v>
      </c>
      <c r="AJ75" s="955">
        <f t="shared" si="80"/>
        <v>8.5908503382874102</v>
      </c>
      <c r="AK75" s="955">
        <f t="shared" si="80"/>
        <v>8.5908503382874244</v>
      </c>
      <c r="AL75" s="955">
        <f t="shared" si="80"/>
        <v>8.590850338287396</v>
      </c>
      <c r="AM75" s="955">
        <f t="shared" si="80"/>
        <v>8.5908503382874244</v>
      </c>
      <c r="AN75" s="955">
        <f t="shared" si="80"/>
        <v>-11.829434554937496</v>
      </c>
      <c r="AO75" s="955">
        <f t="shared" si="80"/>
        <v>-11.829434554937496</v>
      </c>
    </row>
    <row r="76" spans="1:41" s="954" customFormat="1">
      <c r="A76" s="947" t="s">
        <v>94</v>
      </c>
      <c r="B76" s="951" t="s">
        <v>481</v>
      </c>
      <c r="C76" s="955">
        <f t="shared" ref="C76:AE76" si="81">C32-C52</f>
        <v>0</v>
      </c>
      <c r="D76" s="955">
        <f t="shared" si="81"/>
        <v>0</v>
      </c>
      <c r="E76" s="955">
        <f t="shared" si="81"/>
        <v>0</v>
      </c>
      <c r="F76" s="955">
        <f t="shared" si="81"/>
        <v>0</v>
      </c>
      <c r="G76" s="955">
        <f t="shared" si="81"/>
        <v>0</v>
      </c>
      <c r="H76" s="955">
        <f t="shared" si="81"/>
        <v>0</v>
      </c>
      <c r="I76" s="955">
        <f t="shared" si="81"/>
        <v>0</v>
      </c>
      <c r="J76" s="955">
        <f t="shared" si="81"/>
        <v>0</v>
      </c>
      <c r="K76" s="955">
        <f t="shared" si="81"/>
        <v>0</v>
      </c>
      <c r="L76" s="955">
        <f t="shared" si="81"/>
        <v>5.6567150599038385E-3</v>
      </c>
      <c r="M76" s="955">
        <f t="shared" si="81"/>
        <v>5.5367711938796305E-3</v>
      </c>
      <c r="N76" s="955">
        <f t="shared" si="81"/>
        <v>0.26604538147626222</v>
      </c>
      <c r="O76" s="955">
        <f t="shared" si="81"/>
        <v>0.21678772519685907</v>
      </c>
      <c r="P76" s="955">
        <f t="shared" si="81"/>
        <v>0.21542038353170767</v>
      </c>
      <c r="Q76" s="955">
        <f t="shared" si="81"/>
        <v>0.14836737128663025</v>
      </c>
      <c r="R76" s="955">
        <f t="shared" si="81"/>
        <v>0.19892694307141046</v>
      </c>
      <c r="S76" s="955">
        <f t="shared" si="81"/>
        <v>0.20143564640419287</v>
      </c>
      <c r="T76" s="955">
        <f t="shared" si="81"/>
        <v>0.24965235085167947</v>
      </c>
      <c r="U76" s="955">
        <f t="shared" si="81"/>
        <v>0.25123807505037155</v>
      </c>
      <c r="V76" s="955">
        <f t="shared" si="81"/>
        <v>0.29720081714102031</v>
      </c>
      <c r="W76" s="955">
        <f t="shared" si="81"/>
        <v>0.2913360603277515</v>
      </c>
      <c r="X76" s="955">
        <f t="shared" si="81"/>
        <v>0.28547130351448402</v>
      </c>
      <c r="Y76" s="955">
        <f t="shared" si="81"/>
        <v>0.27960654670121521</v>
      </c>
      <c r="Z76" s="955">
        <f t="shared" si="81"/>
        <v>0.27374178988794728</v>
      </c>
      <c r="AA76" s="955">
        <f t="shared" si="81"/>
        <v>0.26787703307467847</v>
      </c>
      <c r="AB76" s="955">
        <f t="shared" si="81"/>
        <v>0.26787703307467936</v>
      </c>
      <c r="AC76" s="955">
        <f t="shared" si="81"/>
        <v>0.26787703307467936</v>
      </c>
      <c r="AD76" s="955">
        <f t="shared" si="81"/>
        <v>0.26787703307467892</v>
      </c>
      <c r="AE76" s="955">
        <f t="shared" si="81"/>
        <v>0.26787703307467892</v>
      </c>
      <c r="AF76" s="955">
        <f t="shared" ref="AF76:AO76" si="82">AF32-AF52</f>
        <v>0.26787703307467892</v>
      </c>
      <c r="AG76" s="955">
        <f t="shared" si="82"/>
        <v>0.26787703307467936</v>
      </c>
      <c r="AH76" s="955">
        <f t="shared" si="82"/>
        <v>0.26787703307467936</v>
      </c>
      <c r="AI76" s="955">
        <f t="shared" si="82"/>
        <v>0.26787703307467936</v>
      </c>
      <c r="AJ76" s="955">
        <f t="shared" si="82"/>
        <v>0.26787703307467936</v>
      </c>
      <c r="AK76" s="955">
        <f t="shared" si="82"/>
        <v>0.26787703307467936</v>
      </c>
      <c r="AL76" s="955">
        <f t="shared" si="82"/>
        <v>0.26787703307467892</v>
      </c>
      <c r="AM76" s="955">
        <f t="shared" si="82"/>
        <v>0.26787703307467936</v>
      </c>
      <c r="AN76" s="955">
        <f t="shared" si="82"/>
        <v>-0.44487123522675659</v>
      </c>
      <c r="AO76" s="955">
        <f t="shared" si="82"/>
        <v>-0.44487123522675659</v>
      </c>
    </row>
    <row r="77" spans="1:41" s="954" customFormat="1">
      <c r="A77" s="947" t="s">
        <v>95</v>
      </c>
      <c r="B77" s="951" t="s">
        <v>481</v>
      </c>
      <c r="C77" s="955">
        <f t="shared" ref="C77:AE77" si="83">C33-C53</f>
        <v>0</v>
      </c>
      <c r="D77" s="955">
        <f t="shared" si="83"/>
        <v>0</v>
      </c>
      <c r="E77" s="955">
        <f t="shared" si="83"/>
        <v>0</v>
      </c>
      <c r="F77" s="955">
        <f t="shared" si="83"/>
        <v>0</v>
      </c>
      <c r="G77" s="955">
        <f t="shared" si="83"/>
        <v>0</v>
      </c>
      <c r="H77" s="955">
        <f t="shared" si="83"/>
        <v>0</v>
      </c>
      <c r="I77" s="955">
        <f t="shared" si="83"/>
        <v>0</v>
      </c>
      <c r="J77" s="955">
        <f t="shared" si="83"/>
        <v>0</v>
      </c>
      <c r="K77" s="955">
        <f t="shared" si="83"/>
        <v>0</v>
      </c>
      <c r="L77" s="955">
        <f t="shared" si="83"/>
        <v>1.2419318467323137E-2</v>
      </c>
      <c r="M77" s="955">
        <f t="shared" si="83"/>
        <v>1.049239751541009E-2</v>
      </c>
      <c r="N77" s="955">
        <f t="shared" si="83"/>
        <v>0.52133582461325823</v>
      </c>
      <c r="O77" s="955">
        <f t="shared" si="83"/>
        <v>0.44647069724991306</v>
      </c>
      <c r="P77" s="955">
        <f t="shared" si="83"/>
        <v>0.48002350443692965</v>
      </c>
      <c r="Q77" s="955">
        <f t="shared" si="83"/>
        <v>0.33604034845299502</v>
      </c>
      <c r="R77" s="955">
        <f t="shared" si="83"/>
        <v>0.37760141077583986</v>
      </c>
      <c r="S77" s="955">
        <f t="shared" si="83"/>
        <v>0.37495694083289388</v>
      </c>
      <c r="T77" s="955">
        <f t="shared" si="83"/>
        <v>0.41447465299226627</v>
      </c>
      <c r="U77" s="955">
        <f t="shared" si="83"/>
        <v>0.4110931048337334</v>
      </c>
      <c r="V77" s="955">
        <f t="shared" si="83"/>
        <v>0.44864599470316646</v>
      </c>
      <c r="W77" s="955">
        <f t="shared" si="83"/>
        <v>0.4421448028505981</v>
      </c>
      <c r="X77" s="955">
        <f t="shared" si="83"/>
        <v>0.43564361099802773</v>
      </c>
      <c r="Y77" s="955">
        <f t="shared" si="83"/>
        <v>0.42914241914545959</v>
      </c>
      <c r="Z77" s="955">
        <f t="shared" si="83"/>
        <v>0.42264122729289144</v>
      </c>
      <c r="AA77" s="955">
        <f t="shared" si="83"/>
        <v>0.41614003544032085</v>
      </c>
      <c r="AB77" s="955">
        <f t="shared" si="83"/>
        <v>0.41614003544032041</v>
      </c>
      <c r="AC77" s="955">
        <f t="shared" si="83"/>
        <v>0.41614003544032108</v>
      </c>
      <c r="AD77" s="955">
        <f t="shared" si="83"/>
        <v>0.41614003544032085</v>
      </c>
      <c r="AE77" s="955">
        <f t="shared" si="83"/>
        <v>0.41614003544032063</v>
      </c>
      <c r="AF77" s="955">
        <f t="shared" ref="AF77:AO77" si="84">AF33-AF53</f>
        <v>0.41614003544032085</v>
      </c>
      <c r="AG77" s="955">
        <f t="shared" si="84"/>
        <v>0.41614003544032063</v>
      </c>
      <c r="AH77" s="955">
        <f t="shared" si="84"/>
        <v>0.41614003544032063</v>
      </c>
      <c r="AI77" s="955">
        <f t="shared" si="84"/>
        <v>0.41614003544032085</v>
      </c>
      <c r="AJ77" s="955">
        <f t="shared" si="84"/>
        <v>0.41614003544032063</v>
      </c>
      <c r="AK77" s="955">
        <f t="shared" si="84"/>
        <v>0.41614003544032041</v>
      </c>
      <c r="AL77" s="955">
        <f t="shared" si="84"/>
        <v>0.41614003544032019</v>
      </c>
      <c r="AM77" s="955">
        <f t="shared" si="84"/>
        <v>0.4161400354403213</v>
      </c>
      <c r="AN77" s="955">
        <f t="shared" si="84"/>
        <v>-0.16392216454699104</v>
      </c>
      <c r="AO77" s="955">
        <f t="shared" si="84"/>
        <v>-0.16392216454699104</v>
      </c>
    </row>
    <row r="78" spans="1:41">
      <c r="A78" s="947" t="s">
        <v>96</v>
      </c>
      <c r="B78" s="951" t="s">
        <v>481</v>
      </c>
      <c r="C78" s="955">
        <f t="shared" ref="C78:AE78" si="85">C34-C54</f>
        <v>0</v>
      </c>
      <c r="D78" s="955">
        <f t="shared" si="85"/>
        <v>0</v>
      </c>
      <c r="E78" s="955">
        <f t="shared" si="85"/>
        <v>0</v>
      </c>
      <c r="F78" s="955">
        <f t="shared" si="85"/>
        <v>0</v>
      </c>
      <c r="G78" s="955">
        <f t="shared" si="85"/>
        <v>0</v>
      </c>
      <c r="H78" s="955">
        <f t="shared" si="85"/>
        <v>0</v>
      </c>
      <c r="I78" s="955">
        <f t="shared" si="85"/>
        <v>0</v>
      </c>
      <c r="J78" s="955">
        <f t="shared" si="85"/>
        <v>0</v>
      </c>
      <c r="K78" s="955">
        <f t="shared" si="85"/>
        <v>0</v>
      </c>
      <c r="L78" s="955">
        <f t="shared" si="85"/>
        <v>-1.4178996173642378E-2</v>
      </c>
      <c r="M78" s="955">
        <f t="shared" si="85"/>
        <v>-1.4188681700730177E-2</v>
      </c>
      <c r="N78" s="955">
        <f t="shared" si="85"/>
        <v>-0.80525025563482733</v>
      </c>
      <c r="O78" s="955">
        <f t="shared" si="85"/>
        <v>-0.80579956338537984</v>
      </c>
      <c r="P78" s="955">
        <f t="shared" si="85"/>
        <v>-1.0447194089609022</v>
      </c>
      <c r="Q78" s="955">
        <f t="shared" si="85"/>
        <v>-1.0454311014913151</v>
      </c>
      <c r="R78" s="955">
        <f t="shared" si="85"/>
        <v>-1.0455188700039824</v>
      </c>
      <c r="S78" s="955">
        <f t="shared" si="85"/>
        <v>-1.0456066385166494</v>
      </c>
      <c r="T78" s="955">
        <f t="shared" si="85"/>
        <v>-1.0456944070293166</v>
      </c>
      <c r="U78" s="955">
        <f t="shared" si="85"/>
        <v>-1.0457821755419838</v>
      </c>
      <c r="V78" s="955">
        <f t="shared" si="85"/>
        <v>-1.0458699440546511</v>
      </c>
      <c r="W78" s="955">
        <f t="shared" si="85"/>
        <v>-1.0459577125673181</v>
      </c>
      <c r="X78" s="955">
        <f t="shared" si="85"/>
        <v>-1.0460454810799851</v>
      </c>
      <c r="Y78" s="955">
        <f t="shared" si="85"/>
        <v>-1.0461332495926525</v>
      </c>
      <c r="Z78" s="955">
        <f t="shared" si="85"/>
        <v>-1.0462210181053195</v>
      </c>
      <c r="AA78" s="955">
        <f t="shared" si="85"/>
        <v>-1.0463087866179865</v>
      </c>
      <c r="AB78" s="955">
        <f t="shared" si="85"/>
        <v>-1.0463087866179865</v>
      </c>
      <c r="AC78" s="955">
        <f t="shared" si="85"/>
        <v>-1.0463087866179865</v>
      </c>
      <c r="AD78" s="955">
        <f t="shared" si="85"/>
        <v>-1.046308786617987</v>
      </c>
      <c r="AE78" s="955">
        <f t="shared" si="85"/>
        <v>-1.0463087866179865</v>
      </c>
      <c r="AF78" s="955">
        <f t="shared" ref="AF78:AO78" si="86">AF34-AF54</f>
        <v>-1.0463087866179865</v>
      </c>
      <c r="AG78" s="955">
        <f t="shared" si="86"/>
        <v>-1.0463087866179865</v>
      </c>
      <c r="AH78" s="955">
        <f t="shared" si="86"/>
        <v>-1.0463087866179865</v>
      </c>
      <c r="AI78" s="955">
        <f t="shared" si="86"/>
        <v>-1.0463087866179865</v>
      </c>
      <c r="AJ78" s="955">
        <f t="shared" si="86"/>
        <v>-1.046308786617987</v>
      </c>
      <c r="AK78" s="955">
        <f t="shared" si="86"/>
        <v>-1.0463087866179865</v>
      </c>
      <c r="AL78" s="955">
        <f t="shared" si="86"/>
        <v>-1.046308786617987</v>
      </c>
      <c r="AM78" s="955">
        <f t="shared" si="86"/>
        <v>-1.0463087866179865</v>
      </c>
      <c r="AN78" s="955">
        <f t="shared" si="86"/>
        <v>-1.2601177049999999</v>
      </c>
      <c r="AO78" s="955">
        <f t="shared" si="86"/>
        <v>-1.2601177049999999</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4">
    <tabColor theme="4" tint="-0.499984740745262"/>
  </sheetPr>
  <dimension ref="A1:AO57"/>
  <sheetViews>
    <sheetView showGridLines="0" topLeftCell="U1" zoomScale="80" zoomScaleNormal="80" workbookViewId="0">
      <pane ySplit="4" topLeftCell="A5" activePane="bottomLeft" state="frozen"/>
      <selection pane="bottomLeft" activeCell="AJ22" sqref="AJ22"/>
    </sheetView>
  </sheetViews>
  <sheetFormatPr defaultColWidth="9.25" defaultRowHeight="14.25"/>
  <cols>
    <col min="1" max="1" width="79.25" style="880" customWidth="1"/>
    <col min="2" max="2" width="15.25" style="881" customWidth="1"/>
    <col min="3" max="10" width="11.5" style="882" customWidth="1"/>
    <col min="11" max="28" width="13.25" style="882" customWidth="1"/>
    <col min="29" max="31" width="11.375" style="882" bestFit="1" customWidth="1"/>
    <col min="32" max="16384" width="9.25" style="882"/>
  </cols>
  <sheetData>
    <row r="1" spans="1:41">
      <c r="E1" s="956"/>
      <c r="H1" s="957"/>
    </row>
    <row r="2" spans="1:41" ht="23.25">
      <c r="A2" s="958" t="s">
        <v>494</v>
      </c>
      <c r="B2" s="880"/>
      <c r="C2" s="885"/>
      <c r="D2" s="885"/>
      <c r="E2" s="885"/>
      <c r="F2" s="959"/>
      <c r="G2" s="885"/>
      <c r="H2" s="957"/>
      <c r="J2" s="960"/>
      <c r="K2" s="885"/>
    </row>
    <row r="3" spans="1:41">
      <c r="B3" s="887" t="s">
        <v>443</v>
      </c>
    </row>
    <row r="4" spans="1:41" s="890" customFormat="1" ht="15">
      <c r="A4" s="888"/>
      <c r="B4" s="1177">
        <f>Base.Year</f>
        <v>2022</v>
      </c>
      <c r="C4" s="889">
        <f>B4-1</f>
        <v>2021</v>
      </c>
      <c r="D4" s="889">
        <f>C4+1</f>
        <v>2022</v>
      </c>
      <c r="E4" s="889">
        <f t="shared" ref="E4:AB4" si="0">D4+1</f>
        <v>2023</v>
      </c>
      <c r="F4" s="889">
        <f>E4+1</f>
        <v>2024</v>
      </c>
      <c r="G4" s="889">
        <f t="shared" si="0"/>
        <v>2025</v>
      </c>
      <c r="H4" s="889">
        <f t="shared" si="0"/>
        <v>2026</v>
      </c>
      <c r="I4" s="889">
        <f t="shared" si="0"/>
        <v>2027</v>
      </c>
      <c r="J4" s="889">
        <f t="shared" si="0"/>
        <v>2028</v>
      </c>
      <c r="K4" s="889">
        <f t="shared" si="0"/>
        <v>2029</v>
      </c>
      <c r="L4" s="889">
        <f t="shared" si="0"/>
        <v>2030</v>
      </c>
      <c r="M4" s="889">
        <f t="shared" si="0"/>
        <v>2031</v>
      </c>
      <c r="N4" s="889">
        <f t="shared" si="0"/>
        <v>2032</v>
      </c>
      <c r="O4" s="889">
        <f t="shared" si="0"/>
        <v>2033</v>
      </c>
      <c r="P4" s="889">
        <f t="shared" si="0"/>
        <v>2034</v>
      </c>
      <c r="Q4" s="889">
        <f t="shared" si="0"/>
        <v>2035</v>
      </c>
      <c r="R4" s="889">
        <f t="shared" si="0"/>
        <v>2036</v>
      </c>
      <c r="S4" s="889">
        <f t="shared" si="0"/>
        <v>2037</v>
      </c>
      <c r="T4" s="889">
        <f t="shared" si="0"/>
        <v>2038</v>
      </c>
      <c r="U4" s="889">
        <f t="shared" si="0"/>
        <v>2039</v>
      </c>
      <c r="V4" s="889">
        <f t="shared" si="0"/>
        <v>2040</v>
      </c>
      <c r="W4" s="889">
        <f t="shared" si="0"/>
        <v>2041</v>
      </c>
      <c r="X4" s="889">
        <f t="shared" si="0"/>
        <v>2042</v>
      </c>
      <c r="Y4" s="889">
        <f t="shared" si="0"/>
        <v>2043</v>
      </c>
      <c r="Z4" s="889">
        <f t="shared" si="0"/>
        <v>2044</v>
      </c>
      <c r="AA4" s="889">
        <f t="shared" si="0"/>
        <v>2045</v>
      </c>
      <c r="AB4" s="889">
        <f t="shared" si="0"/>
        <v>2046</v>
      </c>
      <c r="AC4" s="889">
        <f t="shared" ref="AC4" si="1">AB4+1</f>
        <v>2047</v>
      </c>
      <c r="AD4" s="889">
        <f t="shared" ref="AD4" si="2">AC4+1</f>
        <v>2048</v>
      </c>
      <c r="AE4" s="889">
        <f t="shared" ref="AE4" si="3">AD4+1</f>
        <v>2049</v>
      </c>
      <c r="AF4" s="889">
        <f t="shared" ref="AF4" si="4">AE4+1</f>
        <v>2050</v>
      </c>
      <c r="AG4" s="889">
        <f t="shared" ref="AG4" si="5">AF4+1</f>
        <v>2051</v>
      </c>
      <c r="AH4" s="889">
        <f t="shared" ref="AH4" si="6">AG4+1</f>
        <v>2052</v>
      </c>
      <c r="AI4" s="889">
        <f t="shared" ref="AI4" si="7">AH4+1</f>
        <v>2053</v>
      </c>
      <c r="AJ4" s="889">
        <f t="shared" ref="AJ4" si="8">AI4+1</f>
        <v>2054</v>
      </c>
      <c r="AK4" s="889">
        <f t="shared" ref="AK4" si="9">AJ4+1</f>
        <v>2055</v>
      </c>
      <c r="AL4" s="889">
        <f t="shared" ref="AL4" si="10">AK4+1</f>
        <v>2056</v>
      </c>
      <c r="AM4" s="889">
        <f t="shared" ref="AM4" si="11">AL4+1</f>
        <v>2057</v>
      </c>
      <c r="AN4" s="889">
        <f t="shared" ref="AN4" si="12">AM4+1</f>
        <v>2058</v>
      </c>
      <c r="AO4" s="889">
        <f t="shared" ref="AO4" si="13">AN4+1</f>
        <v>2059</v>
      </c>
    </row>
    <row r="5" spans="1:41" s="890" customFormat="1" ht="15">
      <c r="A5" s="891" t="s">
        <v>444</v>
      </c>
      <c r="B5" s="892"/>
      <c r="C5" s="893">
        <f>MAX(0,C$4-Inputs!$E$8+1)</f>
        <v>0</v>
      </c>
      <c r="D5" s="893">
        <f>MAX(0,D$4-Inputs!$E$8+1)</f>
        <v>0</v>
      </c>
      <c r="E5" s="893">
        <f>MAX(0,E$4-Inputs!$E$8+1)</f>
        <v>0</v>
      </c>
      <c r="F5" s="893">
        <f>MAX(0,F$4-Inputs!$E$8+1)</f>
        <v>0</v>
      </c>
      <c r="G5" s="893">
        <f>MAX(0,G$4-Inputs!$E$8+1)</f>
        <v>0</v>
      </c>
      <c r="H5" s="893">
        <f>MAX(0,H$4-Inputs!$E$8+1)</f>
        <v>0</v>
      </c>
      <c r="I5" s="893">
        <f>MAX(0,I$4-Inputs!$E$8+1)</f>
        <v>0</v>
      </c>
      <c r="J5" s="893">
        <f>MAX(0,J$4-Inputs!$E$8+1)</f>
        <v>0</v>
      </c>
      <c r="K5" s="893">
        <f>MAX(0,K$4-Inputs!$E$8+1)</f>
        <v>0</v>
      </c>
      <c r="L5" s="893">
        <f>MAX(0,L$4-Inputs!$E$8+1)</f>
        <v>1</v>
      </c>
      <c r="M5" s="893">
        <f>MAX(0,M$4-Inputs!$E$8+1)</f>
        <v>2</v>
      </c>
      <c r="N5" s="893">
        <f>MAX(0,N$4-Inputs!$E$8+1)</f>
        <v>3</v>
      </c>
      <c r="O5" s="893">
        <f>MAX(0,O$4-Inputs!$E$8+1)</f>
        <v>4</v>
      </c>
      <c r="P5" s="893">
        <f>MAX(0,P$4-Inputs!$E$8+1)</f>
        <v>5</v>
      </c>
      <c r="Q5" s="893">
        <f>MAX(0,Q$4-Inputs!$E$8+1)</f>
        <v>6</v>
      </c>
      <c r="R5" s="893">
        <f>MAX(0,R$4-Inputs!$E$8+1)</f>
        <v>7</v>
      </c>
      <c r="S5" s="893">
        <f>MAX(0,S$4-Inputs!$E$8+1)</f>
        <v>8</v>
      </c>
      <c r="T5" s="893">
        <f>MAX(0,T$4-Inputs!$E$8+1)</f>
        <v>9</v>
      </c>
      <c r="U5" s="893">
        <f>MAX(0,U$4-Inputs!$E$8+1)</f>
        <v>10</v>
      </c>
      <c r="V5" s="893">
        <f>MAX(0,V$4-Inputs!$E$8+1)</f>
        <v>11</v>
      </c>
      <c r="W5" s="893">
        <f>MAX(0,W$4-Inputs!$E$8+1)</f>
        <v>12</v>
      </c>
      <c r="X5" s="893">
        <f>MAX(0,X$4-Inputs!$E$8+1)</f>
        <v>13</v>
      </c>
      <c r="Y5" s="893">
        <f>MAX(0,Y$4-Inputs!$E$8+1)</f>
        <v>14</v>
      </c>
      <c r="Z5" s="893">
        <f>MAX(0,Z$4-Inputs!$E$8+1)</f>
        <v>15</v>
      </c>
      <c r="AA5" s="893">
        <f>MAX(0,AA$4-Inputs!$E$8+1)</f>
        <v>16</v>
      </c>
      <c r="AB5" s="893">
        <f>MAX(0,AB$4-Inputs!$E$8+1)</f>
        <v>17</v>
      </c>
      <c r="AC5" s="893">
        <f>MAX(0,AC$4-Inputs!$E$8+1)</f>
        <v>18</v>
      </c>
      <c r="AD5" s="893">
        <f>MAX(0,AD$4-Inputs!$E$8+1)</f>
        <v>19</v>
      </c>
      <c r="AE5" s="893">
        <f>MAX(0,AE$4-Inputs!$E$8+1)</f>
        <v>20</v>
      </c>
      <c r="AF5" s="893">
        <f>MAX(0,AF$4-Inputs!$E$8+1)</f>
        <v>21</v>
      </c>
      <c r="AG5" s="893">
        <f>MAX(0,AG$4-Inputs!$E$8+1)</f>
        <v>22</v>
      </c>
      <c r="AH5" s="893">
        <f>MAX(0,AH$4-Inputs!$E$8+1)</f>
        <v>23</v>
      </c>
      <c r="AI5" s="893">
        <f>MAX(0,AI$4-Inputs!$E$8+1)</f>
        <v>24</v>
      </c>
      <c r="AJ5" s="893">
        <f>MAX(0,AJ$4-Inputs!$E$8+1)</f>
        <v>25</v>
      </c>
      <c r="AK5" s="893">
        <f>MAX(0,AK$4-Inputs!$E$8+1)</f>
        <v>26</v>
      </c>
      <c r="AL5" s="893">
        <f>MAX(0,AL$4-Inputs!$E$8+1)</f>
        <v>27</v>
      </c>
      <c r="AM5" s="893">
        <f>MAX(0,AM$4-Inputs!$E$8+1)</f>
        <v>28</v>
      </c>
      <c r="AN5" s="893">
        <f>MAX(0,AN$4-Inputs!$E$8+1)</f>
        <v>29</v>
      </c>
      <c r="AO5" s="893">
        <f>MAX(0,AO$4-Inputs!$E$8+1)</f>
        <v>30</v>
      </c>
    </row>
    <row r="6" spans="1:41" s="894" customFormat="1">
      <c r="A6" s="888"/>
      <c r="B6" s="888"/>
    </row>
    <row r="7" spans="1:41" s="894" customFormat="1">
      <c r="A7" s="902" t="s">
        <v>495</v>
      </c>
      <c r="B7" s="903" t="s">
        <v>406</v>
      </c>
      <c r="C7" s="961">
        <f>Inputs!E29</f>
        <v>2.2210000000000001</v>
      </c>
      <c r="D7" s="961">
        <f>C7</f>
        <v>2.2210000000000001</v>
      </c>
      <c r="E7" s="961">
        <f t="shared" ref="E7:AE7" si="14">D7</f>
        <v>2.2210000000000001</v>
      </c>
      <c r="F7" s="961">
        <f t="shared" si="14"/>
        <v>2.2210000000000001</v>
      </c>
      <c r="G7" s="961">
        <f t="shared" si="14"/>
        <v>2.2210000000000001</v>
      </c>
      <c r="H7" s="961">
        <f t="shared" si="14"/>
        <v>2.2210000000000001</v>
      </c>
      <c r="I7" s="961">
        <f t="shared" si="14"/>
        <v>2.2210000000000001</v>
      </c>
      <c r="J7" s="961">
        <f t="shared" si="14"/>
        <v>2.2210000000000001</v>
      </c>
      <c r="K7" s="961">
        <f t="shared" si="14"/>
        <v>2.2210000000000001</v>
      </c>
      <c r="L7" s="961">
        <f t="shared" si="14"/>
        <v>2.2210000000000001</v>
      </c>
      <c r="M7" s="961">
        <f t="shared" si="14"/>
        <v>2.2210000000000001</v>
      </c>
      <c r="N7" s="961">
        <f t="shared" si="14"/>
        <v>2.2210000000000001</v>
      </c>
      <c r="O7" s="961">
        <f t="shared" si="14"/>
        <v>2.2210000000000001</v>
      </c>
      <c r="P7" s="961">
        <f t="shared" si="14"/>
        <v>2.2210000000000001</v>
      </c>
      <c r="Q7" s="961">
        <f t="shared" si="14"/>
        <v>2.2210000000000001</v>
      </c>
      <c r="R7" s="961">
        <f t="shared" si="14"/>
        <v>2.2210000000000001</v>
      </c>
      <c r="S7" s="961">
        <f t="shared" si="14"/>
        <v>2.2210000000000001</v>
      </c>
      <c r="T7" s="961">
        <f t="shared" si="14"/>
        <v>2.2210000000000001</v>
      </c>
      <c r="U7" s="961">
        <f t="shared" si="14"/>
        <v>2.2210000000000001</v>
      </c>
      <c r="V7" s="961">
        <f t="shared" si="14"/>
        <v>2.2210000000000001</v>
      </c>
      <c r="W7" s="961">
        <f t="shared" si="14"/>
        <v>2.2210000000000001</v>
      </c>
      <c r="X7" s="961">
        <f t="shared" si="14"/>
        <v>2.2210000000000001</v>
      </c>
      <c r="Y7" s="961">
        <f t="shared" si="14"/>
        <v>2.2210000000000001</v>
      </c>
      <c r="Z7" s="961">
        <f t="shared" si="14"/>
        <v>2.2210000000000001</v>
      </c>
      <c r="AA7" s="961">
        <f t="shared" si="14"/>
        <v>2.2210000000000001</v>
      </c>
      <c r="AB7" s="961">
        <f t="shared" si="14"/>
        <v>2.2210000000000001</v>
      </c>
      <c r="AC7" s="961">
        <f t="shared" si="14"/>
        <v>2.2210000000000001</v>
      </c>
      <c r="AD7" s="961">
        <f t="shared" si="14"/>
        <v>2.2210000000000001</v>
      </c>
      <c r="AE7" s="961">
        <f t="shared" si="14"/>
        <v>2.2210000000000001</v>
      </c>
      <c r="AF7" s="961">
        <f t="shared" ref="AF7:AO7" si="15">AE7</f>
        <v>2.2210000000000001</v>
      </c>
      <c r="AG7" s="961">
        <f t="shared" si="15"/>
        <v>2.2210000000000001</v>
      </c>
      <c r="AH7" s="961">
        <f t="shared" si="15"/>
        <v>2.2210000000000001</v>
      </c>
      <c r="AI7" s="961">
        <f t="shared" si="15"/>
        <v>2.2210000000000001</v>
      </c>
      <c r="AJ7" s="961">
        <f t="shared" si="15"/>
        <v>2.2210000000000001</v>
      </c>
      <c r="AK7" s="961">
        <f t="shared" si="15"/>
        <v>2.2210000000000001</v>
      </c>
      <c r="AL7" s="961">
        <f t="shared" si="15"/>
        <v>2.2210000000000001</v>
      </c>
      <c r="AM7" s="961">
        <f t="shared" si="15"/>
        <v>2.2210000000000001</v>
      </c>
      <c r="AN7" s="961">
        <f t="shared" si="15"/>
        <v>2.2210000000000001</v>
      </c>
      <c r="AO7" s="961">
        <f t="shared" si="15"/>
        <v>2.2210000000000001</v>
      </c>
    </row>
    <row r="8" spans="1:41" s="894" customFormat="1">
      <c r="A8" s="902" t="s">
        <v>496</v>
      </c>
      <c r="B8" s="903" t="s">
        <v>406</v>
      </c>
      <c r="C8" s="961">
        <f>Inputs!E28</f>
        <v>0.47899999999999998</v>
      </c>
      <c r="D8" s="961">
        <f>C8</f>
        <v>0.47899999999999998</v>
      </c>
      <c r="E8" s="961">
        <f t="shared" ref="E8:AE8" si="16">D8</f>
        <v>0.47899999999999998</v>
      </c>
      <c r="F8" s="961">
        <f t="shared" si="16"/>
        <v>0.47899999999999998</v>
      </c>
      <c r="G8" s="961">
        <f t="shared" si="16"/>
        <v>0.47899999999999998</v>
      </c>
      <c r="H8" s="961">
        <f t="shared" si="16"/>
        <v>0.47899999999999998</v>
      </c>
      <c r="I8" s="961">
        <f t="shared" si="16"/>
        <v>0.47899999999999998</v>
      </c>
      <c r="J8" s="961">
        <f t="shared" si="16"/>
        <v>0.47899999999999998</v>
      </c>
      <c r="K8" s="961">
        <f t="shared" si="16"/>
        <v>0.47899999999999998</v>
      </c>
      <c r="L8" s="961">
        <f t="shared" si="16"/>
        <v>0.47899999999999998</v>
      </c>
      <c r="M8" s="961">
        <f t="shared" si="16"/>
        <v>0.47899999999999998</v>
      </c>
      <c r="N8" s="961">
        <f t="shared" si="16"/>
        <v>0.47899999999999998</v>
      </c>
      <c r="O8" s="961">
        <f t="shared" si="16"/>
        <v>0.47899999999999998</v>
      </c>
      <c r="P8" s="961">
        <f t="shared" si="16"/>
        <v>0.47899999999999998</v>
      </c>
      <c r="Q8" s="961">
        <f t="shared" si="16"/>
        <v>0.47899999999999998</v>
      </c>
      <c r="R8" s="961">
        <f t="shared" si="16"/>
        <v>0.47899999999999998</v>
      </c>
      <c r="S8" s="961">
        <f t="shared" si="16"/>
        <v>0.47899999999999998</v>
      </c>
      <c r="T8" s="961">
        <f t="shared" si="16"/>
        <v>0.47899999999999998</v>
      </c>
      <c r="U8" s="961">
        <f t="shared" si="16"/>
        <v>0.47899999999999998</v>
      </c>
      <c r="V8" s="961">
        <f t="shared" si="16"/>
        <v>0.47899999999999998</v>
      </c>
      <c r="W8" s="961">
        <f t="shared" si="16"/>
        <v>0.47899999999999998</v>
      </c>
      <c r="X8" s="961">
        <f t="shared" si="16"/>
        <v>0.47899999999999998</v>
      </c>
      <c r="Y8" s="961">
        <f t="shared" si="16"/>
        <v>0.47899999999999998</v>
      </c>
      <c r="Z8" s="961">
        <f t="shared" si="16"/>
        <v>0.47899999999999998</v>
      </c>
      <c r="AA8" s="961">
        <f t="shared" si="16"/>
        <v>0.47899999999999998</v>
      </c>
      <c r="AB8" s="961">
        <f t="shared" si="16"/>
        <v>0.47899999999999998</v>
      </c>
      <c r="AC8" s="961">
        <f t="shared" si="16"/>
        <v>0.47899999999999998</v>
      </c>
      <c r="AD8" s="961">
        <f t="shared" si="16"/>
        <v>0.47899999999999998</v>
      </c>
      <c r="AE8" s="961">
        <f t="shared" si="16"/>
        <v>0.47899999999999998</v>
      </c>
      <c r="AF8" s="961">
        <f t="shared" ref="AF8:AO8" si="17">AE8</f>
        <v>0.47899999999999998</v>
      </c>
      <c r="AG8" s="961">
        <f t="shared" si="17"/>
        <v>0.47899999999999998</v>
      </c>
      <c r="AH8" s="961">
        <f t="shared" si="17"/>
        <v>0.47899999999999998</v>
      </c>
      <c r="AI8" s="961">
        <f t="shared" si="17"/>
        <v>0.47899999999999998</v>
      </c>
      <c r="AJ8" s="961">
        <f t="shared" si="17"/>
        <v>0.47899999999999998</v>
      </c>
      <c r="AK8" s="961">
        <f t="shared" si="17"/>
        <v>0.47899999999999998</v>
      </c>
      <c r="AL8" s="961">
        <f t="shared" si="17"/>
        <v>0.47899999999999998</v>
      </c>
      <c r="AM8" s="961">
        <f t="shared" si="17"/>
        <v>0.47899999999999998</v>
      </c>
      <c r="AN8" s="961">
        <f t="shared" si="17"/>
        <v>0.47899999999999998</v>
      </c>
      <c r="AO8" s="961">
        <f t="shared" si="17"/>
        <v>0.47899999999999998</v>
      </c>
    </row>
    <row r="9" spans="1:41" s="894" customFormat="1">
      <c r="A9" s="902"/>
      <c r="B9" s="903"/>
      <c r="C9" s="961"/>
      <c r="D9" s="961"/>
      <c r="E9" s="961"/>
      <c r="F9" s="961"/>
      <c r="G9" s="961"/>
      <c r="H9" s="961"/>
      <c r="I9" s="961"/>
      <c r="J9" s="961"/>
      <c r="K9" s="961"/>
      <c r="L9" s="961"/>
      <c r="M9" s="961"/>
      <c r="N9" s="961"/>
      <c r="O9" s="961"/>
      <c r="P9" s="961"/>
      <c r="Q9" s="961"/>
      <c r="R9" s="961"/>
      <c r="S9" s="961"/>
      <c r="T9" s="961"/>
      <c r="U9" s="961"/>
      <c r="V9" s="961"/>
      <c r="W9" s="961"/>
      <c r="X9" s="961"/>
      <c r="Y9" s="961"/>
      <c r="Z9" s="961"/>
      <c r="AA9" s="961"/>
      <c r="AB9" s="961"/>
      <c r="AC9" s="961"/>
      <c r="AD9" s="961"/>
      <c r="AE9" s="961"/>
      <c r="AF9" s="961"/>
      <c r="AG9" s="961"/>
      <c r="AH9" s="961"/>
      <c r="AI9" s="961"/>
      <c r="AJ9" s="961"/>
      <c r="AK9" s="961"/>
      <c r="AL9" s="961"/>
      <c r="AM9" s="961"/>
      <c r="AN9" s="961"/>
      <c r="AO9" s="961"/>
    </row>
    <row r="10" spans="1:41" s="894" customFormat="1">
      <c r="A10" s="902" t="s">
        <v>497</v>
      </c>
      <c r="B10" s="903" t="s">
        <v>409</v>
      </c>
      <c r="C10" s="961">
        <f>Inputs!E30</f>
        <v>55.170999999999999</v>
      </c>
      <c r="D10" s="961">
        <f>C10</f>
        <v>55.170999999999999</v>
      </c>
      <c r="E10" s="961">
        <f t="shared" ref="E10:AE10" si="18">D10</f>
        <v>55.170999999999999</v>
      </c>
      <c r="F10" s="961">
        <f t="shared" si="18"/>
        <v>55.170999999999999</v>
      </c>
      <c r="G10" s="961">
        <f t="shared" si="18"/>
        <v>55.170999999999999</v>
      </c>
      <c r="H10" s="961">
        <f t="shared" si="18"/>
        <v>55.170999999999999</v>
      </c>
      <c r="I10" s="961">
        <f t="shared" si="18"/>
        <v>55.170999999999999</v>
      </c>
      <c r="J10" s="961">
        <f t="shared" si="18"/>
        <v>55.170999999999999</v>
      </c>
      <c r="K10" s="961">
        <f t="shared" si="18"/>
        <v>55.170999999999999</v>
      </c>
      <c r="L10" s="961">
        <f t="shared" si="18"/>
        <v>55.170999999999999</v>
      </c>
      <c r="M10" s="961">
        <f t="shared" si="18"/>
        <v>55.170999999999999</v>
      </c>
      <c r="N10" s="961">
        <f t="shared" si="18"/>
        <v>55.170999999999999</v>
      </c>
      <c r="O10" s="961">
        <f t="shared" si="18"/>
        <v>55.170999999999999</v>
      </c>
      <c r="P10" s="961">
        <f t="shared" si="18"/>
        <v>55.170999999999999</v>
      </c>
      <c r="Q10" s="961">
        <f t="shared" si="18"/>
        <v>55.170999999999999</v>
      </c>
      <c r="R10" s="961">
        <f t="shared" si="18"/>
        <v>55.170999999999999</v>
      </c>
      <c r="S10" s="961">
        <f t="shared" si="18"/>
        <v>55.170999999999999</v>
      </c>
      <c r="T10" s="961">
        <f t="shared" si="18"/>
        <v>55.170999999999999</v>
      </c>
      <c r="U10" s="961">
        <f t="shared" si="18"/>
        <v>55.170999999999999</v>
      </c>
      <c r="V10" s="961">
        <f t="shared" si="18"/>
        <v>55.170999999999999</v>
      </c>
      <c r="W10" s="961">
        <f t="shared" si="18"/>
        <v>55.170999999999999</v>
      </c>
      <c r="X10" s="961">
        <f t="shared" si="18"/>
        <v>55.170999999999999</v>
      </c>
      <c r="Y10" s="961">
        <f t="shared" si="18"/>
        <v>55.170999999999999</v>
      </c>
      <c r="Z10" s="961">
        <f t="shared" si="18"/>
        <v>55.170999999999999</v>
      </c>
      <c r="AA10" s="961">
        <f t="shared" si="18"/>
        <v>55.170999999999999</v>
      </c>
      <c r="AB10" s="961">
        <f t="shared" si="18"/>
        <v>55.170999999999999</v>
      </c>
      <c r="AC10" s="961">
        <f t="shared" si="18"/>
        <v>55.170999999999999</v>
      </c>
      <c r="AD10" s="961">
        <f t="shared" si="18"/>
        <v>55.170999999999999</v>
      </c>
      <c r="AE10" s="961">
        <f t="shared" si="18"/>
        <v>55.170999999999999</v>
      </c>
      <c r="AF10" s="961">
        <f t="shared" ref="AF10:AO10" si="19">AE10</f>
        <v>55.170999999999999</v>
      </c>
      <c r="AG10" s="961">
        <f t="shared" si="19"/>
        <v>55.170999999999999</v>
      </c>
      <c r="AH10" s="961">
        <f t="shared" si="19"/>
        <v>55.170999999999999</v>
      </c>
      <c r="AI10" s="961">
        <f t="shared" si="19"/>
        <v>55.170999999999999</v>
      </c>
      <c r="AJ10" s="961">
        <f t="shared" si="19"/>
        <v>55.170999999999999</v>
      </c>
      <c r="AK10" s="961">
        <f t="shared" si="19"/>
        <v>55.170999999999999</v>
      </c>
      <c r="AL10" s="961">
        <f t="shared" si="19"/>
        <v>55.170999999999999</v>
      </c>
      <c r="AM10" s="961">
        <f t="shared" si="19"/>
        <v>55.170999999999999</v>
      </c>
      <c r="AN10" s="961">
        <f t="shared" si="19"/>
        <v>55.170999999999999</v>
      </c>
      <c r="AO10" s="961">
        <f t="shared" si="19"/>
        <v>55.170999999999999</v>
      </c>
    </row>
    <row r="11" spans="1:41" s="894" customFormat="1">
      <c r="A11" s="902" t="s">
        <v>498</v>
      </c>
      <c r="B11" s="903" t="s">
        <v>409</v>
      </c>
      <c r="C11" s="961">
        <f>Inputs!E31</f>
        <v>4.6210000000000004</v>
      </c>
      <c r="D11" s="961">
        <f>C11</f>
        <v>4.6210000000000004</v>
      </c>
      <c r="E11" s="961">
        <f t="shared" ref="E11:AE11" si="20">D11</f>
        <v>4.6210000000000004</v>
      </c>
      <c r="F11" s="961">
        <f t="shared" si="20"/>
        <v>4.6210000000000004</v>
      </c>
      <c r="G11" s="961">
        <f t="shared" si="20"/>
        <v>4.6210000000000004</v>
      </c>
      <c r="H11" s="961">
        <f t="shared" si="20"/>
        <v>4.6210000000000004</v>
      </c>
      <c r="I11" s="961">
        <f t="shared" si="20"/>
        <v>4.6210000000000004</v>
      </c>
      <c r="J11" s="961">
        <f t="shared" si="20"/>
        <v>4.6210000000000004</v>
      </c>
      <c r="K11" s="961">
        <f t="shared" si="20"/>
        <v>4.6210000000000004</v>
      </c>
      <c r="L11" s="961">
        <f t="shared" si="20"/>
        <v>4.6210000000000004</v>
      </c>
      <c r="M11" s="961">
        <f t="shared" si="20"/>
        <v>4.6210000000000004</v>
      </c>
      <c r="N11" s="961">
        <f t="shared" si="20"/>
        <v>4.6210000000000004</v>
      </c>
      <c r="O11" s="961">
        <f t="shared" si="20"/>
        <v>4.6210000000000004</v>
      </c>
      <c r="P11" s="961">
        <f t="shared" si="20"/>
        <v>4.6210000000000004</v>
      </c>
      <c r="Q11" s="961">
        <f t="shared" si="20"/>
        <v>4.6210000000000004</v>
      </c>
      <c r="R11" s="961">
        <f t="shared" si="20"/>
        <v>4.6210000000000004</v>
      </c>
      <c r="S11" s="961">
        <f t="shared" si="20"/>
        <v>4.6210000000000004</v>
      </c>
      <c r="T11" s="961">
        <f t="shared" si="20"/>
        <v>4.6210000000000004</v>
      </c>
      <c r="U11" s="961">
        <f t="shared" si="20"/>
        <v>4.6210000000000004</v>
      </c>
      <c r="V11" s="961">
        <f t="shared" si="20"/>
        <v>4.6210000000000004</v>
      </c>
      <c r="W11" s="961">
        <f t="shared" si="20"/>
        <v>4.6210000000000004</v>
      </c>
      <c r="X11" s="961">
        <f t="shared" si="20"/>
        <v>4.6210000000000004</v>
      </c>
      <c r="Y11" s="961">
        <f t="shared" si="20"/>
        <v>4.6210000000000004</v>
      </c>
      <c r="Z11" s="961">
        <f t="shared" si="20"/>
        <v>4.6210000000000004</v>
      </c>
      <c r="AA11" s="961">
        <f t="shared" si="20"/>
        <v>4.6210000000000004</v>
      </c>
      <c r="AB11" s="961">
        <f t="shared" si="20"/>
        <v>4.6210000000000004</v>
      </c>
      <c r="AC11" s="961">
        <f t="shared" si="20"/>
        <v>4.6210000000000004</v>
      </c>
      <c r="AD11" s="961">
        <f t="shared" si="20"/>
        <v>4.6210000000000004</v>
      </c>
      <c r="AE11" s="961">
        <f t="shared" si="20"/>
        <v>4.6210000000000004</v>
      </c>
      <c r="AF11" s="961">
        <f t="shared" ref="AF11:AO11" si="21">AE11</f>
        <v>4.6210000000000004</v>
      </c>
      <c r="AG11" s="961">
        <f t="shared" si="21"/>
        <v>4.6210000000000004</v>
      </c>
      <c r="AH11" s="961">
        <f t="shared" si="21"/>
        <v>4.6210000000000004</v>
      </c>
      <c r="AI11" s="961">
        <f t="shared" si="21"/>
        <v>4.6210000000000004</v>
      </c>
      <c r="AJ11" s="961">
        <f t="shared" si="21"/>
        <v>4.6210000000000004</v>
      </c>
      <c r="AK11" s="961">
        <f t="shared" si="21"/>
        <v>4.6210000000000004</v>
      </c>
      <c r="AL11" s="961">
        <f t="shared" si="21"/>
        <v>4.6210000000000004</v>
      </c>
      <c r="AM11" s="961">
        <f t="shared" si="21"/>
        <v>4.6210000000000004</v>
      </c>
      <c r="AN11" s="961">
        <f t="shared" si="21"/>
        <v>4.6210000000000004</v>
      </c>
      <c r="AO11" s="961">
        <f t="shared" si="21"/>
        <v>4.6210000000000004</v>
      </c>
    </row>
    <row r="12" spans="1:41" s="894" customFormat="1">
      <c r="A12" s="902"/>
      <c r="B12" s="903"/>
      <c r="C12" s="961"/>
      <c r="D12" s="961"/>
      <c r="E12" s="961"/>
      <c r="F12" s="961"/>
      <c r="G12" s="961"/>
      <c r="H12" s="961"/>
      <c r="I12" s="961"/>
      <c r="J12" s="961"/>
      <c r="K12" s="961"/>
      <c r="L12" s="961"/>
      <c r="M12" s="961"/>
      <c r="N12" s="961"/>
      <c r="O12" s="961"/>
      <c r="P12" s="961"/>
      <c r="Q12" s="961"/>
      <c r="R12" s="961"/>
      <c r="S12" s="961"/>
      <c r="T12" s="961"/>
      <c r="U12" s="961"/>
      <c r="V12" s="961"/>
      <c r="W12" s="961"/>
      <c r="X12" s="961"/>
      <c r="Y12" s="961"/>
      <c r="Z12" s="961"/>
      <c r="AA12" s="961"/>
      <c r="AB12" s="961"/>
      <c r="AC12" s="961"/>
      <c r="AD12" s="961"/>
      <c r="AE12" s="961"/>
      <c r="AF12" s="961"/>
      <c r="AG12" s="961"/>
      <c r="AH12" s="961"/>
      <c r="AI12" s="961"/>
      <c r="AJ12" s="961"/>
      <c r="AK12" s="961"/>
      <c r="AL12" s="961"/>
      <c r="AM12" s="961"/>
      <c r="AN12" s="961"/>
      <c r="AO12" s="961"/>
    </row>
    <row r="13" spans="1:41" s="894" customFormat="1">
      <c r="A13" s="902" t="s">
        <v>499</v>
      </c>
      <c r="B13" s="903" t="s">
        <v>500</v>
      </c>
      <c r="C13" s="962">
        <f>Inputs!$E$32</f>
        <v>12500000</v>
      </c>
      <c r="D13" s="962">
        <f>Inputs!$E$32</f>
        <v>12500000</v>
      </c>
      <c r="E13" s="962">
        <f>Inputs!$E$32</f>
        <v>12500000</v>
      </c>
      <c r="F13" s="962">
        <f>Inputs!$E$32</f>
        <v>12500000</v>
      </c>
      <c r="G13" s="962">
        <f>Inputs!$E$32</f>
        <v>12500000</v>
      </c>
      <c r="H13" s="962">
        <f>Inputs!$E$32</f>
        <v>12500000</v>
      </c>
      <c r="I13" s="962">
        <f>Inputs!$E$32</f>
        <v>12500000</v>
      </c>
      <c r="J13" s="962">
        <f>Inputs!$E$32</f>
        <v>12500000</v>
      </c>
      <c r="K13" s="962">
        <f>Inputs!$E$32</f>
        <v>12500000</v>
      </c>
      <c r="L13" s="962">
        <f>Inputs!$E$32</f>
        <v>12500000</v>
      </c>
      <c r="M13" s="962">
        <f>Inputs!$E$32</f>
        <v>12500000</v>
      </c>
      <c r="N13" s="962">
        <f>Inputs!$E$32</f>
        <v>12500000</v>
      </c>
      <c r="O13" s="962">
        <f>Inputs!$E$32</f>
        <v>12500000</v>
      </c>
      <c r="P13" s="962">
        <f>Inputs!$E$32</f>
        <v>12500000</v>
      </c>
      <c r="Q13" s="962">
        <f>Inputs!$E$32</f>
        <v>12500000</v>
      </c>
      <c r="R13" s="962">
        <f>Inputs!$E$32</f>
        <v>12500000</v>
      </c>
      <c r="S13" s="962">
        <f>Inputs!$E$32</f>
        <v>12500000</v>
      </c>
      <c r="T13" s="962">
        <f>Inputs!$E$32</f>
        <v>12500000</v>
      </c>
      <c r="U13" s="962">
        <f>Inputs!$E$32</f>
        <v>12500000</v>
      </c>
      <c r="V13" s="962">
        <f>Inputs!$E$32</f>
        <v>12500000</v>
      </c>
      <c r="W13" s="962">
        <f>Inputs!$E$32</f>
        <v>12500000</v>
      </c>
      <c r="X13" s="962">
        <f>Inputs!$E$32</f>
        <v>12500000</v>
      </c>
      <c r="Y13" s="962">
        <f>Inputs!$E$32</f>
        <v>12500000</v>
      </c>
      <c r="Z13" s="962">
        <f>Inputs!$E$32</f>
        <v>12500000</v>
      </c>
      <c r="AA13" s="962">
        <f>Inputs!$E$32</f>
        <v>12500000</v>
      </c>
      <c r="AB13" s="962">
        <f>Inputs!$E$32</f>
        <v>12500000</v>
      </c>
      <c r="AC13" s="962">
        <f>Inputs!$E$32</f>
        <v>12500000</v>
      </c>
      <c r="AD13" s="962">
        <f>Inputs!$E$32</f>
        <v>12500000</v>
      </c>
      <c r="AE13" s="962">
        <f>Inputs!$E$32</f>
        <v>12500000</v>
      </c>
      <c r="AF13" s="962">
        <f>Inputs!$E$32</f>
        <v>12500000</v>
      </c>
      <c r="AG13" s="962">
        <f>Inputs!$E$32</f>
        <v>12500000</v>
      </c>
      <c r="AH13" s="962">
        <f>Inputs!$E$32</f>
        <v>12500000</v>
      </c>
      <c r="AI13" s="962">
        <f>Inputs!$E$32</f>
        <v>12500000</v>
      </c>
      <c r="AJ13" s="962">
        <f>Inputs!$E$32</f>
        <v>12500000</v>
      </c>
      <c r="AK13" s="962">
        <f>Inputs!$E$32</f>
        <v>12500000</v>
      </c>
      <c r="AL13" s="962">
        <f>Inputs!$E$32</f>
        <v>12500000</v>
      </c>
      <c r="AM13" s="962">
        <f>Inputs!$E$32</f>
        <v>12500000</v>
      </c>
      <c r="AN13" s="962">
        <f>Inputs!$E$32</f>
        <v>12500000</v>
      </c>
      <c r="AO13" s="962">
        <f>Inputs!$E$32</f>
        <v>12500000</v>
      </c>
    </row>
    <row r="14" spans="1:41" s="894" customFormat="1">
      <c r="A14" s="902" t="s">
        <v>501</v>
      </c>
      <c r="B14" s="903" t="s">
        <v>502</v>
      </c>
      <c r="C14" s="962">
        <f>Inputs!$E$33</f>
        <v>217600</v>
      </c>
      <c r="D14" s="962">
        <f>Inputs!$E$33</f>
        <v>217600</v>
      </c>
      <c r="E14" s="962">
        <f>Inputs!$E$33</f>
        <v>217600</v>
      </c>
      <c r="F14" s="962">
        <f>Inputs!$E$33</f>
        <v>217600</v>
      </c>
      <c r="G14" s="962">
        <f>Inputs!$E$33</f>
        <v>217600</v>
      </c>
      <c r="H14" s="962">
        <f>Inputs!$E$33</f>
        <v>217600</v>
      </c>
      <c r="I14" s="962">
        <f>Inputs!$E$33</f>
        <v>217600</v>
      </c>
      <c r="J14" s="962">
        <f>Inputs!$E$33</f>
        <v>217600</v>
      </c>
      <c r="K14" s="962">
        <f>Inputs!$E$33</f>
        <v>217600</v>
      </c>
      <c r="L14" s="962">
        <f>Inputs!$E$33</f>
        <v>217600</v>
      </c>
      <c r="M14" s="962">
        <f>Inputs!$E$33</f>
        <v>217600</v>
      </c>
      <c r="N14" s="962">
        <f>Inputs!$E$33</f>
        <v>217600</v>
      </c>
      <c r="O14" s="962">
        <f>Inputs!$E$33</f>
        <v>217600</v>
      </c>
      <c r="P14" s="962">
        <f>Inputs!$E$33</f>
        <v>217600</v>
      </c>
      <c r="Q14" s="962">
        <f>Inputs!$E$33</f>
        <v>217600</v>
      </c>
      <c r="R14" s="962">
        <f>Inputs!$E$33</f>
        <v>217600</v>
      </c>
      <c r="S14" s="962">
        <f>Inputs!$E$33</f>
        <v>217600</v>
      </c>
      <c r="T14" s="962">
        <f>Inputs!$E$33</f>
        <v>217600</v>
      </c>
      <c r="U14" s="962">
        <f>Inputs!$E$33</f>
        <v>217600</v>
      </c>
      <c r="V14" s="962">
        <f>Inputs!$E$33</f>
        <v>217600</v>
      </c>
      <c r="W14" s="962">
        <f>Inputs!$E$33</f>
        <v>217600</v>
      </c>
      <c r="X14" s="962">
        <f>Inputs!$E$33</f>
        <v>217600</v>
      </c>
      <c r="Y14" s="962">
        <f>Inputs!$E$33</f>
        <v>217600</v>
      </c>
      <c r="Z14" s="962">
        <f>Inputs!$E$33</f>
        <v>217600</v>
      </c>
      <c r="AA14" s="962">
        <f>Inputs!$E$33</f>
        <v>217600</v>
      </c>
      <c r="AB14" s="962">
        <f>Inputs!$E$33</f>
        <v>217600</v>
      </c>
      <c r="AC14" s="962">
        <f>Inputs!$E$33</f>
        <v>217600</v>
      </c>
      <c r="AD14" s="962">
        <f>Inputs!$E$33</f>
        <v>217600</v>
      </c>
      <c r="AE14" s="962">
        <f>Inputs!$E$33</f>
        <v>217600</v>
      </c>
      <c r="AF14" s="962">
        <f>Inputs!$E$33</f>
        <v>217600</v>
      </c>
      <c r="AG14" s="962">
        <f>Inputs!$E$33</f>
        <v>217600</v>
      </c>
      <c r="AH14" s="962">
        <f>Inputs!$E$33</f>
        <v>217600</v>
      </c>
      <c r="AI14" s="962">
        <f>Inputs!$E$33</f>
        <v>217600</v>
      </c>
      <c r="AJ14" s="962">
        <f>Inputs!$E$33</f>
        <v>217600</v>
      </c>
      <c r="AK14" s="962">
        <f>Inputs!$E$33</f>
        <v>217600</v>
      </c>
      <c r="AL14" s="962">
        <f>Inputs!$E$33</f>
        <v>217600</v>
      </c>
      <c r="AM14" s="962">
        <f>Inputs!$E$33</f>
        <v>217600</v>
      </c>
      <c r="AN14" s="962">
        <f>Inputs!$E$33</f>
        <v>217600</v>
      </c>
      <c r="AO14" s="962">
        <f>Inputs!$E$33</f>
        <v>217600</v>
      </c>
    </row>
    <row r="15" spans="1:41" s="894" customFormat="1">
      <c r="A15" s="888"/>
      <c r="B15" s="888"/>
    </row>
    <row r="16" spans="1:41" s="919" customFormat="1" ht="15">
      <c r="A16" s="916" t="s">
        <v>446</v>
      </c>
      <c r="B16" s="917" t="s">
        <v>86</v>
      </c>
      <c r="C16" s="918" t="str">
        <f>IF(C$5&gt;0,C$4,"")</f>
        <v/>
      </c>
      <c r="D16" s="918" t="str">
        <f t="shared" ref="D16:AO16" si="22">IF(D$5&gt;0,D$4,"")</f>
        <v/>
      </c>
      <c r="E16" s="918" t="str">
        <f t="shared" si="22"/>
        <v/>
      </c>
      <c r="F16" s="918" t="str">
        <f t="shared" si="22"/>
        <v/>
      </c>
      <c r="G16" s="918" t="str">
        <f t="shared" si="22"/>
        <v/>
      </c>
      <c r="H16" s="918" t="str">
        <f t="shared" si="22"/>
        <v/>
      </c>
      <c r="I16" s="918" t="str">
        <f t="shared" si="22"/>
        <v/>
      </c>
      <c r="J16" s="918" t="str">
        <f t="shared" si="22"/>
        <v/>
      </c>
      <c r="K16" s="918" t="str">
        <f t="shared" si="22"/>
        <v/>
      </c>
      <c r="L16" s="918">
        <f t="shared" si="22"/>
        <v>2030</v>
      </c>
      <c r="M16" s="918">
        <f t="shared" si="22"/>
        <v>2031</v>
      </c>
      <c r="N16" s="918">
        <f t="shared" si="22"/>
        <v>2032</v>
      </c>
      <c r="O16" s="918">
        <f t="shared" si="22"/>
        <v>2033</v>
      </c>
      <c r="P16" s="918">
        <f t="shared" si="22"/>
        <v>2034</v>
      </c>
      <c r="Q16" s="918">
        <f t="shared" si="22"/>
        <v>2035</v>
      </c>
      <c r="R16" s="918">
        <f t="shared" si="22"/>
        <v>2036</v>
      </c>
      <c r="S16" s="918">
        <f t="shared" si="22"/>
        <v>2037</v>
      </c>
      <c r="T16" s="918">
        <f t="shared" si="22"/>
        <v>2038</v>
      </c>
      <c r="U16" s="918">
        <f t="shared" si="22"/>
        <v>2039</v>
      </c>
      <c r="V16" s="918">
        <f t="shared" si="22"/>
        <v>2040</v>
      </c>
      <c r="W16" s="918">
        <f t="shared" si="22"/>
        <v>2041</v>
      </c>
      <c r="X16" s="918">
        <f t="shared" si="22"/>
        <v>2042</v>
      </c>
      <c r="Y16" s="918">
        <f t="shared" si="22"/>
        <v>2043</v>
      </c>
      <c r="Z16" s="918">
        <f t="shared" si="22"/>
        <v>2044</v>
      </c>
      <c r="AA16" s="918">
        <f t="shared" si="22"/>
        <v>2045</v>
      </c>
      <c r="AB16" s="918">
        <f t="shared" si="22"/>
        <v>2046</v>
      </c>
      <c r="AC16" s="918">
        <f t="shared" si="22"/>
        <v>2047</v>
      </c>
      <c r="AD16" s="918">
        <f t="shared" si="22"/>
        <v>2048</v>
      </c>
      <c r="AE16" s="918">
        <f t="shared" si="22"/>
        <v>2049</v>
      </c>
      <c r="AF16" s="918">
        <f t="shared" si="22"/>
        <v>2050</v>
      </c>
      <c r="AG16" s="918">
        <f t="shared" si="22"/>
        <v>2051</v>
      </c>
      <c r="AH16" s="918">
        <f t="shared" si="22"/>
        <v>2052</v>
      </c>
      <c r="AI16" s="918">
        <f t="shared" si="22"/>
        <v>2053</v>
      </c>
      <c r="AJ16" s="918">
        <f t="shared" si="22"/>
        <v>2054</v>
      </c>
      <c r="AK16" s="918">
        <f t="shared" si="22"/>
        <v>2055</v>
      </c>
      <c r="AL16" s="918">
        <f t="shared" si="22"/>
        <v>2056</v>
      </c>
      <c r="AM16" s="918">
        <f t="shared" si="22"/>
        <v>2057</v>
      </c>
      <c r="AN16" s="918">
        <f t="shared" si="22"/>
        <v>2058</v>
      </c>
      <c r="AO16" s="918">
        <f t="shared" si="22"/>
        <v>2059</v>
      </c>
    </row>
    <row r="17" spans="1:41" s="936" customFormat="1">
      <c r="A17" s="888"/>
      <c r="B17" s="920"/>
      <c r="C17" s="921"/>
      <c r="D17" s="921"/>
      <c r="E17" s="921"/>
      <c r="F17" s="921"/>
      <c r="G17" s="921"/>
      <c r="H17" s="921"/>
      <c r="I17" s="963"/>
      <c r="J17" s="921"/>
      <c r="K17" s="921"/>
      <c r="L17" s="921"/>
      <c r="M17" s="921"/>
      <c r="N17" s="921"/>
      <c r="O17" s="921"/>
      <c r="P17" s="921"/>
      <c r="Q17" s="921"/>
      <c r="R17" s="921"/>
      <c r="S17" s="921"/>
      <c r="T17" s="921"/>
      <c r="U17" s="921"/>
      <c r="V17" s="921"/>
      <c r="W17" s="921"/>
      <c r="X17" s="921"/>
      <c r="Y17" s="921"/>
      <c r="Z17" s="921"/>
      <c r="AA17" s="921"/>
      <c r="AB17" s="921"/>
      <c r="AC17" s="921"/>
      <c r="AD17" s="921"/>
      <c r="AE17" s="921"/>
      <c r="AF17" s="921"/>
      <c r="AG17" s="921"/>
      <c r="AH17" s="921"/>
      <c r="AI17" s="921"/>
      <c r="AJ17" s="921"/>
      <c r="AK17" s="921"/>
      <c r="AL17" s="921"/>
      <c r="AM17" s="921"/>
      <c r="AN17" s="921"/>
      <c r="AO17" s="921"/>
    </row>
    <row r="18" spans="1:41" s="924" customFormat="1">
      <c r="A18" s="922" t="s">
        <v>447</v>
      </c>
      <c r="B18" s="923" t="s">
        <v>448</v>
      </c>
      <c r="C18" s="883">
        <f>SUMIFS(Demand.Forecast!$D$14:$AO$14,Demand.Forecast!$D$1:$AO$1,C$4)</f>
        <v>0</v>
      </c>
      <c r="D18" s="883">
        <f>SUMIFS(Demand.Forecast!$D$14:$AO$14,Demand.Forecast!$D$1:$AO$1,D$4)</f>
        <v>965730300</v>
      </c>
      <c r="E18" s="883">
        <f>SUMIFS(Demand.Forecast!$D$14:$AO$14,Demand.Forecast!$D$1:$AO$1,E$4)</f>
        <v>968788478.18156123</v>
      </c>
      <c r="F18" s="883">
        <f>SUMIFS(Demand.Forecast!$D$14:$AO$14,Demand.Forecast!$D$1:$AO$1,F$4)</f>
        <v>971856340.69609833</v>
      </c>
      <c r="G18" s="883">
        <f>SUMIFS(Demand.Forecast!$D$14:$AO$14,Demand.Forecast!$D$1:$AO$1,G$4)</f>
        <v>974933918.21098912</v>
      </c>
      <c r="H18" s="883">
        <f>SUMIFS(Demand.Forecast!$D$14:$AO$14,Demand.Forecast!$D$1:$AO$1,H$4)</f>
        <v>978021241.49072552</v>
      </c>
      <c r="I18" s="883">
        <f>SUMIFS(Demand.Forecast!$D$14:$AO$14,Demand.Forecast!$D$1:$AO$1,I$4)</f>
        <v>981118341.39722145</v>
      </c>
      <c r="J18" s="883">
        <f>SUMIFS(Demand.Forecast!$D$14:$AO$14,Demand.Forecast!$D$1:$AO$1,J$4)</f>
        <v>984225248.89012134</v>
      </c>
      <c r="K18" s="883">
        <f>SUMIFS(Demand.Forecast!$D$14:$AO$14,Demand.Forecast!$D$1:$AO$1,K$4)</f>
        <v>987341995.0271095</v>
      </c>
      <c r="L18" s="883">
        <f>SUMIFS(Demand.Forecast!$D$14:$AO$14,Demand.Forecast!$D$1:$AO$1,L$4)</f>
        <v>990468610.9642204</v>
      </c>
      <c r="M18" s="883">
        <f>SUMIFS(Demand.Forecast!$D$14:$AO$14,Demand.Forecast!$D$1:$AO$1,M$4)</f>
        <v>993605127.95615077</v>
      </c>
      <c r="N18" s="883">
        <f>SUMIFS(Demand.Forecast!$D$14:$AO$14,Demand.Forecast!$D$1:$AO$1,N$4)</f>
        <v>996751577.3565712</v>
      </c>
      <c r="O18" s="883">
        <f>SUMIFS(Demand.Forecast!$D$14:$AO$14,Demand.Forecast!$D$1:$AO$1,O$4)</f>
        <v>999907990.61844003</v>
      </c>
      <c r="P18" s="883">
        <f>SUMIFS(Demand.Forecast!$D$14:$AO$14,Demand.Forecast!$D$1:$AO$1,P$4)</f>
        <v>1003074399.2943177</v>
      </c>
      <c r="Q18" s="883">
        <f>SUMIFS(Demand.Forecast!$D$14:$AO$14,Demand.Forecast!$D$1:$AO$1,Q$4)</f>
        <v>1006250835.0366822</v>
      </c>
      <c r="R18" s="883">
        <f>SUMIFS(Demand.Forecast!$D$14:$AO$14,Demand.Forecast!$D$1:$AO$1,R$4)</f>
        <v>1009437329.5982455</v>
      </c>
      <c r="S18" s="883">
        <f>SUMIFS(Demand.Forecast!$D$14:$AO$14,Demand.Forecast!$D$1:$AO$1,S$4)</f>
        <v>1012633914.8322707</v>
      </c>
      <c r="T18" s="883">
        <f>SUMIFS(Demand.Forecast!$D$14:$AO$14,Demand.Forecast!$D$1:$AO$1,T$4)</f>
        <v>1015840622.6928908</v>
      </c>
      <c r="U18" s="883">
        <f>SUMIFS(Demand.Forecast!$D$14:$AO$14,Demand.Forecast!$D$1:$AO$1,U$4)</f>
        <v>1019057485.2354276</v>
      </c>
      <c r="V18" s="883">
        <f>SUMIFS(Demand.Forecast!$D$14:$AO$14,Demand.Forecast!$D$1:$AO$1,V$4)</f>
        <v>1022284534.6167132</v>
      </c>
      <c r="W18" s="883">
        <f>SUMIFS(Demand.Forecast!$D$14:$AO$14,Demand.Forecast!$D$1:$AO$1,W$4)</f>
        <v>1025521803.0954098</v>
      </c>
      <c r="X18" s="883">
        <f>SUMIFS(Demand.Forecast!$D$14:$AO$14,Demand.Forecast!$D$1:$AO$1,X$4)</f>
        <v>1028769323.0323339</v>
      </c>
      <c r="Y18" s="883">
        <f>SUMIFS(Demand.Forecast!$D$14:$AO$14,Demand.Forecast!$D$1:$AO$1,Y$4)</f>
        <v>1032027126.8907785</v>
      </c>
      <c r="Z18" s="883">
        <f>SUMIFS(Demand.Forecast!$D$14:$AO$14,Demand.Forecast!$D$1:$AO$1,Z$4)</f>
        <v>1035295247.2368385</v>
      </c>
      <c r="AA18" s="883">
        <f>SUMIFS(Demand.Forecast!$D$14:$AO$14,Demand.Forecast!$D$1:$AO$1,AA$4)</f>
        <v>1038573716.7397355</v>
      </c>
      <c r="AB18" s="883">
        <f>SUMIFS(Demand.Forecast!$D$14:$AO$14,Demand.Forecast!$D$1:$AO$1,AB$4)</f>
        <v>1041862568.1721451</v>
      </c>
      <c r="AC18" s="883">
        <f>SUMIFS(Demand.Forecast!$D$14:$AO$14,Demand.Forecast!$D$1:$AO$1,AC$4)</f>
        <v>1045161834.4105239</v>
      </c>
      <c r="AD18" s="883">
        <f>SUMIFS(Demand.Forecast!$D$14:$AO$14,Demand.Forecast!$D$1:$AO$1,AD$4)</f>
        <v>1048471548.4354383</v>
      </c>
      <c r="AE18" s="883">
        <f>SUMIFS(Demand.Forecast!$D$14:$AO$14,Demand.Forecast!$D$1:$AO$1,AE$4)</f>
        <v>1051791743.3318943</v>
      </c>
      <c r="AF18" s="883">
        <f>SUMIFS(Demand.Forecast!$D$14:$AO$14,Demand.Forecast!$D$1:$AO$1,AF$4)</f>
        <v>1055122452.2896683</v>
      </c>
      <c r="AG18" s="883">
        <f>SUMIFS(Demand.Forecast!$D$14:$AO$14,Demand.Forecast!$D$1:$AO$1,AG$4)</f>
        <v>1058463708.6036388</v>
      </c>
      <c r="AH18" s="883">
        <f>SUMIFS(Demand.Forecast!$D$14:$AO$14,Demand.Forecast!$D$1:$AO$1,AH$4)</f>
        <v>1061815545.674119</v>
      </c>
      <c r="AI18" s="883">
        <f>SUMIFS(Demand.Forecast!$D$14:$AO$14,Demand.Forecast!$D$1:$AO$1,AI$4)</f>
        <v>1065177997.0071911</v>
      </c>
      <c r="AJ18" s="883">
        <f>SUMIFS(Demand.Forecast!$D$14:$AO$14,Demand.Forecast!$D$1:$AO$1,AJ$4)</f>
        <v>1068551096.2150406</v>
      </c>
      <c r="AK18" s="883">
        <f>SUMIFS(Demand.Forecast!$D$14:$AO$14,Demand.Forecast!$D$1:$AO$1,AK$4)</f>
        <v>1071934877.0162934</v>
      </c>
      <c r="AL18" s="883">
        <f>SUMIFS(Demand.Forecast!$D$14:$AO$14,Demand.Forecast!$D$1:$AO$1,AL$4)</f>
        <v>1075329373.2363515</v>
      </c>
      <c r="AM18" s="883">
        <f>SUMIFS(Demand.Forecast!$D$14:$AO$14,Demand.Forecast!$D$1:$AO$1,AM$4)</f>
        <v>1078734618.8077326</v>
      </c>
      <c r="AN18" s="883">
        <f>SUMIFS(Demand.Forecast!$D$14:$AO$14,Demand.Forecast!$D$1:$AO$1,AN$4)</f>
        <v>1082150647.7704072</v>
      </c>
      <c r="AO18" s="883">
        <f>SUMIFS(Demand.Forecast!$D$14:$AO$14,Demand.Forecast!$D$1:$AO$1,AO$4)</f>
        <v>1085577494.2721415</v>
      </c>
    </row>
    <row r="19" spans="1:41" s="924" customFormat="1">
      <c r="A19" s="922" t="s">
        <v>479</v>
      </c>
      <c r="B19" s="923" t="s">
        <v>448</v>
      </c>
      <c r="C19" s="883">
        <f>SUMIFS(Demand.Forecast!$D$13:$AO$13,Demand.Forecast!$D$1:$AO$1,C$4)</f>
        <v>0</v>
      </c>
      <c r="D19" s="883">
        <f>SUMIFS(Demand.Forecast!$D$13:$AO$13,Demand.Forecast!$D$1:$AO$1,D$4)</f>
        <v>0</v>
      </c>
      <c r="E19" s="883">
        <f>SUMIFS(Demand.Forecast!$D$13:$AO$13,Demand.Forecast!$D$1:$AO$1,E$4)</f>
        <v>0</v>
      </c>
      <c r="F19" s="883">
        <f>SUMIFS(Demand.Forecast!$D$13:$AO$13,Demand.Forecast!$D$1:$AO$1,F$4)</f>
        <v>0</v>
      </c>
      <c r="G19" s="883">
        <f>SUMIFS(Demand.Forecast!$D$13:$AO$13,Demand.Forecast!$D$1:$AO$1,G$4)</f>
        <v>0</v>
      </c>
      <c r="H19" s="883">
        <f>SUMIFS(Demand.Forecast!$D$13:$AO$13,Demand.Forecast!$D$1:$AO$1,H$4)</f>
        <v>0</v>
      </c>
      <c r="I19" s="883">
        <f>SUMIFS(Demand.Forecast!$D$13:$AO$13,Demand.Forecast!$D$1:$AO$1,I$4)</f>
        <v>0</v>
      </c>
      <c r="J19" s="883">
        <f>SUMIFS(Demand.Forecast!$D$13:$AO$13,Demand.Forecast!$D$1:$AO$1,J$4)</f>
        <v>0</v>
      </c>
      <c r="K19" s="883">
        <f>SUMIFS(Demand.Forecast!$D$13:$AO$13,Demand.Forecast!$D$1:$AO$1,K$4)</f>
        <v>0</v>
      </c>
      <c r="L19" s="883">
        <f>SUMIFS(Demand.Forecast!$D$13:$AO$13,Demand.Forecast!$D$1:$AO$1,L$4)</f>
        <v>0</v>
      </c>
      <c r="M19" s="883">
        <f>SUMIFS(Demand.Forecast!$D$13:$AO$13,Demand.Forecast!$D$1:$AO$1,M$4)</f>
        <v>0</v>
      </c>
      <c r="N19" s="883">
        <f>SUMIFS(Demand.Forecast!$D$13:$AO$13,Demand.Forecast!$D$1:$AO$1,N$4)</f>
        <v>0</v>
      </c>
      <c r="O19" s="883">
        <f>SUMIFS(Demand.Forecast!$D$13:$AO$13,Demand.Forecast!$D$1:$AO$1,O$4)</f>
        <v>0</v>
      </c>
      <c r="P19" s="883">
        <f>SUMIFS(Demand.Forecast!$D$13:$AO$13,Demand.Forecast!$D$1:$AO$1,P$4)</f>
        <v>0</v>
      </c>
      <c r="Q19" s="883">
        <f>SUMIFS(Demand.Forecast!$D$13:$AO$13,Demand.Forecast!$D$1:$AO$1,Q$4)</f>
        <v>0</v>
      </c>
      <c r="R19" s="883">
        <f>SUMIFS(Demand.Forecast!$D$13:$AO$13,Demand.Forecast!$D$1:$AO$1,R$4)</f>
        <v>0</v>
      </c>
      <c r="S19" s="883">
        <f>SUMIFS(Demand.Forecast!$D$13:$AO$13,Demand.Forecast!$D$1:$AO$1,S$4)</f>
        <v>0</v>
      </c>
      <c r="T19" s="883">
        <f>SUMIFS(Demand.Forecast!$D$13:$AO$13,Demand.Forecast!$D$1:$AO$1,T$4)</f>
        <v>0</v>
      </c>
      <c r="U19" s="883">
        <f>SUMIFS(Demand.Forecast!$D$13:$AO$13,Demand.Forecast!$D$1:$AO$1,U$4)</f>
        <v>0</v>
      </c>
      <c r="V19" s="883">
        <f>SUMIFS(Demand.Forecast!$D$13:$AO$13,Demand.Forecast!$D$1:$AO$1,V$4)</f>
        <v>0</v>
      </c>
      <c r="W19" s="883">
        <f>SUMIFS(Demand.Forecast!$D$13:$AO$13,Demand.Forecast!$D$1:$AO$1,W$4)</f>
        <v>0</v>
      </c>
      <c r="X19" s="883">
        <f>SUMIFS(Demand.Forecast!$D$13:$AO$13,Demand.Forecast!$D$1:$AO$1,X$4)</f>
        <v>0</v>
      </c>
      <c r="Y19" s="883">
        <f>SUMIFS(Demand.Forecast!$D$13:$AO$13,Demand.Forecast!$D$1:$AO$1,Y$4)</f>
        <v>0</v>
      </c>
      <c r="Z19" s="883">
        <f>SUMIFS(Demand.Forecast!$D$13:$AO$13,Demand.Forecast!$D$1:$AO$1,Z$4)</f>
        <v>0</v>
      </c>
      <c r="AA19" s="883">
        <f>SUMIFS(Demand.Forecast!$D$13:$AO$13,Demand.Forecast!$D$1:$AO$1,AA$4)</f>
        <v>0</v>
      </c>
      <c r="AB19" s="883">
        <f>SUMIFS(Demand.Forecast!$D$13:$AO$13,Demand.Forecast!$D$1:$AO$1,AB$4)</f>
        <v>0</v>
      </c>
      <c r="AC19" s="883">
        <f>SUMIFS(Demand.Forecast!$D$13:$AO$13,Demand.Forecast!$D$1:$AO$1,AC$4)</f>
        <v>0</v>
      </c>
      <c r="AD19" s="883">
        <f>SUMIFS(Demand.Forecast!$D$13:$AO$13,Demand.Forecast!$D$1:$AO$1,AD$4)</f>
        <v>0</v>
      </c>
      <c r="AE19" s="883">
        <f>SUMIFS(Demand.Forecast!$D$13:$AO$13,Demand.Forecast!$D$1:$AO$1,AE$4)</f>
        <v>0</v>
      </c>
      <c r="AF19" s="883">
        <f>SUMIFS(Demand.Forecast!$D$13:$AO$13,Demand.Forecast!$D$1:$AO$1,AF$4)</f>
        <v>0</v>
      </c>
      <c r="AG19" s="883">
        <f>SUMIFS(Demand.Forecast!$D$13:$AO$13,Demand.Forecast!$D$1:$AO$1,AG$4)</f>
        <v>0</v>
      </c>
      <c r="AH19" s="883">
        <f>SUMIFS(Demand.Forecast!$D$13:$AO$13,Demand.Forecast!$D$1:$AO$1,AH$4)</f>
        <v>0</v>
      </c>
      <c r="AI19" s="883">
        <f>SUMIFS(Demand.Forecast!$D$13:$AO$13,Demand.Forecast!$D$1:$AO$1,AI$4)</f>
        <v>0</v>
      </c>
      <c r="AJ19" s="883">
        <f>SUMIFS(Demand.Forecast!$D$13:$AO$13,Demand.Forecast!$D$1:$AO$1,AJ$4)</f>
        <v>0</v>
      </c>
      <c r="AK19" s="883">
        <f>SUMIFS(Demand.Forecast!$D$13:$AO$13,Demand.Forecast!$D$1:$AO$1,AK$4)</f>
        <v>0</v>
      </c>
      <c r="AL19" s="883">
        <f>SUMIFS(Demand.Forecast!$D$13:$AO$13,Demand.Forecast!$D$1:$AO$1,AL$4)</f>
        <v>0</v>
      </c>
      <c r="AM19" s="883">
        <f>SUMIFS(Demand.Forecast!$D$13:$AO$13,Demand.Forecast!$D$1:$AO$1,AM$4)</f>
        <v>0</v>
      </c>
      <c r="AN19" s="883">
        <f>SUMIFS(Demand.Forecast!$D$13:$AO$13,Demand.Forecast!$D$1:$AO$1,AN$4)</f>
        <v>0</v>
      </c>
      <c r="AO19" s="883">
        <f>SUMIFS(Demand.Forecast!$D$13:$AO$13,Demand.Forecast!$D$1:$AO$1,AO$4)</f>
        <v>0</v>
      </c>
    </row>
    <row r="20" spans="1:41" s="894" customFormat="1">
      <c r="A20" s="888"/>
      <c r="B20" s="920"/>
      <c r="C20" s="921"/>
      <c r="D20" s="921"/>
      <c r="E20" s="921"/>
      <c r="F20" s="921"/>
      <c r="G20" s="921"/>
      <c r="H20" s="964"/>
      <c r="I20" s="921"/>
      <c r="J20" s="921"/>
      <c r="K20" s="921"/>
      <c r="L20" s="921"/>
      <c r="M20" s="921"/>
      <c r="N20" s="921"/>
      <c r="O20" s="921"/>
      <c r="P20" s="921"/>
      <c r="Q20" s="921"/>
      <c r="R20" s="921"/>
      <c r="S20" s="921"/>
      <c r="T20" s="921"/>
      <c r="U20" s="921"/>
      <c r="V20" s="921"/>
      <c r="W20" s="921"/>
      <c r="X20" s="921"/>
      <c r="Y20" s="921"/>
      <c r="Z20" s="921"/>
      <c r="AA20" s="921"/>
      <c r="AB20" s="921"/>
      <c r="AC20" s="921"/>
      <c r="AD20" s="921"/>
      <c r="AE20" s="921"/>
      <c r="AF20" s="921"/>
      <c r="AG20" s="921"/>
      <c r="AH20" s="921"/>
      <c r="AI20" s="921"/>
      <c r="AJ20" s="921"/>
      <c r="AK20" s="921"/>
      <c r="AL20" s="921"/>
      <c r="AM20" s="921"/>
      <c r="AN20" s="921"/>
      <c r="AO20" s="921"/>
    </row>
    <row r="21" spans="1:41" s="894" customFormat="1">
      <c r="A21" s="888" t="s">
        <v>503</v>
      </c>
      <c r="B21" s="920" t="s">
        <v>98</v>
      </c>
      <c r="C21" s="963">
        <f t="shared" ref="C21:Z21" si="23">C18/10^9*C$7</f>
        <v>0</v>
      </c>
      <c r="D21" s="963">
        <f>D18/10^9*D$7</f>
        <v>2.1448869963000003</v>
      </c>
      <c r="E21" s="963">
        <f t="shared" si="23"/>
        <v>2.1516792100412476</v>
      </c>
      <c r="F21" s="963">
        <f t="shared" si="23"/>
        <v>2.1584929326860345</v>
      </c>
      <c r="G21" s="963">
        <f>G18/10^9*G$7</f>
        <v>2.165328232346607</v>
      </c>
      <c r="H21" s="963">
        <f>H18/10^9*H$7</f>
        <v>2.1721851773509013</v>
      </c>
      <c r="I21" s="963">
        <f t="shared" si="23"/>
        <v>2.1790638362432291</v>
      </c>
      <c r="J21" s="963">
        <f t="shared" si="23"/>
        <v>2.1859642777849597</v>
      </c>
      <c r="K21" s="963">
        <f t="shared" si="23"/>
        <v>2.1928865709552103</v>
      </c>
      <c r="L21" s="963">
        <f t="shared" si="23"/>
        <v>2.1998307849515335</v>
      </c>
      <c r="M21" s="963">
        <f t="shared" si="23"/>
        <v>2.206796989190611</v>
      </c>
      <c r="N21" s="963">
        <f t="shared" si="23"/>
        <v>2.2137852533089446</v>
      </c>
      <c r="O21" s="963">
        <f t="shared" si="23"/>
        <v>2.2207956471635555</v>
      </c>
      <c r="P21" s="963">
        <f t="shared" si="23"/>
        <v>2.2278282408326797</v>
      </c>
      <c r="Q21" s="963">
        <f t="shared" si="23"/>
        <v>2.2348831046164714</v>
      </c>
      <c r="R21" s="963">
        <f t="shared" si="23"/>
        <v>2.2419603090377032</v>
      </c>
      <c r="S21" s="963">
        <f t="shared" si="23"/>
        <v>2.2490599248424732</v>
      </c>
      <c r="T21" s="963">
        <f t="shared" si="23"/>
        <v>2.2561820230009104</v>
      </c>
      <c r="U21" s="963">
        <f t="shared" si="23"/>
        <v>2.2633266747078848</v>
      </c>
      <c r="V21" s="963">
        <f t="shared" si="23"/>
        <v>2.2704939513837199</v>
      </c>
      <c r="W21" s="963">
        <f t="shared" si="23"/>
        <v>2.2776839246749052</v>
      </c>
      <c r="X21" s="963">
        <f t="shared" si="23"/>
        <v>2.2848966664548134</v>
      </c>
      <c r="Y21" s="963">
        <f t="shared" si="23"/>
        <v>2.2921322488244193</v>
      </c>
      <c r="Z21" s="963">
        <f t="shared" si="23"/>
        <v>2.2993907441130181</v>
      </c>
      <c r="AA21" s="963">
        <f t="shared" ref="AA21:AB21" si="24">AA18/10^9*AA$7</f>
        <v>2.3066722248789526</v>
      </c>
      <c r="AB21" s="963">
        <f t="shared" si="24"/>
        <v>2.3139767639103344</v>
      </c>
      <c r="AC21" s="963">
        <f t="shared" ref="AC21:AE21" si="25">AC18/10^9*AC$7</f>
        <v>2.3213044342257736</v>
      </c>
      <c r="AD21" s="963">
        <f t="shared" si="25"/>
        <v>2.3286553090751085</v>
      </c>
      <c r="AE21" s="963">
        <f t="shared" si="25"/>
        <v>2.3360294619401372</v>
      </c>
      <c r="AF21" s="963">
        <f t="shared" ref="AF21:AO21" si="26">AF18/10^9*AF$7</f>
        <v>2.3434269665353535</v>
      </c>
      <c r="AG21" s="963">
        <f t="shared" si="26"/>
        <v>2.3508478968086819</v>
      </c>
      <c r="AH21" s="963">
        <f t="shared" si="26"/>
        <v>2.3582923269422182</v>
      </c>
      <c r="AI21" s="963">
        <f t="shared" si="26"/>
        <v>2.3657603313529716</v>
      </c>
      <c r="AJ21" s="963">
        <f t="shared" si="26"/>
        <v>2.3732519846936055</v>
      </c>
      <c r="AK21" s="963">
        <f t="shared" si="26"/>
        <v>2.3807673618531875</v>
      </c>
      <c r="AL21" s="963">
        <f t="shared" si="26"/>
        <v>2.3883065379579369</v>
      </c>
      <c r="AM21" s="963">
        <f t="shared" si="26"/>
        <v>2.3958695883719745</v>
      </c>
      <c r="AN21" s="963">
        <f t="shared" si="26"/>
        <v>2.4034565886980745</v>
      </c>
      <c r="AO21" s="963">
        <f t="shared" si="26"/>
        <v>2.4110676147784265</v>
      </c>
    </row>
    <row r="22" spans="1:41" s="894" customFormat="1">
      <c r="A22" s="888" t="s">
        <v>504</v>
      </c>
      <c r="B22" s="920" t="s">
        <v>98</v>
      </c>
      <c r="C22" s="963">
        <f t="shared" ref="C22:Z22" si="27">C19/10^9*C$8</f>
        <v>0</v>
      </c>
      <c r="D22" s="963">
        <f t="shared" si="27"/>
        <v>0</v>
      </c>
      <c r="E22" s="963">
        <f t="shared" si="27"/>
        <v>0</v>
      </c>
      <c r="F22" s="963">
        <f t="shared" si="27"/>
        <v>0</v>
      </c>
      <c r="G22" s="963">
        <f t="shared" si="27"/>
        <v>0</v>
      </c>
      <c r="H22" s="963">
        <f>H19/10^9*H$8</f>
        <v>0</v>
      </c>
      <c r="I22" s="963">
        <f t="shared" si="27"/>
        <v>0</v>
      </c>
      <c r="J22" s="963">
        <f t="shared" si="27"/>
        <v>0</v>
      </c>
      <c r="K22" s="963">
        <f t="shared" si="27"/>
        <v>0</v>
      </c>
      <c r="L22" s="963">
        <f t="shared" si="27"/>
        <v>0</v>
      </c>
      <c r="M22" s="963">
        <f t="shared" si="27"/>
        <v>0</v>
      </c>
      <c r="N22" s="963">
        <f t="shared" si="27"/>
        <v>0</v>
      </c>
      <c r="O22" s="963">
        <f t="shared" si="27"/>
        <v>0</v>
      </c>
      <c r="P22" s="963">
        <f t="shared" si="27"/>
        <v>0</v>
      </c>
      <c r="Q22" s="963">
        <f t="shared" si="27"/>
        <v>0</v>
      </c>
      <c r="R22" s="963">
        <f t="shared" si="27"/>
        <v>0</v>
      </c>
      <c r="S22" s="963">
        <f t="shared" si="27"/>
        <v>0</v>
      </c>
      <c r="T22" s="963">
        <f t="shared" si="27"/>
        <v>0</v>
      </c>
      <c r="U22" s="963">
        <f t="shared" si="27"/>
        <v>0</v>
      </c>
      <c r="V22" s="963">
        <f t="shared" si="27"/>
        <v>0</v>
      </c>
      <c r="W22" s="963">
        <f t="shared" si="27"/>
        <v>0</v>
      </c>
      <c r="X22" s="963">
        <f t="shared" si="27"/>
        <v>0</v>
      </c>
      <c r="Y22" s="963">
        <f t="shared" si="27"/>
        <v>0</v>
      </c>
      <c r="Z22" s="963">
        <f t="shared" si="27"/>
        <v>0</v>
      </c>
      <c r="AA22" s="963">
        <f t="shared" ref="AA22:AB22" si="28">AA19/10^9*AA$8</f>
        <v>0</v>
      </c>
      <c r="AB22" s="963">
        <f t="shared" si="28"/>
        <v>0</v>
      </c>
      <c r="AC22" s="963">
        <f t="shared" ref="AC22:AE22" si="29">AC19/10^9*AC$8</f>
        <v>0</v>
      </c>
      <c r="AD22" s="963">
        <f t="shared" si="29"/>
        <v>0</v>
      </c>
      <c r="AE22" s="963">
        <f t="shared" si="29"/>
        <v>0</v>
      </c>
      <c r="AF22" s="963">
        <f t="shared" ref="AF22:AO22" si="30">AF19/10^9*AF$8</f>
        <v>0</v>
      </c>
      <c r="AG22" s="963">
        <f t="shared" si="30"/>
        <v>0</v>
      </c>
      <c r="AH22" s="963">
        <f t="shared" si="30"/>
        <v>0</v>
      </c>
      <c r="AI22" s="963">
        <f t="shared" si="30"/>
        <v>0</v>
      </c>
      <c r="AJ22" s="963">
        <f t="shared" si="30"/>
        <v>0</v>
      </c>
      <c r="AK22" s="963">
        <f t="shared" si="30"/>
        <v>0</v>
      </c>
      <c r="AL22" s="963">
        <f t="shared" si="30"/>
        <v>0</v>
      </c>
      <c r="AM22" s="963">
        <f t="shared" si="30"/>
        <v>0</v>
      </c>
      <c r="AN22" s="963">
        <f t="shared" si="30"/>
        <v>0</v>
      </c>
      <c r="AO22" s="963">
        <f t="shared" si="30"/>
        <v>0</v>
      </c>
    </row>
    <row r="23" spans="1:41" s="894" customFormat="1">
      <c r="A23" s="888" t="s">
        <v>505</v>
      </c>
      <c r="B23" s="920" t="s">
        <v>98</v>
      </c>
      <c r="C23" s="963">
        <f>SUM(C21:C22)</f>
        <v>0</v>
      </c>
      <c r="D23" s="963">
        <f t="shared" ref="D23:AE23" si="31">SUM(D21:D22)</f>
        <v>2.1448869963000003</v>
      </c>
      <c r="E23" s="963">
        <f t="shared" si="31"/>
        <v>2.1516792100412476</v>
      </c>
      <c r="F23" s="963">
        <f t="shared" si="31"/>
        <v>2.1584929326860345</v>
      </c>
      <c r="G23" s="963">
        <f t="shared" si="31"/>
        <v>2.165328232346607</v>
      </c>
      <c r="H23" s="963">
        <f t="shared" si="31"/>
        <v>2.1721851773509013</v>
      </c>
      <c r="I23" s="963">
        <f t="shared" si="31"/>
        <v>2.1790638362432291</v>
      </c>
      <c r="J23" s="963">
        <f t="shared" si="31"/>
        <v>2.1859642777849597</v>
      </c>
      <c r="K23" s="963">
        <f t="shared" si="31"/>
        <v>2.1928865709552103</v>
      </c>
      <c r="L23" s="963">
        <f t="shared" si="31"/>
        <v>2.1998307849515335</v>
      </c>
      <c r="M23" s="963">
        <f t="shared" si="31"/>
        <v>2.206796989190611</v>
      </c>
      <c r="N23" s="963">
        <f t="shared" si="31"/>
        <v>2.2137852533089446</v>
      </c>
      <c r="O23" s="963">
        <f t="shared" si="31"/>
        <v>2.2207956471635555</v>
      </c>
      <c r="P23" s="963">
        <f t="shared" si="31"/>
        <v>2.2278282408326797</v>
      </c>
      <c r="Q23" s="963">
        <f t="shared" si="31"/>
        <v>2.2348831046164714</v>
      </c>
      <c r="R23" s="963">
        <f t="shared" si="31"/>
        <v>2.2419603090377032</v>
      </c>
      <c r="S23" s="963">
        <f t="shared" si="31"/>
        <v>2.2490599248424732</v>
      </c>
      <c r="T23" s="963">
        <f t="shared" si="31"/>
        <v>2.2561820230009104</v>
      </c>
      <c r="U23" s="963">
        <f t="shared" si="31"/>
        <v>2.2633266747078848</v>
      </c>
      <c r="V23" s="963">
        <f t="shared" si="31"/>
        <v>2.2704939513837199</v>
      </c>
      <c r="W23" s="963">
        <f t="shared" si="31"/>
        <v>2.2776839246749052</v>
      </c>
      <c r="X23" s="963">
        <f t="shared" si="31"/>
        <v>2.2848966664548134</v>
      </c>
      <c r="Y23" s="963">
        <f t="shared" si="31"/>
        <v>2.2921322488244193</v>
      </c>
      <c r="Z23" s="963">
        <f t="shared" si="31"/>
        <v>2.2993907441130181</v>
      </c>
      <c r="AA23" s="963">
        <f t="shared" si="31"/>
        <v>2.3066722248789526</v>
      </c>
      <c r="AB23" s="963">
        <f t="shared" si="31"/>
        <v>2.3139767639103344</v>
      </c>
      <c r="AC23" s="963">
        <f t="shared" si="31"/>
        <v>2.3213044342257736</v>
      </c>
      <c r="AD23" s="963">
        <f t="shared" si="31"/>
        <v>2.3286553090751085</v>
      </c>
      <c r="AE23" s="963">
        <f t="shared" si="31"/>
        <v>2.3360294619401372</v>
      </c>
      <c r="AF23" s="963">
        <f t="shared" ref="AF23:AO23" si="32">SUM(AF21:AF22)</f>
        <v>2.3434269665353535</v>
      </c>
      <c r="AG23" s="963">
        <f t="shared" si="32"/>
        <v>2.3508478968086819</v>
      </c>
      <c r="AH23" s="963">
        <f t="shared" si="32"/>
        <v>2.3582923269422182</v>
      </c>
      <c r="AI23" s="963">
        <f t="shared" si="32"/>
        <v>2.3657603313529716</v>
      </c>
      <c r="AJ23" s="963">
        <f t="shared" si="32"/>
        <v>2.3732519846936055</v>
      </c>
      <c r="AK23" s="963">
        <f t="shared" si="32"/>
        <v>2.3807673618531875</v>
      </c>
      <c r="AL23" s="963">
        <f t="shared" si="32"/>
        <v>2.3883065379579369</v>
      </c>
      <c r="AM23" s="963">
        <f t="shared" si="32"/>
        <v>2.3958695883719745</v>
      </c>
      <c r="AN23" s="963">
        <f t="shared" si="32"/>
        <v>2.4034565886980745</v>
      </c>
      <c r="AO23" s="963">
        <f t="shared" si="32"/>
        <v>2.4110676147784265</v>
      </c>
    </row>
    <row r="24" spans="1:41" s="894" customFormat="1">
      <c r="A24" s="888"/>
      <c r="B24" s="920"/>
      <c r="C24" s="921"/>
      <c r="D24" s="921"/>
      <c r="E24" s="921"/>
      <c r="F24" s="921"/>
      <c r="G24" s="921"/>
      <c r="H24" s="963"/>
      <c r="I24" s="963"/>
      <c r="J24" s="963"/>
      <c r="K24" s="963"/>
      <c r="L24" s="963"/>
      <c r="M24" s="963"/>
      <c r="N24" s="963"/>
      <c r="O24" s="963"/>
      <c r="P24" s="963"/>
      <c r="Q24" s="963"/>
      <c r="R24" s="963"/>
      <c r="S24" s="963"/>
      <c r="T24" s="963"/>
      <c r="U24" s="963"/>
      <c r="V24" s="963"/>
      <c r="W24" s="963"/>
      <c r="X24" s="963"/>
      <c r="Y24" s="963"/>
      <c r="Z24" s="963"/>
      <c r="AA24" s="963"/>
      <c r="AB24" s="963"/>
      <c r="AC24" s="963"/>
      <c r="AD24" s="963"/>
      <c r="AE24" s="963"/>
      <c r="AF24" s="963"/>
      <c r="AG24" s="963"/>
      <c r="AH24" s="963"/>
      <c r="AI24" s="963"/>
      <c r="AJ24" s="963"/>
      <c r="AK24" s="963"/>
      <c r="AL24" s="963"/>
      <c r="AM24" s="963"/>
      <c r="AN24" s="963"/>
      <c r="AO24" s="963"/>
    </row>
    <row r="25" spans="1:41" s="894" customFormat="1">
      <c r="A25" s="888" t="s">
        <v>506</v>
      </c>
      <c r="B25" s="920" t="s">
        <v>100</v>
      </c>
      <c r="C25" s="963">
        <f t="shared" ref="C25:Z25" si="33">C18/10^9*C$10</f>
        <v>0</v>
      </c>
      <c r="D25" s="963">
        <f>D18/10^9*D$10</f>
        <v>53.280306381300001</v>
      </c>
      <c r="E25" s="963">
        <f t="shared" si="33"/>
        <v>53.449029129754912</v>
      </c>
      <c r="F25" s="963">
        <f t="shared" si="33"/>
        <v>53.618286172544437</v>
      </c>
      <c r="G25" s="963">
        <f t="shared" si="33"/>
        <v>53.78807920161848</v>
      </c>
      <c r="H25" s="963">
        <f t="shared" si="33"/>
        <v>53.958409914284822</v>
      </c>
      <c r="I25" s="963">
        <f t="shared" si="33"/>
        <v>54.129280013226101</v>
      </c>
      <c r="J25" s="963">
        <f t="shared" si="33"/>
        <v>54.300691206516881</v>
      </c>
      <c r="K25" s="963">
        <f t="shared" si="33"/>
        <v>54.47264520764066</v>
      </c>
      <c r="L25" s="963">
        <f t="shared" si="33"/>
        <v>54.645143735507006</v>
      </c>
      <c r="M25" s="963">
        <f t="shared" si="33"/>
        <v>54.818188514468794</v>
      </c>
      <c r="N25" s="963">
        <f t="shared" si="33"/>
        <v>54.991781274339388</v>
      </c>
      <c r="O25" s="963">
        <f t="shared" si="33"/>
        <v>55.165923750409952</v>
      </c>
      <c r="P25" s="963">
        <f t="shared" si="33"/>
        <v>55.340617683466796</v>
      </c>
      <c r="Q25" s="963">
        <f t="shared" si="33"/>
        <v>55.515864819808797</v>
      </c>
      <c r="R25" s="963">
        <f t="shared" si="33"/>
        <v>55.691666911264804</v>
      </c>
      <c r="S25" s="963">
        <f t="shared" si="33"/>
        <v>55.868025715211211</v>
      </c>
      <c r="T25" s="963">
        <f t="shared" si="33"/>
        <v>56.044942994589469</v>
      </c>
      <c r="U25" s="963">
        <f t="shared" si="33"/>
        <v>56.22242051792378</v>
      </c>
      <c r="V25" s="963">
        <f t="shared" si="33"/>
        <v>56.400460059338677</v>
      </c>
      <c r="W25" s="963">
        <f t="shared" si="33"/>
        <v>56.579063398576857</v>
      </c>
      <c r="X25" s="963">
        <f t="shared" si="33"/>
        <v>56.758232321016891</v>
      </c>
      <c r="Y25" s="963">
        <f t="shared" si="33"/>
        <v>56.937968617691148</v>
      </c>
      <c r="Z25" s="963">
        <f t="shared" si="33"/>
        <v>57.118274085303611</v>
      </c>
      <c r="AA25" s="963">
        <f t="shared" ref="AA25:AB25" si="34">AA18/10^9*AA$10</f>
        <v>57.299150526247949</v>
      </c>
      <c r="AB25" s="963">
        <f t="shared" si="34"/>
        <v>57.480599748625423</v>
      </c>
      <c r="AC25" s="963">
        <f t="shared" ref="AC25:AE25" si="35">AC18/10^9*AC$10</f>
        <v>57.662623566263008</v>
      </c>
      <c r="AD25" s="963">
        <f t="shared" si="35"/>
        <v>57.845223798731567</v>
      </c>
      <c r="AE25" s="963">
        <f t="shared" si="35"/>
        <v>58.02840227136393</v>
      </c>
      <c r="AF25" s="963">
        <f t="shared" ref="AF25:AO25" si="36">AF18/10^9*AF$10</f>
        <v>58.212160815273286</v>
      </c>
      <c r="AG25" s="963">
        <f t="shared" si="36"/>
        <v>58.396501267371356</v>
      </c>
      <c r="AH25" s="963">
        <f t="shared" si="36"/>
        <v>58.581425470386819</v>
      </c>
      <c r="AI25" s="963">
        <f t="shared" si="36"/>
        <v>58.766935272883735</v>
      </c>
      <c r="AJ25" s="963">
        <f t="shared" si="36"/>
        <v>58.953032529280009</v>
      </c>
      <c r="AK25" s="963">
        <f t="shared" si="36"/>
        <v>59.139719099865914</v>
      </c>
      <c r="AL25" s="963">
        <f t="shared" si="36"/>
        <v>59.326996850822752</v>
      </c>
      <c r="AM25" s="963">
        <f t="shared" si="36"/>
        <v>59.514867654241421</v>
      </c>
      <c r="AN25" s="963">
        <f t="shared" si="36"/>
        <v>59.703333388141139</v>
      </c>
      <c r="AO25" s="963">
        <f t="shared" si="36"/>
        <v>59.892395936488313</v>
      </c>
    </row>
    <row r="26" spans="1:41" s="894" customFormat="1">
      <c r="A26" s="888" t="s">
        <v>507</v>
      </c>
      <c r="B26" s="920" t="s">
        <v>100</v>
      </c>
      <c r="C26" s="963">
        <f t="shared" ref="C26:Z26" si="37">C19/10^9*C$11</f>
        <v>0</v>
      </c>
      <c r="D26" s="963">
        <f t="shared" si="37"/>
        <v>0</v>
      </c>
      <c r="E26" s="963">
        <f t="shared" si="37"/>
        <v>0</v>
      </c>
      <c r="F26" s="963">
        <f t="shared" si="37"/>
        <v>0</v>
      </c>
      <c r="G26" s="963">
        <f t="shared" si="37"/>
        <v>0</v>
      </c>
      <c r="H26" s="963">
        <f t="shared" si="37"/>
        <v>0</v>
      </c>
      <c r="I26" s="963">
        <f t="shared" si="37"/>
        <v>0</v>
      </c>
      <c r="J26" s="963">
        <f t="shared" si="37"/>
        <v>0</v>
      </c>
      <c r="K26" s="963">
        <f t="shared" si="37"/>
        <v>0</v>
      </c>
      <c r="L26" s="963">
        <f t="shared" si="37"/>
        <v>0</v>
      </c>
      <c r="M26" s="963">
        <f t="shared" si="37"/>
        <v>0</v>
      </c>
      <c r="N26" s="963">
        <f t="shared" si="37"/>
        <v>0</v>
      </c>
      <c r="O26" s="963">
        <f t="shared" si="37"/>
        <v>0</v>
      </c>
      <c r="P26" s="963">
        <f t="shared" si="37"/>
        <v>0</v>
      </c>
      <c r="Q26" s="963">
        <f t="shared" si="37"/>
        <v>0</v>
      </c>
      <c r="R26" s="963">
        <f t="shared" si="37"/>
        <v>0</v>
      </c>
      <c r="S26" s="963">
        <f t="shared" si="37"/>
        <v>0</v>
      </c>
      <c r="T26" s="963">
        <f t="shared" si="37"/>
        <v>0</v>
      </c>
      <c r="U26" s="963">
        <f t="shared" si="37"/>
        <v>0</v>
      </c>
      <c r="V26" s="963">
        <f t="shared" si="37"/>
        <v>0</v>
      </c>
      <c r="W26" s="963">
        <f t="shared" si="37"/>
        <v>0</v>
      </c>
      <c r="X26" s="963">
        <f t="shared" si="37"/>
        <v>0</v>
      </c>
      <c r="Y26" s="963">
        <f t="shared" si="37"/>
        <v>0</v>
      </c>
      <c r="Z26" s="963">
        <f t="shared" si="37"/>
        <v>0</v>
      </c>
      <c r="AA26" s="963">
        <f t="shared" ref="AA26:AB26" si="38">AA19/10^9*AA$11</f>
        <v>0</v>
      </c>
      <c r="AB26" s="963">
        <f t="shared" si="38"/>
        <v>0</v>
      </c>
      <c r="AC26" s="963">
        <f t="shared" ref="AC26:AE26" si="39">AC19/10^9*AC$11</f>
        <v>0</v>
      </c>
      <c r="AD26" s="963">
        <f t="shared" si="39"/>
        <v>0</v>
      </c>
      <c r="AE26" s="963">
        <f t="shared" si="39"/>
        <v>0</v>
      </c>
      <c r="AF26" s="963">
        <f t="shared" ref="AF26:AO26" si="40">AF19/10^9*AF$11</f>
        <v>0</v>
      </c>
      <c r="AG26" s="963">
        <f t="shared" si="40"/>
        <v>0</v>
      </c>
      <c r="AH26" s="963">
        <f t="shared" si="40"/>
        <v>0</v>
      </c>
      <c r="AI26" s="963">
        <f t="shared" si="40"/>
        <v>0</v>
      </c>
      <c r="AJ26" s="963">
        <f t="shared" si="40"/>
        <v>0</v>
      </c>
      <c r="AK26" s="963">
        <f t="shared" si="40"/>
        <v>0</v>
      </c>
      <c r="AL26" s="963">
        <f t="shared" si="40"/>
        <v>0</v>
      </c>
      <c r="AM26" s="963">
        <f t="shared" si="40"/>
        <v>0</v>
      </c>
      <c r="AN26" s="963">
        <f t="shared" si="40"/>
        <v>0</v>
      </c>
      <c r="AO26" s="963">
        <f t="shared" si="40"/>
        <v>0</v>
      </c>
    </row>
    <row r="27" spans="1:41" s="894" customFormat="1">
      <c r="A27" s="888" t="s">
        <v>508</v>
      </c>
      <c r="B27" s="920" t="s">
        <v>100</v>
      </c>
      <c r="C27" s="963">
        <f>SUM(C25:C26)</f>
        <v>0</v>
      </c>
      <c r="D27" s="963">
        <f t="shared" ref="D27:AE27" si="41">SUM(D25:D26)</f>
        <v>53.280306381300001</v>
      </c>
      <c r="E27" s="963">
        <f t="shared" si="41"/>
        <v>53.449029129754912</v>
      </c>
      <c r="F27" s="963">
        <f t="shared" si="41"/>
        <v>53.618286172544437</v>
      </c>
      <c r="G27" s="963">
        <f t="shared" si="41"/>
        <v>53.78807920161848</v>
      </c>
      <c r="H27" s="963">
        <f t="shared" si="41"/>
        <v>53.958409914284822</v>
      </c>
      <c r="I27" s="963">
        <f t="shared" si="41"/>
        <v>54.129280013226101</v>
      </c>
      <c r="J27" s="963">
        <f t="shared" si="41"/>
        <v>54.300691206516881</v>
      </c>
      <c r="K27" s="963">
        <f t="shared" si="41"/>
        <v>54.47264520764066</v>
      </c>
      <c r="L27" s="963">
        <f t="shared" si="41"/>
        <v>54.645143735507006</v>
      </c>
      <c r="M27" s="963">
        <f t="shared" si="41"/>
        <v>54.818188514468794</v>
      </c>
      <c r="N27" s="963">
        <f t="shared" si="41"/>
        <v>54.991781274339388</v>
      </c>
      <c r="O27" s="963">
        <f t="shared" si="41"/>
        <v>55.165923750409952</v>
      </c>
      <c r="P27" s="963">
        <f t="shared" si="41"/>
        <v>55.340617683466796</v>
      </c>
      <c r="Q27" s="963">
        <f t="shared" si="41"/>
        <v>55.515864819808797</v>
      </c>
      <c r="R27" s="963">
        <f t="shared" si="41"/>
        <v>55.691666911264804</v>
      </c>
      <c r="S27" s="963">
        <f t="shared" si="41"/>
        <v>55.868025715211211</v>
      </c>
      <c r="T27" s="963">
        <f t="shared" si="41"/>
        <v>56.044942994589469</v>
      </c>
      <c r="U27" s="963">
        <f t="shared" si="41"/>
        <v>56.22242051792378</v>
      </c>
      <c r="V27" s="963">
        <f t="shared" si="41"/>
        <v>56.400460059338677</v>
      </c>
      <c r="W27" s="963">
        <f t="shared" si="41"/>
        <v>56.579063398576857</v>
      </c>
      <c r="X27" s="963">
        <f t="shared" si="41"/>
        <v>56.758232321016891</v>
      </c>
      <c r="Y27" s="963">
        <f t="shared" si="41"/>
        <v>56.937968617691148</v>
      </c>
      <c r="Z27" s="963">
        <f t="shared" si="41"/>
        <v>57.118274085303611</v>
      </c>
      <c r="AA27" s="963">
        <f t="shared" si="41"/>
        <v>57.299150526247949</v>
      </c>
      <c r="AB27" s="963">
        <f t="shared" si="41"/>
        <v>57.480599748625423</v>
      </c>
      <c r="AC27" s="963">
        <f t="shared" si="41"/>
        <v>57.662623566263008</v>
      </c>
      <c r="AD27" s="963">
        <f t="shared" si="41"/>
        <v>57.845223798731567</v>
      </c>
      <c r="AE27" s="963">
        <f t="shared" si="41"/>
        <v>58.02840227136393</v>
      </c>
      <c r="AF27" s="963">
        <f t="shared" ref="AF27:AO27" si="42">SUM(AF25:AF26)</f>
        <v>58.212160815273286</v>
      </c>
      <c r="AG27" s="963">
        <f t="shared" si="42"/>
        <v>58.396501267371356</v>
      </c>
      <c r="AH27" s="963">
        <f t="shared" si="42"/>
        <v>58.581425470386819</v>
      </c>
      <c r="AI27" s="963">
        <f t="shared" si="42"/>
        <v>58.766935272883735</v>
      </c>
      <c r="AJ27" s="963">
        <f t="shared" si="42"/>
        <v>58.953032529280009</v>
      </c>
      <c r="AK27" s="963">
        <f t="shared" si="42"/>
        <v>59.139719099865914</v>
      </c>
      <c r="AL27" s="963">
        <f t="shared" si="42"/>
        <v>59.326996850822752</v>
      </c>
      <c r="AM27" s="963">
        <f t="shared" si="42"/>
        <v>59.514867654241421</v>
      </c>
      <c r="AN27" s="963">
        <f t="shared" si="42"/>
        <v>59.703333388141139</v>
      </c>
      <c r="AO27" s="963">
        <f t="shared" si="42"/>
        <v>59.892395936488313</v>
      </c>
    </row>
    <row r="28" spans="1:41" s="894" customFormat="1">
      <c r="A28" s="888"/>
      <c r="B28" s="920"/>
      <c r="C28" s="921"/>
      <c r="D28" s="921"/>
      <c r="E28" s="921"/>
      <c r="F28" s="921"/>
      <c r="G28" s="921"/>
      <c r="H28" s="921"/>
      <c r="I28" s="921"/>
      <c r="J28" s="921"/>
      <c r="K28" s="921"/>
      <c r="L28" s="921"/>
      <c r="M28" s="921"/>
      <c r="N28" s="921"/>
      <c r="O28" s="921"/>
      <c r="P28" s="921"/>
      <c r="Q28" s="921"/>
      <c r="R28" s="921"/>
      <c r="S28" s="921"/>
      <c r="T28" s="921"/>
      <c r="U28" s="921"/>
      <c r="V28" s="921"/>
      <c r="W28" s="921"/>
      <c r="X28" s="921"/>
      <c r="Y28" s="921"/>
      <c r="Z28" s="921"/>
      <c r="AA28" s="921"/>
      <c r="AB28" s="921"/>
      <c r="AC28" s="921"/>
      <c r="AD28" s="921"/>
      <c r="AE28" s="921"/>
      <c r="AF28" s="921"/>
      <c r="AG28" s="921"/>
      <c r="AH28" s="921"/>
      <c r="AI28" s="921"/>
      <c r="AJ28" s="921"/>
      <c r="AK28" s="921"/>
      <c r="AL28" s="921"/>
      <c r="AM28" s="921"/>
      <c r="AN28" s="921"/>
      <c r="AO28" s="921"/>
    </row>
    <row r="29" spans="1:41" s="934" customFormat="1" ht="15">
      <c r="A29" s="931" t="s">
        <v>509</v>
      </c>
      <c r="B29" s="932" t="s">
        <v>456</v>
      </c>
      <c r="C29" s="933">
        <f>C23*C$13+C27*C$14</f>
        <v>0</v>
      </c>
      <c r="D29" s="933">
        <f t="shared" ref="D29:AE29" si="43">D23*D$13+D27*D$14</f>
        <v>38404882.122320883</v>
      </c>
      <c r="E29" s="933">
        <f t="shared" si="43"/>
        <v>38526498.864150263</v>
      </c>
      <c r="F29" s="933">
        <f t="shared" si="43"/>
        <v>38648500.729721099</v>
      </c>
      <c r="G29" s="933">
        <f t="shared" si="43"/>
        <v>38770888.938604765</v>
      </c>
      <c r="H29" s="933">
        <f t="shared" si="43"/>
        <v>38893664.714234643</v>
      </c>
      <c r="I29" s="933">
        <f t="shared" si="43"/>
        <v>39016829.283918366</v>
      </c>
      <c r="J29" s="933">
        <f t="shared" si="43"/>
        <v>39140383.878850073</v>
      </c>
      <c r="K29" s="933">
        <f t="shared" si="43"/>
        <v>39264329.734122738</v>
      </c>
      <c r="L29" s="933">
        <f t="shared" si="43"/>
        <v>39388668.08874049</v>
      </c>
      <c r="M29" s="933">
        <f t="shared" si="43"/>
        <v>39513400.185631044</v>
      </c>
      <c r="N29" s="933">
        <f t="shared" si="43"/>
        <v>39638527.271658063</v>
      </c>
      <c r="O29" s="933">
        <f t="shared" si="43"/>
        <v>39764050.597633652</v>
      </c>
      <c r="P29" s="933">
        <f t="shared" si="43"/>
        <v>39889971.418330871</v>
      </c>
      <c r="Q29" s="933">
        <f t="shared" si="43"/>
        <v>40016290.992496289</v>
      </c>
      <c r="R29" s="933">
        <f t="shared" si="43"/>
        <v>40143010.582862511</v>
      </c>
      <c r="S29" s="933">
        <f t="shared" si="43"/>
        <v>40270131.456160873</v>
      </c>
      <c r="T29" s="933">
        <f t="shared" si="43"/>
        <v>40397654.883134045</v>
      </c>
      <c r="U29" s="933">
        <f t="shared" si="43"/>
        <v>40525582.138548777</v>
      </c>
      <c r="V29" s="933">
        <f t="shared" si="43"/>
        <v>40653914.501208596</v>
      </c>
      <c r="W29" s="933">
        <f t="shared" si="43"/>
        <v>40782653.253966637</v>
      </c>
      <c r="X29" s="933">
        <f t="shared" si="43"/>
        <v>40911799.68373844</v>
      </c>
      <c r="Y29" s="933">
        <f t="shared" si="43"/>
        <v>41041355.081514835</v>
      </c>
      <c r="Z29" s="933">
        <f t="shared" si="43"/>
        <v>41171320.742374793</v>
      </c>
      <c r="AA29" s="933">
        <f t="shared" si="43"/>
        <v>41301697.965498462</v>
      </c>
      <c r="AB29" s="933">
        <f t="shared" si="43"/>
        <v>41432488.054180071</v>
      </c>
      <c r="AC29" s="933">
        <f t="shared" si="43"/>
        <v>41563692.315840997</v>
      </c>
      <c r="AD29" s="933">
        <f t="shared" si="43"/>
        <v>41695312.062042847</v>
      </c>
      <c r="AE29" s="933">
        <f t="shared" si="43"/>
        <v>41827348.608500503</v>
      </c>
      <c r="AF29" s="933">
        <f t="shared" ref="AF29:AO29" si="44">AF23*AF$13+AF27*AF$14</f>
        <v>41959803.275095388</v>
      </c>
      <c r="AG29" s="933">
        <f t="shared" si="44"/>
        <v>42092677.385888532</v>
      </c>
      <c r="AH29" s="933">
        <f t="shared" si="44"/>
        <v>42225972.269133896</v>
      </c>
      <c r="AI29" s="933">
        <f t="shared" si="44"/>
        <v>42359689.257291645</v>
      </c>
      <c r="AJ29" s="933">
        <f t="shared" si="44"/>
        <v>42493829.687041402</v>
      </c>
      <c r="AK29" s="933">
        <f t="shared" si="44"/>
        <v>42628394.899295665</v>
      </c>
      <c r="AL29" s="933">
        <f t="shared" si="44"/>
        <v>42763386.239213243</v>
      </c>
      <c r="AM29" s="933">
        <f t="shared" si="44"/>
        <v>42898805.056212619</v>
      </c>
      <c r="AN29" s="933">
        <f t="shared" si="44"/>
        <v>43034652.703985445</v>
      </c>
      <c r="AO29" s="933">
        <f t="shared" si="44"/>
        <v>43170930.540510193</v>
      </c>
    </row>
    <row r="30" spans="1:41" s="936" customFormat="1" ht="15" customHeight="1">
      <c r="A30" s="967" t="s">
        <v>510</v>
      </c>
      <c r="B30" s="926"/>
      <c r="C30" s="935"/>
      <c r="D30" s="935"/>
      <c r="E30" s="935"/>
      <c r="F30" s="935"/>
      <c r="G30" s="935"/>
      <c r="H30" s="935"/>
      <c r="I30" s="935"/>
      <c r="J30" s="935"/>
      <c r="K30" s="935"/>
      <c r="L30" s="935"/>
      <c r="M30" s="935"/>
      <c r="N30" s="935"/>
      <c r="O30" s="935"/>
      <c r="P30" s="935"/>
      <c r="Q30" s="935"/>
      <c r="R30" s="935"/>
      <c r="S30" s="935"/>
      <c r="T30" s="935"/>
      <c r="U30" s="935"/>
      <c r="V30" s="935"/>
      <c r="W30" s="935"/>
      <c r="X30" s="935"/>
      <c r="Y30" s="935"/>
      <c r="Z30" s="935"/>
      <c r="AA30" s="935"/>
      <c r="AB30" s="935"/>
      <c r="AC30" s="935"/>
      <c r="AD30" s="935"/>
      <c r="AE30" s="935"/>
      <c r="AF30" s="935"/>
      <c r="AG30" s="935"/>
      <c r="AH30" s="935"/>
      <c r="AI30" s="935"/>
      <c r="AJ30" s="935"/>
      <c r="AK30" s="935"/>
      <c r="AL30" s="935"/>
      <c r="AM30" s="935"/>
      <c r="AN30" s="935"/>
      <c r="AO30" s="935"/>
    </row>
    <row r="31" spans="1:41" s="936" customFormat="1">
      <c r="A31" s="967"/>
      <c r="B31" s="926"/>
      <c r="C31" s="935"/>
      <c r="D31" s="935"/>
      <c r="E31" s="935"/>
      <c r="F31" s="935"/>
      <c r="G31" s="935"/>
      <c r="H31" s="935"/>
      <c r="I31" s="935"/>
      <c r="J31" s="935"/>
      <c r="K31" s="935"/>
      <c r="L31" s="935"/>
      <c r="M31" s="935"/>
      <c r="N31" s="935"/>
      <c r="O31" s="935"/>
      <c r="P31" s="935"/>
      <c r="Q31" s="935"/>
      <c r="R31" s="935"/>
      <c r="S31" s="935"/>
      <c r="T31" s="935"/>
      <c r="U31" s="935"/>
      <c r="V31" s="935"/>
      <c r="W31" s="935"/>
      <c r="X31" s="935"/>
      <c r="Y31" s="935"/>
      <c r="Z31" s="935"/>
      <c r="AA31" s="935"/>
      <c r="AB31" s="935"/>
      <c r="AC31" s="935"/>
      <c r="AD31" s="935"/>
      <c r="AE31" s="935"/>
      <c r="AF31" s="935"/>
      <c r="AG31" s="935"/>
      <c r="AH31" s="935"/>
      <c r="AI31" s="935"/>
      <c r="AJ31" s="935"/>
      <c r="AK31" s="935"/>
      <c r="AL31" s="935"/>
      <c r="AM31" s="935"/>
      <c r="AN31" s="935"/>
      <c r="AO31" s="935"/>
    </row>
    <row r="32" spans="1:41" s="919" customFormat="1" ht="15">
      <c r="A32" s="916" t="s">
        <v>489</v>
      </c>
      <c r="B32" s="917" t="s">
        <v>86</v>
      </c>
      <c r="C32" s="918" t="str">
        <f>IF(C$5&gt;0,C$4,"")</f>
        <v/>
      </c>
      <c r="D32" s="918" t="str">
        <f t="shared" ref="D32:AO32" si="45">IF(D$5&gt;0,D$4,"")</f>
        <v/>
      </c>
      <c r="E32" s="918" t="str">
        <f t="shared" si="45"/>
        <v/>
      </c>
      <c r="F32" s="918" t="str">
        <f t="shared" si="45"/>
        <v/>
      </c>
      <c r="G32" s="918" t="str">
        <f t="shared" si="45"/>
        <v/>
      </c>
      <c r="H32" s="918" t="str">
        <f t="shared" si="45"/>
        <v/>
      </c>
      <c r="I32" s="918" t="str">
        <f t="shared" si="45"/>
        <v/>
      </c>
      <c r="J32" s="918" t="str">
        <f t="shared" si="45"/>
        <v/>
      </c>
      <c r="K32" s="918" t="str">
        <f t="shared" si="45"/>
        <v/>
      </c>
      <c r="L32" s="918">
        <f t="shared" si="45"/>
        <v>2030</v>
      </c>
      <c r="M32" s="918">
        <f t="shared" si="45"/>
        <v>2031</v>
      </c>
      <c r="N32" s="918">
        <f t="shared" si="45"/>
        <v>2032</v>
      </c>
      <c r="O32" s="918">
        <f t="shared" si="45"/>
        <v>2033</v>
      </c>
      <c r="P32" s="918">
        <f t="shared" si="45"/>
        <v>2034</v>
      </c>
      <c r="Q32" s="918">
        <f t="shared" si="45"/>
        <v>2035</v>
      </c>
      <c r="R32" s="918">
        <f t="shared" si="45"/>
        <v>2036</v>
      </c>
      <c r="S32" s="918">
        <f t="shared" si="45"/>
        <v>2037</v>
      </c>
      <c r="T32" s="918">
        <f t="shared" si="45"/>
        <v>2038</v>
      </c>
      <c r="U32" s="918">
        <f t="shared" si="45"/>
        <v>2039</v>
      </c>
      <c r="V32" s="918">
        <f t="shared" si="45"/>
        <v>2040</v>
      </c>
      <c r="W32" s="918">
        <f t="shared" si="45"/>
        <v>2041</v>
      </c>
      <c r="X32" s="918">
        <f t="shared" si="45"/>
        <v>2042</v>
      </c>
      <c r="Y32" s="918">
        <f t="shared" si="45"/>
        <v>2043</v>
      </c>
      <c r="Z32" s="918">
        <f t="shared" si="45"/>
        <v>2044</v>
      </c>
      <c r="AA32" s="918">
        <f t="shared" si="45"/>
        <v>2045</v>
      </c>
      <c r="AB32" s="918">
        <f t="shared" si="45"/>
        <v>2046</v>
      </c>
      <c r="AC32" s="918">
        <f t="shared" si="45"/>
        <v>2047</v>
      </c>
      <c r="AD32" s="918">
        <f t="shared" si="45"/>
        <v>2048</v>
      </c>
      <c r="AE32" s="918">
        <f t="shared" si="45"/>
        <v>2049</v>
      </c>
      <c r="AF32" s="918">
        <f t="shared" si="45"/>
        <v>2050</v>
      </c>
      <c r="AG32" s="918">
        <f t="shared" si="45"/>
        <v>2051</v>
      </c>
      <c r="AH32" s="918">
        <f t="shared" si="45"/>
        <v>2052</v>
      </c>
      <c r="AI32" s="918">
        <f t="shared" si="45"/>
        <v>2053</v>
      </c>
      <c r="AJ32" s="918">
        <f t="shared" si="45"/>
        <v>2054</v>
      </c>
      <c r="AK32" s="918">
        <f t="shared" si="45"/>
        <v>2055</v>
      </c>
      <c r="AL32" s="918">
        <f t="shared" si="45"/>
        <v>2056</v>
      </c>
      <c r="AM32" s="918">
        <f t="shared" si="45"/>
        <v>2057</v>
      </c>
      <c r="AN32" s="918">
        <f t="shared" si="45"/>
        <v>2058</v>
      </c>
      <c r="AO32" s="918">
        <f t="shared" si="45"/>
        <v>2059</v>
      </c>
    </row>
    <row r="33" spans="1:41" s="936" customFormat="1">
      <c r="A33" s="888"/>
      <c r="B33" s="920"/>
      <c r="C33" s="921"/>
      <c r="D33" s="921"/>
      <c r="E33" s="921"/>
      <c r="F33" s="921"/>
      <c r="G33" s="921"/>
      <c r="H33" s="921"/>
      <c r="I33" s="921"/>
      <c r="J33" s="921"/>
      <c r="K33" s="921"/>
      <c r="L33" s="921"/>
      <c r="M33" s="921"/>
      <c r="N33" s="921"/>
      <c r="O33" s="921"/>
      <c r="P33" s="921"/>
      <c r="Q33" s="921"/>
      <c r="R33" s="921"/>
      <c r="S33" s="921"/>
      <c r="T33" s="921"/>
      <c r="U33" s="921"/>
      <c r="V33" s="921"/>
      <c r="W33" s="921"/>
      <c r="X33" s="921"/>
      <c r="Y33" s="921"/>
      <c r="Z33" s="921"/>
      <c r="AA33" s="921"/>
      <c r="AB33" s="921"/>
      <c r="AC33" s="921"/>
      <c r="AD33" s="921"/>
      <c r="AE33" s="921"/>
      <c r="AF33" s="921"/>
      <c r="AG33" s="921"/>
      <c r="AH33" s="921"/>
      <c r="AI33" s="921"/>
      <c r="AJ33" s="921"/>
      <c r="AK33" s="921"/>
      <c r="AL33" s="921"/>
      <c r="AM33" s="921"/>
      <c r="AN33" s="921"/>
      <c r="AO33" s="921"/>
    </row>
    <row r="34" spans="1:41" s="934" customFormat="1">
      <c r="A34" s="922" t="s">
        <v>447</v>
      </c>
      <c r="B34" s="923" t="s">
        <v>448</v>
      </c>
      <c r="C34" s="883">
        <f>SUMIFS(Demand.Forecast!$D$34:$AO$34,Demand.Forecast!$D$1:$AO$1,C$4)</f>
        <v>0</v>
      </c>
      <c r="D34" s="883">
        <f>SUMIFS(Demand.Forecast!$D$34:$AO$34,Demand.Forecast!$D$1:$AO$1,D$4)</f>
        <v>965730300</v>
      </c>
      <c r="E34" s="883">
        <f>SUMIFS(Demand.Forecast!$D$34:$AO$34,Demand.Forecast!$D$1:$AO$1,E$4)</f>
        <v>968788478.18156123</v>
      </c>
      <c r="F34" s="883">
        <f>SUMIFS(Demand.Forecast!$D$34:$AO$34,Demand.Forecast!$D$1:$AO$1,F$4)</f>
        <v>971856340.69609833</v>
      </c>
      <c r="G34" s="883">
        <f>SUMIFS(Demand.Forecast!$D$34:$AO$34,Demand.Forecast!$D$1:$AO$1,G$4)</f>
        <v>974933918.21098912</v>
      </c>
      <c r="H34" s="883">
        <f>SUMIFS(Demand.Forecast!$D$34:$AO$34,Demand.Forecast!$D$1:$AO$1,H$4)</f>
        <v>978021241.49072552</v>
      </c>
      <c r="I34" s="883">
        <f>SUMIFS(Demand.Forecast!$D$34:$AO$34,Demand.Forecast!$D$1:$AO$1,I$4)</f>
        <v>981118341.39722145</v>
      </c>
      <c r="J34" s="883">
        <f>SUMIFS(Demand.Forecast!$D$34:$AO$34,Demand.Forecast!$D$1:$AO$1,J$4)</f>
        <v>984225248.89012134</v>
      </c>
      <c r="K34" s="883">
        <f>SUMIFS(Demand.Forecast!$D$34:$AO$34,Demand.Forecast!$D$1:$AO$1,K$4)</f>
        <v>987341995.0271095</v>
      </c>
      <c r="L34" s="883">
        <f>SUMIFS(Demand.Forecast!$D$34:$AO$34,Demand.Forecast!$D$1:$AO$1,L$4)</f>
        <v>986819860.9642204</v>
      </c>
      <c r="M34" s="883">
        <f>SUMIFS(Demand.Forecast!$D$34:$AO$34,Demand.Forecast!$D$1:$AO$1,M$4)</f>
        <v>989956377.95615077</v>
      </c>
      <c r="N34" s="883">
        <f>SUMIFS(Demand.Forecast!$D$34:$AO$34,Demand.Forecast!$D$1:$AO$1,N$4)</f>
        <v>789815327.3565712</v>
      </c>
      <c r="O34" s="883">
        <f>SUMIFS(Demand.Forecast!$D$34:$AO$34,Demand.Forecast!$D$1:$AO$1,O$4)</f>
        <v>792971740.61844003</v>
      </c>
      <c r="P34" s="883">
        <f>SUMIFS(Demand.Forecast!$D$34:$AO$34,Demand.Forecast!$D$1:$AO$1,P$4)</f>
        <v>734964249.29431772</v>
      </c>
      <c r="Q34" s="883">
        <f>SUMIFS(Demand.Forecast!$D$34:$AO$34,Demand.Forecast!$D$1:$AO$1,Q$4)</f>
        <v>738140685.03668225</v>
      </c>
      <c r="R34" s="883">
        <f>SUMIFS(Demand.Forecast!$D$34:$AO$34,Demand.Forecast!$D$1:$AO$1,R$4)</f>
        <v>741327179.5982455</v>
      </c>
      <c r="S34" s="883">
        <f>SUMIFS(Demand.Forecast!$D$34:$AO$34,Demand.Forecast!$D$1:$AO$1,S$4)</f>
        <v>744523764.83227074</v>
      </c>
      <c r="T34" s="883">
        <f>SUMIFS(Demand.Forecast!$D$34:$AO$34,Demand.Forecast!$D$1:$AO$1,T$4)</f>
        <v>747730472.69289076</v>
      </c>
      <c r="U34" s="883">
        <f>SUMIFS(Demand.Forecast!$D$34:$AO$34,Demand.Forecast!$D$1:$AO$1,U$4)</f>
        <v>750947335.23542762</v>
      </c>
      <c r="V34" s="883">
        <f>SUMIFS(Demand.Forecast!$D$34:$AO$34,Demand.Forecast!$D$1:$AO$1,V$4)</f>
        <v>754174384.61671317</v>
      </c>
      <c r="W34" s="883">
        <f>SUMIFS(Demand.Forecast!$D$34:$AO$34,Demand.Forecast!$D$1:$AO$1,W$4)</f>
        <v>757411653.09540975</v>
      </c>
      <c r="X34" s="883">
        <f>SUMIFS(Demand.Forecast!$D$34:$AO$34,Demand.Forecast!$D$1:$AO$1,X$4)</f>
        <v>760659173.03233385</v>
      </c>
      <c r="Y34" s="883">
        <f>SUMIFS(Demand.Forecast!$D$34:$AO$34,Demand.Forecast!$D$1:$AO$1,Y$4)</f>
        <v>763916976.89077854</v>
      </c>
      <c r="Z34" s="883">
        <f>SUMIFS(Demand.Forecast!$D$34:$AO$34,Demand.Forecast!$D$1:$AO$1,Z$4)</f>
        <v>767185097.23683846</v>
      </c>
      <c r="AA34" s="883">
        <f>SUMIFS(Demand.Forecast!$D$34:$AO$34,Demand.Forecast!$D$1:$AO$1,AA$4)</f>
        <v>770463566.73973548</v>
      </c>
      <c r="AB34" s="883">
        <f>SUMIFS(Demand.Forecast!$D$34:$AO$34,Demand.Forecast!$D$1:$AO$1,AB$4)</f>
        <v>773752418.17214513</v>
      </c>
      <c r="AC34" s="883">
        <f>SUMIFS(Demand.Forecast!$D$34:$AO$34,Demand.Forecast!$D$1:$AO$1,AC$4)</f>
        <v>777051684.41052389</v>
      </c>
      <c r="AD34" s="883">
        <f>SUMIFS(Demand.Forecast!$D$34:$AO$34,Demand.Forecast!$D$1:$AO$1,AD$4)</f>
        <v>780361398.43543828</v>
      </c>
      <c r="AE34" s="883">
        <f>SUMIFS(Demand.Forecast!$D$34:$AO$34,Demand.Forecast!$D$1:$AO$1,AE$4)</f>
        <v>783681593.33189428</v>
      </c>
      <c r="AF34" s="883">
        <f>SUMIFS(Demand.Forecast!$D$34:$AO$34,Demand.Forecast!$D$1:$AO$1,AF$4)</f>
        <v>787012302.28966832</v>
      </c>
      <c r="AG34" s="883">
        <f>SUMIFS(Demand.Forecast!$D$34:$AO$34,Demand.Forecast!$D$1:$AO$1,AG$4)</f>
        <v>790353558.60363877</v>
      </c>
      <c r="AH34" s="883">
        <f>SUMIFS(Demand.Forecast!$D$34:$AO$34,Demand.Forecast!$D$1:$AO$1,AH$4)</f>
        <v>793705395.674119</v>
      </c>
      <c r="AI34" s="883">
        <f>SUMIFS(Demand.Forecast!$D$34:$AO$34,Demand.Forecast!$D$1:$AO$1,AI$4)</f>
        <v>797067847.00719106</v>
      </c>
      <c r="AJ34" s="883">
        <f>SUMIFS(Demand.Forecast!$D$34:$AO$34,Demand.Forecast!$D$1:$AO$1,AJ$4)</f>
        <v>800440946.21504056</v>
      </c>
      <c r="AK34" s="883">
        <f>SUMIFS(Demand.Forecast!$D$34:$AO$34,Demand.Forecast!$D$1:$AO$1,AK$4)</f>
        <v>803824727.01629341</v>
      </c>
      <c r="AL34" s="883">
        <f>SUMIFS(Demand.Forecast!$D$34:$AO$34,Demand.Forecast!$D$1:$AO$1,AL$4)</f>
        <v>807219223.23635161</v>
      </c>
      <c r="AM34" s="883">
        <f>SUMIFS(Demand.Forecast!$D$34:$AO$34,Demand.Forecast!$D$1:$AO$1,AM$4)</f>
        <v>810624468.80773246</v>
      </c>
      <c r="AN34" s="883">
        <f>SUMIFS(Demand.Forecast!$D$34:$AO$34,Demand.Forecast!$D$1:$AO$1,AN$4)</f>
        <v>814040497.7704072</v>
      </c>
      <c r="AO34" s="883">
        <f>SUMIFS(Demand.Forecast!$D$34:$AO$34,Demand.Forecast!$D$1:$AO$1,AO$4)</f>
        <v>817467344.27214134</v>
      </c>
    </row>
    <row r="35" spans="1:41" s="934" customFormat="1">
      <c r="A35" s="922" t="s">
        <v>479</v>
      </c>
      <c r="B35" s="923" t="s">
        <v>448</v>
      </c>
      <c r="C35" s="883">
        <f>SUMIFS(Demand.Forecast!$D$33:$AO$33,Demand.Forecast!$D$1:$AO$1,C$4)</f>
        <v>0</v>
      </c>
      <c r="D35" s="883">
        <f>SUMIFS(Demand.Forecast!$D$33:$AO$33,Demand.Forecast!$D$1:$AO$1,D$4)</f>
        <v>0</v>
      </c>
      <c r="E35" s="883">
        <f>SUMIFS(Demand.Forecast!$D$33:$AO$33,Demand.Forecast!$D$1:$AO$1,E$4)</f>
        <v>0</v>
      </c>
      <c r="F35" s="883">
        <f>SUMIFS(Demand.Forecast!$D$33:$AO$33,Demand.Forecast!$D$1:$AO$1,F$4)</f>
        <v>0</v>
      </c>
      <c r="G35" s="883">
        <f>SUMIFS(Demand.Forecast!$D$33:$AO$33,Demand.Forecast!$D$1:$AO$1,G$4)</f>
        <v>0</v>
      </c>
      <c r="H35" s="883">
        <f>SUMIFS(Demand.Forecast!$D$33:$AO$33,Demand.Forecast!$D$1:$AO$1,H$4)</f>
        <v>0</v>
      </c>
      <c r="I35" s="883">
        <f>SUMIFS(Demand.Forecast!$D$33:$AO$33,Demand.Forecast!$D$1:$AO$1,I$4)</f>
        <v>0</v>
      </c>
      <c r="J35" s="883">
        <f>SUMIFS(Demand.Forecast!$D$33:$AO$33,Demand.Forecast!$D$1:$AO$1,J$4)</f>
        <v>0</v>
      </c>
      <c r="K35" s="883">
        <f>SUMIFS(Demand.Forecast!$D$33:$AO$33,Demand.Forecast!$D$1:$AO$1,K$4)</f>
        <v>0</v>
      </c>
      <c r="L35" s="883">
        <f>SUMIFS(Demand.Forecast!$D$33:$AO$33,Demand.Forecast!$D$1:$AO$1,L$4)</f>
        <v>3648750</v>
      </c>
      <c r="M35" s="883">
        <f>SUMIFS(Demand.Forecast!$D$33:$AO$33,Demand.Forecast!$D$1:$AO$1,M$4)</f>
        <v>3648750</v>
      </c>
      <c r="N35" s="883">
        <f>SUMIFS(Demand.Forecast!$D$33:$AO$33,Demand.Forecast!$D$1:$AO$1,N$4)</f>
        <v>206936250</v>
      </c>
      <c r="O35" s="883">
        <f>SUMIFS(Demand.Forecast!$D$33:$AO$33,Demand.Forecast!$D$1:$AO$1,O$4)</f>
        <v>206936250</v>
      </c>
      <c r="P35" s="883">
        <f>SUMIFS(Demand.Forecast!$D$33:$AO$33,Demand.Forecast!$D$1:$AO$1,P$4)</f>
        <v>268110150</v>
      </c>
      <c r="Q35" s="883">
        <f>SUMIFS(Demand.Forecast!$D$33:$AO$33,Demand.Forecast!$D$1:$AO$1,Q$4)</f>
        <v>268110150</v>
      </c>
      <c r="R35" s="883">
        <f>SUMIFS(Demand.Forecast!$D$33:$AO$33,Demand.Forecast!$D$1:$AO$1,R$4)</f>
        <v>268110150</v>
      </c>
      <c r="S35" s="883">
        <f>SUMIFS(Demand.Forecast!$D$33:$AO$33,Demand.Forecast!$D$1:$AO$1,S$4)</f>
        <v>268110150</v>
      </c>
      <c r="T35" s="883">
        <f>SUMIFS(Demand.Forecast!$D$33:$AO$33,Demand.Forecast!$D$1:$AO$1,T$4)</f>
        <v>268110150</v>
      </c>
      <c r="U35" s="883">
        <f>SUMIFS(Demand.Forecast!$D$33:$AO$33,Demand.Forecast!$D$1:$AO$1,U$4)</f>
        <v>268110150</v>
      </c>
      <c r="V35" s="883">
        <f>SUMIFS(Demand.Forecast!$D$33:$AO$33,Demand.Forecast!$D$1:$AO$1,V$4)</f>
        <v>268110150</v>
      </c>
      <c r="W35" s="883">
        <f>SUMIFS(Demand.Forecast!$D$33:$AO$33,Demand.Forecast!$D$1:$AO$1,W$4)</f>
        <v>268110150</v>
      </c>
      <c r="X35" s="883">
        <f>SUMIFS(Demand.Forecast!$D$33:$AO$33,Demand.Forecast!$D$1:$AO$1,X$4)</f>
        <v>268110150</v>
      </c>
      <c r="Y35" s="883">
        <f>SUMIFS(Demand.Forecast!$D$33:$AO$33,Demand.Forecast!$D$1:$AO$1,Y$4)</f>
        <v>268110150</v>
      </c>
      <c r="Z35" s="883">
        <f>SUMIFS(Demand.Forecast!$D$33:$AO$33,Demand.Forecast!$D$1:$AO$1,Z$4)</f>
        <v>268110150</v>
      </c>
      <c r="AA35" s="883">
        <f>SUMIFS(Demand.Forecast!$D$33:$AO$33,Demand.Forecast!$D$1:$AO$1,AA$4)</f>
        <v>268110150</v>
      </c>
      <c r="AB35" s="883">
        <f>SUMIFS(Demand.Forecast!$D$33:$AO$33,Demand.Forecast!$D$1:$AO$1,AB$4)</f>
        <v>268110150</v>
      </c>
      <c r="AC35" s="883">
        <f>SUMIFS(Demand.Forecast!$D$33:$AO$33,Demand.Forecast!$D$1:$AO$1,AC$4)</f>
        <v>268110150</v>
      </c>
      <c r="AD35" s="883">
        <f>SUMIFS(Demand.Forecast!$D$33:$AO$33,Demand.Forecast!$D$1:$AO$1,AD$4)</f>
        <v>268110150</v>
      </c>
      <c r="AE35" s="883">
        <f>SUMIFS(Demand.Forecast!$D$33:$AO$33,Demand.Forecast!$D$1:$AO$1,AE$4)</f>
        <v>268110150</v>
      </c>
      <c r="AF35" s="883">
        <f>SUMIFS(Demand.Forecast!$D$33:$AO$33,Demand.Forecast!$D$1:$AO$1,AF$4)</f>
        <v>268110150</v>
      </c>
      <c r="AG35" s="883">
        <f>SUMIFS(Demand.Forecast!$D$33:$AO$33,Demand.Forecast!$D$1:$AO$1,AG$4)</f>
        <v>268110150</v>
      </c>
      <c r="AH35" s="883">
        <f>SUMIFS(Demand.Forecast!$D$33:$AO$33,Demand.Forecast!$D$1:$AO$1,AH$4)</f>
        <v>268110150</v>
      </c>
      <c r="AI35" s="883">
        <f>SUMIFS(Demand.Forecast!$D$33:$AO$33,Demand.Forecast!$D$1:$AO$1,AI$4)</f>
        <v>268110150</v>
      </c>
      <c r="AJ35" s="883">
        <f>SUMIFS(Demand.Forecast!$D$33:$AO$33,Demand.Forecast!$D$1:$AO$1,AJ$4)</f>
        <v>268110150</v>
      </c>
      <c r="AK35" s="883">
        <f>SUMIFS(Demand.Forecast!$D$33:$AO$33,Demand.Forecast!$D$1:$AO$1,AK$4)</f>
        <v>268110150</v>
      </c>
      <c r="AL35" s="883">
        <f>SUMIFS(Demand.Forecast!$D$33:$AO$33,Demand.Forecast!$D$1:$AO$1,AL$4)</f>
        <v>268110150</v>
      </c>
      <c r="AM35" s="883">
        <f>SUMIFS(Demand.Forecast!$D$33:$AO$33,Demand.Forecast!$D$1:$AO$1,AM$4)</f>
        <v>268110150</v>
      </c>
      <c r="AN35" s="883">
        <f>SUMIFS(Demand.Forecast!$D$33:$AO$33,Demand.Forecast!$D$1:$AO$1,AN$4)</f>
        <v>268110150</v>
      </c>
      <c r="AO35" s="883">
        <f>SUMIFS(Demand.Forecast!$D$33:$AO$33,Demand.Forecast!$D$1:$AO$1,AO$4)</f>
        <v>268110150</v>
      </c>
    </row>
    <row r="36" spans="1:41" s="894" customFormat="1">
      <c r="A36" s="888"/>
      <c r="B36" s="920"/>
      <c r="C36" s="921"/>
      <c r="D36" s="921"/>
      <c r="E36" s="921"/>
      <c r="F36" s="921"/>
      <c r="G36" s="921"/>
      <c r="H36" s="921"/>
      <c r="I36" s="921"/>
      <c r="J36" s="921"/>
      <c r="K36" s="921"/>
      <c r="L36" s="921"/>
      <c r="M36" s="921"/>
      <c r="N36" s="921"/>
      <c r="O36" s="921"/>
      <c r="P36" s="921"/>
      <c r="Q36" s="921"/>
      <c r="R36" s="921"/>
      <c r="S36" s="921"/>
      <c r="T36" s="921"/>
      <c r="U36" s="921"/>
      <c r="V36" s="921"/>
      <c r="W36" s="921"/>
      <c r="X36" s="921"/>
      <c r="Y36" s="921"/>
      <c r="Z36" s="921"/>
      <c r="AA36" s="921"/>
      <c r="AB36" s="921"/>
      <c r="AC36" s="921"/>
      <c r="AD36" s="921"/>
      <c r="AE36" s="921"/>
      <c r="AF36" s="921"/>
      <c r="AG36" s="921"/>
      <c r="AH36" s="921"/>
      <c r="AI36" s="921"/>
      <c r="AJ36" s="921"/>
      <c r="AK36" s="921"/>
      <c r="AL36" s="921"/>
      <c r="AM36" s="921"/>
      <c r="AN36" s="921"/>
      <c r="AO36" s="921"/>
    </row>
    <row r="37" spans="1:41" s="894" customFormat="1">
      <c r="A37" s="888" t="s">
        <v>503</v>
      </c>
      <c r="B37" s="920" t="s">
        <v>98</v>
      </c>
      <c r="C37" s="963">
        <f t="shared" ref="C37:Z37" si="46">C34/10^9*C$7</f>
        <v>0</v>
      </c>
      <c r="D37" s="963">
        <f t="shared" si="46"/>
        <v>2.1448869963000003</v>
      </c>
      <c r="E37" s="963">
        <f t="shared" si="46"/>
        <v>2.1516792100412476</v>
      </c>
      <c r="F37" s="963">
        <f t="shared" si="46"/>
        <v>2.1584929326860345</v>
      </c>
      <c r="G37" s="963">
        <f t="shared" si="46"/>
        <v>2.165328232346607</v>
      </c>
      <c r="H37" s="963">
        <f t="shared" si="46"/>
        <v>2.1721851773509013</v>
      </c>
      <c r="I37" s="963">
        <f>I34/10^9*I$7</f>
        <v>2.1790638362432291</v>
      </c>
      <c r="J37" s="963">
        <f t="shared" si="46"/>
        <v>2.1859642777849597</v>
      </c>
      <c r="K37" s="963">
        <f t="shared" si="46"/>
        <v>2.1928865709552103</v>
      </c>
      <c r="L37" s="963">
        <f t="shared" si="46"/>
        <v>2.1917269112015334</v>
      </c>
      <c r="M37" s="963">
        <f t="shared" si="46"/>
        <v>2.1986931154406109</v>
      </c>
      <c r="N37" s="963">
        <f t="shared" si="46"/>
        <v>1.7541798420589447</v>
      </c>
      <c r="O37" s="963">
        <f t="shared" si="46"/>
        <v>1.7611902359135554</v>
      </c>
      <c r="P37" s="963">
        <f t="shared" si="46"/>
        <v>1.6323555976826796</v>
      </c>
      <c r="Q37" s="963">
        <f t="shared" si="46"/>
        <v>1.6394104614664715</v>
      </c>
      <c r="R37" s="963">
        <f t="shared" si="46"/>
        <v>1.6464876658877032</v>
      </c>
      <c r="S37" s="963">
        <f t="shared" si="46"/>
        <v>1.6535872816924735</v>
      </c>
      <c r="T37" s="963">
        <f t="shared" si="46"/>
        <v>1.6607093798509103</v>
      </c>
      <c r="U37" s="963">
        <f t="shared" si="46"/>
        <v>1.6678540315578849</v>
      </c>
      <c r="V37" s="963">
        <f t="shared" si="46"/>
        <v>1.67502130823372</v>
      </c>
      <c r="W37" s="963">
        <f t="shared" si="46"/>
        <v>1.6822112815249051</v>
      </c>
      <c r="X37" s="963">
        <f t="shared" si="46"/>
        <v>1.6894240233048137</v>
      </c>
      <c r="Y37" s="963">
        <f t="shared" si="46"/>
        <v>1.6966596056744192</v>
      </c>
      <c r="Z37" s="963">
        <f t="shared" si="46"/>
        <v>1.7039181009630182</v>
      </c>
      <c r="AA37" s="963">
        <f t="shared" ref="AA37:AB37" si="47">AA34/10^9*AA$7</f>
        <v>1.7111995817289525</v>
      </c>
      <c r="AB37" s="963">
        <f t="shared" si="47"/>
        <v>1.7185041207603344</v>
      </c>
      <c r="AC37" s="963">
        <f t="shared" ref="AC37:AE37" si="48">AC34/10^9*AC$7</f>
        <v>1.7258317910757734</v>
      </c>
      <c r="AD37" s="963">
        <f t="shared" si="48"/>
        <v>1.7331826659251084</v>
      </c>
      <c r="AE37" s="963">
        <f t="shared" si="48"/>
        <v>1.7405568187901372</v>
      </c>
      <c r="AF37" s="963">
        <f t="shared" ref="AF37:AO37" si="49">AF34/10^9*AF$7</f>
        <v>1.7479543233853534</v>
      </c>
      <c r="AG37" s="963">
        <f t="shared" si="49"/>
        <v>1.7553752536586817</v>
      </c>
      <c r="AH37" s="963">
        <f t="shared" si="49"/>
        <v>1.7628196837922183</v>
      </c>
      <c r="AI37" s="963">
        <f t="shared" si="49"/>
        <v>1.7702876882029712</v>
      </c>
      <c r="AJ37" s="963">
        <f t="shared" si="49"/>
        <v>1.7777793415436052</v>
      </c>
      <c r="AK37" s="963">
        <f t="shared" si="49"/>
        <v>1.7852947187031876</v>
      </c>
      <c r="AL37" s="963">
        <f t="shared" si="49"/>
        <v>1.792833894807937</v>
      </c>
      <c r="AM37" s="963">
        <f t="shared" si="49"/>
        <v>1.8003969452219737</v>
      </c>
      <c r="AN37" s="963">
        <f t="shared" si="49"/>
        <v>1.8079839455480744</v>
      </c>
      <c r="AO37" s="963">
        <f t="shared" si="49"/>
        <v>1.8155949716284259</v>
      </c>
    </row>
    <row r="38" spans="1:41" s="894" customFormat="1">
      <c r="A38" s="888" t="s">
        <v>504</v>
      </c>
      <c r="B38" s="920" t="s">
        <v>98</v>
      </c>
      <c r="C38" s="963">
        <f t="shared" ref="C38:Z38" si="50">C35/10^9*C$8</f>
        <v>0</v>
      </c>
      <c r="D38" s="963">
        <f t="shared" si="50"/>
        <v>0</v>
      </c>
      <c r="E38" s="963">
        <f t="shared" si="50"/>
        <v>0</v>
      </c>
      <c r="F38" s="963">
        <f t="shared" si="50"/>
        <v>0</v>
      </c>
      <c r="G38" s="963">
        <f t="shared" si="50"/>
        <v>0</v>
      </c>
      <c r="H38" s="963">
        <f t="shared" si="50"/>
        <v>0</v>
      </c>
      <c r="I38" s="963">
        <f t="shared" si="50"/>
        <v>0</v>
      </c>
      <c r="J38" s="963">
        <f t="shared" si="50"/>
        <v>0</v>
      </c>
      <c r="K38" s="963">
        <f t="shared" si="50"/>
        <v>0</v>
      </c>
      <c r="L38" s="963">
        <f t="shared" si="50"/>
        <v>1.7477512499999999E-3</v>
      </c>
      <c r="M38" s="963">
        <f t="shared" si="50"/>
        <v>1.7477512499999999E-3</v>
      </c>
      <c r="N38" s="963">
        <f t="shared" si="50"/>
        <v>9.9122463749999987E-2</v>
      </c>
      <c r="O38" s="963">
        <f t="shared" si="50"/>
        <v>9.9122463749999987E-2</v>
      </c>
      <c r="P38" s="963">
        <f t="shared" si="50"/>
        <v>0.12842476184999999</v>
      </c>
      <c r="Q38" s="963">
        <f t="shared" si="50"/>
        <v>0.12842476184999999</v>
      </c>
      <c r="R38" s="963">
        <f t="shared" si="50"/>
        <v>0.12842476184999999</v>
      </c>
      <c r="S38" s="963">
        <f t="shared" si="50"/>
        <v>0.12842476184999999</v>
      </c>
      <c r="T38" s="963">
        <f t="shared" si="50"/>
        <v>0.12842476184999999</v>
      </c>
      <c r="U38" s="963">
        <f t="shared" si="50"/>
        <v>0.12842476184999999</v>
      </c>
      <c r="V38" s="963">
        <f t="shared" si="50"/>
        <v>0.12842476184999999</v>
      </c>
      <c r="W38" s="963">
        <f t="shared" si="50"/>
        <v>0.12842476184999999</v>
      </c>
      <c r="X38" s="963">
        <f t="shared" si="50"/>
        <v>0.12842476184999999</v>
      </c>
      <c r="Y38" s="963">
        <f t="shared" si="50"/>
        <v>0.12842476184999999</v>
      </c>
      <c r="Z38" s="963">
        <f t="shared" si="50"/>
        <v>0.12842476184999999</v>
      </c>
      <c r="AA38" s="963">
        <f t="shared" ref="AA38:AB38" si="51">AA35/10^9*AA$8</f>
        <v>0.12842476184999999</v>
      </c>
      <c r="AB38" s="963">
        <f t="shared" si="51"/>
        <v>0.12842476184999999</v>
      </c>
      <c r="AC38" s="963">
        <f t="shared" ref="AC38:AE38" si="52">AC35/10^9*AC$8</f>
        <v>0.12842476184999999</v>
      </c>
      <c r="AD38" s="963">
        <f t="shared" si="52"/>
        <v>0.12842476184999999</v>
      </c>
      <c r="AE38" s="963">
        <f t="shared" si="52"/>
        <v>0.12842476184999999</v>
      </c>
      <c r="AF38" s="963">
        <f t="shared" ref="AF38:AO38" si="53">AF35/10^9*AF$8</f>
        <v>0.12842476184999999</v>
      </c>
      <c r="AG38" s="963">
        <f t="shared" si="53"/>
        <v>0.12842476184999999</v>
      </c>
      <c r="AH38" s="963">
        <f t="shared" si="53"/>
        <v>0.12842476184999999</v>
      </c>
      <c r="AI38" s="963">
        <f t="shared" si="53"/>
        <v>0.12842476184999999</v>
      </c>
      <c r="AJ38" s="963">
        <f t="shared" si="53"/>
        <v>0.12842476184999999</v>
      </c>
      <c r="AK38" s="963">
        <f t="shared" si="53"/>
        <v>0.12842476184999999</v>
      </c>
      <c r="AL38" s="963">
        <f t="shared" si="53"/>
        <v>0.12842476184999999</v>
      </c>
      <c r="AM38" s="963">
        <f t="shared" si="53"/>
        <v>0.12842476184999999</v>
      </c>
      <c r="AN38" s="963">
        <f t="shared" si="53"/>
        <v>0.12842476184999999</v>
      </c>
      <c r="AO38" s="963">
        <f t="shared" si="53"/>
        <v>0.12842476184999999</v>
      </c>
    </row>
    <row r="39" spans="1:41" s="894" customFormat="1">
      <c r="A39" s="888" t="s">
        <v>505</v>
      </c>
      <c r="B39" s="920" t="s">
        <v>98</v>
      </c>
      <c r="C39" s="963">
        <f>SUM(C37:C38)</f>
        <v>0</v>
      </c>
      <c r="D39" s="963">
        <f t="shared" ref="D39" si="54">SUM(D37:D38)</f>
        <v>2.1448869963000003</v>
      </c>
      <c r="E39" s="963">
        <f t="shared" ref="E39" si="55">SUM(E37:E38)</f>
        <v>2.1516792100412476</v>
      </c>
      <c r="F39" s="963">
        <f t="shared" ref="F39" si="56">SUM(F37:F38)</f>
        <v>2.1584929326860345</v>
      </c>
      <c r="G39" s="963">
        <f t="shared" ref="G39" si="57">SUM(G37:G38)</f>
        <v>2.165328232346607</v>
      </c>
      <c r="H39" s="963">
        <f t="shared" ref="H39" si="58">SUM(H37:H38)</f>
        <v>2.1721851773509013</v>
      </c>
      <c r="I39" s="963">
        <f t="shared" ref="I39" si="59">SUM(I37:I38)</f>
        <v>2.1790638362432291</v>
      </c>
      <c r="J39" s="963">
        <f t="shared" ref="J39" si="60">SUM(J37:J38)</f>
        <v>2.1859642777849597</v>
      </c>
      <c r="K39" s="963">
        <f t="shared" ref="K39" si="61">SUM(K37:K38)</f>
        <v>2.1928865709552103</v>
      </c>
      <c r="L39" s="963">
        <f t="shared" ref="L39" si="62">SUM(L37:L38)</f>
        <v>2.1934746624515333</v>
      </c>
      <c r="M39" s="963">
        <f t="shared" ref="M39" si="63">SUM(M37:M38)</f>
        <v>2.2004408666906108</v>
      </c>
      <c r="N39" s="963">
        <f t="shared" ref="N39" si="64">SUM(N37:N38)</f>
        <v>1.8533023058089446</v>
      </c>
      <c r="O39" s="963">
        <f t="shared" ref="O39" si="65">SUM(O37:O38)</f>
        <v>1.8603126996635553</v>
      </c>
      <c r="P39" s="963">
        <f t="shared" ref="P39" si="66">SUM(P37:P38)</f>
        <v>1.7607803595326796</v>
      </c>
      <c r="Q39" s="963">
        <f t="shared" ref="Q39" si="67">SUM(Q37:Q38)</f>
        <v>1.7678352233164716</v>
      </c>
      <c r="R39" s="963">
        <f t="shared" ref="R39" si="68">SUM(R37:R38)</f>
        <v>1.7749124277377033</v>
      </c>
      <c r="S39" s="963">
        <f t="shared" ref="S39" si="69">SUM(S37:S38)</f>
        <v>1.7820120435424736</v>
      </c>
      <c r="T39" s="963">
        <f t="shared" ref="T39" si="70">SUM(T37:T38)</f>
        <v>1.7891341417009103</v>
      </c>
      <c r="U39" s="963">
        <f t="shared" ref="U39" si="71">SUM(U37:U38)</f>
        <v>1.796278793407885</v>
      </c>
      <c r="V39" s="963">
        <f t="shared" ref="V39" si="72">SUM(V37:V38)</f>
        <v>1.80344607008372</v>
      </c>
      <c r="W39" s="963">
        <f t="shared" ref="W39" si="73">SUM(W37:W38)</f>
        <v>1.8106360433749051</v>
      </c>
      <c r="X39" s="963">
        <f t="shared" ref="X39" si="74">SUM(X37:X38)</f>
        <v>1.8178487851548137</v>
      </c>
      <c r="Y39" s="963">
        <f t="shared" ref="Y39" si="75">SUM(Y37:Y38)</f>
        <v>1.8250843675244193</v>
      </c>
      <c r="Z39" s="963">
        <f t="shared" ref="Z39" si="76">SUM(Z37:Z38)</f>
        <v>1.8323428628130183</v>
      </c>
      <c r="AA39" s="963">
        <f t="shared" ref="AA39" si="77">SUM(AA37:AA38)</f>
        <v>1.8396243435789525</v>
      </c>
      <c r="AB39" s="963">
        <f t="shared" ref="AB39" si="78">SUM(AB37:AB38)</f>
        <v>1.8469288826103345</v>
      </c>
      <c r="AC39" s="963">
        <f t="shared" ref="AC39" si="79">SUM(AC37:AC38)</f>
        <v>1.8542565529257735</v>
      </c>
      <c r="AD39" s="963">
        <f t="shared" ref="AD39" si="80">SUM(AD37:AD38)</f>
        <v>1.8616074277751085</v>
      </c>
      <c r="AE39" s="963">
        <f t="shared" ref="AE39:AO39" si="81">SUM(AE37:AE38)</f>
        <v>1.8689815806401373</v>
      </c>
      <c r="AF39" s="963">
        <f t="shared" si="81"/>
        <v>1.8763790852353535</v>
      </c>
      <c r="AG39" s="963">
        <f t="shared" si="81"/>
        <v>1.8838000155086818</v>
      </c>
      <c r="AH39" s="963">
        <f t="shared" si="81"/>
        <v>1.8912444456422184</v>
      </c>
      <c r="AI39" s="963">
        <f t="shared" si="81"/>
        <v>1.8987124500529713</v>
      </c>
      <c r="AJ39" s="963">
        <f t="shared" si="81"/>
        <v>1.9062041033936052</v>
      </c>
      <c r="AK39" s="963">
        <f t="shared" si="81"/>
        <v>1.9137194805531876</v>
      </c>
      <c r="AL39" s="963">
        <f t="shared" si="81"/>
        <v>1.921258656657937</v>
      </c>
      <c r="AM39" s="963">
        <f t="shared" si="81"/>
        <v>1.9288217070719738</v>
      </c>
      <c r="AN39" s="963">
        <f t="shared" si="81"/>
        <v>1.9364087073980745</v>
      </c>
      <c r="AO39" s="963">
        <f t="shared" si="81"/>
        <v>1.9440197334784259</v>
      </c>
    </row>
    <row r="40" spans="1:41" s="894" customFormat="1">
      <c r="A40" s="888"/>
      <c r="B40" s="920"/>
      <c r="C40" s="921"/>
      <c r="D40" s="921"/>
      <c r="E40" s="921"/>
      <c r="F40" s="921"/>
      <c r="G40" s="921"/>
      <c r="H40" s="963"/>
      <c r="I40" s="963"/>
      <c r="J40" s="963"/>
      <c r="K40" s="963"/>
      <c r="L40" s="963"/>
      <c r="M40" s="963"/>
      <c r="N40" s="963"/>
      <c r="O40" s="963"/>
      <c r="P40" s="963"/>
      <c r="Q40" s="963"/>
      <c r="R40" s="963"/>
      <c r="S40" s="963"/>
      <c r="T40" s="963"/>
      <c r="U40" s="963"/>
      <c r="V40" s="963"/>
      <c r="W40" s="963"/>
      <c r="X40" s="963"/>
      <c r="Y40" s="963"/>
      <c r="Z40" s="963"/>
      <c r="AA40" s="963"/>
      <c r="AB40" s="963"/>
      <c r="AC40" s="963"/>
      <c r="AD40" s="963"/>
      <c r="AE40" s="963"/>
      <c r="AF40" s="963"/>
      <c r="AG40" s="963"/>
      <c r="AH40" s="963"/>
      <c r="AI40" s="963"/>
      <c r="AJ40" s="963"/>
      <c r="AK40" s="963"/>
      <c r="AL40" s="963"/>
      <c r="AM40" s="963"/>
      <c r="AN40" s="963"/>
      <c r="AO40" s="963"/>
    </row>
    <row r="41" spans="1:41" s="894" customFormat="1">
      <c r="A41" s="888" t="s">
        <v>506</v>
      </c>
      <c r="B41" s="920" t="s">
        <v>100</v>
      </c>
      <c r="C41" s="963">
        <f t="shared" ref="C41:Z41" si="82">C34/10^9*C$10</f>
        <v>0</v>
      </c>
      <c r="D41" s="963">
        <f t="shared" si="82"/>
        <v>53.280306381300001</v>
      </c>
      <c r="E41" s="963">
        <f t="shared" si="82"/>
        <v>53.449029129754912</v>
      </c>
      <c r="F41" s="963">
        <f t="shared" si="82"/>
        <v>53.618286172544437</v>
      </c>
      <c r="G41" s="963">
        <f t="shared" si="82"/>
        <v>53.78807920161848</v>
      </c>
      <c r="H41" s="963">
        <f t="shared" si="82"/>
        <v>53.958409914284822</v>
      </c>
      <c r="I41" s="963">
        <f t="shared" si="82"/>
        <v>54.129280013226101</v>
      </c>
      <c r="J41" s="963">
        <f t="shared" si="82"/>
        <v>54.300691206516881</v>
      </c>
      <c r="K41" s="963">
        <f t="shared" si="82"/>
        <v>54.47264520764066</v>
      </c>
      <c r="L41" s="963">
        <f t="shared" si="82"/>
        <v>54.443838549257002</v>
      </c>
      <c r="M41" s="963">
        <f t="shared" si="82"/>
        <v>54.61688332821879</v>
      </c>
      <c r="N41" s="963">
        <f t="shared" si="82"/>
        <v>43.574901425589388</v>
      </c>
      <c r="O41" s="963">
        <f t="shared" si="82"/>
        <v>43.749043901659952</v>
      </c>
      <c r="P41" s="963">
        <f t="shared" si="82"/>
        <v>40.548712597816802</v>
      </c>
      <c r="Q41" s="963">
        <f t="shared" si="82"/>
        <v>40.723959734158797</v>
      </c>
      <c r="R41" s="963">
        <f t="shared" si="82"/>
        <v>40.899761825614803</v>
      </c>
      <c r="S41" s="963">
        <f t="shared" si="82"/>
        <v>41.07612062956121</v>
      </c>
      <c r="T41" s="963">
        <f t="shared" si="82"/>
        <v>41.253037908939476</v>
      </c>
      <c r="U41" s="963">
        <f t="shared" si="82"/>
        <v>41.430515432273779</v>
      </c>
      <c r="V41" s="963">
        <f t="shared" si="82"/>
        <v>41.608554973688683</v>
      </c>
      <c r="W41" s="963">
        <f t="shared" si="82"/>
        <v>41.787158312926849</v>
      </c>
      <c r="X41" s="963">
        <f t="shared" si="82"/>
        <v>41.96632723536689</v>
      </c>
      <c r="Y41" s="963">
        <f t="shared" si="82"/>
        <v>42.14606353204114</v>
      </c>
      <c r="Z41" s="963">
        <f t="shared" si="82"/>
        <v>42.326368999653617</v>
      </c>
      <c r="AA41" s="963">
        <f t="shared" ref="AA41:AB41" si="83">AA34/10^9*AA$10</f>
        <v>42.507245440597949</v>
      </c>
      <c r="AB41" s="963">
        <f t="shared" si="83"/>
        <v>42.688694662975415</v>
      </c>
      <c r="AC41" s="963">
        <f t="shared" ref="AC41:AE41" si="84">AC34/10^9*AC$10</f>
        <v>42.870718480613014</v>
      </c>
      <c r="AD41" s="963">
        <f t="shared" si="84"/>
        <v>43.053318713081566</v>
      </c>
      <c r="AE41" s="963">
        <f t="shared" si="84"/>
        <v>43.236497185713937</v>
      </c>
      <c r="AF41" s="963">
        <f t="shared" ref="AF41:AO41" si="85">AF34/10^9*AF$10</f>
        <v>43.420255729623292</v>
      </c>
      <c r="AG41" s="963">
        <f t="shared" si="85"/>
        <v>43.604596181721355</v>
      </c>
      <c r="AH41" s="963">
        <f t="shared" si="85"/>
        <v>43.789520384736818</v>
      </c>
      <c r="AI41" s="963">
        <f t="shared" si="85"/>
        <v>43.975030187233735</v>
      </c>
      <c r="AJ41" s="963">
        <f t="shared" si="85"/>
        <v>44.161127443630001</v>
      </c>
      <c r="AK41" s="963">
        <f t="shared" si="85"/>
        <v>44.347814014215921</v>
      </c>
      <c r="AL41" s="963">
        <f t="shared" si="85"/>
        <v>44.535091765172758</v>
      </c>
      <c r="AM41" s="963">
        <f t="shared" si="85"/>
        <v>44.722962568591406</v>
      </c>
      <c r="AN41" s="963">
        <f t="shared" si="85"/>
        <v>44.911428302491139</v>
      </c>
      <c r="AO41" s="963">
        <f t="shared" si="85"/>
        <v>45.100490850838305</v>
      </c>
    </row>
    <row r="42" spans="1:41" s="894" customFormat="1">
      <c r="A42" s="888" t="s">
        <v>507</v>
      </c>
      <c r="B42" s="920" t="s">
        <v>100</v>
      </c>
      <c r="C42" s="963">
        <f t="shared" ref="C42:Z42" si="86">C35/10^9*C$11</f>
        <v>0</v>
      </c>
      <c r="D42" s="963">
        <f t="shared" si="86"/>
        <v>0</v>
      </c>
      <c r="E42" s="963">
        <f t="shared" si="86"/>
        <v>0</v>
      </c>
      <c r="F42" s="963">
        <f t="shared" si="86"/>
        <v>0</v>
      </c>
      <c r="G42" s="963">
        <f t="shared" si="86"/>
        <v>0</v>
      </c>
      <c r="H42" s="963">
        <f t="shared" si="86"/>
        <v>0</v>
      </c>
      <c r="I42" s="963">
        <f t="shared" si="86"/>
        <v>0</v>
      </c>
      <c r="J42" s="963">
        <f t="shared" si="86"/>
        <v>0</v>
      </c>
      <c r="K42" s="963">
        <f t="shared" si="86"/>
        <v>0</v>
      </c>
      <c r="L42" s="963">
        <f t="shared" si="86"/>
        <v>1.6860873750000002E-2</v>
      </c>
      <c r="M42" s="963">
        <f t="shared" si="86"/>
        <v>1.6860873750000002E-2</v>
      </c>
      <c r="N42" s="963">
        <f t="shared" si="86"/>
        <v>0.95625241125000005</v>
      </c>
      <c r="O42" s="963">
        <f t="shared" si="86"/>
        <v>0.95625241125000005</v>
      </c>
      <c r="P42" s="963">
        <f t="shared" si="86"/>
        <v>1.23893700315</v>
      </c>
      <c r="Q42" s="963">
        <f t="shared" si="86"/>
        <v>1.23893700315</v>
      </c>
      <c r="R42" s="963">
        <f t="shared" si="86"/>
        <v>1.23893700315</v>
      </c>
      <c r="S42" s="963">
        <f t="shared" si="86"/>
        <v>1.23893700315</v>
      </c>
      <c r="T42" s="963">
        <f t="shared" si="86"/>
        <v>1.23893700315</v>
      </c>
      <c r="U42" s="963">
        <f t="shared" si="86"/>
        <v>1.23893700315</v>
      </c>
      <c r="V42" s="963">
        <f t="shared" si="86"/>
        <v>1.23893700315</v>
      </c>
      <c r="W42" s="963">
        <f t="shared" si="86"/>
        <v>1.23893700315</v>
      </c>
      <c r="X42" s="963">
        <f t="shared" si="86"/>
        <v>1.23893700315</v>
      </c>
      <c r="Y42" s="963">
        <f t="shared" si="86"/>
        <v>1.23893700315</v>
      </c>
      <c r="Z42" s="963">
        <f t="shared" si="86"/>
        <v>1.23893700315</v>
      </c>
      <c r="AA42" s="963">
        <f t="shared" ref="AA42:AB42" si="87">AA35/10^9*AA$11</f>
        <v>1.23893700315</v>
      </c>
      <c r="AB42" s="963">
        <f t="shared" si="87"/>
        <v>1.23893700315</v>
      </c>
      <c r="AC42" s="963">
        <f t="shared" ref="AC42:AE42" si="88">AC35/10^9*AC$11</f>
        <v>1.23893700315</v>
      </c>
      <c r="AD42" s="963">
        <f t="shared" si="88"/>
        <v>1.23893700315</v>
      </c>
      <c r="AE42" s="963">
        <f t="shared" si="88"/>
        <v>1.23893700315</v>
      </c>
      <c r="AF42" s="963">
        <f t="shared" ref="AF42:AO42" si="89">AF35/10^9*AF$11</f>
        <v>1.23893700315</v>
      </c>
      <c r="AG42" s="963">
        <f t="shared" si="89"/>
        <v>1.23893700315</v>
      </c>
      <c r="AH42" s="963">
        <f t="shared" si="89"/>
        <v>1.23893700315</v>
      </c>
      <c r="AI42" s="963">
        <f t="shared" si="89"/>
        <v>1.23893700315</v>
      </c>
      <c r="AJ42" s="963">
        <f t="shared" si="89"/>
        <v>1.23893700315</v>
      </c>
      <c r="AK42" s="963">
        <f t="shared" si="89"/>
        <v>1.23893700315</v>
      </c>
      <c r="AL42" s="963">
        <f t="shared" si="89"/>
        <v>1.23893700315</v>
      </c>
      <c r="AM42" s="963">
        <f t="shared" si="89"/>
        <v>1.23893700315</v>
      </c>
      <c r="AN42" s="963">
        <f t="shared" si="89"/>
        <v>1.23893700315</v>
      </c>
      <c r="AO42" s="963">
        <f t="shared" si="89"/>
        <v>1.23893700315</v>
      </c>
    </row>
    <row r="43" spans="1:41" s="894" customFormat="1">
      <c r="A43" s="888" t="s">
        <v>508</v>
      </c>
      <c r="B43" s="920" t="s">
        <v>100</v>
      </c>
      <c r="C43" s="963">
        <f>SUM(C41:C42)</f>
        <v>0</v>
      </c>
      <c r="D43" s="963">
        <f t="shared" ref="D43" si="90">SUM(D41:D42)</f>
        <v>53.280306381300001</v>
      </c>
      <c r="E43" s="963">
        <f t="shared" ref="E43" si="91">SUM(E41:E42)</f>
        <v>53.449029129754912</v>
      </c>
      <c r="F43" s="963">
        <f t="shared" ref="F43" si="92">SUM(F41:F42)</f>
        <v>53.618286172544437</v>
      </c>
      <c r="G43" s="963">
        <f t="shared" ref="G43" si="93">SUM(G41:G42)</f>
        <v>53.78807920161848</v>
      </c>
      <c r="H43" s="963">
        <f t="shared" ref="H43" si="94">SUM(H41:H42)</f>
        <v>53.958409914284822</v>
      </c>
      <c r="I43" s="963">
        <f t="shared" ref="I43" si="95">SUM(I41:I42)</f>
        <v>54.129280013226101</v>
      </c>
      <c r="J43" s="963">
        <f t="shared" ref="J43" si="96">SUM(J41:J42)</f>
        <v>54.300691206516881</v>
      </c>
      <c r="K43" s="963">
        <f t="shared" ref="K43" si="97">SUM(K41:K42)</f>
        <v>54.47264520764066</v>
      </c>
      <c r="L43" s="963">
        <f t="shared" ref="L43" si="98">SUM(L41:L42)</f>
        <v>54.460699423007</v>
      </c>
      <c r="M43" s="963">
        <f t="shared" ref="M43" si="99">SUM(M41:M42)</f>
        <v>54.633744201968788</v>
      </c>
      <c r="N43" s="963">
        <f t="shared" ref="N43" si="100">SUM(N41:N42)</f>
        <v>44.531153836839387</v>
      </c>
      <c r="O43" s="963">
        <f t="shared" ref="O43" si="101">SUM(O41:O42)</f>
        <v>44.705296312909951</v>
      </c>
      <c r="P43" s="963">
        <f t="shared" ref="P43" si="102">SUM(P41:P42)</f>
        <v>41.787649600966802</v>
      </c>
      <c r="Q43" s="963">
        <f t="shared" ref="Q43" si="103">SUM(Q41:Q42)</f>
        <v>41.962896737308796</v>
      </c>
      <c r="R43" s="963">
        <f t="shared" ref="R43" si="104">SUM(R41:R42)</f>
        <v>42.138698828764802</v>
      </c>
      <c r="S43" s="963">
        <f t="shared" ref="S43" si="105">SUM(S41:S42)</f>
        <v>42.315057632711209</v>
      </c>
      <c r="T43" s="963">
        <f t="shared" ref="T43" si="106">SUM(T41:T42)</f>
        <v>42.491974912089475</v>
      </c>
      <c r="U43" s="963">
        <f t="shared" ref="U43" si="107">SUM(U41:U42)</f>
        <v>42.669452435423779</v>
      </c>
      <c r="V43" s="963">
        <f t="shared" ref="V43" si="108">SUM(V41:V42)</f>
        <v>42.847491976838683</v>
      </c>
      <c r="W43" s="963">
        <f t="shared" ref="W43" si="109">SUM(W41:W42)</f>
        <v>43.026095316076848</v>
      </c>
      <c r="X43" s="963">
        <f t="shared" ref="X43" si="110">SUM(X41:X42)</f>
        <v>43.205264238516889</v>
      </c>
      <c r="Y43" s="963">
        <f t="shared" ref="Y43" si="111">SUM(Y41:Y42)</f>
        <v>43.385000535191139</v>
      </c>
      <c r="Z43" s="963">
        <f t="shared" ref="Z43" si="112">SUM(Z41:Z42)</f>
        <v>43.565306002803617</v>
      </c>
      <c r="AA43" s="963">
        <f t="shared" ref="AA43" si="113">SUM(AA41:AA42)</f>
        <v>43.746182443747948</v>
      </c>
      <c r="AB43" s="963">
        <f t="shared" ref="AB43" si="114">SUM(AB41:AB42)</f>
        <v>43.927631666125414</v>
      </c>
      <c r="AC43" s="963">
        <f t="shared" ref="AC43" si="115">SUM(AC41:AC42)</f>
        <v>44.109655483763014</v>
      </c>
      <c r="AD43" s="963">
        <f t="shared" ref="AD43" si="116">SUM(AD41:AD42)</f>
        <v>44.292255716231566</v>
      </c>
      <c r="AE43" s="963">
        <f t="shared" ref="AE43:AO43" si="117">SUM(AE41:AE42)</f>
        <v>44.475434188863936</v>
      </c>
      <c r="AF43" s="963">
        <f t="shared" si="117"/>
        <v>44.659192732773292</v>
      </c>
      <c r="AG43" s="963">
        <f t="shared" si="117"/>
        <v>44.843533184871355</v>
      </c>
      <c r="AH43" s="963">
        <f t="shared" si="117"/>
        <v>45.028457387886817</v>
      </c>
      <c r="AI43" s="963">
        <f t="shared" si="117"/>
        <v>45.213967190383734</v>
      </c>
      <c r="AJ43" s="963">
        <f t="shared" si="117"/>
        <v>45.40006444678</v>
      </c>
      <c r="AK43" s="963">
        <f t="shared" si="117"/>
        <v>45.58675101736592</v>
      </c>
      <c r="AL43" s="963">
        <f t="shared" si="117"/>
        <v>45.774028768322758</v>
      </c>
      <c r="AM43" s="963">
        <f t="shared" si="117"/>
        <v>45.961899571741405</v>
      </c>
      <c r="AN43" s="963">
        <f t="shared" si="117"/>
        <v>46.150365305641138</v>
      </c>
      <c r="AO43" s="963">
        <f t="shared" si="117"/>
        <v>46.339427853988305</v>
      </c>
    </row>
    <row r="44" spans="1:41" s="894" customFormat="1">
      <c r="A44" s="888"/>
      <c r="B44" s="920"/>
      <c r="C44" s="963"/>
      <c r="D44" s="963"/>
      <c r="E44" s="963"/>
      <c r="F44" s="963"/>
      <c r="G44" s="963"/>
      <c r="H44" s="963"/>
      <c r="I44" s="963"/>
      <c r="J44" s="963"/>
      <c r="K44" s="963"/>
      <c r="L44" s="963"/>
      <c r="M44" s="963"/>
      <c r="N44" s="963"/>
      <c r="O44" s="963"/>
      <c r="P44" s="963"/>
      <c r="Q44" s="963"/>
      <c r="R44" s="963"/>
      <c r="S44" s="963"/>
      <c r="T44" s="963"/>
      <c r="U44" s="963"/>
      <c r="V44" s="963"/>
      <c r="W44" s="963"/>
      <c r="X44" s="963"/>
      <c r="Y44" s="963"/>
      <c r="Z44" s="963"/>
      <c r="AA44" s="963"/>
      <c r="AB44" s="963"/>
      <c r="AC44" s="963"/>
      <c r="AD44" s="963"/>
      <c r="AE44" s="963"/>
      <c r="AF44" s="963"/>
      <c r="AG44" s="963"/>
      <c r="AH44" s="963"/>
      <c r="AI44" s="963"/>
      <c r="AJ44" s="963"/>
      <c r="AK44" s="963"/>
      <c r="AL44" s="963"/>
      <c r="AM44" s="963"/>
      <c r="AN44" s="963"/>
      <c r="AO44" s="963"/>
    </row>
    <row r="45" spans="1:41" s="934" customFormat="1" ht="15">
      <c r="A45" s="931" t="s">
        <v>509</v>
      </c>
      <c r="B45" s="932" t="s">
        <v>456</v>
      </c>
      <c r="C45" s="933">
        <f>C39*C$13+C43*C$14</f>
        <v>0</v>
      </c>
      <c r="D45" s="933">
        <f t="shared" ref="D45:AE45" si="118">D39*D$13+D43*D$14</f>
        <v>38404882.122320883</v>
      </c>
      <c r="E45" s="933">
        <f t="shared" si="118"/>
        <v>38526498.864150263</v>
      </c>
      <c r="F45" s="933">
        <f t="shared" si="118"/>
        <v>38648500.729721099</v>
      </c>
      <c r="G45" s="933">
        <f t="shared" si="118"/>
        <v>38770888.938604765</v>
      </c>
      <c r="H45" s="933">
        <f t="shared" si="118"/>
        <v>38893664.714234643</v>
      </c>
      <c r="I45" s="933">
        <f t="shared" si="118"/>
        <v>39016829.283918366</v>
      </c>
      <c r="J45" s="933">
        <f t="shared" si="118"/>
        <v>39140383.878850073</v>
      </c>
      <c r="K45" s="933">
        <f t="shared" si="118"/>
        <v>39264329.734122738</v>
      </c>
      <c r="L45" s="933">
        <f t="shared" si="118"/>
        <v>39269081.475090489</v>
      </c>
      <c r="M45" s="933">
        <f t="shared" si="118"/>
        <v>39393813.571981043</v>
      </c>
      <c r="N45" s="933">
        <f t="shared" si="118"/>
        <v>32856257.897508059</v>
      </c>
      <c r="O45" s="933">
        <f t="shared" si="118"/>
        <v>32981781.223483644</v>
      </c>
      <c r="P45" s="933">
        <f t="shared" si="118"/>
        <v>31102747.047328871</v>
      </c>
      <c r="Q45" s="933">
        <f t="shared" si="118"/>
        <v>31229066.621494289</v>
      </c>
      <c r="R45" s="933">
        <f t="shared" si="118"/>
        <v>31355786.211860515</v>
      </c>
      <c r="S45" s="933">
        <f t="shared" si="118"/>
        <v>31482907.085158877</v>
      </c>
      <c r="T45" s="933">
        <f t="shared" si="118"/>
        <v>31610430.512132049</v>
      </c>
      <c r="U45" s="933">
        <f t="shared" si="118"/>
        <v>31738357.76754678</v>
      </c>
      <c r="V45" s="933">
        <f t="shared" si="118"/>
        <v>31866690.1302066</v>
      </c>
      <c r="W45" s="933">
        <f t="shared" si="118"/>
        <v>31995428.882964633</v>
      </c>
      <c r="X45" s="933">
        <f t="shared" si="118"/>
        <v>32124575.312736448</v>
      </c>
      <c r="Y45" s="933">
        <f t="shared" si="118"/>
        <v>32254130.710512832</v>
      </c>
      <c r="Z45" s="933">
        <f t="shared" si="118"/>
        <v>32384096.371372797</v>
      </c>
      <c r="AA45" s="933">
        <f t="shared" si="118"/>
        <v>32514473.594496459</v>
      </c>
      <c r="AB45" s="933">
        <f t="shared" si="118"/>
        <v>32645263.683178071</v>
      </c>
      <c r="AC45" s="933">
        <f t="shared" si="118"/>
        <v>32776467.944839001</v>
      </c>
      <c r="AD45" s="933">
        <f t="shared" si="118"/>
        <v>32908087.691040844</v>
      </c>
      <c r="AE45" s="933">
        <f t="shared" si="118"/>
        <v>33040124.237498507</v>
      </c>
      <c r="AF45" s="933">
        <f t="shared" ref="AF45:AO45" si="119">AF39*AF$13+AF43*AF$14</f>
        <v>33172578.904093385</v>
      </c>
      <c r="AG45" s="933">
        <f t="shared" si="119"/>
        <v>33305453.014886528</v>
      </c>
      <c r="AH45" s="933">
        <f t="shared" si="119"/>
        <v>33438747.8981319</v>
      </c>
      <c r="AI45" s="933">
        <f t="shared" si="119"/>
        <v>33572464.886289641</v>
      </c>
      <c r="AJ45" s="933">
        <f t="shared" si="119"/>
        <v>33706605.316039398</v>
      </c>
      <c r="AK45" s="933">
        <f t="shared" si="119"/>
        <v>33841170.528293669</v>
      </c>
      <c r="AL45" s="933">
        <f t="shared" si="119"/>
        <v>33976161.868211247</v>
      </c>
      <c r="AM45" s="933">
        <f t="shared" si="119"/>
        <v>34111580.6852106</v>
      </c>
      <c r="AN45" s="933">
        <f t="shared" si="119"/>
        <v>34247428.332983442</v>
      </c>
      <c r="AO45" s="933">
        <f t="shared" si="119"/>
        <v>34383706.169508182</v>
      </c>
    </row>
    <row r="46" spans="1:41" s="936" customFormat="1">
      <c r="A46" s="967" t="s">
        <v>510</v>
      </c>
      <c r="B46" s="926"/>
      <c r="C46" s="935"/>
      <c r="D46" s="935"/>
      <c r="E46" s="935"/>
      <c r="F46" s="935"/>
      <c r="G46" s="935"/>
      <c r="H46" s="935"/>
      <c r="I46" s="935"/>
      <c r="J46" s="935"/>
      <c r="K46" s="935"/>
      <c r="L46" s="935"/>
      <c r="M46" s="935"/>
      <c r="N46" s="935"/>
      <c r="O46" s="935"/>
      <c r="P46" s="935"/>
      <c r="Q46" s="935"/>
      <c r="R46" s="935"/>
      <c r="S46" s="935"/>
      <c r="T46" s="935"/>
      <c r="U46" s="935"/>
      <c r="V46" s="935"/>
      <c r="W46" s="935"/>
      <c r="X46" s="935"/>
      <c r="Y46" s="935"/>
      <c r="Z46" s="935"/>
      <c r="AA46" s="935"/>
      <c r="AB46" s="935"/>
      <c r="AC46" s="935"/>
      <c r="AD46" s="935"/>
      <c r="AE46" s="935"/>
      <c r="AF46" s="935"/>
      <c r="AG46" s="935"/>
      <c r="AH46" s="935"/>
      <c r="AI46" s="935"/>
      <c r="AJ46" s="935"/>
      <c r="AK46" s="935"/>
      <c r="AL46" s="935"/>
      <c r="AM46" s="935"/>
      <c r="AN46" s="935"/>
      <c r="AO46" s="935"/>
    </row>
    <row r="47" spans="1:41" s="894" customFormat="1" ht="15">
      <c r="A47" s="888"/>
      <c r="B47" s="920"/>
      <c r="C47" s="937"/>
      <c r="D47" s="937"/>
      <c r="E47" s="937"/>
      <c r="F47" s="937"/>
      <c r="G47" s="937"/>
      <c r="H47" s="937"/>
      <c r="I47" s="937"/>
      <c r="J47" s="937"/>
      <c r="K47" s="937"/>
      <c r="L47" s="937"/>
      <c r="M47" s="937"/>
      <c r="N47" s="937"/>
      <c r="O47" s="937"/>
      <c r="P47" s="937"/>
      <c r="Q47" s="937"/>
      <c r="R47" s="937"/>
      <c r="S47" s="937"/>
      <c r="T47" s="937"/>
      <c r="U47" s="937"/>
      <c r="V47" s="937"/>
      <c r="W47" s="937"/>
      <c r="X47" s="937"/>
      <c r="Y47" s="937"/>
      <c r="Z47" s="937"/>
      <c r="AA47" s="937"/>
      <c r="AB47" s="937"/>
      <c r="AC47" s="937"/>
      <c r="AD47" s="937"/>
      <c r="AE47" s="937"/>
      <c r="AF47" s="937"/>
      <c r="AG47" s="937"/>
      <c r="AH47" s="937"/>
      <c r="AI47" s="937"/>
      <c r="AJ47" s="937"/>
      <c r="AK47" s="937"/>
      <c r="AL47" s="937"/>
      <c r="AM47" s="937"/>
      <c r="AN47" s="937"/>
      <c r="AO47" s="937"/>
    </row>
    <row r="48" spans="1:41" s="919" customFormat="1" ht="12.75" customHeight="1">
      <c r="A48" s="916" t="s">
        <v>490</v>
      </c>
      <c r="B48" s="917" t="s">
        <v>86</v>
      </c>
      <c r="C48" s="918" t="str">
        <f>IF(C$5&gt;0,C$4,"")</f>
        <v/>
      </c>
      <c r="D48" s="918" t="str">
        <f t="shared" ref="D48:AO48" si="120">IF(D$5&gt;0,D$4,"")</f>
        <v/>
      </c>
      <c r="E48" s="918" t="str">
        <f t="shared" si="120"/>
        <v/>
      </c>
      <c r="F48" s="918" t="str">
        <f t="shared" si="120"/>
        <v/>
      </c>
      <c r="G48" s="918" t="str">
        <f t="shared" si="120"/>
        <v/>
      </c>
      <c r="H48" s="918" t="str">
        <f t="shared" si="120"/>
        <v/>
      </c>
      <c r="I48" s="918" t="str">
        <f t="shared" si="120"/>
        <v/>
      </c>
      <c r="J48" s="918" t="str">
        <f t="shared" si="120"/>
        <v/>
      </c>
      <c r="K48" s="918" t="str">
        <f t="shared" si="120"/>
        <v/>
      </c>
      <c r="L48" s="918">
        <f t="shared" si="120"/>
        <v>2030</v>
      </c>
      <c r="M48" s="918">
        <f t="shared" si="120"/>
        <v>2031</v>
      </c>
      <c r="N48" s="918">
        <f t="shared" si="120"/>
        <v>2032</v>
      </c>
      <c r="O48" s="918">
        <f t="shared" si="120"/>
        <v>2033</v>
      </c>
      <c r="P48" s="918">
        <f t="shared" si="120"/>
        <v>2034</v>
      </c>
      <c r="Q48" s="918">
        <f t="shared" si="120"/>
        <v>2035</v>
      </c>
      <c r="R48" s="918">
        <f t="shared" si="120"/>
        <v>2036</v>
      </c>
      <c r="S48" s="918">
        <f t="shared" si="120"/>
        <v>2037</v>
      </c>
      <c r="T48" s="918">
        <f t="shared" si="120"/>
        <v>2038</v>
      </c>
      <c r="U48" s="918">
        <f t="shared" si="120"/>
        <v>2039</v>
      </c>
      <c r="V48" s="918">
        <f t="shared" si="120"/>
        <v>2040</v>
      </c>
      <c r="W48" s="918">
        <f t="shared" si="120"/>
        <v>2041</v>
      </c>
      <c r="X48" s="918">
        <f t="shared" si="120"/>
        <v>2042</v>
      </c>
      <c r="Y48" s="918">
        <f t="shared" si="120"/>
        <v>2043</v>
      </c>
      <c r="Z48" s="918">
        <f t="shared" si="120"/>
        <v>2044</v>
      </c>
      <c r="AA48" s="918">
        <f t="shared" si="120"/>
        <v>2045</v>
      </c>
      <c r="AB48" s="918">
        <f t="shared" si="120"/>
        <v>2046</v>
      </c>
      <c r="AC48" s="918">
        <f t="shared" si="120"/>
        <v>2047</v>
      </c>
      <c r="AD48" s="918">
        <f t="shared" si="120"/>
        <v>2048</v>
      </c>
      <c r="AE48" s="918">
        <f t="shared" si="120"/>
        <v>2049</v>
      </c>
      <c r="AF48" s="918">
        <f t="shared" si="120"/>
        <v>2050</v>
      </c>
      <c r="AG48" s="918">
        <f t="shared" si="120"/>
        <v>2051</v>
      </c>
      <c r="AH48" s="918">
        <f t="shared" si="120"/>
        <v>2052</v>
      </c>
      <c r="AI48" s="918">
        <f t="shared" si="120"/>
        <v>2053</v>
      </c>
      <c r="AJ48" s="918">
        <f t="shared" si="120"/>
        <v>2054</v>
      </c>
      <c r="AK48" s="918">
        <f t="shared" si="120"/>
        <v>2055</v>
      </c>
      <c r="AL48" s="918">
        <f t="shared" si="120"/>
        <v>2056</v>
      </c>
      <c r="AM48" s="918">
        <f t="shared" si="120"/>
        <v>2057</v>
      </c>
      <c r="AN48" s="918">
        <f t="shared" si="120"/>
        <v>2058</v>
      </c>
      <c r="AO48" s="918">
        <f t="shared" si="120"/>
        <v>2059</v>
      </c>
    </row>
    <row r="49" spans="1:41" s="934" customFormat="1"/>
    <row r="50" spans="1:41" s="894" customFormat="1" ht="15">
      <c r="A50" s="931" t="s">
        <v>459</v>
      </c>
      <c r="B50" s="932" t="s">
        <v>456</v>
      </c>
      <c r="C50" s="933">
        <f t="shared" ref="C50:AE50" si="121">C29-C45</f>
        <v>0</v>
      </c>
      <c r="D50" s="933">
        <f t="shared" si="121"/>
        <v>0</v>
      </c>
      <c r="E50" s="933">
        <f t="shared" si="121"/>
        <v>0</v>
      </c>
      <c r="F50" s="933">
        <f t="shared" si="121"/>
        <v>0</v>
      </c>
      <c r="G50" s="933">
        <f t="shared" si="121"/>
        <v>0</v>
      </c>
      <c r="H50" s="933">
        <f t="shared" si="121"/>
        <v>0</v>
      </c>
      <c r="I50" s="933">
        <f t="shared" si="121"/>
        <v>0</v>
      </c>
      <c r="J50" s="933">
        <f t="shared" si="121"/>
        <v>0</v>
      </c>
      <c r="K50" s="933">
        <f t="shared" si="121"/>
        <v>0</v>
      </c>
      <c r="L50" s="933">
        <f t="shared" si="121"/>
        <v>119586.61365000159</v>
      </c>
      <c r="M50" s="933">
        <f t="shared" si="121"/>
        <v>119586.61365000159</v>
      </c>
      <c r="N50" s="933">
        <f t="shared" si="121"/>
        <v>6782269.3741500042</v>
      </c>
      <c r="O50" s="933">
        <f t="shared" si="121"/>
        <v>6782269.374150008</v>
      </c>
      <c r="P50" s="933">
        <f t="shared" si="121"/>
        <v>8787224.3710019998</v>
      </c>
      <c r="Q50" s="933">
        <f t="shared" si="121"/>
        <v>8787224.3710019998</v>
      </c>
      <c r="R50" s="933">
        <f t="shared" si="121"/>
        <v>8787224.3710019961</v>
      </c>
      <c r="S50" s="933">
        <f t="shared" si="121"/>
        <v>8787224.3710019961</v>
      </c>
      <c r="T50" s="933">
        <f t="shared" si="121"/>
        <v>8787224.3710019961</v>
      </c>
      <c r="U50" s="933">
        <f t="shared" si="121"/>
        <v>8787224.3710019961</v>
      </c>
      <c r="V50" s="933">
        <f t="shared" si="121"/>
        <v>8787224.3710019961</v>
      </c>
      <c r="W50" s="933">
        <f t="shared" si="121"/>
        <v>8787224.3710020036</v>
      </c>
      <c r="X50" s="933">
        <f t="shared" si="121"/>
        <v>8787224.3710019924</v>
      </c>
      <c r="Y50" s="933">
        <f t="shared" si="121"/>
        <v>8787224.3710020036</v>
      </c>
      <c r="Z50" s="933">
        <f t="shared" si="121"/>
        <v>8787224.3710019961</v>
      </c>
      <c r="AA50" s="933">
        <f t="shared" si="121"/>
        <v>8787224.3710020036</v>
      </c>
      <c r="AB50" s="933">
        <f t="shared" si="121"/>
        <v>8787224.3710019998</v>
      </c>
      <c r="AC50" s="933">
        <f t="shared" si="121"/>
        <v>8787224.3710019961</v>
      </c>
      <c r="AD50" s="933">
        <f t="shared" si="121"/>
        <v>8787224.3710020036</v>
      </c>
      <c r="AE50" s="933">
        <f t="shared" si="121"/>
        <v>8787224.3710019961</v>
      </c>
      <c r="AF50" s="933">
        <f t="shared" ref="AF50:AO50" si="122">AF29-AF45</f>
        <v>8787224.3710020036</v>
      </c>
      <c r="AG50" s="933">
        <f t="shared" si="122"/>
        <v>8787224.3710020036</v>
      </c>
      <c r="AH50" s="933">
        <f t="shared" si="122"/>
        <v>8787224.3710019961</v>
      </c>
      <c r="AI50" s="933">
        <f t="shared" si="122"/>
        <v>8787224.3710020036</v>
      </c>
      <c r="AJ50" s="933">
        <f t="shared" si="122"/>
        <v>8787224.3710020036</v>
      </c>
      <c r="AK50" s="933">
        <f t="shared" si="122"/>
        <v>8787224.3710019961</v>
      </c>
      <c r="AL50" s="933">
        <f t="shared" si="122"/>
        <v>8787224.3710019961</v>
      </c>
      <c r="AM50" s="933">
        <f t="shared" si="122"/>
        <v>8787224.3710020185</v>
      </c>
      <c r="AN50" s="933">
        <f t="shared" si="122"/>
        <v>8787224.3710020036</v>
      </c>
      <c r="AO50" s="933">
        <f t="shared" si="122"/>
        <v>8787224.371002011</v>
      </c>
    </row>
    <row r="51" spans="1:41" s="894" customFormat="1">
      <c r="A51" s="888"/>
      <c r="B51" s="920"/>
    </row>
    <row r="52" spans="1:41" s="946" customFormat="1" ht="15">
      <c r="A52" s="942" t="s">
        <v>89</v>
      </c>
      <c r="B52" s="943"/>
      <c r="C52" s="944"/>
      <c r="D52" s="944"/>
      <c r="E52" s="944"/>
      <c r="F52" s="944"/>
      <c r="G52" s="944"/>
      <c r="H52" s="944"/>
      <c r="I52" s="945"/>
      <c r="J52" s="945"/>
      <c r="K52" s="945"/>
      <c r="L52" s="945"/>
      <c r="M52" s="945"/>
      <c r="N52" s="945"/>
      <c r="O52" s="945"/>
      <c r="P52" s="945"/>
      <c r="Q52" s="945"/>
      <c r="R52" s="945"/>
      <c r="S52" s="945"/>
      <c r="T52" s="945"/>
      <c r="U52" s="945"/>
      <c r="V52" s="945"/>
      <c r="W52" s="945"/>
      <c r="X52" s="945"/>
      <c r="Y52" s="945"/>
      <c r="Z52" s="945"/>
      <c r="AA52" s="945"/>
      <c r="AB52" s="945"/>
      <c r="AC52" s="945"/>
      <c r="AD52" s="945"/>
      <c r="AE52" s="945"/>
      <c r="AF52" s="945"/>
      <c r="AG52" s="945"/>
      <c r="AH52" s="945"/>
      <c r="AI52" s="945"/>
      <c r="AJ52" s="945"/>
      <c r="AK52" s="945"/>
      <c r="AL52" s="945"/>
      <c r="AM52" s="945"/>
      <c r="AN52" s="945"/>
      <c r="AO52" s="945"/>
    </row>
    <row r="53" spans="1:41" s="954" customFormat="1"/>
    <row r="54" spans="1:41" s="954" customFormat="1">
      <c r="A54" s="947" t="s">
        <v>511</v>
      </c>
      <c r="B54" s="951" t="s">
        <v>98</v>
      </c>
      <c r="C54" s="955">
        <f>C23-C39</f>
        <v>0</v>
      </c>
      <c r="D54" s="955">
        <f t="shared" ref="D54:AE54" si="123">D23-D39</f>
        <v>0</v>
      </c>
      <c r="E54" s="955">
        <f t="shared" si="123"/>
        <v>0</v>
      </c>
      <c r="F54" s="955">
        <f t="shared" si="123"/>
        <v>0</v>
      </c>
      <c r="G54" s="955">
        <f t="shared" si="123"/>
        <v>0</v>
      </c>
      <c r="H54" s="955">
        <f t="shared" si="123"/>
        <v>0</v>
      </c>
      <c r="I54" s="955">
        <f t="shared" si="123"/>
        <v>0</v>
      </c>
      <c r="J54" s="955">
        <f t="shared" si="123"/>
        <v>0</v>
      </c>
      <c r="K54" s="955">
        <f t="shared" si="123"/>
        <v>0</v>
      </c>
      <c r="L54" s="955">
        <f t="shared" si="123"/>
        <v>6.356122500000172E-3</v>
      </c>
      <c r="M54" s="955">
        <f t="shared" si="123"/>
        <v>6.356122500000172E-3</v>
      </c>
      <c r="N54" s="955">
        <f t="shared" si="123"/>
        <v>0.36048294749999998</v>
      </c>
      <c r="O54" s="955">
        <f t="shared" si="123"/>
        <v>0.36048294750000021</v>
      </c>
      <c r="P54" s="955">
        <f t="shared" si="123"/>
        <v>0.46704788130000008</v>
      </c>
      <c r="Q54" s="955">
        <f t="shared" si="123"/>
        <v>0.46704788129999986</v>
      </c>
      <c r="R54" s="955">
        <f t="shared" si="123"/>
        <v>0.46704788129999986</v>
      </c>
      <c r="S54" s="955">
        <f t="shared" si="123"/>
        <v>0.46704788129999963</v>
      </c>
      <c r="T54" s="955">
        <f t="shared" si="123"/>
        <v>0.46704788130000008</v>
      </c>
      <c r="U54" s="955">
        <f t="shared" si="123"/>
        <v>0.46704788129999986</v>
      </c>
      <c r="V54" s="955">
        <f t="shared" si="123"/>
        <v>0.46704788129999986</v>
      </c>
      <c r="W54" s="955">
        <f t="shared" si="123"/>
        <v>0.46704788130000008</v>
      </c>
      <c r="X54" s="955">
        <f t="shared" si="123"/>
        <v>0.46704788129999963</v>
      </c>
      <c r="Y54" s="955">
        <f t="shared" si="123"/>
        <v>0.46704788130000008</v>
      </c>
      <c r="Z54" s="955">
        <f t="shared" si="123"/>
        <v>0.46704788129999986</v>
      </c>
      <c r="AA54" s="955">
        <f t="shared" si="123"/>
        <v>0.46704788130000008</v>
      </c>
      <c r="AB54" s="955">
        <f t="shared" si="123"/>
        <v>0.46704788129999986</v>
      </c>
      <c r="AC54" s="955">
        <f t="shared" si="123"/>
        <v>0.46704788130000008</v>
      </c>
      <c r="AD54" s="955">
        <f t="shared" si="123"/>
        <v>0.46704788130000008</v>
      </c>
      <c r="AE54" s="955">
        <f t="shared" si="123"/>
        <v>0.46704788129999986</v>
      </c>
      <c r="AF54" s="955">
        <f t="shared" ref="AF54:AO54" si="124">AF23-AF39</f>
        <v>0.46704788130000008</v>
      </c>
      <c r="AG54" s="955">
        <f t="shared" si="124"/>
        <v>0.46704788130000008</v>
      </c>
      <c r="AH54" s="955">
        <f t="shared" si="124"/>
        <v>0.46704788129999986</v>
      </c>
      <c r="AI54" s="955">
        <f t="shared" si="124"/>
        <v>0.4670478813000003</v>
      </c>
      <c r="AJ54" s="955">
        <f t="shared" si="124"/>
        <v>0.4670478813000003</v>
      </c>
      <c r="AK54" s="955">
        <f t="shared" si="124"/>
        <v>0.46704788129999986</v>
      </c>
      <c r="AL54" s="955">
        <f t="shared" si="124"/>
        <v>0.46704788129999986</v>
      </c>
      <c r="AM54" s="955">
        <f t="shared" si="124"/>
        <v>0.46704788130000074</v>
      </c>
      <c r="AN54" s="955">
        <f t="shared" si="124"/>
        <v>0.46704788130000008</v>
      </c>
      <c r="AO54" s="955">
        <f t="shared" si="124"/>
        <v>0.46704788130000052</v>
      </c>
    </row>
    <row r="55" spans="1:41" s="894" customFormat="1">
      <c r="A55" s="947" t="s">
        <v>512</v>
      </c>
      <c r="B55" s="951" t="s">
        <v>100</v>
      </c>
      <c r="C55" s="955">
        <f>C27-C43</f>
        <v>0</v>
      </c>
      <c r="D55" s="955">
        <f t="shared" ref="D55:AE55" si="125">D27-D43</f>
        <v>0</v>
      </c>
      <c r="E55" s="955">
        <f t="shared" si="125"/>
        <v>0</v>
      </c>
      <c r="F55" s="955">
        <f t="shared" si="125"/>
        <v>0</v>
      </c>
      <c r="G55" s="955">
        <f t="shared" si="125"/>
        <v>0</v>
      </c>
      <c r="H55" s="955">
        <f t="shared" si="125"/>
        <v>0</v>
      </c>
      <c r="I55" s="955">
        <f t="shared" si="125"/>
        <v>0</v>
      </c>
      <c r="J55" s="955">
        <f t="shared" si="125"/>
        <v>0</v>
      </c>
      <c r="K55" s="955">
        <f t="shared" si="125"/>
        <v>0</v>
      </c>
      <c r="L55" s="955">
        <f t="shared" si="125"/>
        <v>0.18444431250000548</v>
      </c>
      <c r="M55" s="955">
        <f t="shared" si="125"/>
        <v>0.18444431250000548</v>
      </c>
      <c r="N55" s="955">
        <f t="shared" si="125"/>
        <v>10.460627437500001</v>
      </c>
      <c r="O55" s="955">
        <f t="shared" si="125"/>
        <v>10.460627437500001</v>
      </c>
      <c r="P55" s="955">
        <f t="shared" si="125"/>
        <v>13.552968082499994</v>
      </c>
      <c r="Q55" s="955">
        <f t="shared" si="125"/>
        <v>13.552968082500001</v>
      </c>
      <c r="R55" s="955">
        <f t="shared" si="125"/>
        <v>13.552968082500001</v>
      </c>
      <c r="S55" s="955">
        <f t="shared" si="125"/>
        <v>13.552968082500001</v>
      </c>
      <c r="T55" s="955">
        <f t="shared" si="125"/>
        <v>13.552968082499994</v>
      </c>
      <c r="U55" s="955">
        <f t="shared" si="125"/>
        <v>13.552968082500001</v>
      </c>
      <c r="V55" s="955">
        <f t="shared" si="125"/>
        <v>13.552968082499994</v>
      </c>
      <c r="W55" s="955">
        <f t="shared" si="125"/>
        <v>13.552968082500009</v>
      </c>
      <c r="X55" s="955">
        <f t="shared" si="125"/>
        <v>13.552968082500001</v>
      </c>
      <c r="Y55" s="955">
        <f t="shared" si="125"/>
        <v>13.552968082500009</v>
      </c>
      <c r="Z55" s="955">
        <f t="shared" si="125"/>
        <v>13.552968082499994</v>
      </c>
      <c r="AA55" s="955">
        <f t="shared" si="125"/>
        <v>13.552968082500001</v>
      </c>
      <c r="AB55" s="955">
        <f t="shared" si="125"/>
        <v>13.552968082500009</v>
      </c>
      <c r="AC55" s="955">
        <f t="shared" si="125"/>
        <v>13.552968082499994</v>
      </c>
      <c r="AD55" s="955">
        <f t="shared" si="125"/>
        <v>13.552968082500001</v>
      </c>
      <c r="AE55" s="955">
        <f t="shared" si="125"/>
        <v>13.552968082499994</v>
      </c>
      <c r="AF55" s="955">
        <f t="shared" ref="AF55:AO55" si="126">AF27-AF43</f>
        <v>13.552968082499994</v>
      </c>
      <c r="AG55" s="955">
        <f t="shared" si="126"/>
        <v>13.552968082500001</v>
      </c>
      <c r="AH55" s="955">
        <f t="shared" si="126"/>
        <v>13.552968082500001</v>
      </c>
      <c r="AI55" s="955">
        <f t="shared" si="126"/>
        <v>13.552968082500001</v>
      </c>
      <c r="AJ55" s="955">
        <f t="shared" si="126"/>
        <v>13.552968082500009</v>
      </c>
      <c r="AK55" s="955">
        <f t="shared" si="126"/>
        <v>13.552968082499994</v>
      </c>
      <c r="AL55" s="955">
        <f t="shared" si="126"/>
        <v>13.552968082499994</v>
      </c>
      <c r="AM55" s="955">
        <f t="shared" si="126"/>
        <v>13.552968082500016</v>
      </c>
      <c r="AN55" s="955">
        <f t="shared" si="126"/>
        <v>13.552968082500001</v>
      </c>
      <c r="AO55" s="955">
        <f t="shared" si="126"/>
        <v>13.552968082500009</v>
      </c>
    </row>
    <row r="56" spans="1:41" s="894" customFormat="1">
      <c r="A56" s="888"/>
      <c r="B56" s="920"/>
    </row>
    <row r="57" spans="1:41" s="894" customFormat="1">
      <c r="A57" s="888"/>
      <c r="B57" s="920"/>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1">
    <tabColor theme="4" tint="-0.499984740745262"/>
  </sheetPr>
  <dimension ref="A1:AO33"/>
  <sheetViews>
    <sheetView showGridLines="0" topLeftCell="R1" zoomScale="80" zoomScaleNormal="80" workbookViewId="0">
      <pane ySplit="4" topLeftCell="A5" activePane="bottomLeft" state="frozen"/>
      <selection activeCell="C22" sqref="C22:AE22"/>
      <selection pane="bottomLeft" activeCell="J44" sqref="J44"/>
    </sheetView>
  </sheetViews>
  <sheetFormatPr defaultColWidth="9.25" defaultRowHeight="14.25"/>
  <cols>
    <col min="1" max="1" width="65.75" style="880" customWidth="1"/>
    <col min="2" max="2" width="16.5" style="881" customWidth="1"/>
    <col min="3" max="28" width="9.75" style="882" customWidth="1"/>
    <col min="29" max="16384" width="9.25" style="882"/>
  </cols>
  <sheetData>
    <row r="1" spans="1:41">
      <c r="E1" s="956"/>
    </row>
    <row r="2" spans="1:41" ht="23.25">
      <c r="A2" s="884" t="s">
        <v>513</v>
      </c>
      <c r="B2" s="880"/>
      <c r="C2" s="885"/>
      <c r="D2" s="885"/>
      <c r="E2" s="885"/>
      <c r="F2" s="885"/>
      <c r="G2" s="885"/>
      <c r="J2" s="885"/>
      <c r="K2" s="885"/>
    </row>
    <row r="3" spans="1:41">
      <c r="B3" s="887" t="s">
        <v>443</v>
      </c>
    </row>
    <row r="4" spans="1:41" s="890" customFormat="1" ht="13.5" customHeight="1">
      <c r="A4" s="888"/>
      <c r="B4" s="1177">
        <f>Base.Year</f>
        <v>2022</v>
      </c>
      <c r="C4" s="889">
        <f>B4-1</f>
        <v>2021</v>
      </c>
      <c r="D4" s="889">
        <f>C4+1</f>
        <v>2022</v>
      </c>
      <c r="E4" s="889">
        <f t="shared" ref="E4:AB4" si="0">D4+1</f>
        <v>2023</v>
      </c>
      <c r="F4" s="889">
        <f>E4+1</f>
        <v>2024</v>
      </c>
      <c r="G4" s="889">
        <f t="shared" si="0"/>
        <v>2025</v>
      </c>
      <c r="H4" s="889">
        <f t="shared" si="0"/>
        <v>2026</v>
      </c>
      <c r="I4" s="889">
        <f t="shared" si="0"/>
        <v>2027</v>
      </c>
      <c r="J4" s="889">
        <f t="shared" si="0"/>
        <v>2028</v>
      </c>
      <c r="K4" s="889">
        <f t="shared" si="0"/>
        <v>2029</v>
      </c>
      <c r="L4" s="889">
        <f t="shared" si="0"/>
        <v>2030</v>
      </c>
      <c r="M4" s="889">
        <f t="shared" si="0"/>
        <v>2031</v>
      </c>
      <c r="N4" s="889">
        <f t="shared" si="0"/>
        <v>2032</v>
      </c>
      <c r="O4" s="889">
        <f t="shared" si="0"/>
        <v>2033</v>
      </c>
      <c r="P4" s="889">
        <f t="shared" si="0"/>
        <v>2034</v>
      </c>
      <c r="Q4" s="889">
        <f t="shared" si="0"/>
        <v>2035</v>
      </c>
      <c r="R4" s="889">
        <f t="shared" si="0"/>
        <v>2036</v>
      </c>
      <c r="S4" s="889">
        <f t="shared" si="0"/>
        <v>2037</v>
      </c>
      <c r="T4" s="889">
        <f t="shared" si="0"/>
        <v>2038</v>
      </c>
      <c r="U4" s="889">
        <f t="shared" si="0"/>
        <v>2039</v>
      </c>
      <c r="V4" s="889">
        <f t="shared" si="0"/>
        <v>2040</v>
      </c>
      <c r="W4" s="889">
        <f t="shared" si="0"/>
        <v>2041</v>
      </c>
      <c r="X4" s="889">
        <f t="shared" si="0"/>
        <v>2042</v>
      </c>
      <c r="Y4" s="889">
        <f t="shared" si="0"/>
        <v>2043</v>
      </c>
      <c r="Z4" s="889">
        <f t="shared" si="0"/>
        <v>2044</v>
      </c>
      <c r="AA4" s="889">
        <f t="shared" si="0"/>
        <v>2045</v>
      </c>
      <c r="AB4" s="889">
        <f t="shared" si="0"/>
        <v>2046</v>
      </c>
      <c r="AC4" s="889">
        <f t="shared" ref="AC4" si="1">AB4+1</f>
        <v>2047</v>
      </c>
      <c r="AD4" s="889">
        <f t="shared" ref="AD4" si="2">AC4+1</f>
        <v>2048</v>
      </c>
      <c r="AE4" s="889">
        <f t="shared" ref="AE4" si="3">AD4+1</f>
        <v>2049</v>
      </c>
      <c r="AF4" s="889">
        <f t="shared" ref="AF4" si="4">AE4+1</f>
        <v>2050</v>
      </c>
      <c r="AG4" s="889">
        <f t="shared" ref="AG4" si="5">AF4+1</f>
        <v>2051</v>
      </c>
      <c r="AH4" s="889">
        <f t="shared" ref="AH4" si="6">AG4+1</f>
        <v>2052</v>
      </c>
      <c r="AI4" s="889">
        <f t="shared" ref="AI4" si="7">AH4+1</f>
        <v>2053</v>
      </c>
      <c r="AJ4" s="889">
        <f t="shared" ref="AJ4" si="8">AI4+1</f>
        <v>2054</v>
      </c>
      <c r="AK4" s="889">
        <f t="shared" ref="AK4" si="9">AJ4+1</f>
        <v>2055</v>
      </c>
      <c r="AL4" s="889">
        <f t="shared" ref="AL4" si="10">AK4+1</f>
        <v>2056</v>
      </c>
      <c r="AM4" s="889">
        <f t="shared" ref="AM4" si="11">AL4+1</f>
        <v>2057</v>
      </c>
      <c r="AN4" s="889">
        <f t="shared" ref="AN4" si="12">AM4+1</f>
        <v>2058</v>
      </c>
      <c r="AO4" s="889">
        <f t="shared" ref="AO4" si="13">AN4+1</f>
        <v>2059</v>
      </c>
    </row>
    <row r="5" spans="1:41" s="890" customFormat="1" ht="13.5" customHeight="1">
      <c r="A5" s="891" t="s">
        <v>444</v>
      </c>
      <c r="B5" s="892"/>
      <c r="C5" s="893">
        <f>MAX(0,C$4-Inputs!$E$8+1)</f>
        <v>0</v>
      </c>
      <c r="D5" s="893">
        <f>MAX(0,D$4-Inputs!$E$8+1)</f>
        <v>0</v>
      </c>
      <c r="E5" s="893">
        <f>MAX(0,E$4-Inputs!$E$8+1)</f>
        <v>0</v>
      </c>
      <c r="F5" s="893">
        <f>MAX(0,F$4-Inputs!$E$8+1)</f>
        <v>0</v>
      </c>
      <c r="G5" s="893">
        <f>MAX(0,G$4-Inputs!$E$8+1)</f>
        <v>0</v>
      </c>
      <c r="H5" s="893">
        <f>MAX(0,H$4-Inputs!$E$8+1)</f>
        <v>0</v>
      </c>
      <c r="I5" s="893">
        <f>MAX(0,I$4-Inputs!$E$8+1)</f>
        <v>0</v>
      </c>
      <c r="J5" s="893">
        <f>MAX(0,J$4-Inputs!$E$8+1)</f>
        <v>0</v>
      </c>
      <c r="K5" s="893">
        <f>MAX(0,K$4-Inputs!$E$8+1)</f>
        <v>0</v>
      </c>
      <c r="L5" s="893">
        <f>MAX(0,L$4-Inputs!$E$8+1)</f>
        <v>1</v>
      </c>
      <c r="M5" s="893">
        <f>MAX(0,M$4-Inputs!$E$8+1)</f>
        <v>2</v>
      </c>
      <c r="N5" s="893">
        <f>MAX(0,N$4-Inputs!$E$8+1)</f>
        <v>3</v>
      </c>
      <c r="O5" s="893">
        <f>MAX(0,O$4-Inputs!$E$8+1)</f>
        <v>4</v>
      </c>
      <c r="P5" s="893">
        <f>MAX(0,P$4-Inputs!$E$8+1)</f>
        <v>5</v>
      </c>
      <c r="Q5" s="893">
        <f>MAX(0,Q$4-Inputs!$E$8+1)</f>
        <v>6</v>
      </c>
      <c r="R5" s="893">
        <f>MAX(0,R$4-Inputs!$E$8+1)</f>
        <v>7</v>
      </c>
      <c r="S5" s="893">
        <f>MAX(0,S$4-Inputs!$E$8+1)</f>
        <v>8</v>
      </c>
      <c r="T5" s="893">
        <f>MAX(0,T$4-Inputs!$E$8+1)</f>
        <v>9</v>
      </c>
      <c r="U5" s="893">
        <f>MAX(0,U$4-Inputs!$E$8+1)</f>
        <v>10</v>
      </c>
      <c r="V5" s="893">
        <f>MAX(0,V$4-Inputs!$E$8+1)</f>
        <v>11</v>
      </c>
      <c r="W5" s="893">
        <f>MAX(0,W$4-Inputs!$E$8+1)</f>
        <v>12</v>
      </c>
      <c r="X5" s="893">
        <f>MAX(0,X$4-Inputs!$E$8+1)</f>
        <v>13</v>
      </c>
      <c r="Y5" s="893">
        <f>MAX(0,Y$4-Inputs!$E$8+1)</f>
        <v>14</v>
      </c>
      <c r="Z5" s="893">
        <f>MAX(0,Z$4-Inputs!$E$8+1)</f>
        <v>15</v>
      </c>
      <c r="AA5" s="893">
        <f>MAX(0,AA$4-Inputs!$E$8+1)</f>
        <v>16</v>
      </c>
      <c r="AB5" s="893">
        <f>MAX(0,AB$4-Inputs!$E$8+1)</f>
        <v>17</v>
      </c>
      <c r="AC5" s="893">
        <f>MAX(0,AC$4-Inputs!$E$8+1)</f>
        <v>18</v>
      </c>
      <c r="AD5" s="893">
        <f>MAX(0,AD$4-Inputs!$E$8+1)</f>
        <v>19</v>
      </c>
      <c r="AE5" s="893">
        <f>MAX(0,AE$4-Inputs!$E$8+1)</f>
        <v>20</v>
      </c>
      <c r="AF5" s="893">
        <f>MAX(0,AF$4-Inputs!$E$8+1)</f>
        <v>21</v>
      </c>
      <c r="AG5" s="893">
        <f>MAX(0,AG$4-Inputs!$E$8+1)</f>
        <v>22</v>
      </c>
      <c r="AH5" s="893">
        <f>MAX(0,AH$4-Inputs!$E$8+1)</f>
        <v>23</v>
      </c>
      <c r="AI5" s="893">
        <f>MAX(0,AI$4-Inputs!$E$8+1)</f>
        <v>24</v>
      </c>
      <c r="AJ5" s="893">
        <f>MAX(0,AJ$4-Inputs!$E$8+1)</f>
        <v>25</v>
      </c>
      <c r="AK5" s="893">
        <f>MAX(0,AK$4-Inputs!$E$8+1)</f>
        <v>26</v>
      </c>
      <c r="AL5" s="893">
        <f>MAX(0,AL$4-Inputs!$E$8+1)</f>
        <v>27</v>
      </c>
      <c r="AM5" s="893">
        <f>MAX(0,AM$4-Inputs!$E$8+1)</f>
        <v>28</v>
      </c>
      <c r="AN5" s="893">
        <f>MAX(0,AN$4-Inputs!$E$8+1)</f>
        <v>29</v>
      </c>
      <c r="AO5" s="893">
        <f>MAX(0,AO$4-Inputs!$E$8+1)</f>
        <v>30</v>
      </c>
    </row>
    <row r="6" spans="1:41" s="894" customFormat="1">
      <c r="A6" s="888"/>
      <c r="B6" s="888"/>
    </row>
    <row r="7" spans="1:41" s="894" customFormat="1">
      <c r="A7" s="902" t="s">
        <v>514</v>
      </c>
      <c r="B7" s="903" t="s">
        <v>515</v>
      </c>
      <c r="C7" s="1015">
        <f>Inputs!$E$25</f>
        <v>9.4414738318528105E-2</v>
      </c>
      <c r="D7" s="1015">
        <f>Inputs!$E$25</f>
        <v>9.4414738318528105E-2</v>
      </c>
      <c r="E7" s="1015">
        <f>Inputs!$E$25</f>
        <v>9.4414738318528105E-2</v>
      </c>
      <c r="F7" s="1015">
        <f>Inputs!$E$25</f>
        <v>9.4414738318528105E-2</v>
      </c>
      <c r="G7" s="1015">
        <f>Inputs!$E$25</f>
        <v>9.4414738318528105E-2</v>
      </c>
      <c r="H7" s="1015">
        <f>Inputs!$E$25</f>
        <v>9.4414738318528105E-2</v>
      </c>
      <c r="I7" s="1015">
        <f>Inputs!$E$25</f>
        <v>9.4414738318528105E-2</v>
      </c>
      <c r="J7" s="1015">
        <f>Inputs!$E$25</f>
        <v>9.4414738318528105E-2</v>
      </c>
      <c r="K7" s="1015">
        <f>Inputs!$E$25</f>
        <v>9.4414738318528105E-2</v>
      </c>
      <c r="L7" s="1015">
        <f>Inputs!$E$25</f>
        <v>9.4414738318528105E-2</v>
      </c>
      <c r="M7" s="1015">
        <f>Inputs!$E$25</f>
        <v>9.4414738318528105E-2</v>
      </c>
      <c r="N7" s="1015">
        <f>Inputs!$E$25</f>
        <v>9.4414738318528105E-2</v>
      </c>
      <c r="O7" s="1015">
        <f>Inputs!$E$25</f>
        <v>9.4414738318528105E-2</v>
      </c>
      <c r="P7" s="1015">
        <f>Inputs!$E$25</f>
        <v>9.4414738318528105E-2</v>
      </c>
      <c r="Q7" s="1015">
        <f>Inputs!$E$25</f>
        <v>9.4414738318528105E-2</v>
      </c>
      <c r="R7" s="1015">
        <f>Inputs!$E$25</f>
        <v>9.4414738318528105E-2</v>
      </c>
      <c r="S7" s="1015">
        <f>Inputs!$E$25</f>
        <v>9.4414738318528105E-2</v>
      </c>
      <c r="T7" s="1015">
        <f>Inputs!$E$25</f>
        <v>9.4414738318528105E-2</v>
      </c>
      <c r="U7" s="1015">
        <f>Inputs!$E$25</f>
        <v>9.4414738318528105E-2</v>
      </c>
      <c r="V7" s="1015">
        <f>Inputs!$E$25</f>
        <v>9.4414738318528105E-2</v>
      </c>
      <c r="W7" s="1015">
        <f>Inputs!$E$25</f>
        <v>9.4414738318528105E-2</v>
      </c>
      <c r="X7" s="1015">
        <f>Inputs!$E$25</f>
        <v>9.4414738318528105E-2</v>
      </c>
      <c r="Y7" s="1015">
        <f>Inputs!$E$25</f>
        <v>9.4414738318528105E-2</v>
      </c>
      <c r="Z7" s="1015">
        <f>Inputs!$E$25</f>
        <v>9.4414738318528105E-2</v>
      </c>
      <c r="AA7" s="1015">
        <f>Inputs!$E$25</f>
        <v>9.4414738318528105E-2</v>
      </c>
      <c r="AB7" s="1015">
        <f>Inputs!$E$25</f>
        <v>9.4414738318528105E-2</v>
      </c>
      <c r="AC7" s="1015">
        <f>Inputs!$E$25</f>
        <v>9.4414738318528105E-2</v>
      </c>
      <c r="AD7" s="1015">
        <f>Inputs!$E$25</f>
        <v>9.4414738318528105E-2</v>
      </c>
      <c r="AE7" s="1015">
        <f>Inputs!$E$25</f>
        <v>9.4414738318528105E-2</v>
      </c>
      <c r="AF7" s="1015">
        <f>Inputs!$E$25</f>
        <v>9.4414738318528105E-2</v>
      </c>
      <c r="AG7" s="1015">
        <f>Inputs!$E$25</f>
        <v>9.4414738318528105E-2</v>
      </c>
      <c r="AH7" s="1015">
        <f>Inputs!$E$25</f>
        <v>9.4414738318528105E-2</v>
      </c>
      <c r="AI7" s="1015">
        <f>Inputs!$E$25</f>
        <v>9.4414738318528105E-2</v>
      </c>
      <c r="AJ7" s="1015">
        <f>Inputs!$E$25</f>
        <v>9.4414738318528105E-2</v>
      </c>
      <c r="AK7" s="1015">
        <f>Inputs!$E$25</f>
        <v>9.4414738318528105E-2</v>
      </c>
      <c r="AL7" s="1015">
        <f>Inputs!$E$25</f>
        <v>9.4414738318528105E-2</v>
      </c>
      <c r="AM7" s="1015">
        <f>Inputs!$E$25</f>
        <v>9.4414738318528105E-2</v>
      </c>
      <c r="AN7" s="1015">
        <f>Inputs!$E$25</f>
        <v>9.4414738318528105E-2</v>
      </c>
      <c r="AO7" s="1015">
        <f>Inputs!$E$25</f>
        <v>9.4414738318528105E-2</v>
      </c>
    </row>
    <row r="8" spans="1:41" s="894" customFormat="1">
      <c r="A8" s="888"/>
      <c r="B8" s="888"/>
    </row>
    <row r="9" spans="1:41" s="919" customFormat="1" ht="15">
      <c r="A9" s="916" t="s">
        <v>446</v>
      </c>
      <c r="B9" s="917" t="s">
        <v>86</v>
      </c>
      <c r="C9" s="918" t="str">
        <f>IF(C$5&gt;0,C$4,"")</f>
        <v/>
      </c>
      <c r="D9" s="918" t="str">
        <f t="shared" ref="D9:AO9" si="14">IF(D$5&gt;0,D$4,"")</f>
        <v/>
      </c>
      <c r="E9" s="918" t="str">
        <f t="shared" si="14"/>
        <v/>
      </c>
      <c r="F9" s="918" t="str">
        <f t="shared" si="14"/>
        <v/>
      </c>
      <c r="G9" s="918" t="str">
        <f t="shared" si="14"/>
        <v/>
      </c>
      <c r="H9" s="918" t="str">
        <f t="shared" si="14"/>
        <v/>
      </c>
      <c r="I9" s="918" t="str">
        <f t="shared" si="14"/>
        <v/>
      </c>
      <c r="J9" s="918" t="str">
        <f t="shared" si="14"/>
        <v/>
      </c>
      <c r="K9" s="918" t="str">
        <f t="shared" si="14"/>
        <v/>
      </c>
      <c r="L9" s="918">
        <f t="shared" si="14"/>
        <v>2030</v>
      </c>
      <c r="M9" s="918">
        <f t="shared" si="14"/>
        <v>2031</v>
      </c>
      <c r="N9" s="918">
        <f t="shared" si="14"/>
        <v>2032</v>
      </c>
      <c r="O9" s="918">
        <f t="shared" si="14"/>
        <v>2033</v>
      </c>
      <c r="P9" s="918">
        <f t="shared" si="14"/>
        <v>2034</v>
      </c>
      <c r="Q9" s="918">
        <f t="shared" si="14"/>
        <v>2035</v>
      </c>
      <c r="R9" s="918">
        <f t="shared" si="14"/>
        <v>2036</v>
      </c>
      <c r="S9" s="918">
        <f t="shared" si="14"/>
        <v>2037</v>
      </c>
      <c r="T9" s="918">
        <f t="shared" si="14"/>
        <v>2038</v>
      </c>
      <c r="U9" s="918">
        <f t="shared" si="14"/>
        <v>2039</v>
      </c>
      <c r="V9" s="918">
        <f t="shared" si="14"/>
        <v>2040</v>
      </c>
      <c r="W9" s="918">
        <f t="shared" si="14"/>
        <v>2041</v>
      </c>
      <c r="X9" s="918">
        <f t="shared" si="14"/>
        <v>2042</v>
      </c>
      <c r="Y9" s="918">
        <f t="shared" si="14"/>
        <v>2043</v>
      </c>
      <c r="Z9" s="918">
        <f t="shared" si="14"/>
        <v>2044</v>
      </c>
      <c r="AA9" s="918">
        <f t="shared" si="14"/>
        <v>2045</v>
      </c>
      <c r="AB9" s="918">
        <f t="shared" si="14"/>
        <v>2046</v>
      </c>
      <c r="AC9" s="918">
        <f t="shared" si="14"/>
        <v>2047</v>
      </c>
      <c r="AD9" s="918">
        <f t="shared" si="14"/>
        <v>2048</v>
      </c>
      <c r="AE9" s="918">
        <f t="shared" si="14"/>
        <v>2049</v>
      </c>
      <c r="AF9" s="918">
        <f t="shared" si="14"/>
        <v>2050</v>
      </c>
      <c r="AG9" s="918">
        <f t="shared" si="14"/>
        <v>2051</v>
      </c>
      <c r="AH9" s="918">
        <f t="shared" si="14"/>
        <v>2052</v>
      </c>
      <c r="AI9" s="918">
        <f t="shared" si="14"/>
        <v>2053</v>
      </c>
      <c r="AJ9" s="918">
        <f t="shared" si="14"/>
        <v>2054</v>
      </c>
      <c r="AK9" s="918">
        <f t="shared" si="14"/>
        <v>2055</v>
      </c>
      <c r="AL9" s="918">
        <f t="shared" si="14"/>
        <v>2056</v>
      </c>
      <c r="AM9" s="918">
        <f t="shared" si="14"/>
        <v>2057</v>
      </c>
      <c r="AN9" s="918">
        <f t="shared" si="14"/>
        <v>2058</v>
      </c>
      <c r="AO9" s="918">
        <f t="shared" si="14"/>
        <v>2059</v>
      </c>
    </row>
    <row r="10" spans="1:41" s="894" customFormat="1">
      <c r="A10" s="888"/>
      <c r="B10" s="920"/>
      <c r="D10" s="921"/>
      <c r="E10" s="921"/>
      <c r="F10" s="921"/>
      <c r="G10" s="921"/>
      <c r="H10" s="921"/>
      <c r="I10" s="921"/>
      <c r="J10" s="921"/>
      <c r="K10" s="921"/>
      <c r="L10" s="921"/>
      <c r="M10" s="921"/>
      <c r="N10" s="921"/>
      <c r="O10" s="921"/>
      <c r="P10" s="921"/>
      <c r="Q10" s="921"/>
      <c r="R10" s="921"/>
      <c r="S10" s="921"/>
      <c r="T10" s="921"/>
      <c r="U10" s="921"/>
      <c r="V10" s="921"/>
      <c r="W10" s="921"/>
      <c r="X10" s="921"/>
      <c r="Y10" s="921"/>
      <c r="Z10" s="921"/>
      <c r="AA10" s="921"/>
      <c r="AB10" s="921"/>
      <c r="AC10" s="921"/>
      <c r="AD10" s="921"/>
      <c r="AE10" s="921"/>
      <c r="AF10" s="921"/>
      <c r="AG10" s="921"/>
      <c r="AH10" s="921"/>
      <c r="AI10" s="921"/>
      <c r="AJ10" s="921"/>
      <c r="AK10" s="921"/>
      <c r="AL10" s="921"/>
      <c r="AM10" s="921"/>
      <c r="AN10" s="921"/>
      <c r="AO10" s="921"/>
    </row>
    <row r="11" spans="1:41" s="894" customFormat="1">
      <c r="A11" s="946" t="s">
        <v>516</v>
      </c>
      <c r="B11" s="1016" t="s">
        <v>517</v>
      </c>
      <c r="C11" s="1018">
        <f>SUMIFS(Demand.Forecast!$D$18:$AO$18,Demand.Forecast!$D$1:$AO$1,C$4)</f>
        <v>0</v>
      </c>
      <c r="D11" s="1018">
        <f>SUMIFS(Demand.Forecast!$D$18:$AO$18,Demand.Forecast!$D$1:$AO$1,D$4)</f>
        <v>38629212</v>
      </c>
      <c r="E11" s="1018">
        <f>SUMIFS(Demand.Forecast!$D$18:$AO$18,Demand.Forecast!$D$1:$AO$1,E$4)</f>
        <v>38751539.127262451</v>
      </c>
      <c r="F11" s="1018">
        <f>SUMIFS(Demand.Forecast!$D$18:$AO$18,Demand.Forecast!$D$1:$AO$1,F$4)</f>
        <v>38874253.627843931</v>
      </c>
      <c r="G11" s="1018">
        <f>SUMIFS(Demand.Forecast!$D$18:$AO$18,Demand.Forecast!$D$1:$AO$1,G$4)</f>
        <v>38997356.728439562</v>
      </c>
      <c r="H11" s="1018">
        <f>SUMIFS(Demand.Forecast!$D$18:$AO$18,Demand.Forecast!$D$1:$AO$1,H$4)</f>
        <v>39120849.659629025</v>
      </c>
      <c r="I11" s="1018">
        <f>SUMIFS(Demand.Forecast!$D$18:$AO$18,Demand.Forecast!$D$1:$AO$1,I$4)</f>
        <v>39244733.655888855</v>
      </c>
      <c r="J11" s="1018">
        <f>SUMIFS(Demand.Forecast!$D$18:$AO$18,Demand.Forecast!$D$1:$AO$1,J$4)</f>
        <v>39369009.955604859</v>
      </c>
      <c r="K11" s="1018">
        <f>SUMIFS(Demand.Forecast!$D$18:$AO$18,Demand.Forecast!$D$1:$AO$1,K$4)</f>
        <v>39493679.801084377</v>
      </c>
      <c r="L11" s="1018">
        <f>SUMIFS(Demand.Forecast!$D$18:$AO$18,Demand.Forecast!$D$1:$AO$1,L$4)</f>
        <v>39618744.438568816</v>
      </c>
      <c r="M11" s="1018">
        <f>SUMIFS(Demand.Forecast!$D$18:$AO$18,Demand.Forecast!$D$1:$AO$1,M$4)</f>
        <v>39744205.118246026</v>
      </c>
      <c r="N11" s="1018">
        <f>SUMIFS(Demand.Forecast!$D$18:$AO$18,Demand.Forecast!$D$1:$AO$1,N$4)</f>
        <v>39870063.094262853</v>
      </c>
      <c r="O11" s="1018">
        <f>SUMIFS(Demand.Forecast!$D$18:$AO$18,Demand.Forecast!$D$1:$AO$1,O$4)</f>
        <v>39996319.624737598</v>
      </c>
      <c r="P11" s="1018">
        <f>SUMIFS(Demand.Forecast!$D$18:$AO$18,Demand.Forecast!$D$1:$AO$1,P$4)</f>
        <v>40122975.971772708</v>
      </c>
      <c r="Q11" s="1018">
        <f>SUMIFS(Demand.Forecast!$D$18:$AO$18,Demand.Forecast!$D$1:$AO$1,Q$4)</f>
        <v>40250033.401467286</v>
      </c>
      <c r="R11" s="1018">
        <f>SUMIFS(Demand.Forecast!$D$18:$AO$18,Demand.Forecast!$D$1:$AO$1,R$4)</f>
        <v>40377493.183929823</v>
      </c>
      <c r="S11" s="1018">
        <f>SUMIFS(Demand.Forecast!$D$18:$AO$18,Demand.Forecast!$D$1:$AO$1,S$4)</f>
        <v>40505356.593290836</v>
      </c>
      <c r="T11" s="1018">
        <f>SUMIFS(Demand.Forecast!$D$18:$AO$18,Demand.Forecast!$D$1:$AO$1,T$4)</f>
        <v>40633624.907715634</v>
      </c>
      <c r="U11" s="1018">
        <f>SUMIFS(Demand.Forecast!$D$18:$AO$18,Demand.Forecast!$D$1:$AO$1,U$4)</f>
        <v>40762299.409417108</v>
      </c>
      <c r="V11" s="1018">
        <f>SUMIFS(Demand.Forecast!$D$18:$AO$18,Demand.Forecast!$D$1:$AO$1,V$4)</f>
        <v>40891381.384668529</v>
      </c>
      <c r="W11" s="1018">
        <f>SUMIFS(Demand.Forecast!$D$18:$AO$18,Demand.Forecast!$D$1:$AO$1,W$4)</f>
        <v>41020872.123816386</v>
      </c>
      <c r="X11" s="1018">
        <f>SUMIFS(Demand.Forecast!$D$18:$AO$18,Demand.Forecast!$D$1:$AO$1,X$4)</f>
        <v>41150772.921293348</v>
      </c>
      <c r="Y11" s="1018">
        <f>SUMIFS(Demand.Forecast!$D$18:$AO$18,Demand.Forecast!$D$1:$AO$1,Y$4)</f>
        <v>41281085.075631142</v>
      </c>
      <c r="Z11" s="1018">
        <f>SUMIFS(Demand.Forecast!$D$18:$AO$18,Demand.Forecast!$D$1:$AO$1,Z$4)</f>
        <v>41411809.889473543</v>
      </c>
      <c r="AA11" s="1018">
        <f>SUMIFS(Demand.Forecast!$D$18:$AO$18,Demand.Forecast!$D$1:$AO$1,AA$4)</f>
        <v>41542948.669589423</v>
      </c>
      <c r="AB11" s="1018">
        <f>SUMIFS(Demand.Forecast!$D$18:$AO$18,Demand.Forecast!$D$1:$AO$1,AB$4)</f>
        <v>41674502.726885803</v>
      </c>
      <c r="AC11" s="1018">
        <f>SUMIFS(Demand.Forecast!$D$18:$AO$18,Demand.Forecast!$D$1:$AO$1,AC$4)</f>
        <v>41806473.376420952</v>
      </c>
      <c r="AD11" s="1018">
        <f>SUMIFS(Demand.Forecast!$D$18:$AO$18,Demand.Forecast!$D$1:$AO$1,AD$4)</f>
        <v>41938861.93741753</v>
      </c>
      <c r="AE11" s="1018">
        <f>SUMIFS(Demand.Forecast!$D$18:$AO$18,Demand.Forecast!$D$1:$AO$1,AE$4)</f>
        <v>42071669.733275771</v>
      </c>
      <c r="AF11" s="1018">
        <f>SUMIFS(Demand.Forecast!$D$18:$AO$18,Demand.Forecast!$D$1:$AO$1,AF$4)</f>
        <v>42204898.091586731</v>
      </c>
      <c r="AG11" s="1018">
        <f>SUMIFS(Demand.Forecast!$D$18:$AO$18,Demand.Forecast!$D$1:$AO$1,AG$4)</f>
        <v>42338548.344145551</v>
      </c>
      <c r="AH11" s="1018">
        <f>SUMIFS(Demand.Forecast!$D$18:$AO$18,Demand.Forecast!$D$1:$AO$1,AH$4)</f>
        <v>42472621.826964758</v>
      </c>
      <c r="AI11" s="1018">
        <f>SUMIFS(Demand.Forecast!$D$18:$AO$18,Demand.Forecast!$D$1:$AO$1,AI$4)</f>
        <v>42607119.880287647</v>
      </c>
      <c r="AJ11" s="1018">
        <f>SUMIFS(Demand.Forecast!$D$18:$AO$18,Demand.Forecast!$D$1:$AO$1,AJ$4)</f>
        <v>42742043.848601624</v>
      </c>
      <c r="AK11" s="1018">
        <f>SUMIFS(Demand.Forecast!$D$18:$AO$18,Demand.Forecast!$D$1:$AO$1,AK$4)</f>
        <v>42877395.080651738</v>
      </c>
      <c r="AL11" s="1018">
        <f>SUMIFS(Demand.Forecast!$D$18:$AO$18,Demand.Forecast!$D$1:$AO$1,AL$4)</f>
        <v>43013174.929454066</v>
      </c>
      <c r="AM11" s="1018">
        <f>SUMIFS(Demand.Forecast!$D$18:$AO$18,Demand.Forecast!$D$1:$AO$1,AM$4)</f>
        <v>43149384.7523093</v>
      </c>
      <c r="AN11" s="1018">
        <f>SUMIFS(Demand.Forecast!$D$18:$AO$18,Demand.Forecast!$D$1:$AO$1,AN$4)</f>
        <v>43286025.910816289</v>
      </c>
      <c r="AO11" s="1018">
        <f>SUMIFS(Demand.Forecast!$D$18:$AO$18,Demand.Forecast!$D$1:$AO$1,AO$4)</f>
        <v>43423099.770885654</v>
      </c>
    </row>
    <row r="12" spans="1:41" s="894" customFormat="1">
      <c r="A12" s="946"/>
      <c r="B12" s="920"/>
      <c r="C12" s="883"/>
      <c r="D12" s="883"/>
      <c r="E12" s="883"/>
      <c r="F12" s="883"/>
      <c r="G12" s="883"/>
      <c r="H12" s="883"/>
      <c r="I12" s="883"/>
      <c r="J12" s="883"/>
      <c r="K12" s="883"/>
      <c r="L12" s="883"/>
      <c r="M12" s="883"/>
      <c r="N12" s="883"/>
      <c r="O12" s="883"/>
      <c r="P12" s="883"/>
      <c r="Q12" s="883"/>
      <c r="R12" s="883"/>
      <c r="S12" s="883"/>
      <c r="T12" s="883"/>
      <c r="U12" s="883"/>
      <c r="V12" s="883"/>
      <c r="W12" s="883"/>
      <c r="X12" s="883"/>
      <c r="Y12" s="883"/>
      <c r="Z12" s="883"/>
      <c r="AA12" s="883"/>
      <c r="AB12" s="883"/>
      <c r="AC12" s="883"/>
      <c r="AD12" s="883"/>
      <c r="AE12" s="883"/>
      <c r="AF12" s="883"/>
      <c r="AG12" s="883"/>
      <c r="AH12" s="883"/>
      <c r="AI12" s="883"/>
      <c r="AJ12" s="883"/>
      <c r="AK12" s="883"/>
      <c r="AL12" s="883"/>
      <c r="AM12" s="883"/>
      <c r="AN12" s="883"/>
      <c r="AO12" s="883"/>
    </row>
    <row r="13" spans="1:41" s="934" customFormat="1" ht="15">
      <c r="A13" s="931" t="s">
        <v>518</v>
      </c>
      <c r="B13" s="932" t="s">
        <v>456</v>
      </c>
      <c r="C13" s="933">
        <f>C11*C$7</f>
        <v>0</v>
      </c>
      <c r="D13" s="933">
        <f t="shared" ref="D13:U13" si="15">D11*D$7</f>
        <v>3647166.9424309456</v>
      </c>
      <c r="E13" s="933">
        <f t="shared" si="15"/>
        <v>3658716.4261406874</v>
      </c>
      <c r="F13" s="933">
        <f t="shared" si="15"/>
        <v>3670302.4836009764</v>
      </c>
      <c r="G13" s="933">
        <f t="shared" si="15"/>
        <v>3681925.2306299126</v>
      </c>
      <c r="H13" s="933">
        <f t="shared" si="15"/>
        <v>3693584.7834123536</v>
      </c>
      <c r="I13" s="933">
        <f t="shared" si="15"/>
        <v>3705281.2585010789</v>
      </c>
      <c r="J13" s="933">
        <f t="shared" si="15"/>
        <v>3717014.7728179605</v>
      </c>
      <c r="K13" s="933">
        <f t="shared" si="15"/>
        <v>3728785.4436551207</v>
      </c>
      <c r="L13" s="933">
        <f>L11*L$7</f>
        <v>3740593.3886761153</v>
      </c>
      <c r="M13" s="933">
        <f t="shared" si="15"/>
        <v>3752438.7259171037</v>
      </c>
      <c r="N13" s="933">
        <f t="shared" si="15"/>
        <v>3764321.5737880324</v>
      </c>
      <c r="O13" s="933">
        <f t="shared" si="15"/>
        <v>3776242.0510738106</v>
      </c>
      <c r="P13" s="933">
        <f t="shared" si="15"/>
        <v>3788200.2769355113</v>
      </c>
      <c r="Q13" s="933">
        <f t="shared" si="15"/>
        <v>3800196.3709115493</v>
      </c>
      <c r="R13" s="933">
        <f t="shared" si="15"/>
        <v>3812230.4529188867</v>
      </c>
      <c r="S13" s="933">
        <f t="shared" si="15"/>
        <v>3824302.6432542214</v>
      </c>
      <c r="T13" s="933">
        <f t="shared" si="15"/>
        <v>3836413.0625951975</v>
      </c>
      <c r="U13" s="933">
        <f t="shared" si="15"/>
        <v>3848561.8320016088</v>
      </c>
      <c r="V13" s="933">
        <f t="shared" ref="V13:AB13" si="16">V11*V$7</f>
        <v>3860749.0729166106</v>
      </c>
      <c r="W13" s="933">
        <f t="shared" si="16"/>
        <v>3872974.9071679283</v>
      </c>
      <c r="X13" s="933">
        <f t="shared" si="16"/>
        <v>3885239.4569690838</v>
      </c>
      <c r="Y13" s="933">
        <f t="shared" si="16"/>
        <v>3897542.8449206101</v>
      </c>
      <c r="Z13" s="933">
        <f t="shared" si="16"/>
        <v>3909885.1940112789</v>
      </c>
      <c r="AA13" s="933">
        <f t="shared" si="16"/>
        <v>3922266.6276193308</v>
      </c>
      <c r="AB13" s="933">
        <f t="shared" si="16"/>
        <v>3934687.269513709</v>
      </c>
      <c r="AC13" s="933">
        <f t="shared" ref="AC13:AE13" si="17">AC11*AC$7</f>
        <v>3947147.2438552962</v>
      </c>
      <c r="AD13" s="933">
        <f t="shared" si="17"/>
        <v>3959646.6751981545</v>
      </c>
      <c r="AE13" s="933">
        <f t="shared" si="17"/>
        <v>3972185.6884907712</v>
      </c>
      <c r="AF13" s="933">
        <f t="shared" ref="AF13:AO13" si="18">AF11*AF$7</f>
        <v>3984764.4090773077</v>
      </c>
      <c r="AG13" s="933">
        <f t="shared" si="18"/>
        <v>3997382.9626988536</v>
      </c>
      <c r="AH13" s="933">
        <f t="shared" si="18"/>
        <v>4010041.4754946828</v>
      </c>
      <c r="AI13" s="933">
        <f t="shared" si="18"/>
        <v>4022740.0740035148</v>
      </c>
      <c r="AJ13" s="933">
        <f t="shared" si="18"/>
        <v>4035478.8851647764</v>
      </c>
      <c r="AK13" s="933">
        <f t="shared" si="18"/>
        <v>4048258.036319878</v>
      </c>
      <c r="AL13" s="933">
        <f t="shared" si="18"/>
        <v>4061077.6552134794</v>
      </c>
      <c r="AM13" s="933">
        <f t="shared" si="18"/>
        <v>4073937.8699947693</v>
      </c>
      <c r="AN13" s="933">
        <f t="shared" si="18"/>
        <v>4086838.8092187471</v>
      </c>
      <c r="AO13" s="933">
        <f t="shared" si="18"/>
        <v>4099780.6018475066</v>
      </c>
    </row>
    <row r="14" spans="1:41" s="936" customFormat="1">
      <c r="A14" s="967" t="s">
        <v>510</v>
      </c>
      <c r="B14" s="926"/>
      <c r="C14" s="935"/>
      <c r="D14" s="935"/>
      <c r="E14" s="935"/>
      <c r="F14" s="935"/>
      <c r="G14" s="935"/>
      <c r="H14" s="935"/>
      <c r="I14" s="935"/>
      <c r="J14" s="935"/>
      <c r="K14" s="935"/>
      <c r="L14" s="935"/>
      <c r="M14" s="935"/>
      <c r="N14" s="935"/>
      <c r="O14" s="935"/>
      <c r="P14" s="935"/>
      <c r="Q14" s="935"/>
      <c r="R14" s="935"/>
      <c r="S14" s="935"/>
      <c r="T14" s="935"/>
      <c r="U14" s="935"/>
      <c r="V14" s="935"/>
      <c r="W14" s="935"/>
      <c r="X14" s="935"/>
      <c r="Y14" s="935"/>
      <c r="Z14" s="935"/>
      <c r="AA14" s="935"/>
      <c r="AB14" s="935"/>
      <c r="AC14" s="935"/>
      <c r="AD14" s="935"/>
      <c r="AE14" s="935"/>
      <c r="AF14" s="935"/>
      <c r="AG14" s="935"/>
      <c r="AH14" s="935"/>
      <c r="AI14" s="935"/>
      <c r="AJ14" s="935"/>
      <c r="AK14" s="935"/>
      <c r="AL14" s="935"/>
      <c r="AM14" s="935"/>
      <c r="AN14" s="935"/>
      <c r="AO14" s="935"/>
    </row>
    <row r="15" spans="1:41" s="936" customFormat="1">
      <c r="A15" s="967"/>
      <c r="B15" s="926"/>
      <c r="C15" s="935"/>
      <c r="D15" s="935"/>
      <c r="E15" s="935"/>
      <c r="F15" s="935"/>
      <c r="G15" s="935"/>
      <c r="H15" s="935"/>
      <c r="I15" s="935"/>
      <c r="J15" s="935"/>
      <c r="K15" s="935"/>
      <c r="L15" s="935"/>
      <c r="M15" s="935"/>
      <c r="N15" s="935"/>
      <c r="O15" s="935"/>
      <c r="P15" s="935"/>
      <c r="Q15" s="935"/>
      <c r="R15" s="935"/>
      <c r="S15" s="935"/>
      <c r="T15" s="935"/>
      <c r="U15" s="935"/>
      <c r="V15" s="935"/>
      <c r="W15" s="935"/>
      <c r="X15" s="935"/>
      <c r="Y15" s="935"/>
      <c r="Z15" s="935"/>
      <c r="AA15" s="935"/>
      <c r="AB15" s="935"/>
      <c r="AC15" s="935"/>
      <c r="AD15" s="935"/>
      <c r="AE15" s="935"/>
      <c r="AF15" s="935"/>
      <c r="AG15" s="935"/>
      <c r="AH15" s="935"/>
      <c r="AI15" s="935"/>
      <c r="AJ15" s="935"/>
      <c r="AK15" s="935"/>
      <c r="AL15" s="935"/>
      <c r="AM15" s="935"/>
      <c r="AN15" s="935"/>
      <c r="AO15" s="935"/>
    </row>
    <row r="16" spans="1:41" s="919" customFormat="1" ht="15">
      <c r="A16" s="916" t="s">
        <v>489</v>
      </c>
      <c r="B16" s="917" t="s">
        <v>86</v>
      </c>
      <c r="C16" s="918" t="str">
        <f>IF(C$5&gt;0,C$4,"")</f>
        <v/>
      </c>
      <c r="D16" s="918" t="str">
        <f t="shared" ref="D16:AO16" si="19">IF(D$5&gt;0,D$4,"")</f>
        <v/>
      </c>
      <c r="E16" s="918" t="str">
        <f t="shared" si="19"/>
        <v/>
      </c>
      <c r="F16" s="918" t="str">
        <f t="shared" si="19"/>
        <v/>
      </c>
      <c r="G16" s="918" t="str">
        <f t="shared" si="19"/>
        <v/>
      </c>
      <c r="H16" s="918" t="str">
        <f t="shared" si="19"/>
        <v/>
      </c>
      <c r="I16" s="918" t="str">
        <f t="shared" si="19"/>
        <v/>
      </c>
      <c r="J16" s="918" t="str">
        <f t="shared" si="19"/>
        <v/>
      </c>
      <c r="K16" s="918" t="str">
        <f t="shared" si="19"/>
        <v/>
      </c>
      <c r="L16" s="918">
        <f t="shared" si="19"/>
        <v>2030</v>
      </c>
      <c r="M16" s="918">
        <f t="shared" si="19"/>
        <v>2031</v>
      </c>
      <c r="N16" s="918">
        <f t="shared" si="19"/>
        <v>2032</v>
      </c>
      <c r="O16" s="918">
        <f t="shared" si="19"/>
        <v>2033</v>
      </c>
      <c r="P16" s="918">
        <f t="shared" si="19"/>
        <v>2034</v>
      </c>
      <c r="Q16" s="918">
        <f t="shared" si="19"/>
        <v>2035</v>
      </c>
      <c r="R16" s="918">
        <f t="shared" si="19"/>
        <v>2036</v>
      </c>
      <c r="S16" s="918">
        <f t="shared" si="19"/>
        <v>2037</v>
      </c>
      <c r="T16" s="918">
        <f t="shared" si="19"/>
        <v>2038</v>
      </c>
      <c r="U16" s="918">
        <f t="shared" si="19"/>
        <v>2039</v>
      </c>
      <c r="V16" s="918">
        <f t="shared" si="19"/>
        <v>2040</v>
      </c>
      <c r="W16" s="918">
        <f t="shared" si="19"/>
        <v>2041</v>
      </c>
      <c r="X16" s="918">
        <f t="shared" si="19"/>
        <v>2042</v>
      </c>
      <c r="Y16" s="918">
        <f t="shared" si="19"/>
        <v>2043</v>
      </c>
      <c r="Z16" s="918">
        <f t="shared" si="19"/>
        <v>2044</v>
      </c>
      <c r="AA16" s="918">
        <f t="shared" si="19"/>
        <v>2045</v>
      </c>
      <c r="AB16" s="918">
        <f t="shared" si="19"/>
        <v>2046</v>
      </c>
      <c r="AC16" s="918">
        <f t="shared" si="19"/>
        <v>2047</v>
      </c>
      <c r="AD16" s="918">
        <f t="shared" si="19"/>
        <v>2048</v>
      </c>
      <c r="AE16" s="918">
        <f t="shared" si="19"/>
        <v>2049</v>
      </c>
      <c r="AF16" s="918">
        <f t="shared" si="19"/>
        <v>2050</v>
      </c>
      <c r="AG16" s="918">
        <f t="shared" si="19"/>
        <v>2051</v>
      </c>
      <c r="AH16" s="918">
        <f t="shared" si="19"/>
        <v>2052</v>
      </c>
      <c r="AI16" s="918">
        <f t="shared" si="19"/>
        <v>2053</v>
      </c>
      <c r="AJ16" s="918">
        <f t="shared" si="19"/>
        <v>2054</v>
      </c>
      <c r="AK16" s="918">
        <f t="shared" si="19"/>
        <v>2055</v>
      </c>
      <c r="AL16" s="918">
        <f t="shared" si="19"/>
        <v>2056</v>
      </c>
      <c r="AM16" s="918">
        <f t="shared" si="19"/>
        <v>2057</v>
      </c>
      <c r="AN16" s="918">
        <f t="shared" si="19"/>
        <v>2058</v>
      </c>
      <c r="AO16" s="918">
        <f t="shared" si="19"/>
        <v>2059</v>
      </c>
    </row>
    <row r="17" spans="1:41" s="894" customFormat="1">
      <c r="A17" s="888"/>
      <c r="B17" s="920"/>
      <c r="C17" s="921"/>
      <c r="D17" s="921"/>
      <c r="E17" s="921"/>
      <c r="F17" s="921"/>
      <c r="G17" s="921"/>
      <c r="H17" s="921"/>
      <c r="I17" s="921"/>
      <c r="J17" s="921"/>
      <c r="K17" s="921"/>
      <c r="L17" s="921"/>
      <c r="M17" s="921"/>
      <c r="N17" s="921"/>
      <c r="O17" s="921"/>
      <c r="P17" s="921"/>
      <c r="Q17" s="921"/>
      <c r="R17" s="921"/>
      <c r="S17" s="921"/>
      <c r="T17" s="921"/>
      <c r="U17" s="921"/>
      <c r="V17" s="921"/>
      <c r="W17" s="921"/>
      <c r="X17" s="921"/>
      <c r="Y17" s="921"/>
      <c r="Z17" s="921"/>
      <c r="AA17" s="921"/>
      <c r="AB17" s="921"/>
      <c r="AC17" s="921"/>
      <c r="AD17" s="921"/>
      <c r="AE17" s="921"/>
      <c r="AF17" s="921"/>
      <c r="AG17" s="921"/>
      <c r="AH17" s="921"/>
      <c r="AI17" s="921"/>
      <c r="AJ17" s="921"/>
      <c r="AK17" s="921"/>
      <c r="AL17" s="921"/>
      <c r="AM17" s="921"/>
      <c r="AN17" s="921"/>
      <c r="AO17" s="921"/>
    </row>
    <row r="18" spans="1:41" s="894" customFormat="1">
      <c r="A18" s="946" t="s">
        <v>516</v>
      </c>
      <c r="B18" s="1016" t="s">
        <v>517</v>
      </c>
      <c r="C18" s="1018">
        <f>SUMIFS(Demand.Forecast!$D$38:$AO$38,Demand.Forecast!$D$1:$AO$1,C$4)</f>
        <v>0</v>
      </c>
      <c r="D18" s="1018">
        <f>SUMIFS(Demand.Forecast!$D$38:$AO$38,Demand.Forecast!$D$1:$AO$1,D$4)</f>
        <v>38629212</v>
      </c>
      <c r="E18" s="1018">
        <f>SUMIFS(Demand.Forecast!$D$38:$AO$38,Demand.Forecast!$D$1:$AO$1,E$4)</f>
        <v>38751539.127262451</v>
      </c>
      <c r="F18" s="1018">
        <f>SUMIFS(Demand.Forecast!$D$38:$AO$38,Demand.Forecast!$D$1:$AO$1,F$4)</f>
        <v>38874253.627843931</v>
      </c>
      <c r="G18" s="1018">
        <f>SUMIFS(Demand.Forecast!$D$38:$AO$38,Demand.Forecast!$D$1:$AO$1,G$4)</f>
        <v>38997356.728439562</v>
      </c>
      <c r="H18" s="1018">
        <f>SUMIFS(Demand.Forecast!$D$38:$AO$38,Demand.Forecast!$D$1:$AO$1,H$4)</f>
        <v>39120849.659629025</v>
      </c>
      <c r="I18" s="1018">
        <f>SUMIFS(Demand.Forecast!$D$38:$AO$38,Demand.Forecast!$D$1:$AO$1,I$4)</f>
        <v>39244733.655888855</v>
      </c>
      <c r="J18" s="1018">
        <f>SUMIFS(Demand.Forecast!$D$38:$AO$38,Demand.Forecast!$D$1:$AO$1,J$4)</f>
        <v>39369009.955604859</v>
      </c>
      <c r="K18" s="1018">
        <f>SUMIFS(Demand.Forecast!$D$38:$AO$38,Demand.Forecast!$D$1:$AO$1,K$4)</f>
        <v>39493679.801084377</v>
      </c>
      <c r="L18" s="1018">
        <f>SUMIFS(Demand.Forecast!$D$38:$AO$38,Demand.Forecast!$D$1:$AO$1,L$4)</f>
        <v>39472794.438568816</v>
      </c>
      <c r="M18" s="1018">
        <f>SUMIFS(Demand.Forecast!$D$38:$AO$38,Demand.Forecast!$D$1:$AO$1,M$4)</f>
        <v>39598255.118246026</v>
      </c>
      <c r="N18" s="1018">
        <f>SUMIFS(Demand.Forecast!$D$38:$AO$38,Demand.Forecast!$D$1:$AO$1,N$4)</f>
        <v>31592613.09426285</v>
      </c>
      <c r="O18" s="1018">
        <f>SUMIFS(Demand.Forecast!$D$38:$AO$38,Demand.Forecast!$D$1:$AO$1,O$4)</f>
        <v>31718869.624737602</v>
      </c>
      <c r="P18" s="1018">
        <f>SUMIFS(Demand.Forecast!$D$38:$AO$38,Demand.Forecast!$D$1:$AO$1,P$4)</f>
        <v>29398569.971772708</v>
      </c>
      <c r="Q18" s="1018">
        <f>SUMIFS(Demand.Forecast!$D$38:$AO$38,Demand.Forecast!$D$1:$AO$1,Q$4)</f>
        <v>29525627.40146729</v>
      </c>
      <c r="R18" s="1018">
        <f>SUMIFS(Demand.Forecast!$D$38:$AO$38,Demand.Forecast!$D$1:$AO$1,R$4)</f>
        <v>29653087.18392982</v>
      </c>
      <c r="S18" s="1018">
        <f>SUMIFS(Demand.Forecast!$D$38:$AO$38,Demand.Forecast!$D$1:$AO$1,S$4)</f>
        <v>29780950.593290828</v>
      </c>
      <c r="T18" s="1018">
        <f>SUMIFS(Demand.Forecast!$D$38:$AO$38,Demand.Forecast!$D$1:$AO$1,T$4)</f>
        <v>29909218.90771563</v>
      </c>
      <c r="U18" s="1018">
        <f>SUMIFS(Demand.Forecast!$D$38:$AO$38,Demand.Forecast!$D$1:$AO$1,U$4)</f>
        <v>30037893.409417104</v>
      </c>
      <c r="V18" s="1018">
        <f>SUMIFS(Demand.Forecast!$D$38:$AO$38,Demand.Forecast!$D$1:$AO$1,V$4)</f>
        <v>30166975.384668525</v>
      </c>
      <c r="W18" s="1018">
        <f>SUMIFS(Demand.Forecast!$D$38:$AO$38,Demand.Forecast!$D$1:$AO$1,W$4)</f>
        <v>30296466.12381639</v>
      </c>
      <c r="X18" s="1018">
        <f>SUMIFS(Demand.Forecast!$D$38:$AO$38,Demand.Forecast!$D$1:$AO$1,X$4)</f>
        <v>30426366.921293352</v>
      </c>
      <c r="Y18" s="1018">
        <f>SUMIFS(Demand.Forecast!$D$38:$AO$38,Demand.Forecast!$D$1:$AO$1,Y$4)</f>
        <v>30556679.075631142</v>
      </c>
      <c r="Z18" s="1018">
        <f>SUMIFS(Demand.Forecast!$D$38:$AO$38,Demand.Forecast!$D$1:$AO$1,Z$4)</f>
        <v>30687403.889473543</v>
      </c>
      <c r="AA18" s="1018">
        <f>SUMIFS(Demand.Forecast!$D$38:$AO$38,Demand.Forecast!$D$1:$AO$1,AA$4)</f>
        <v>30818542.669589423</v>
      </c>
      <c r="AB18" s="1018">
        <f>SUMIFS(Demand.Forecast!$D$38:$AO$38,Demand.Forecast!$D$1:$AO$1,AB$4)</f>
        <v>30950096.726885807</v>
      </c>
      <c r="AC18" s="1018">
        <f>SUMIFS(Demand.Forecast!$D$38:$AO$38,Demand.Forecast!$D$1:$AO$1,AC$4)</f>
        <v>31082067.376420956</v>
      </c>
      <c r="AD18" s="1018">
        <f>SUMIFS(Demand.Forecast!$D$38:$AO$38,Demand.Forecast!$D$1:$AO$1,AD$4)</f>
        <v>31214455.937417533</v>
      </c>
      <c r="AE18" s="1018">
        <f>SUMIFS(Demand.Forecast!$D$38:$AO$38,Demand.Forecast!$D$1:$AO$1,AE$4)</f>
        <v>31347263.733275767</v>
      </c>
      <c r="AF18" s="1018">
        <f>SUMIFS(Demand.Forecast!$D$38:$AO$38,Demand.Forecast!$D$1:$AO$1,AF$4)</f>
        <v>31480492.091586735</v>
      </c>
      <c r="AG18" s="1018">
        <f>SUMIFS(Demand.Forecast!$D$38:$AO$38,Demand.Forecast!$D$1:$AO$1,AG$4)</f>
        <v>31614142.344145548</v>
      </c>
      <c r="AH18" s="1018">
        <f>SUMIFS(Demand.Forecast!$D$38:$AO$38,Demand.Forecast!$D$1:$AO$1,AH$4)</f>
        <v>31748215.826964758</v>
      </c>
      <c r="AI18" s="1018">
        <f>SUMIFS(Demand.Forecast!$D$38:$AO$38,Demand.Forecast!$D$1:$AO$1,AI$4)</f>
        <v>31882713.880287644</v>
      </c>
      <c r="AJ18" s="1018">
        <f>SUMIFS(Demand.Forecast!$D$38:$AO$38,Demand.Forecast!$D$1:$AO$1,AJ$4)</f>
        <v>32017637.848601624</v>
      </c>
      <c r="AK18" s="1018">
        <f>SUMIFS(Demand.Forecast!$D$38:$AO$38,Demand.Forecast!$D$1:$AO$1,AK$4)</f>
        <v>32152989.080651734</v>
      </c>
      <c r="AL18" s="1018">
        <f>SUMIFS(Demand.Forecast!$D$38:$AO$38,Demand.Forecast!$D$1:$AO$1,AL$4)</f>
        <v>32288768.929454062</v>
      </c>
      <c r="AM18" s="1018">
        <f>SUMIFS(Demand.Forecast!$D$38:$AO$38,Demand.Forecast!$D$1:$AO$1,AM$4)</f>
        <v>32424978.7523093</v>
      </c>
      <c r="AN18" s="1018">
        <f>SUMIFS(Demand.Forecast!$D$38:$AO$38,Demand.Forecast!$D$1:$AO$1,AN$4)</f>
        <v>32561619.910816293</v>
      </c>
      <c r="AO18" s="1018">
        <f>SUMIFS(Demand.Forecast!$D$38:$AO$38,Demand.Forecast!$D$1:$AO$1,AO$4)</f>
        <v>32698693.770885654</v>
      </c>
    </row>
    <row r="19" spans="1:41" s="966" customFormat="1">
      <c r="A19" s="965"/>
      <c r="B19" s="928"/>
      <c r="C19" s="883"/>
      <c r="D19" s="883"/>
      <c r="E19" s="883"/>
      <c r="F19" s="883"/>
      <c r="G19" s="883"/>
      <c r="H19" s="883"/>
      <c r="I19" s="883"/>
      <c r="J19" s="883"/>
      <c r="K19" s="883"/>
      <c r="L19" s="883"/>
      <c r="M19" s="883"/>
      <c r="N19" s="883"/>
      <c r="O19" s="883"/>
      <c r="P19" s="883"/>
      <c r="Q19" s="883"/>
      <c r="R19" s="883"/>
      <c r="S19" s="883"/>
      <c r="T19" s="883"/>
      <c r="U19" s="883"/>
      <c r="V19" s="883"/>
      <c r="W19" s="883"/>
      <c r="X19" s="883"/>
      <c r="Y19" s="883"/>
      <c r="Z19" s="883"/>
      <c r="AA19" s="883"/>
      <c r="AB19" s="883"/>
      <c r="AC19" s="883"/>
      <c r="AD19" s="883"/>
      <c r="AE19" s="883"/>
      <c r="AF19" s="883"/>
      <c r="AG19" s="883"/>
      <c r="AH19" s="883"/>
      <c r="AI19" s="883"/>
      <c r="AJ19" s="883"/>
      <c r="AK19" s="883"/>
      <c r="AL19" s="883"/>
      <c r="AM19" s="883"/>
      <c r="AN19" s="883"/>
      <c r="AO19" s="883"/>
    </row>
    <row r="20" spans="1:41" s="934" customFormat="1" ht="15">
      <c r="A20" s="931" t="s">
        <v>518</v>
      </c>
      <c r="B20" s="932" t="s">
        <v>456</v>
      </c>
      <c r="C20" s="933">
        <f>C18*C$7</f>
        <v>0</v>
      </c>
      <c r="D20" s="933">
        <f t="shared" ref="D20:U20" si="20">D18*D$7</f>
        <v>3647166.9424309456</v>
      </c>
      <c r="E20" s="933">
        <f t="shared" si="20"/>
        <v>3658716.4261406874</v>
      </c>
      <c r="F20" s="933">
        <f t="shared" si="20"/>
        <v>3670302.4836009764</v>
      </c>
      <c r="G20" s="933">
        <f t="shared" si="20"/>
        <v>3681925.2306299126</v>
      </c>
      <c r="H20" s="933">
        <f t="shared" si="20"/>
        <v>3693584.7834123536</v>
      </c>
      <c r="I20" s="933">
        <f t="shared" si="20"/>
        <v>3705281.2585010789</v>
      </c>
      <c r="J20" s="933">
        <f t="shared" si="20"/>
        <v>3717014.7728179605</v>
      </c>
      <c r="K20" s="933">
        <f t="shared" si="20"/>
        <v>3728785.4436551207</v>
      </c>
      <c r="L20" s="933">
        <f>L18*L$7</f>
        <v>3726813.5576185263</v>
      </c>
      <c r="M20" s="933">
        <f t="shared" si="20"/>
        <v>3738658.8948595147</v>
      </c>
      <c r="N20" s="933">
        <f t="shared" si="20"/>
        <v>2982808.2980933315</v>
      </c>
      <c r="O20" s="933">
        <f t="shared" si="20"/>
        <v>2994728.7753791106</v>
      </c>
      <c r="P20" s="933">
        <f t="shared" si="20"/>
        <v>2775658.2908238582</v>
      </c>
      <c r="Q20" s="933">
        <f t="shared" si="20"/>
        <v>2787654.3847998972</v>
      </c>
      <c r="R20" s="933">
        <f t="shared" si="20"/>
        <v>2799688.4668072332</v>
      </c>
      <c r="S20" s="933">
        <f t="shared" si="20"/>
        <v>2811760.6571425679</v>
      </c>
      <c r="T20" s="933">
        <f t="shared" si="20"/>
        <v>2823871.076483544</v>
      </c>
      <c r="U20" s="933">
        <f t="shared" si="20"/>
        <v>2836019.8458899558</v>
      </c>
      <c r="V20" s="933">
        <f t="shared" ref="V20:AB20" si="21">V18*V$7</f>
        <v>2848207.0868049576</v>
      </c>
      <c r="W20" s="933">
        <f t="shared" si="21"/>
        <v>2860432.9210562757</v>
      </c>
      <c r="X20" s="933">
        <f t="shared" si="21"/>
        <v>2872697.4708574316</v>
      </c>
      <c r="Y20" s="933">
        <f t="shared" si="21"/>
        <v>2885000.8588089575</v>
      </c>
      <c r="Z20" s="933">
        <f t="shared" si="21"/>
        <v>2897343.2078996259</v>
      </c>
      <c r="AA20" s="933">
        <f t="shared" si="21"/>
        <v>2909724.6415076777</v>
      </c>
      <c r="AB20" s="933">
        <f t="shared" si="21"/>
        <v>2922145.2834020564</v>
      </c>
      <c r="AC20" s="933">
        <f t="shared" ref="AC20:AE20" si="22">AC18*AC$7</f>
        <v>2934605.2577436441</v>
      </c>
      <c r="AD20" s="933">
        <f t="shared" si="22"/>
        <v>2947104.6890865024</v>
      </c>
      <c r="AE20" s="933">
        <f t="shared" si="22"/>
        <v>2959643.7023791182</v>
      </c>
      <c r="AF20" s="933">
        <f t="shared" ref="AF20:AO20" si="23">AF18*AF$7</f>
        <v>2972222.4229656551</v>
      </c>
      <c r="AG20" s="933">
        <f t="shared" si="23"/>
        <v>2984840.9765872005</v>
      </c>
      <c r="AH20" s="933">
        <f t="shared" si="23"/>
        <v>2997499.4893830302</v>
      </c>
      <c r="AI20" s="933">
        <f t="shared" si="23"/>
        <v>3010198.0878918618</v>
      </c>
      <c r="AJ20" s="933">
        <f t="shared" si="23"/>
        <v>3022936.8990531233</v>
      </c>
      <c r="AK20" s="933">
        <f t="shared" si="23"/>
        <v>3035716.0502082249</v>
      </c>
      <c r="AL20" s="933">
        <f t="shared" si="23"/>
        <v>3048535.6691018259</v>
      </c>
      <c r="AM20" s="933">
        <f t="shared" si="23"/>
        <v>3061395.8838831163</v>
      </c>
      <c r="AN20" s="933">
        <f t="shared" si="23"/>
        <v>3074296.823107095</v>
      </c>
      <c r="AO20" s="933">
        <f t="shared" si="23"/>
        <v>3087238.615735854</v>
      </c>
    </row>
    <row r="21" spans="1:41" s="936" customFormat="1">
      <c r="A21" s="967" t="s">
        <v>510</v>
      </c>
      <c r="B21" s="926"/>
      <c r="C21" s="935"/>
      <c r="D21" s="935"/>
      <c r="E21" s="935"/>
      <c r="F21" s="935"/>
      <c r="G21" s="935"/>
      <c r="H21" s="935"/>
      <c r="I21" s="935"/>
      <c r="J21" s="935"/>
      <c r="K21" s="935"/>
      <c r="L21" s="935"/>
      <c r="M21" s="935"/>
      <c r="N21" s="935"/>
      <c r="O21" s="935"/>
      <c r="P21" s="935"/>
      <c r="Q21" s="935"/>
      <c r="R21" s="935"/>
      <c r="S21" s="935"/>
      <c r="T21" s="935"/>
      <c r="U21" s="935"/>
      <c r="V21" s="935"/>
      <c r="W21" s="935"/>
      <c r="X21" s="935"/>
      <c r="Y21" s="935"/>
      <c r="Z21" s="935"/>
      <c r="AA21" s="935"/>
      <c r="AB21" s="935"/>
      <c r="AC21" s="935"/>
      <c r="AD21" s="935"/>
      <c r="AE21" s="935"/>
      <c r="AF21" s="935"/>
      <c r="AG21" s="935"/>
      <c r="AH21" s="935"/>
      <c r="AI21" s="935"/>
      <c r="AJ21" s="935"/>
      <c r="AK21" s="935"/>
      <c r="AL21" s="935"/>
      <c r="AM21" s="935"/>
      <c r="AN21" s="935"/>
      <c r="AO21" s="935"/>
    </row>
    <row r="22" spans="1:41" s="894" customFormat="1" ht="15">
      <c r="A22" s="888"/>
      <c r="B22" s="920"/>
      <c r="C22" s="937"/>
      <c r="D22" s="937"/>
      <c r="E22" s="937"/>
      <c r="F22" s="937"/>
      <c r="G22" s="937"/>
      <c r="H22" s="937"/>
      <c r="I22" s="937"/>
      <c r="J22" s="937"/>
      <c r="K22" s="937"/>
      <c r="L22" s="937"/>
      <c r="M22" s="937"/>
      <c r="N22" s="937"/>
      <c r="O22" s="937"/>
      <c r="P22" s="937"/>
      <c r="Q22" s="937"/>
      <c r="R22" s="937"/>
      <c r="S22" s="937"/>
      <c r="T22" s="937"/>
      <c r="U22" s="937"/>
      <c r="V22" s="937"/>
      <c r="W22" s="937"/>
      <c r="X22" s="937"/>
      <c r="Y22" s="937"/>
      <c r="Z22" s="937"/>
      <c r="AA22" s="937"/>
      <c r="AB22" s="937"/>
      <c r="AC22" s="937"/>
      <c r="AD22" s="937"/>
      <c r="AE22" s="937"/>
      <c r="AF22" s="937"/>
      <c r="AG22" s="937"/>
      <c r="AH22" s="937"/>
      <c r="AI22" s="937"/>
      <c r="AJ22" s="937"/>
      <c r="AK22" s="937"/>
      <c r="AL22" s="937"/>
      <c r="AM22" s="937"/>
      <c r="AN22" s="937"/>
      <c r="AO22" s="937"/>
    </row>
    <row r="23" spans="1:41" s="919" customFormat="1" ht="15">
      <c r="A23" s="916" t="s">
        <v>490</v>
      </c>
      <c r="B23" s="917" t="s">
        <v>86</v>
      </c>
      <c r="C23" s="918" t="str">
        <f>IF(C$5&gt;0,C$4,"")</f>
        <v/>
      </c>
      <c r="D23" s="918" t="str">
        <f t="shared" ref="D23:AO23" si="24">IF(D$5&gt;0,D$4,"")</f>
        <v/>
      </c>
      <c r="E23" s="918" t="str">
        <f t="shared" si="24"/>
        <v/>
      </c>
      <c r="F23" s="918" t="str">
        <f t="shared" si="24"/>
        <v/>
      </c>
      <c r="G23" s="918" t="str">
        <f t="shared" si="24"/>
        <v/>
      </c>
      <c r="H23" s="918" t="str">
        <f t="shared" si="24"/>
        <v/>
      </c>
      <c r="I23" s="918" t="str">
        <f t="shared" si="24"/>
        <v/>
      </c>
      <c r="J23" s="918" t="str">
        <f t="shared" si="24"/>
        <v/>
      </c>
      <c r="K23" s="918" t="str">
        <f t="shared" si="24"/>
        <v/>
      </c>
      <c r="L23" s="918">
        <f t="shared" si="24"/>
        <v>2030</v>
      </c>
      <c r="M23" s="918">
        <f t="shared" si="24"/>
        <v>2031</v>
      </c>
      <c r="N23" s="918">
        <f t="shared" si="24"/>
        <v>2032</v>
      </c>
      <c r="O23" s="918">
        <f t="shared" si="24"/>
        <v>2033</v>
      </c>
      <c r="P23" s="918">
        <f t="shared" si="24"/>
        <v>2034</v>
      </c>
      <c r="Q23" s="918">
        <f t="shared" si="24"/>
        <v>2035</v>
      </c>
      <c r="R23" s="918">
        <f t="shared" si="24"/>
        <v>2036</v>
      </c>
      <c r="S23" s="918">
        <f t="shared" si="24"/>
        <v>2037</v>
      </c>
      <c r="T23" s="918">
        <f t="shared" si="24"/>
        <v>2038</v>
      </c>
      <c r="U23" s="918">
        <f t="shared" si="24"/>
        <v>2039</v>
      </c>
      <c r="V23" s="918">
        <f t="shared" si="24"/>
        <v>2040</v>
      </c>
      <c r="W23" s="918">
        <f t="shared" si="24"/>
        <v>2041</v>
      </c>
      <c r="X23" s="918">
        <f t="shared" si="24"/>
        <v>2042</v>
      </c>
      <c r="Y23" s="918">
        <f t="shared" si="24"/>
        <v>2043</v>
      </c>
      <c r="Z23" s="918">
        <f t="shared" si="24"/>
        <v>2044</v>
      </c>
      <c r="AA23" s="918">
        <f t="shared" si="24"/>
        <v>2045</v>
      </c>
      <c r="AB23" s="918">
        <f t="shared" si="24"/>
        <v>2046</v>
      </c>
      <c r="AC23" s="918">
        <f t="shared" si="24"/>
        <v>2047</v>
      </c>
      <c r="AD23" s="918">
        <f t="shared" si="24"/>
        <v>2048</v>
      </c>
      <c r="AE23" s="918">
        <f t="shared" si="24"/>
        <v>2049</v>
      </c>
      <c r="AF23" s="918">
        <f t="shared" si="24"/>
        <v>2050</v>
      </c>
      <c r="AG23" s="918">
        <f t="shared" si="24"/>
        <v>2051</v>
      </c>
      <c r="AH23" s="918">
        <f t="shared" si="24"/>
        <v>2052</v>
      </c>
      <c r="AI23" s="918">
        <f t="shared" si="24"/>
        <v>2053</v>
      </c>
      <c r="AJ23" s="918">
        <f t="shared" si="24"/>
        <v>2054</v>
      </c>
      <c r="AK23" s="918">
        <f t="shared" si="24"/>
        <v>2055</v>
      </c>
      <c r="AL23" s="918">
        <f t="shared" si="24"/>
        <v>2056</v>
      </c>
      <c r="AM23" s="918">
        <f t="shared" si="24"/>
        <v>2057</v>
      </c>
      <c r="AN23" s="918">
        <f t="shared" si="24"/>
        <v>2058</v>
      </c>
      <c r="AO23" s="918">
        <f t="shared" si="24"/>
        <v>2059</v>
      </c>
    </row>
    <row r="24" spans="1:41" s="940" customFormat="1" ht="15"/>
    <row r="25" spans="1:41" s="940" customFormat="1" ht="15">
      <c r="A25" s="938" t="s">
        <v>459</v>
      </c>
      <c r="B25" s="932" t="s">
        <v>456</v>
      </c>
      <c r="C25" s="933">
        <f t="shared" ref="C25:AE25" si="25">C13-C20</f>
        <v>0</v>
      </c>
      <c r="D25" s="933">
        <f t="shared" si="25"/>
        <v>0</v>
      </c>
      <c r="E25" s="933">
        <f t="shared" si="25"/>
        <v>0</v>
      </c>
      <c r="F25" s="933">
        <f t="shared" si="25"/>
        <v>0</v>
      </c>
      <c r="G25" s="933">
        <f t="shared" si="25"/>
        <v>0</v>
      </c>
      <c r="H25" s="933">
        <f t="shared" si="25"/>
        <v>0</v>
      </c>
      <c r="I25" s="933">
        <f t="shared" si="25"/>
        <v>0</v>
      </c>
      <c r="J25" s="933">
        <f t="shared" si="25"/>
        <v>0</v>
      </c>
      <c r="K25" s="933">
        <f t="shared" si="25"/>
        <v>0</v>
      </c>
      <c r="L25" s="933">
        <f t="shared" si="25"/>
        <v>13779.831057589035</v>
      </c>
      <c r="M25" s="933">
        <f t="shared" si="25"/>
        <v>13779.831057589035</v>
      </c>
      <c r="N25" s="933">
        <f t="shared" si="25"/>
        <v>781513.27569470089</v>
      </c>
      <c r="O25" s="933">
        <f t="shared" si="25"/>
        <v>781513.27569469996</v>
      </c>
      <c r="P25" s="933">
        <f t="shared" si="25"/>
        <v>1012541.986111653</v>
      </c>
      <c r="Q25" s="933">
        <f t="shared" si="25"/>
        <v>1012541.9861116521</v>
      </c>
      <c r="R25" s="933">
        <f t="shared" si="25"/>
        <v>1012541.9861116535</v>
      </c>
      <c r="S25" s="933">
        <f t="shared" si="25"/>
        <v>1012541.9861116535</v>
      </c>
      <c r="T25" s="933">
        <f t="shared" si="25"/>
        <v>1012541.9861116535</v>
      </c>
      <c r="U25" s="933">
        <f t="shared" si="25"/>
        <v>1012541.986111653</v>
      </c>
      <c r="V25" s="933">
        <f t="shared" si="25"/>
        <v>1012541.986111653</v>
      </c>
      <c r="W25" s="933">
        <f t="shared" si="25"/>
        <v>1012541.9861116526</v>
      </c>
      <c r="X25" s="933">
        <f t="shared" si="25"/>
        <v>1012541.9861116521</v>
      </c>
      <c r="Y25" s="933">
        <f t="shared" si="25"/>
        <v>1012541.9861116526</v>
      </c>
      <c r="Z25" s="933">
        <f t="shared" si="25"/>
        <v>1012541.986111653</v>
      </c>
      <c r="AA25" s="933">
        <f t="shared" si="25"/>
        <v>1012541.986111653</v>
      </c>
      <c r="AB25" s="933">
        <f t="shared" si="25"/>
        <v>1012541.9861116526</v>
      </c>
      <c r="AC25" s="933">
        <f t="shared" si="25"/>
        <v>1012541.9861116521</v>
      </c>
      <c r="AD25" s="933">
        <f t="shared" si="25"/>
        <v>1012541.9861116521</v>
      </c>
      <c r="AE25" s="933">
        <f t="shared" si="25"/>
        <v>1012541.986111653</v>
      </c>
      <c r="AF25" s="933">
        <f t="shared" ref="AF25:AO25" si="26">AF13-AF20</f>
        <v>1012541.9861116526</v>
      </c>
      <c r="AG25" s="933">
        <f t="shared" si="26"/>
        <v>1012541.986111653</v>
      </c>
      <c r="AH25" s="933">
        <f t="shared" si="26"/>
        <v>1012541.9861116526</v>
      </c>
      <c r="AI25" s="933">
        <f t="shared" si="26"/>
        <v>1012541.986111653</v>
      </c>
      <c r="AJ25" s="933">
        <f t="shared" si="26"/>
        <v>1012541.986111653</v>
      </c>
      <c r="AK25" s="933">
        <f t="shared" si="26"/>
        <v>1012541.986111653</v>
      </c>
      <c r="AL25" s="933">
        <f t="shared" si="26"/>
        <v>1012541.9861116535</v>
      </c>
      <c r="AM25" s="933">
        <f t="shared" si="26"/>
        <v>1012541.986111653</v>
      </c>
      <c r="AN25" s="933">
        <f t="shared" si="26"/>
        <v>1012541.9861116521</v>
      </c>
      <c r="AO25" s="933">
        <f t="shared" si="26"/>
        <v>1012541.9861116526</v>
      </c>
    </row>
    <row r="26" spans="1:41" s="894" customFormat="1">
      <c r="A26" s="888"/>
      <c r="B26" s="920"/>
    </row>
    <row r="27" spans="1:41" s="946" customFormat="1" ht="15">
      <c r="A27" s="942" t="s">
        <v>89</v>
      </c>
      <c r="B27" s="943"/>
      <c r="C27" s="944"/>
      <c r="D27" s="944"/>
      <c r="E27" s="944"/>
      <c r="F27" s="944"/>
      <c r="G27" s="944"/>
      <c r="H27" s="944"/>
      <c r="I27" s="945"/>
      <c r="J27" s="945"/>
      <c r="K27" s="945"/>
      <c r="L27" s="945"/>
      <c r="M27" s="945"/>
      <c r="N27" s="945"/>
      <c r="O27" s="945"/>
      <c r="P27" s="945"/>
      <c r="Q27" s="945"/>
      <c r="R27" s="945"/>
      <c r="S27" s="945"/>
      <c r="T27" s="945"/>
      <c r="U27" s="945"/>
      <c r="V27" s="945"/>
      <c r="W27" s="945"/>
      <c r="X27" s="945"/>
      <c r="Y27" s="945"/>
      <c r="Z27" s="945"/>
      <c r="AA27" s="945"/>
      <c r="AB27" s="945"/>
      <c r="AC27" s="945"/>
      <c r="AD27" s="945"/>
      <c r="AE27" s="945"/>
      <c r="AF27" s="945"/>
      <c r="AG27" s="945"/>
      <c r="AH27" s="945"/>
      <c r="AI27" s="945"/>
      <c r="AJ27" s="945"/>
      <c r="AK27" s="945"/>
      <c r="AL27" s="945"/>
      <c r="AM27" s="945"/>
      <c r="AN27" s="945"/>
      <c r="AO27" s="945"/>
    </row>
    <row r="28" spans="1:41" s="946" customFormat="1">
      <c r="A28" s="888"/>
      <c r="B28" s="888"/>
      <c r="C28" s="888"/>
      <c r="D28" s="888"/>
      <c r="E28" s="888"/>
      <c r="F28" s="888"/>
      <c r="G28" s="888"/>
      <c r="H28" s="888"/>
      <c r="I28" s="888"/>
      <c r="J28" s="888"/>
      <c r="K28" s="888"/>
      <c r="L28" s="888"/>
      <c r="M28" s="888"/>
      <c r="N28" s="888"/>
      <c r="O28" s="888"/>
      <c r="P28" s="888"/>
      <c r="Q28" s="888"/>
      <c r="R28" s="888"/>
      <c r="S28" s="888"/>
      <c r="T28" s="888"/>
      <c r="U28" s="888"/>
      <c r="V28" s="888"/>
      <c r="W28" s="888"/>
      <c r="X28" s="888"/>
      <c r="Y28" s="888"/>
      <c r="Z28" s="888"/>
      <c r="AA28" s="888"/>
      <c r="AB28" s="888"/>
      <c r="AC28" s="888"/>
      <c r="AD28" s="888"/>
      <c r="AE28" s="888"/>
      <c r="AF28" s="888"/>
      <c r="AG28" s="888"/>
      <c r="AH28" s="888"/>
      <c r="AI28" s="888"/>
      <c r="AJ28" s="888"/>
      <c r="AK28" s="888"/>
      <c r="AL28" s="888"/>
      <c r="AM28" s="888"/>
      <c r="AN28" s="888"/>
      <c r="AO28" s="888"/>
    </row>
    <row r="29" spans="1:41" s="950" customFormat="1">
      <c r="A29" s="947" t="s">
        <v>103</v>
      </c>
      <c r="B29" s="1017" t="s">
        <v>517</v>
      </c>
      <c r="C29" s="949">
        <f t="shared" ref="C29:AE29" si="27">C11-C18</f>
        <v>0</v>
      </c>
      <c r="D29" s="949">
        <f t="shared" si="27"/>
        <v>0</v>
      </c>
      <c r="E29" s="949">
        <f t="shared" si="27"/>
        <v>0</v>
      </c>
      <c r="F29" s="949">
        <f t="shared" si="27"/>
        <v>0</v>
      </c>
      <c r="G29" s="949">
        <f t="shared" si="27"/>
        <v>0</v>
      </c>
      <c r="H29" s="949">
        <f t="shared" si="27"/>
        <v>0</v>
      </c>
      <c r="I29" s="949">
        <f t="shared" si="27"/>
        <v>0</v>
      </c>
      <c r="J29" s="949">
        <f t="shared" si="27"/>
        <v>0</v>
      </c>
      <c r="K29" s="949">
        <f t="shared" si="27"/>
        <v>0</v>
      </c>
      <c r="L29" s="949">
        <f t="shared" si="27"/>
        <v>145950</v>
      </c>
      <c r="M29" s="949">
        <f t="shared" si="27"/>
        <v>145950</v>
      </c>
      <c r="N29" s="949">
        <f t="shared" si="27"/>
        <v>8277450.0000000037</v>
      </c>
      <c r="O29" s="949">
        <f t="shared" si="27"/>
        <v>8277449.9999999963</v>
      </c>
      <c r="P29" s="949">
        <f t="shared" si="27"/>
        <v>10724406</v>
      </c>
      <c r="Q29" s="949">
        <f t="shared" si="27"/>
        <v>10724405.999999996</v>
      </c>
      <c r="R29" s="949">
        <f t="shared" si="27"/>
        <v>10724406.000000004</v>
      </c>
      <c r="S29" s="949">
        <f t="shared" si="27"/>
        <v>10724406.000000007</v>
      </c>
      <c r="T29" s="949">
        <f t="shared" si="27"/>
        <v>10724406.000000004</v>
      </c>
      <c r="U29" s="949">
        <f t="shared" si="27"/>
        <v>10724406.000000004</v>
      </c>
      <c r="V29" s="949">
        <f t="shared" si="27"/>
        <v>10724406.000000004</v>
      </c>
      <c r="W29" s="949">
        <f t="shared" si="27"/>
        <v>10724405.999999996</v>
      </c>
      <c r="X29" s="949">
        <f t="shared" si="27"/>
        <v>10724405.999999996</v>
      </c>
      <c r="Y29" s="949">
        <f t="shared" si="27"/>
        <v>10724406</v>
      </c>
      <c r="Z29" s="949">
        <f t="shared" si="27"/>
        <v>10724406</v>
      </c>
      <c r="AA29" s="949">
        <f t="shared" si="27"/>
        <v>10724406</v>
      </c>
      <c r="AB29" s="949">
        <f t="shared" si="27"/>
        <v>10724405.999999996</v>
      </c>
      <c r="AC29" s="949">
        <f t="shared" si="27"/>
        <v>10724405.999999996</v>
      </c>
      <c r="AD29" s="949">
        <f t="shared" si="27"/>
        <v>10724405.999999996</v>
      </c>
      <c r="AE29" s="949">
        <f t="shared" si="27"/>
        <v>10724406.000000004</v>
      </c>
      <c r="AF29" s="949">
        <f t="shared" ref="AF29:AO29" si="28">AF11-AF18</f>
        <v>10724405.999999996</v>
      </c>
      <c r="AG29" s="949">
        <f t="shared" si="28"/>
        <v>10724406.000000004</v>
      </c>
      <c r="AH29" s="949">
        <f t="shared" si="28"/>
        <v>10724406</v>
      </c>
      <c r="AI29" s="949">
        <f t="shared" si="28"/>
        <v>10724406.000000004</v>
      </c>
      <c r="AJ29" s="949">
        <f t="shared" si="28"/>
        <v>10724406</v>
      </c>
      <c r="AK29" s="949">
        <f t="shared" si="28"/>
        <v>10724406.000000004</v>
      </c>
      <c r="AL29" s="949">
        <f t="shared" si="28"/>
        <v>10724406.000000004</v>
      </c>
      <c r="AM29" s="949">
        <f t="shared" si="28"/>
        <v>10724406</v>
      </c>
      <c r="AN29" s="949">
        <f t="shared" si="28"/>
        <v>10724405.999999996</v>
      </c>
      <c r="AO29" s="949">
        <f t="shared" si="28"/>
        <v>10724406</v>
      </c>
    </row>
    <row r="30" spans="1:41" s="888" customFormat="1"/>
    <row r="31" spans="1:41" s="894" customFormat="1">
      <c r="A31" s="888"/>
      <c r="B31" s="920"/>
    </row>
    <row r="32" spans="1:41" s="894" customFormat="1">
      <c r="A32" s="888"/>
      <c r="B32" s="920"/>
    </row>
    <row r="33" spans="1:2" s="894" customFormat="1">
      <c r="A33" s="888"/>
      <c r="B33" s="920"/>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CB16D-E19F-47DD-BBDA-9769AA07EC5F}">
  <sheetPr codeName="Sheet13">
    <tabColor theme="4" tint="-0.499984740745262"/>
  </sheetPr>
  <dimension ref="A1:AO33"/>
  <sheetViews>
    <sheetView showGridLines="0" workbookViewId="0">
      <selection activeCell="F36" sqref="F36"/>
    </sheetView>
  </sheetViews>
  <sheetFormatPr defaultColWidth="9.25" defaultRowHeight="14.25"/>
  <cols>
    <col min="1" max="1" width="65.75" style="880" customWidth="1"/>
    <col min="2" max="2" width="16.5" style="881" customWidth="1"/>
    <col min="3" max="28" width="9.75" style="882" customWidth="1"/>
    <col min="29" max="16384" width="9.25" style="882"/>
  </cols>
  <sheetData>
    <row r="1" spans="1:41">
      <c r="E1" s="956"/>
    </row>
    <row r="2" spans="1:41" ht="23.25">
      <c r="A2" s="884" t="s">
        <v>519</v>
      </c>
      <c r="B2" s="880"/>
      <c r="C2" s="885"/>
      <c r="D2" s="885"/>
      <c r="E2" s="885"/>
      <c r="F2" s="885"/>
      <c r="G2" s="885"/>
      <c r="J2" s="885"/>
      <c r="K2" s="885"/>
    </row>
    <row r="3" spans="1:41">
      <c r="B3" s="887" t="s">
        <v>443</v>
      </c>
    </row>
    <row r="4" spans="1:41" s="890" customFormat="1" ht="13.5" customHeight="1">
      <c r="A4" s="888"/>
      <c r="B4" s="1177">
        <f>Base.Year</f>
        <v>2022</v>
      </c>
      <c r="C4" s="889">
        <f>B4-1</f>
        <v>2021</v>
      </c>
      <c r="D4" s="889">
        <f>C4+1</f>
        <v>2022</v>
      </c>
      <c r="E4" s="889">
        <f t="shared" ref="E4:AE4" si="0">D4+1</f>
        <v>2023</v>
      </c>
      <c r="F4" s="889">
        <f>E4+1</f>
        <v>2024</v>
      </c>
      <c r="G4" s="889">
        <f t="shared" si="0"/>
        <v>2025</v>
      </c>
      <c r="H4" s="889">
        <f t="shared" si="0"/>
        <v>2026</v>
      </c>
      <c r="I4" s="889">
        <f t="shared" si="0"/>
        <v>2027</v>
      </c>
      <c r="J4" s="889">
        <f t="shared" si="0"/>
        <v>2028</v>
      </c>
      <c r="K4" s="889">
        <f t="shared" si="0"/>
        <v>2029</v>
      </c>
      <c r="L4" s="889">
        <f t="shared" si="0"/>
        <v>2030</v>
      </c>
      <c r="M4" s="889">
        <f t="shared" si="0"/>
        <v>2031</v>
      </c>
      <c r="N4" s="889">
        <f t="shared" si="0"/>
        <v>2032</v>
      </c>
      <c r="O4" s="889">
        <f t="shared" si="0"/>
        <v>2033</v>
      </c>
      <c r="P4" s="889">
        <f t="shared" si="0"/>
        <v>2034</v>
      </c>
      <c r="Q4" s="889">
        <f t="shared" si="0"/>
        <v>2035</v>
      </c>
      <c r="R4" s="889">
        <f t="shared" si="0"/>
        <v>2036</v>
      </c>
      <c r="S4" s="889">
        <f t="shared" si="0"/>
        <v>2037</v>
      </c>
      <c r="T4" s="889">
        <f t="shared" si="0"/>
        <v>2038</v>
      </c>
      <c r="U4" s="889">
        <f t="shared" si="0"/>
        <v>2039</v>
      </c>
      <c r="V4" s="889">
        <f t="shared" si="0"/>
        <v>2040</v>
      </c>
      <c r="W4" s="889">
        <f t="shared" si="0"/>
        <v>2041</v>
      </c>
      <c r="X4" s="889">
        <f t="shared" si="0"/>
        <v>2042</v>
      </c>
      <c r="Y4" s="889">
        <f t="shared" si="0"/>
        <v>2043</v>
      </c>
      <c r="Z4" s="889">
        <f t="shared" si="0"/>
        <v>2044</v>
      </c>
      <c r="AA4" s="889">
        <f t="shared" si="0"/>
        <v>2045</v>
      </c>
      <c r="AB4" s="889">
        <f t="shared" si="0"/>
        <v>2046</v>
      </c>
      <c r="AC4" s="889">
        <f t="shared" si="0"/>
        <v>2047</v>
      </c>
      <c r="AD4" s="889">
        <f t="shared" si="0"/>
        <v>2048</v>
      </c>
      <c r="AE4" s="889">
        <f t="shared" si="0"/>
        <v>2049</v>
      </c>
      <c r="AF4" s="889">
        <f t="shared" ref="AF4" si="1">AE4+1</f>
        <v>2050</v>
      </c>
      <c r="AG4" s="889">
        <f t="shared" ref="AG4" si="2">AF4+1</f>
        <v>2051</v>
      </c>
      <c r="AH4" s="889">
        <f t="shared" ref="AH4" si="3">AG4+1</f>
        <v>2052</v>
      </c>
      <c r="AI4" s="889">
        <f t="shared" ref="AI4" si="4">AH4+1</f>
        <v>2053</v>
      </c>
      <c r="AJ4" s="889">
        <f t="shared" ref="AJ4" si="5">AI4+1</f>
        <v>2054</v>
      </c>
      <c r="AK4" s="889">
        <f t="shared" ref="AK4" si="6">AJ4+1</f>
        <v>2055</v>
      </c>
      <c r="AL4" s="889">
        <f t="shared" ref="AL4" si="7">AK4+1</f>
        <v>2056</v>
      </c>
      <c r="AM4" s="889">
        <f t="shared" ref="AM4" si="8">AL4+1</f>
        <v>2057</v>
      </c>
      <c r="AN4" s="889">
        <f t="shared" ref="AN4" si="9">AM4+1</f>
        <v>2058</v>
      </c>
      <c r="AO4" s="889">
        <f t="shared" ref="AO4" si="10">AN4+1</f>
        <v>2059</v>
      </c>
    </row>
    <row r="5" spans="1:41" s="890" customFormat="1" ht="13.5" customHeight="1">
      <c r="A5" s="891" t="s">
        <v>444</v>
      </c>
      <c r="B5" s="892"/>
      <c r="C5" s="893">
        <f>MAX(0,C$4-Inputs!$E$8+1)</f>
        <v>0</v>
      </c>
      <c r="D5" s="893">
        <f>MAX(0,D$4-Inputs!$E$8+1)</f>
        <v>0</v>
      </c>
      <c r="E5" s="893">
        <f>MAX(0,E$4-Inputs!$E$8+1)</f>
        <v>0</v>
      </c>
      <c r="F5" s="893">
        <f>MAX(0,F$4-Inputs!$E$8+1)</f>
        <v>0</v>
      </c>
      <c r="G5" s="893">
        <f>MAX(0,G$4-Inputs!$E$8+1)</f>
        <v>0</v>
      </c>
      <c r="H5" s="893">
        <f>MAX(0,H$4-Inputs!$E$8+1)</f>
        <v>0</v>
      </c>
      <c r="I5" s="893">
        <f>MAX(0,I$4-Inputs!$E$8+1)</f>
        <v>0</v>
      </c>
      <c r="J5" s="893">
        <f>MAX(0,J$4-Inputs!$E$8+1)</f>
        <v>0</v>
      </c>
      <c r="K5" s="893">
        <f>MAX(0,K$4-Inputs!$E$8+1)</f>
        <v>0</v>
      </c>
      <c r="L5" s="893">
        <f>MAX(0,L$4-Inputs!$E$8+1)</f>
        <v>1</v>
      </c>
      <c r="M5" s="893">
        <f>MAX(0,M$4-Inputs!$E$8+1)</f>
        <v>2</v>
      </c>
      <c r="N5" s="893">
        <f>MAX(0,N$4-Inputs!$E$8+1)</f>
        <v>3</v>
      </c>
      <c r="O5" s="893">
        <f>MAX(0,O$4-Inputs!$E$8+1)</f>
        <v>4</v>
      </c>
      <c r="P5" s="893">
        <f>MAX(0,P$4-Inputs!$E$8+1)</f>
        <v>5</v>
      </c>
      <c r="Q5" s="893">
        <f>MAX(0,Q$4-Inputs!$E$8+1)</f>
        <v>6</v>
      </c>
      <c r="R5" s="893">
        <f>MAX(0,R$4-Inputs!$E$8+1)</f>
        <v>7</v>
      </c>
      <c r="S5" s="893">
        <f>MAX(0,S$4-Inputs!$E$8+1)</f>
        <v>8</v>
      </c>
      <c r="T5" s="893">
        <f>MAX(0,T$4-Inputs!$E$8+1)</f>
        <v>9</v>
      </c>
      <c r="U5" s="893">
        <f>MAX(0,U$4-Inputs!$E$8+1)</f>
        <v>10</v>
      </c>
      <c r="V5" s="893">
        <f>MAX(0,V$4-Inputs!$E$8+1)</f>
        <v>11</v>
      </c>
      <c r="W5" s="893">
        <f>MAX(0,W$4-Inputs!$E$8+1)</f>
        <v>12</v>
      </c>
      <c r="X5" s="893">
        <f>MAX(0,X$4-Inputs!$E$8+1)</f>
        <v>13</v>
      </c>
      <c r="Y5" s="893">
        <f>MAX(0,Y$4-Inputs!$E$8+1)</f>
        <v>14</v>
      </c>
      <c r="Z5" s="893">
        <f>MAX(0,Z$4-Inputs!$E$8+1)</f>
        <v>15</v>
      </c>
      <c r="AA5" s="893">
        <f>MAX(0,AA$4-Inputs!$E$8+1)</f>
        <v>16</v>
      </c>
      <c r="AB5" s="893">
        <f>MAX(0,AB$4-Inputs!$E$8+1)</f>
        <v>17</v>
      </c>
      <c r="AC5" s="893">
        <f>MAX(0,AC$4-Inputs!$E$8+1)</f>
        <v>18</v>
      </c>
      <c r="AD5" s="893">
        <f>MAX(0,AD$4-Inputs!$E$8+1)</f>
        <v>19</v>
      </c>
      <c r="AE5" s="893">
        <f>MAX(0,AE$4-Inputs!$E$8+1)</f>
        <v>20</v>
      </c>
      <c r="AF5" s="893">
        <f>MAX(0,AF$4-Inputs!$E$8+1)</f>
        <v>21</v>
      </c>
      <c r="AG5" s="893">
        <f>MAX(0,AG$4-Inputs!$E$8+1)</f>
        <v>22</v>
      </c>
      <c r="AH5" s="893">
        <f>MAX(0,AH$4-Inputs!$E$8+1)</f>
        <v>23</v>
      </c>
      <c r="AI5" s="893">
        <f>MAX(0,AI$4-Inputs!$E$8+1)</f>
        <v>24</v>
      </c>
      <c r="AJ5" s="893">
        <f>MAX(0,AJ$4-Inputs!$E$8+1)</f>
        <v>25</v>
      </c>
      <c r="AK5" s="893">
        <f>MAX(0,AK$4-Inputs!$E$8+1)</f>
        <v>26</v>
      </c>
      <c r="AL5" s="893">
        <f>MAX(0,AL$4-Inputs!$E$8+1)</f>
        <v>27</v>
      </c>
      <c r="AM5" s="893">
        <f>MAX(0,AM$4-Inputs!$E$8+1)</f>
        <v>28</v>
      </c>
      <c r="AN5" s="893">
        <f>MAX(0,AN$4-Inputs!$E$8+1)</f>
        <v>29</v>
      </c>
      <c r="AO5" s="893">
        <f>MAX(0,AO$4-Inputs!$E$8+1)</f>
        <v>30</v>
      </c>
    </row>
    <row r="6" spans="1:41" s="894" customFormat="1">
      <c r="A6" s="888"/>
      <c r="B6" s="888"/>
    </row>
    <row r="7" spans="1:41" s="894" customFormat="1">
      <c r="A7" s="902" t="s">
        <v>520</v>
      </c>
      <c r="B7" s="903" t="s">
        <v>515</v>
      </c>
      <c r="C7" s="1015">
        <f>Inputs!$E$26</f>
        <v>0.08</v>
      </c>
      <c r="D7" s="1015">
        <f>Inputs!$E$26</f>
        <v>0.08</v>
      </c>
      <c r="E7" s="1015">
        <f>Inputs!$E$26</f>
        <v>0.08</v>
      </c>
      <c r="F7" s="1015">
        <f>Inputs!$E$26</f>
        <v>0.08</v>
      </c>
      <c r="G7" s="1015">
        <f>Inputs!$E$26</f>
        <v>0.08</v>
      </c>
      <c r="H7" s="1015">
        <f>Inputs!$E$26</f>
        <v>0.08</v>
      </c>
      <c r="I7" s="1015">
        <f>Inputs!$E$26</f>
        <v>0.08</v>
      </c>
      <c r="J7" s="1015">
        <f>Inputs!$E$26</f>
        <v>0.08</v>
      </c>
      <c r="K7" s="1015">
        <f>Inputs!$E$26</f>
        <v>0.08</v>
      </c>
      <c r="L7" s="1015">
        <f>Inputs!$E$26</f>
        <v>0.08</v>
      </c>
      <c r="M7" s="1015">
        <f>Inputs!$E$26</f>
        <v>0.08</v>
      </c>
      <c r="N7" s="1015">
        <f>Inputs!$E$26</f>
        <v>0.08</v>
      </c>
      <c r="O7" s="1015">
        <f>Inputs!$E$26</f>
        <v>0.08</v>
      </c>
      <c r="P7" s="1015">
        <f>Inputs!$E$26</f>
        <v>0.08</v>
      </c>
      <c r="Q7" s="1015">
        <f>Inputs!$E$26</f>
        <v>0.08</v>
      </c>
      <c r="R7" s="1015">
        <f>Inputs!$E$26</f>
        <v>0.08</v>
      </c>
      <c r="S7" s="1015">
        <f>Inputs!$E$26</f>
        <v>0.08</v>
      </c>
      <c r="T7" s="1015">
        <f>Inputs!$E$26</f>
        <v>0.08</v>
      </c>
      <c r="U7" s="1015">
        <f>Inputs!$E$26</f>
        <v>0.08</v>
      </c>
      <c r="V7" s="1015">
        <f>Inputs!$E$26</f>
        <v>0.08</v>
      </c>
      <c r="W7" s="1015">
        <f>Inputs!$E$26</f>
        <v>0.08</v>
      </c>
      <c r="X7" s="1015">
        <f>Inputs!$E$26</f>
        <v>0.08</v>
      </c>
      <c r="Y7" s="1015">
        <f>Inputs!$E$26</f>
        <v>0.08</v>
      </c>
      <c r="Z7" s="1015">
        <f>Inputs!$E$26</f>
        <v>0.08</v>
      </c>
      <c r="AA7" s="1015">
        <f>Inputs!$E$26</f>
        <v>0.08</v>
      </c>
      <c r="AB7" s="1015">
        <f>Inputs!$E$26</f>
        <v>0.08</v>
      </c>
      <c r="AC7" s="1015">
        <f>Inputs!$E$26</f>
        <v>0.08</v>
      </c>
      <c r="AD7" s="1015">
        <f>Inputs!$E$26</f>
        <v>0.08</v>
      </c>
      <c r="AE7" s="1015">
        <f>Inputs!$E$26</f>
        <v>0.08</v>
      </c>
      <c r="AF7" s="1015">
        <f>Inputs!$E$26</f>
        <v>0.08</v>
      </c>
      <c r="AG7" s="1015">
        <f>Inputs!$E$26</f>
        <v>0.08</v>
      </c>
      <c r="AH7" s="1015">
        <f>Inputs!$E$26</f>
        <v>0.08</v>
      </c>
      <c r="AI7" s="1015">
        <f>Inputs!$E$26</f>
        <v>0.08</v>
      </c>
      <c r="AJ7" s="1015">
        <f>Inputs!$E$26</f>
        <v>0.08</v>
      </c>
      <c r="AK7" s="1015">
        <f>Inputs!$E$26</f>
        <v>0.08</v>
      </c>
      <c r="AL7" s="1015">
        <f>Inputs!$E$26</f>
        <v>0.08</v>
      </c>
      <c r="AM7" s="1015">
        <f>Inputs!$E$26</f>
        <v>0.08</v>
      </c>
      <c r="AN7" s="1015">
        <f>Inputs!$E$26</f>
        <v>0.08</v>
      </c>
      <c r="AO7" s="1015">
        <f>Inputs!$E$26</f>
        <v>0.08</v>
      </c>
    </row>
    <row r="8" spans="1:41" s="894" customFormat="1">
      <c r="A8" s="888"/>
      <c r="B8" s="888"/>
    </row>
    <row r="9" spans="1:41" s="919" customFormat="1" ht="15">
      <c r="A9" s="916" t="s">
        <v>446</v>
      </c>
      <c r="B9" s="917" t="s">
        <v>86</v>
      </c>
      <c r="C9" s="918" t="str">
        <f>IF(C$5&gt;0,C$4,"")</f>
        <v/>
      </c>
      <c r="D9" s="918" t="str">
        <f t="shared" ref="D9:AO9" si="11">IF(D$5&gt;0,D$4,"")</f>
        <v/>
      </c>
      <c r="E9" s="918" t="str">
        <f t="shared" si="11"/>
        <v/>
      </c>
      <c r="F9" s="918" t="str">
        <f t="shared" si="11"/>
        <v/>
      </c>
      <c r="G9" s="918" t="str">
        <f t="shared" si="11"/>
        <v/>
      </c>
      <c r="H9" s="918" t="str">
        <f t="shared" si="11"/>
        <v/>
      </c>
      <c r="I9" s="918" t="str">
        <f t="shared" si="11"/>
        <v/>
      </c>
      <c r="J9" s="918" t="str">
        <f t="shared" si="11"/>
        <v/>
      </c>
      <c r="K9" s="918" t="str">
        <f t="shared" si="11"/>
        <v/>
      </c>
      <c r="L9" s="918">
        <f t="shared" si="11"/>
        <v>2030</v>
      </c>
      <c r="M9" s="918">
        <f t="shared" si="11"/>
        <v>2031</v>
      </c>
      <c r="N9" s="918">
        <f t="shared" si="11"/>
        <v>2032</v>
      </c>
      <c r="O9" s="918">
        <f t="shared" si="11"/>
        <v>2033</v>
      </c>
      <c r="P9" s="918">
        <f t="shared" si="11"/>
        <v>2034</v>
      </c>
      <c r="Q9" s="918">
        <f t="shared" si="11"/>
        <v>2035</v>
      </c>
      <c r="R9" s="918">
        <f t="shared" si="11"/>
        <v>2036</v>
      </c>
      <c r="S9" s="918">
        <f t="shared" si="11"/>
        <v>2037</v>
      </c>
      <c r="T9" s="918">
        <f t="shared" si="11"/>
        <v>2038</v>
      </c>
      <c r="U9" s="918">
        <f t="shared" si="11"/>
        <v>2039</v>
      </c>
      <c r="V9" s="918">
        <f t="shared" si="11"/>
        <v>2040</v>
      </c>
      <c r="W9" s="918">
        <f t="shared" si="11"/>
        <v>2041</v>
      </c>
      <c r="X9" s="918">
        <f t="shared" si="11"/>
        <v>2042</v>
      </c>
      <c r="Y9" s="918">
        <f t="shared" si="11"/>
        <v>2043</v>
      </c>
      <c r="Z9" s="918">
        <f t="shared" si="11"/>
        <v>2044</v>
      </c>
      <c r="AA9" s="918">
        <f t="shared" si="11"/>
        <v>2045</v>
      </c>
      <c r="AB9" s="918">
        <f t="shared" si="11"/>
        <v>2046</v>
      </c>
      <c r="AC9" s="918">
        <f t="shared" si="11"/>
        <v>2047</v>
      </c>
      <c r="AD9" s="918">
        <f t="shared" si="11"/>
        <v>2048</v>
      </c>
      <c r="AE9" s="918">
        <f t="shared" si="11"/>
        <v>2049</v>
      </c>
      <c r="AF9" s="918">
        <f t="shared" si="11"/>
        <v>2050</v>
      </c>
      <c r="AG9" s="918">
        <f t="shared" si="11"/>
        <v>2051</v>
      </c>
      <c r="AH9" s="918">
        <f t="shared" si="11"/>
        <v>2052</v>
      </c>
      <c r="AI9" s="918">
        <f t="shared" si="11"/>
        <v>2053</v>
      </c>
      <c r="AJ9" s="918">
        <f t="shared" si="11"/>
        <v>2054</v>
      </c>
      <c r="AK9" s="918">
        <f t="shared" si="11"/>
        <v>2055</v>
      </c>
      <c r="AL9" s="918">
        <f t="shared" si="11"/>
        <v>2056</v>
      </c>
      <c r="AM9" s="918">
        <f t="shared" si="11"/>
        <v>2057</v>
      </c>
      <c r="AN9" s="918">
        <f t="shared" si="11"/>
        <v>2058</v>
      </c>
      <c r="AO9" s="918">
        <f t="shared" si="11"/>
        <v>2059</v>
      </c>
    </row>
    <row r="10" spans="1:41" s="894" customFormat="1">
      <c r="A10" s="888"/>
      <c r="B10" s="920"/>
      <c r="D10" s="921"/>
      <c r="E10" s="921"/>
      <c r="F10" s="921"/>
      <c r="G10" s="921"/>
      <c r="H10" s="921"/>
      <c r="I10" s="921"/>
      <c r="J10" s="921"/>
      <c r="K10" s="921"/>
      <c r="L10" s="921"/>
      <c r="M10" s="921"/>
      <c r="N10" s="921"/>
      <c r="O10" s="921"/>
      <c r="P10" s="921"/>
      <c r="Q10" s="921"/>
      <c r="R10" s="921"/>
      <c r="S10" s="921"/>
      <c r="T10" s="921"/>
      <c r="U10" s="921"/>
      <c r="V10" s="921"/>
      <c r="W10" s="921"/>
      <c r="X10" s="921"/>
      <c r="Y10" s="921"/>
      <c r="Z10" s="921"/>
      <c r="AA10" s="921"/>
      <c r="AB10" s="921"/>
      <c r="AC10" s="921"/>
      <c r="AD10" s="921"/>
      <c r="AE10" s="921"/>
      <c r="AF10" s="921"/>
      <c r="AG10" s="921"/>
      <c r="AH10" s="921"/>
      <c r="AI10" s="921"/>
      <c r="AJ10" s="921"/>
      <c r="AK10" s="921"/>
      <c r="AL10" s="921"/>
      <c r="AM10" s="921"/>
      <c r="AN10" s="921"/>
      <c r="AO10" s="921"/>
    </row>
    <row r="11" spans="1:41" s="894" customFormat="1">
      <c r="A11" s="946" t="s">
        <v>516</v>
      </c>
      <c r="B11" s="1016" t="s">
        <v>517</v>
      </c>
      <c r="C11" s="1018">
        <f>SUMIFS(Demand.Forecast!$D$18:$AO$18,Demand.Forecast!$D$1:$AO$1,C$4)</f>
        <v>0</v>
      </c>
      <c r="D11" s="1018">
        <f>SUMIFS(Demand.Forecast!$D$18:$AO$18,Demand.Forecast!$D$1:$AO$1,D$4)</f>
        <v>38629212</v>
      </c>
      <c r="E11" s="1018">
        <f>SUMIFS(Demand.Forecast!$D$18:$AO$18,Demand.Forecast!$D$1:$AO$1,E$4)</f>
        <v>38751539.127262451</v>
      </c>
      <c r="F11" s="1018">
        <f>SUMIFS(Demand.Forecast!$D$18:$AO$18,Demand.Forecast!$D$1:$AO$1,F$4)</f>
        <v>38874253.627843931</v>
      </c>
      <c r="G11" s="1018">
        <f>SUMIFS(Demand.Forecast!$D$18:$AO$18,Demand.Forecast!$D$1:$AO$1,G$4)</f>
        <v>38997356.728439562</v>
      </c>
      <c r="H11" s="1018">
        <f>SUMIFS(Demand.Forecast!$D$18:$AO$18,Demand.Forecast!$D$1:$AO$1,H$4)</f>
        <v>39120849.659629025</v>
      </c>
      <c r="I11" s="1018">
        <f>SUMIFS(Demand.Forecast!$D$18:$AO$18,Demand.Forecast!$D$1:$AO$1,I$4)</f>
        <v>39244733.655888855</v>
      </c>
      <c r="J11" s="1018">
        <f>SUMIFS(Demand.Forecast!$D$18:$AO$18,Demand.Forecast!$D$1:$AO$1,J$4)</f>
        <v>39369009.955604859</v>
      </c>
      <c r="K11" s="1018">
        <f>SUMIFS(Demand.Forecast!$D$18:$AO$18,Demand.Forecast!$D$1:$AO$1,K$4)</f>
        <v>39493679.801084377</v>
      </c>
      <c r="L11" s="1018">
        <f>SUMIFS(Demand.Forecast!$D$18:$AO$18,Demand.Forecast!$D$1:$AO$1,L$4)</f>
        <v>39618744.438568816</v>
      </c>
      <c r="M11" s="1018">
        <f>SUMIFS(Demand.Forecast!$D$18:$AO$18,Demand.Forecast!$D$1:$AO$1,M$4)</f>
        <v>39744205.118246026</v>
      </c>
      <c r="N11" s="1018">
        <f>SUMIFS(Demand.Forecast!$D$18:$AO$18,Demand.Forecast!$D$1:$AO$1,N$4)</f>
        <v>39870063.094262853</v>
      </c>
      <c r="O11" s="1018">
        <f>SUMIFS(Demand.Forecast!$D$18:$AO$18,Demand.Forecast!$D$1:$AO$1,O$4)</f>
        <v>39996319.624737598</v>
      </c>
      <c r="P11" s="1018">
        <f>SUMIFS(Demand.Forecast!$D$18:$AO$18,Demand.Forecast!$D$1:$AO$1,P$4)</f>
        <v>40122975.971772708</v>
      </c>
      <c r="Q11" s="1018">
        <f>SUMIFS(Demand.Forecast!$D$18:$AO$18,Demand.Forecast!$D$1:$AO$1,Q$4)</f>
        <v>40250033.401467286</v>
      </c>
      <c r="R11" s="1018">
        <f>SUMIFS(Demand.Forecast!$D$18:$AO$18,Demand.Forecast!$D$1:$AO$1,R$4)</f>
        <v>40377493.183929823</v>
      </c>
      <c r="S11" s="1018">
        <f>SUMIFS(Demand.Forecast!$D$18:$AO$18,Demand.Forecast!$D$1:$AO$1,S$4)</f>
        <v>40505356.593290836</v>
      </c>
      <c r="T11" s="1018">
        <f>SUMIFS(Demand.Forecast!$D$18:$AO$18,Demand.Forecast!$D$1:$AO$1,T$4)</f>
        <v>40633624.907715634</v>
      </c>
      <c r="U11" s="1018">
        <f>SUMIFS(Demand.Forecast!$D$18:$AO$18,Demand.Forecast!$D$1:$AO$1,U$4)</f>
        <v>40762299.409417108</v>
      </c>
      <c r="V11" s="1018">
        <f>SUMIFS(Demand.Forecast!$D$18:$AO$18,Demand.Forecast!$D$1:$AO$1,V$4)</f>
        <v>40891381.384668529</v>
      </c>
      <c r="W11" s="1018">
        <f>SUMIFS(Demand.Forecast!$D$18:$AO$18,Demand.Forecast!$D$1:$AO$1,W$4)</f>
        <v>41020872.123816386</v>
      </c>
      <c r="X11" s="1018">
        <f>SUMIFS(Demand.Forecast!$D$18:$AO$18,Demand.Forecast!$D$1:$AO$1,X$4)</f>
        <v>41150772.921293348</v>
      </c>
      <c r="Y11" s="1018">
        <f>SUMIFS(Demand.Forecast!$D$18:$AO$18,Demand.Forecast!$D$1:$AO$1,Y$4)</f>
        <v>41281085.075631142</v>
      </c>
      <c r="Z11" s="1018">
        <f>SUMIFS(Demand.Forecast!$D$18:$AO$18,Demand.Forecast!$D$1:$AO$1,Z$4)</f>
        <v>41411809.889473543</v>
      </c>
      <c r="AA11" s="1018">
        <f>SUMIFS(Demand.Forecast!$D$18:$AO$18,Demand.Forecast!$D$1:$AO$1,AA$4)</f>
        <v>41542948.669589423</v>
      </c>
      <c r="AB11" s="1018">
        <f>SUMIFS(Demand.Forecast!$D$18:$AO$18,Demand.Forecast!$D$1:$AO$1,AB$4)</f>
        <v>41674502.726885803</v>
      </c>
      <c r="AC11" s="1018">
        <f>SUMIFS(Demand.Forecast!$D$18:$AO$18,Demand.Forecast!$D$1:$AO$1,AC$4)</f>
        <v>41806473.376420952</v>
      </c>
      <c r="AD11" s="1018">
        <f>SUMIFS(Demand.Forecast!$D$18:$AO$18,Demand.Forecast!$D$1:$AO$1,AD$4)</f>
        <v>41938861.93741753</v>
      </c>
      <c r="AE11" s="1018">
        <f>SUMIFS(Demand.Forecast!$D$18:$AO$18,Demand.Forecast!$D$1:$AO$1,AE$4)</f>
        <v>42071669.733275771</v>
      </c>
      <c r="AF11" s="1018">
        <f>SUMIFS(Demand.Forecast!$D$18:$AO$18,Demand.Forecast!$D$1:$AO$1,AF$4)</f>
        <v>42204898.091586731</v>
      </c>
      <c r="AG11" s="1018">
        <f>SUMIFS(Demand.Forecast!$D$18:$AO$18,Demand.Forecast!$D$1:$AO$1,AG$4)</f>
        <v>42338548.344145551</v>
      </c>
      <c r="AH11" s="1018">
        <f>SUMIFS(Demand.Forecast!$D$18:$AO$18,Demand.Forecast!$D$1:$AO$1,AH$4)</f>
        <v>42472621.826964758</v>
      </c>
      <c r="AI11" s="1018">
        <f>SUMIFS(Demand.Forecast!$D$18:$AO$18,Demand.Forecast!$D$1:$AO$1,AI$4)</f>
        <v>42607119.880287647</v>
      </c>
      <c r="AJ11" s="1018">
        <f>SUMIFS(Demand.Forecast!$D$18:$AO$18,Demand.Forecast!$D$1:$AO$1,AJ$4)</f>
        <v>42742043.848601624</v>
      </c>
      <c r="AK11" s="1018">
        <f>SUMIFS(Demand.Forecast!$D$18:$AO$18,Demand.Forecast!$D$1:$AO$1,AK$4)</f>
        <v>42877395.080651738</v>
      </c>
      <c r="AL11" s="1018">
        <f>SUMIFS(Demand.Forecast!$D$18:$AO$18,Demand.Forecast!$D$1:$AO$1,AL$4)</f>
        <v>43013174.929454066</v>
      </c>
      <c r="AM11" s="1018">
        <f>SUMIFS(Demand.Forecast!$D$18:$AO$18,Demand.Forecast!$D$1:$AO$1,AM$4)</f>
        <v>43149384.7523093</v>
      </c>
      <c r="AN11" s="1018">
        <f>SUMIFS(Demand.Forecast!$D$18:$AO$18,Demand.Forecast!$D$1:$AO$1,AN$4)</f>
        <v>43286025.910816289</v>
      </c>
      <c r="AO11" s="1018">
        <f>SUMIFS(Demand.Forecast!$D$18:$AO$18,Demand.Forecast!$D$1:$AO$1,AO$4)</f>
        <v>43423099.770885654</v>
      </c>
    </row>
    <row r="12" spans="1:41" s="894" customFormat="1">
      <c r="A12" s="946"/>
      <c r="B12" s="920"/>
      <c r="C12" s="883"/>
      <c r="D12" s="883"/>
      <c r="E12" s="883"/>
      <c r="F12" s="883"/>
      <c r="G12" s="883"/>
      <c r="H12" s="883"/>
      <c r="I12" s="883"/>
      <c r="J12" s="883"/>
      <c r="K12" s="883"/>
      <c r="L12" s="883"/>
      <c r="M12" s="883"/>
      <c r="N12" s="883"/>
      <c r="O12" s="883"/>
      <c r="P12" s="883"/>
      <c r="Q12" s="883"/>
      <c r="R12" s="883"/>
      <c r="S12" s="883"/>
      <c r="T12" s="883"/>
      <c r="U12" s="883"/>
      <c r="V12" s="883"/>
      <c r="W12" s="883"/>
      <c r="X12" s="883"/>
      <c r="Y12" s="883"/>
      <c r="Z12" s="883"/>
      <c r="AA12" s="883"/>
      <c r="AB12" s="883"/>
      <c r="AC12" s="883"/>
      <c r="AD12" s="883"/>
      <c r="AE12" s="883"/>
      <c r="AF12" s="883"/>
      <c r="AG12" s="883"/>
      <c r="AH12" s="883"/>
      <c r="AI12" s="883"/>
      <c r="AJ12" s="883"/>
      <c r="AK12" s="883"/>
      <c r="AL12" s="883"/>
      <c r="AM12" s="883"/>
      <c r="AN12" s="883"/>
      <c r="AO12" s="883"/>
    </row>
    <row r="13" spans="1:41" s="934" customFormat="1" ht="15">
      <c r="A13" s="931" t="s">
        <v>518</v>
      </c>
      <c r="B13" s="932" t="s">
        <v>451</v>
      </c>
      <c r="C13" s="933">
        <f>C11*C$7</f>
        <v>0</v>
      </c>
      <c r="D13" s="933">
        <f t="shared" ref="D13:AE13" si="12">D11*D$7</f>
        <v>3090336.96</v>
      </c>
      <c r="E13" s="933">
        <f t="shared" si="12"/>
        <v>3100123.1301809959</v>
      </c>
      <c r="F13" s="933">
        <f t="shared" si="12"/>
        <v>3109940.2902275147</v>
      </c>
      <c r="G13" s="933">
        <f t="shared" si="12"/>
        <v>3119788.538275165</v>
      </c>
      <c r="H13" s="933">
        <f t="shared" si="12"/>
        <v>3129667.9727703221</v>
      </c>
      <c r="I13" s="933">
        <f t="shared" si="12"/>
        <v>3139578.6924711084</v>
      </c>
      <c r="J13" s="933">
        <f t="shared" si="12"/>
        <v>3149520.7964483886</v>
      </c>
      <c r="K13" s="933">
        <f t="shared" si="12"/>
        <v>3159494.3840867504</v>
      </c>
      <c r="L13" s="933">
        <f>L11*L$7</f>
        <v>3169499.5550855054</v>
      </c>
      <c r="M13" s="933">
        <f t="shared" si="12"/>
        <v>3179536.4094596822</v>
      </c>
      <c r="N13" s="933">
        <f t="shared" si="12"/>
        <v>3189605.0475410284</v>
      </c>
      <c r="O13" s="933">
        <f t="shared" si="12"/>
        <v>3199705.5699790078</v>
      </c>
      <c r="P13" s="933">
        <f t="shared" si="12"/>
        <v>3209838.0777418166</v>
      </c>
      <c r="Q13" s="933">
        <f t="shared" si="12"/>
        <v>3220002.6721173828</v>
      </c>
      <c r="R13" s="933">
        <f t="shared" si="12"/>
        <v>3230199.4547143858</v>
      </c>
      <c r="S13" s="933">
        <f t="shared" si="12"/>
        <v>3240428.5274632671</v>
      </c>
      <c r="T13" s="933">
        <f t="shared" si="12"/>
        <v>3250689.9926172509</v>
      </c>
      <c r="U13" s="933">
        <f t="shared" si="12"/>
        <v>3260983.9527533688</v>
      </c>
      <c r="V13" s="933">
        <f t="shared" si="12"/>
        <v>3271310.5107734823</v>
      </c>
      <c r="W13" s="933">
        <f t="shared" si="12"/>
        <v>3281669.7699053111</v>
      </c>
      <c r="X13" s="933">
        <f t="shared" si="12"/>
        <v>3292061.8337034681</v>
      </c>
      <c r="Y13" s="933">
        <f t="shared" si="12"/>
        <v>3302486.8060504915</v>
      </c>
      <c r="Z13" s="933">
        <f t="shared" si="12"/>
        <v>3312944.7911578836</v>
      </c>
      <c r="AA13" s="933">
        <f t="shared" si="12"/>
        <v>3323435.8935671537</v>
      </c>
      <c r="AB13" s="933">
        <f t="shared" si="12"/>
        <v>3333960.2181508644</v>
      </c>
      <c r="AC13" s="933">
        <f t="shared" si="12"/>
        <v>3344517.8701136764</v>
      </c>
      <c r="AD13" s="933">
        <f t="shared" si="12"/>
        <v>3355108.9549934026</v>
      </c>
      <c r="AE13" s="933">
        <f t="shared" si="12"/>
        <v>3365733.5786620616</v>
      </c>
      <c r="AF13" s="933">
        <f t="shared" ref="AF13:AO13" si="13">AF11*AF$7</f>
        <v>3376391.8473269385</v>
      </c>
      <c r="AG13" s="933">
        <f t="shared" si="13"/>
        <v>3387083.8675316442</v>
      </c>
      <c r="AH13" s="933">
        <f t="shared" si="13"/>
        <v>3397809.7461571805</v>
      </c>
      <c r="AI13" s="933">
        <f t="shared" si="13"/>
        <v>3408569.5904230117</v>
      </c>
      <c r="AJ13" s="933">
        <f t="shared" si="13"/>
        <v>3419363.5078881299</v>
      </c>
      <c r="AK13" s="933">
        <f t="shared" si="13"/>
        <v>3430191.6064521391</v>
      </c>
      <c r="AL13" s="933">
        <f t="shared" si="13"/>
        <v>3441053.9943563254</v>
      </c>
      <c r="AM13" s="933">
        <f t="shared" si="13"/>
        <v>3451950.7801847439</v>
      </c>
      <c r="AN13" s="933">
        <f t="shared" si="13"/>
        <v>3462882.0728653031</v>
      </c>
      <c r="AO13" s="933">
        <f t="shared" si="13"/>
        <v>3473847.9816708523</v>
      </c>
    </row>
    <row r="14" spans="1:41" s="936" customFormat="1">
      <c r="A14" s="967" t="s">
        <v>510</v>
      </c>
      <c r="B14" s="926"/>
      <c r="C14" s="935"/>
      <c r="D14" s="935"/>
      <c r="E14" s="935"/>
      <c r="F14" s="935"/>
      <c r="G14" s="935"/>
      <c r="H14" s="935"/>
      <c r="I14" s="935"/>
      <c r="J14" s="935"/>
      <c r="K14" s="935"/>
      <c r="L14" s="935"/>
      <c r="M14" s="935"/>
      <c r="N14" s="935"/>
      <c r="O14" s="935"/>
      <c r="P14" s="935"/>
      <c r="Q14" s="935"/>
      <c r="R14" s="935"/>
      <c r="S14" s="935"/>
      <c r="T14" s="935"/>
      <c r="U14" s="935"/>
      <c r="V14" s="935"/>
      <c r="W14" s="935"/>
      <c r="X14" s="935"/>
      <c r="Y14" s="935"/>
      <c r="Z14" s="935"/>
      <c r="AA14" s="935"/>
      <c r="AB14" s="935"/>
      <c r="AC14" s="935"/>
      <c r="AD14" s="935"/>
      <c r="AE14" s="935"/>
      <c r="AF14" s="935"/>
      <c r="AG14" s="935"/>
      <c r="AH14" s="935"/>
      <c r="AI14" s="935"/>
      <c r="AJ14" s="935"/>
      <c r="AK14" s="935"/>
      <c r="AL14" s="935"/>
      <c r="AM14" s="935"/>
      <c r="AN14" s="935"/>
      <c r="AO14" s="935"/>
    </row>
    <row r="15" spans="1:41" s="936" customFormat="1">
      <c r="A15" s="967"/>
      <c r="B15" s="926"/>
      <c r="C15" s="935"/>
      <c r="D15" s="935"/>
      <c r="E15" s="935"/>
      <c r="F15" s="935"/>
      <c r="G15" s="935"/>
      <c r="H15" s="935"/>
      <c r="I15" s="935"/>
      <c r="J15" s="935"/>
      <c r="K15" s="935"/>
      <c r="L15" s="935"/>
      <c r="M15" s="935"/>
      <c r="N15" s="935"/>
      <c r="O15" s="935"/>
      <c r="P15" s="935"/>
      <c r="Q15" s="935"/>
      <c r="R15" s="935"/>
      <c r="S15" s="935"/>
      <c r="T15" s="935"/>
      <c r="U15" s="935"/>
      <c r="V15" s="935"/>
      <c r="W15" s="935"/>
      <c r="X15" s="935"/>
      <c r="Y15" s="935"/>
      <c r="Z15" s="935"/>
      <c r="AA15" s="935"/>
      <c r="AB15" s="935"/>
      <c r="AC15" s="935"/>
      <c r="AD15" s="935"/>
      <c r="AE15" s="935"/>
      <c r="AF15" s="935"/>
      <c r="AG15" s="935"/>
      <c r="AH15" s="935"/>
      <c r="AI15" s="935"/>
      <c r="AJ15" s="935"/>
      <c r="AK15" s="935"/>
      <c r="AL15" s="935"/>
      <c r="AM15" s="935"/>
      <c r="AN15" s="935"/>
      <c r="AO15" s="935"/>
    </row>
    <row r="16" spans="1:41" s="919" customFormat="1" ht="15">
      <c r="A16" s="916" t="s">
        <v>489</v>
      </c>
      <c r="B16" s="917" t="s">
        <v>86</v>
      </c>
      <c r="C16" s="918" t="str">
        <f>IF(C$5&gt;0,C$4,"")</f>
        <v/>
      </c>
      <c r="D16" s="918" t="str">
        <f t="shared" ref="D16:AO16" si="14">IF(D$5&gt;0,D$4,"")</f>
        <v/>
      </c>
      <c r="E16" s="918" t="str">
        <f t="shared" si="14"/>
        <v/>
      </c>
      <c r="F16" s="918" t="str">
        <f t="shared" si="14"/>
        <v/>
      </c>
      <c r="G16" s="918" t="str">
        <f t="shared" si="14"/>
        <v/>
      </c>
      <c r="H16" s="918" t="str">
        <f t="shared" si="14"/>
        <v/>
      </c>
      <c r="I16" s="918" t="str">
        <f t="shared" si="14"/>
        <v/>
      </c>
      <c r="J16" s="918" t="str">
        <f t="shared" si="14"/>
        <v/>
      </c>
      <c r="K16" s="918" t="str">
        <f t="shared" si="14"/>
        <v/>
      </c>
      <c r="L16" s="918">
        <f t="shared" si="14"/>
        <v>2030</v>
      </c>
      <c r="M16" s="918">
        <f t="shared" si="14"/>
        <v>2031</v>
      </c>
      <c r="N16" s="918">
        <f t="shared" si="14"/>
        <v>2032</v>
      </c>
      <c r="O16" s="918">
        <f t="shared" si="14"/>
        <v>2033</v>
      </c>
      <c r="P16" s="918">
        <f t="shared" si="14"/>
        <v>2034</v>
      </c>
      <c r="Q16" s="918">
        <f t="shared" si="14"/>
        <v>2035</v>
      </c>
      <c r="R16" s="918">
        <f t="shared" si="14"/>
        <v>2036</v>
      </c>
      <c r="S16" s="918">
        <f t="shared" si="14"/>
        <v>2037</v>
      </c>
      <c r="T16" s="918">
        <f t="shared" si="14"/>
        <v>2038</v>
      </c>
      <c r="U16" s="918">
        <f t="shared" si="14"/>
        <v>2039</v>
      </c>
      <c r="V16" s="918">
        <f t="shared" si="14"/>
        <v>2040</v>
      </c>
      <c r="W16" s="918">
        <f t="shared" si="14"/>
        <v>2041</v>
      </c>
      <c r="X16" s="918">
        <f t="shared" si="14"/>
        <v>2042</v>
      </c>
      <c r="Y16" s="918">
        <f t="shared" si="14"/>
        <v>2043</v>
      </c>
      <c r="Z16" s="918">
        <f t="shared" si="14"/>
        <v>2044</v>
      </c>
      <c r="AA16" s="918">
        <f t="shared" si="14"/>
        <v>2045</v>
      </c>
      <c r="AB16" s="918">
        <f t="shared" si="14"/>
        <v>2046</v>
      </c>
      <c r="AC16" s="918">
        <f t="shared" si="14"/>
        <v>2047</v>
      </c>
      <c r="AD16" s="918">
        <f t="shared" si="14"/>
        <v>2048</v>
      </c>
      <c r="AE16" s="918">
        <f t="shared" si="14"/>
        <v>2049</v>
      </c>
      <c r="AF16" s="918">
        <f t="shared" si="14"/>
        <v>2050</v>
      </c>
      <c r="AG16" s="918">
        <f t="shared" si="14"/>
        <v>2051</v>
      </c>
      <c r="AH16" s="918">
        <f t="shared" si="14"/>
        <v>2052</v>
      </c>
      <c r="AI16" s="918">
        <f t="shared" si="14"/>
        <v>2053</v>
      </c>
      <c r="AJ16" s="918">
        <f t="shared" si="14"/>
        <v>2054</v>
      </c>
      <c r="AK16" s="918">
        <f t="shared" si="14"/>
        <v>2055</v>
      </c>
      <c r="AL16" s="918">
        <f t="shared" si="14"/>
        <v>2056</v>
      </c>
      <c r="AM16" s="918">
        <f t="shared" si="14"/>
        <v>2057</v>
      </c>
      <c r="AN16" s="918">
        <f t="shared" si="14"/>
        <v>2058</v>
      </c>
      <c r="AO16" s="918">
        <f t="shared" si="14"/>
        <v>2059</v>
      </c>
    </row>
    <row r="17" spans="1:41" s="894" customFormat="1">
      <c r="A17" s="888"/>
      <c r="B17" s="920"/>
      <c r="C17" s="921"/>
      <c r="D17" s="921"/>
      <c r="E17" s="921"/>
      <c r="F17" s="921"/>
      <c r="G17" s="921"/>
      <c r="H17" s="921"/>
      <c r="I17" s="921"/>
      <c r="J17" s="921"/>
      <c r="K17" s="921"/>
      <c r="L17" s="921"/>
      <c r="M17" s="921"/>
      <c r="N17" s="921"/>
      <c r="O17" s="921"/>
      <c r="P17" s="921"/>
      <c r="Q17" s="921"/>
      <c r="R17" s="921"/>
      <c r="S17" s="921"/>
      <c r="T17" s="921"/>
      <c r="U17" s="921"/>
      <c r="V17" s="921"/>
      <c r="W17" s="921"/>
      <c r="X17" s="921"/>
      <c r="Y17" s="921"/>
      <c r="Z17" s="921"/>
      <c r="AA17" s="921"/>
      <c r="AB17" s="921"/>
      <c r="AC17" s="921"/>
      <c r="AD17" s="921"/>
      <c r="AE17" s="921"/>
      <c r="AF17" s="921"/>
      <c r="AG17" s="921"/>
      <c r="AH17" s="921"/>
      <c r="AI17" s="921"/>
      <c r="AJ17" s="921"/>
      <c r="AK17" s="921"/>
      <c r="AL17" s="921"/>
      <c r="AM17" s="921"/>
      <c r="AN17" s="921"/>
      <c r="AO17" s="921"/>
    </row>
    <row r="18" spans="1:41" s="894" customFormat="1">
      <c r="A18" s="946" t="s">
        <v>516</v>
      </c>
      <c r="B18" s="1016" t="s">
        <v>517</v>
      </c>
      <c r="C18" s="1018">
        <f>SUMIFS(Demand.Forecast!$D$38:$AO$38,Demand.Forecast!$D$1:$AO$1,C$4)</f>
        <v>0</v>
      </c>
      <c r="D18" s="1018">
        <f>SUMIFS(Demand.Forecast!$D$38:$AO$38,Demand.Forecast!$D$1:$AO$1,D$4)</f>
        <v>38629212</v>
      </c>
      <c r="E18" s="1018">
        <f>SUMIFS(Demand.Forecast!$D$38:$AO$38,Demand.Forecast!$D$1:$AO$1,E$4)</f>
        <v>38751539.127262451</v>
      </c>
      <c r="F18" s="1018">
        <f>SUMIFS(Demand.Forecast!$D$38:$AO$38,Demand.Forecast!$D$1:$AO$1,F$4)</f>
        <v>38874253.627843931</v>
      </c>
      <c r="G18" s="1018">
        <f>SUMIFS(Demand.Forecast!$D$38:$AO$38,Demand.Forecast!$D$1:$AO$1,G$4)</f>
        <v>38997356.728439562</v>
      </c>
      <c r="H18" s="1018">
        <f>SUMIFS(Demand.Forecast!$D$38:$AO$38,Demand.Forecast!$D$1:$AO$1,H$4)</f>
        <v>39120849.659629025</v>
      </c>
      <c r="I18" s="1018">
        <f>SUMIFS(Demand.Forecast!$D$38:$AO$38,Demand.Forecast!$D$1:$AO$1,I$4)</f>
        <v>39244733.655888855</v>
      </c>
      <c r="J18" s="1018">
        <f>SUMIFS(Demand.Forecast!$D$38:$AO$38,Demand.Forecast!$D$1:$AO$1,J$4)</f>
        <v>39369009.955604859</v>
      </c>
      <c r="K18" s="1018">
        <f>SUMIFS(Demand.Forecast!$D$38:$AO$38,Demand.Forecast!$D$1:$AO$1,K$4)</f>
        <v>39493679.801084377</v>
      </c>
      <c r="L18" s="1018">
        <f>SUMIFS(Demand.Forecast!$D$38:$AO$38,Demand.Forecast!$D$1:$AO$1,L$4)</f>
        <v>39472794.438568816</v>
      </c>
      <c r="M18" s="1018">
        <f>SUMIFS(Demand.Forecast!$D$38:$AO$38,Demand.Forecast!$D$1:$AO$1,M$4)</f>
        <v>39598255.118246026</v>
      </c>
      <c r="N18" s="1018">
        <f>SUMIFS(Demand.Forecast!$D$38:$AO$38,Demand.Forecast!$D$1:$AO$1,N$4)</f>
        <v>31592613.09426285</v>
      </c>
      <c r="O18" s="1018">
        <f>SUMIFS(Demand.Forecast!$D$38:$AO$38,Demand.Forecast!$D$1:$AO$1,O$4)</f>
        <v>31718869.624737602</v>
      </c>
      <c r="P18" s="1018">
        <f>SUMIFS(Demand.Forecast!$D$38:$AO$38,Demand.Forecast!$D$1:$AO$1,P$4)</f>
        <v>29398569.971772708</v>
      </c>
      <c r="Q18" s="1018">
        <f>SUMIFS(Demand.Forecast!$D$38:$AO$38,Demand.Forecast!$D$1:$AO$1,Q$4)</f>
        <v>29525627.40146729</v>
      </c>
      <c r="R18" s="1018">
        <f>SUMIFS(Demand.Forecast!$D$38:$AO$38,Demand.Forecast!$D$1:$AO$1,R$4)</f>
        <v>29653087.18392982</v>
      </c>
      <c r="S18" s="1018">
        <f>SUMIFS(Demand.Forecast!$D$38:$AO$38,Demand.Forecast!$D$1:$AO$1,S$4)</f>
        <v>29780950.593290828</v>
      </c>
      <c r="T18" s="1018">
        <f>SUMIFS(Demand.Forecast!$D$38:$AO$38,Demand.Forecast!$D$1:$AO$1,T$4)</f>
        <v>29909218.90771563</v>
      </c>
      <c r="U18" s="1018">
        <f>SUMIFS(Demand.Forecast!$D$38:$AO$38,Demand.Forecast!$D$1:$AO$1,U$4)</f>
        <v>30037893.409417104</v>
      </c>
      <c r="V18" s="1018">
        <f>SUMIFS(Demand.Forecast!$D$38:$AO$38,Demand.Forecast!$D$1:$AO$1,V$4)</f>
        <v>30166975.384668525</v>
      </c>
      <c r="W18" s="1018">
        <f>SUMIFS(Demand.Forecast!$D$38:$AO$38,Demand.Forecast!$D$1:$AO$1,W$4)</f>
        <v>30296466.12381639</v>
      </c>
      <c r="X18" s="1018">
        <f>SUMIFS(Demand.Forecast!$D$38:$AO$38,Demand.Forecast!$D$1:$AO$1,X$4)</f>
        <v>30426366.921293352</v>
      </c>
      <c r="Y18" s="1018">
        <f>SUMIFS(Demand.Forecast!$D$38:$AO$38,Demand.Forecast!$D$1:$AO$1,Y$4)</f>
        <v>30556679.075631142</v>
      </c>
      <c r="Z18" s="1018">
        <f>SUMIFS(Demand.Forecast!$D$38:$AO$38,Demand.Forecast!$D$1:$AO$1,Z$4)</f>
        <v>30687403.889473543</v>
      </c>
      <c r="AA18" s="1018">
        <f>SUMIFS(Demand.Forecast!$D$38:$AO$38,Demand.Forecast!$D$1:$AO$1,AA$4)</f>
        <v>30818542.669589423</v>
      </c>
      <c r="AB18" s="1018">
        <f>SUMIFS(Demand.Forecast!$D$38:$AO$38,Demand.Forecast!$D$1:$AO$1,AB$4)</f>
        <v>30950096.726885807</v>
      </c>
      <c r="AC18" s="1018">
        <f>SUMIFS(Demand.Forecast!$D$38:$AO$38,Demand.Forecast!$D$1:$AO$1,AC$4)</f>
        <v>31082067.376420956</v>
      </c>
      <c r="AD18" s="1018">
        <f>SUMIFS(Demand.Forecast!$D$38:$AO$38,Demand.Forecast!$D$1:$AO$1,AD$4)</f>
        <v>31214455.937417533</v>
      </c>
      <c r="AE18" s="1018">
        <f>SUMIFS(Demand.Forecast!$D$38:$AO$38,Demand.Forecast!$D$1:$AO$1,AE$4)</f>
        <v>31347263.733275767</v>
      </c>
      <c r="AF18" s="1018">
        <f>SUMIFS(Demand.Forecast!$D$38:$AO$38,Demand.Forecast!$D$1:$AO$1,AF$4)</f>
        <v>31480492.091586735</v>
      </c>
      <c r="AG18" s="1018">
        <f>SUMIFS(Demand.Forecast!$D$38:$AO$38,Demand.Forecast!$D$1:$AO$1,AG$4)</f>
        <v>31614142.344145548</v>
      </c>
      <c r="AH18" s="1018">
        <f>SUMIFS(Demand.Forecast!$D$38:$AO$38,Demand.Forecast!$D$1:$AO$1,AH$4)</f>
        <v>31748215.826964758</v>
      </c>
      <c r="AI18" s="1018">
        <f>SUMIFS(Demand.Forecast!$D$38:$AO$38,Demand.Forecast!$D$1:$AO$1,AI$4)</f>
        <v>31882713.880287644</v>
      </c>
      <c r="AJ18" s="1018">
        <f>SUMIFS(Demand.Forecast!$D$38:$AO$38,Demand.Forecast!$D$1:$AO$1,AJ$4)</f>
        <v>32017637.848601624</v>
      </c>
      <c r="AK18" s="1018">
        <f>SUMIFS(Demand.Forecast!$D$38:$AO$38,Demand.Forecast!$D$1:$AO$1,AK$4)</f>
        <v>32152989.080651734</v>
      </c>
      <c r="AL18" s="1018">
        <f>SUMIFS(Demand.Forecast!$D$38:$AO$38,Demand.Forecast!$D$1:$AO$1,AL$4)</f>
        <v>32288768.929454062</v>
      </c>
      <c r="AM18" s="1018">
        <f>SUMIFS(Demand.Forecast!$D$38:$AO$38,Demand.Forecast!$D$1:$AO$1,AM$4)</f>
        <v>32424978.7523093</v>
      </c>
      <c r="AN18" s="1018">
        <f>SUMIFS(Demand.Forecast!$D$38:$AO$38,Demand.Forecast!$D$1:$AO$1,AN$4)</f>
        <v>32561619.910816293</v>
      </c>
      <c r="AO18" s="1018">
        <f>SUMIFS(Demand.Forecast!$D$38:$AO$38,Demand.Forecast!$D$1:$AO$1,AO$4)</f>
        <v>32698693.770885654</v>
      </c>
    </row>
    <row r="19" spans="1:41" s="966" customFormat="1">
      <c r="A19" s="965"/>
      <c r="B19" s="928"/>
      <c r="C19" s="883"/>
      <c r="D19" s="883"/>
      <c r="E19" s="883"/>
      <c r="F19" s="883"/>
      <c r="G19" s="883"/>
      <c r="H19" s="883"/>
      <c r="I19" s="883"/>
      <c r="J19" s="883"/>
      <c r="K19" s="883"/>
      <c r="L19" s="883"/>
      <c r="M19" s="883"/>
      <c r="N19" s="883"/>
      <c r="O19" s="883"/>
      <c r="P19" s="883"/>
      <c r="Q19" s="883"/>
      <c r="R19" s="883"/>
      <c r="S19" s="883"/>
      <c r="T19" s="883"/>
      <c r="U19" s="883"/>
      <c r="V19" s="883"/>
      <c r="W19" s="883"/>
      <c r="X19" s="883"/>
      <c r="Y19" s="883"/>
      <c r="Z19" s="883"/>
      <c r="AA19" s="883"/>
      <c r="AB19" s="883"/>
      <c r="AC19" s="883"/>
      <c r="AD19" s="883"/>
      <c r="AE19" s="883"/>
      <c r="AF19" s="883"/>
      <c r="AG19" s="883"/>
      <c r="AH19" s="883"/>
      <c r="AI19" s="883"/>
      <c r="AJ19" s="883"/>
      <c r="AK19" s="883"/>
      <c r="AL19" s="883"/>
      <c r="AM19" s="883"/>
      <c r="AN19" s="883"/>
      <c r="AO19" s="883"/>
    </row>
    <row r="20" spans="1:41" s="934" customFormat="1" ht="15">
      <c r="A20" s="931" t="s">
        <v>518</v>
      </c>
      <c r="B20" s="932" t="s">
        <v>451</v>
      </c>
      <c r="C20" s="933">
        <f>C18*C$7</f>
        <v>0</v>
      </c>
      <c r="D20" s="933">
        <f t="shared" ref="D20:AE20" si="15">D18*D$7</f>
        <v>3090336.96</v>
      </c>
      <c r="E20" s="933">
        <f t="shared" si="15"/>
        <v>3100123.1301809959</v>
      </c>
      <c r="F20" s="933">
        <f t="shared" si="15"/>
        <v>3109940.2902275147</v>
      </c>
      <c r="G20" s="933">
        <f t="shared" si="15"/>
        <v>3119788.538275165</v>
      </c>
      <c r="H20" s="933">
        <f t="shared" si="15"/>
        <v>3129667.9727703221</v>
      </c>
      <c r="I20" s="933">
        <f t="shared" si="15"/>
        <v>3139578.6924711084</v>
      </c>
      <c r="J20" s="933">
        <f t="shared" si="15"/>
        <v>3149520.7964483886</v>
      </c>
      <c r="K20" s="933">
        <f t="shared" si="15"/>
        <v>3159494.3840867504</v>
      </c>
      <c r="L20" s="933">
        <f>L18*L$7</f>
        <v>3157823.5550855054</v>
      </c>
      <c r="M20" s="933">
        <f t="shared" si="15"/>
        <v>3167860.4094596822</v>
      </c>
      <c r="N20" s="933">
        <f t="shared" si="15"/>
        <v>2527409.0475410279</v>
      </c>
      <c r="O20" s="933">
        <f t="shared" si="15"/>
        <v>2537509.5699790083</v>
      </c>
      <c r="P20" s="933">
        <f t="shared" si="15"/>
        <v>2351885.5977418167</v>
      </c>
      <c r="Q20" s="933">
        <f t="shared" si="15"/>
        <v>2362050.1921173832</v>
      </c>
      <c r="R20" s="933">
        <f t="shared" si="15"/>
        <v>2372246.9747143858</v>
      </c>
      <c r="S20" s="933">
        <f t="shared" si="15"/>
        <v>2382476.0474632662</v>
      </c>
      <c r="T20" s="933">
        <f t="shared" si="15"/>
        <v>2392737.5126172504</v>
      </c>
      <c r="U20" s="933">
        <f t="shared" si="15"/>
        <v>2403031.4727533683</v>
      </c>
      <c r="V20" s="933">
        <f t="shared" si="15"/>
        <v>2413358.0307734823</v>
      </c>
      <c r="W20" s="933">
        <f t="shared" si="15"/>
        <v>2423717.2899053111</v>
      </c>
      <c r="X20" s="933">
        <f t="shared" si="15"/>
        <v>2434109.3537034681</v>
      </c>
      <c r="Y20" s="933">
        <f t="shared" si="15"/>
        <v>2444534.3260504915</v>
      </c>
      <c r="Z20" s="933">
        <f t="shared" si="15"/>
        <v>2454992.3111578836</v>
      </c>
      <c r="AA20" s="933">
        <f t="shared" si="15"/>
        <v>2465483.4135671537</v>
      </c>
      <c r="AB20" s="933">
        <f t="shared" si="15"/>
        <v>2476007.7381508644</v>
      </c>
      <c r="AC20" s="933">
        <f t="shared" si="15"/>
        <v>2486565.3901136764</v>
      </c>
      <c r="AD20" s="933">
        <f t="shared" si="15"/>
        <v>2497156.4749934026</v>
      </c>
      <c r="AE20" s="933">
        <f t="shared" si="15"/>
        <v>2507781.0986620616</v>
      </c>
      <c r="AF20" s="933">
        <f t="shared" ref="AF20:AO20" si="16">AF18*AF$7</f>
        <v>2518439.367326939</v>
      </c>
      <c r="AG20" s="933">
        <f t="shared" si="16"/>
        <v>2529131.3875316437</v>
      </c>
      <c r="AH20" s="933">
        <f t="shared" si="16"/>
        <v>2539857.2661571805</v>
      </c>
      <c r="AI20" s="933">
        <f t="shared" si="16"/>
        <v>2550617.1104230117</v>
      </c>
      <c r="AJ20" s="933">
        <f t="shared" si="16"/>
        <v>2561411.0278881299</v>
      </c>
      <c r="AK20" s="933">
        <f t="shared" si="16"/>
        <v>2572239.1264521386</v>
      </c>
      <c r="AL20" s="933">
        <f t="shared" si="16"/>
        <v>2583101.5143563249</v>
      </c>
      <c r="AM20" s="933">
        <f t="shared" si="16"/>
        <v>2593998.3001847439</v>
      </c>
      <c r="AN20" s="933">
        <f t="shared" si="16"/>
        <v>2604929.5928653036</v>
      </c>
      <c r="AO20" s="933">
        <f t="shared" si="16"/>
        <v>2615895.5016708523</v>
      </c>
    </row>
    <row r="21" spans="1:41" s="936" customFormat="1">
      <c r="A21" s="967" t="s">
        <v>510</v>
      </c>
      <c r="B21" s="926"/>
      <c r="C21" s="935"/>
      <c r="D21" s="935"/>
      <c r="E21" s="935"/>
      <c r="F21" s="935"/>
      <c r="G21" s="935"/>
      <c r="H21" s="935"/>
      <c r="I21" s="935"/>
      <c r="J21" s="935"/>
      <c r="K21" s="935"/>
      <c r="L21" s="935"/>
      <c r="M21" s="935"/>
      <c r="N21" s="935"/>
      <c r="O21" s="935"/>
      <c r="P21" s="935"/>
      <c r="Q21" s="935"/>
      <c r="R21" s="935"/>
      <c r="S21" s="935"/>
      <c r="T21" s="935"/>
      <c r="U21" s="935"/>
      <c r="V21" s="935"/>
      <c r="W21" s="935"/>
      <c r="X21" s="935"/>
      <c r="Y21" s="935"/>
      <c r="Z21" s="935"/>
      <c r="AA21" s="935"/>
      <c r="AB21" s="935"/>
      <c r="AC21" s="935"/>
      <c r="AD21" s="935"/>
      <c r="AE21" s="935"/>
      <c r="AF21" s="935"/>
      <c r="AG21" s="935"/>
      <c r="AH21" s="935"/>
      <c r="AI21" s="935"/>
      <c r="AJ21" s="935"/>
      <c r="AK21" s="935"/>
      <c r="AL21" s="935"/>
      <c r="AM21" s="935"/>
      <c r="AN21" s="935"/>
      <c r="AO21" s="935"/>
    </row>
    <row r="22" spans="1:41" s="894" customFormat="1" ht="15">
      <c r="A22" s="888"/>
      <c r="B22" s="920"/>
      <c r="C22" s="937"/>
      <c r="D22" s="937"/>
      <c r="E22" s="937"/>
      <c r="F22" s="937"/>
      <c r="G22" s="937"/>
      <c r="H22" s="937"/>
      <c r="I22" s="937"/>
      <c r="J22" s="937"/>
      <c r="K22" s="937"/>
      <c r="L22" s="937"/>
      <c r="M22" s="937"/>
      <c r="N22" s="937"/>
      <c r="O22" s="937"/>
      <c r="P22" s="937"/>
      <c r="Q22" s="937"/>
      <c r="R22" s="937"/>
      <c r="S22" s="937"/>
      <c r="T22" s="937"/>
      <c r="U22" s="937"/>
      <c r="V22" s="937"/>
      <c r="W22" s="937"/>
      <c r="X22" s="937"/>
      <c r="Y22" s="937"/>
      <c r="Z22" s="937"/>
      <c r="AA22" s="937"/>
      <c r="AB22" s="937"/>
      <c r="AC22" s="937"/>
      <c r="AD22" s="937"/>
      <c r="AE22" s="937"/>
      <c r="AF22" s="937"/>
      <c r="AG22" s="937"/>
      <c r="AH22" s="937"/>
      <c r="AI22" s="937"/>
      <c r="AJ22" s="937"/>
      <c r="AK22" s="937"/>
      <c r="AL22" s="937"/>
      <c r="AM22" s="937"/>
      <c r="AN22" s="937"/>
      <c r="AO22" s="937"/>
    </row>
    <row r="23" spans="1:41" s="919" customFormat="1" ht="15">
      <c r="A23" s="916" t="s">
        <v>490</v>
      </c>
      <c r="B23" s="917" t="s">
        <v>86</v>
      </c>
      <c r="C23" s="918" t="str">
        <f>IF(C$5&gt;0,C$4,"")</f>
        <v/>
      </c>
      <c r="D23" s="918" t="str">
        <f t="shared" ref="D23:AO23" si="17">IF(D$5&gt;0,D$4,"")</f>
        <v/>
      </c>
      <c r="E23" s="918" t="str">
        <f t="shared" si="17"/>
        <v/>
      </c>
      <c r="F23" s="918" t="str">
        <f t="shared" si="17"/>
        <v/>
      </c>
      <c r="G23" s="918" t="str">
        <f t="shared" si="17"/>
        <v/>
      </c>
      <c r="H23" s="918" t="str">
        <f t="shared" si="17"/>
        <v/>
      </c>
      <c r="I23" s="918" t="str">
        <f t="shared" si="17"/>
        <v/>
      </c>
      <c r="J23" s="918" t="str">
        <f t="shared" si="17"/>
        <v/>
      </c>
      <c r="K23" s="918" t="str">
        <f t="shared" si="17"/>
        <v/>
      </c>
      <c r="L23" s="918">
        <f t="shared" si="17"/>
        <v>2030</v>
      </c>
      <c r="M23" s="918">
        <f t="shared" si="17"/>
        <v>2031</v>
      </c>
      <c r="N23" s="918">
        <f t="shared" si="17"/>
        <v>2032</v>
      </c>
      <c r="O23" s="918">
        <f t="shared" si="17"/>
        <v>2033</v>
      </c>
      <c r="P23" s="918">
        <f t="shared" si="17"/>
        <v>2034</v>
      </c>
      <c r="Q23" s="918">
        <f t="shared" si="17"/>
        <v>2035</v>
      </c>
      <c r="R23" s="918">
        <f t="shared" si="17"/>
        <v>2036</v>
      </c>
      <c r="S23" s="918">
        <f t="shared" si="17"/>
        <v>2037</v>
      </c>
      <c r="T23" s="918">
        <f t="shared" si="17"/>
        <v>2038</v>
      </c>
      <c r="U23" s="918">
        <f t="shared" si="17"/>
        <v>2039</v>
      </c>
      <c r="V23" s="918">
        <f t="shared" si="17"/>
        <v>2040</v>
      </c>
      <c r="W23" s="918">
        <f t="shared" si="17"/>
        <v>2041</v>
      </c>
      <c r="X23" s="918">
        <f t="shared" si="17"/>
        <v>2042</v>
      </c>
      <c r="Y23" s="918">
        <f t="shared" si="17"/>
        <v>2043</v>
      </c>
      <c r="Z23" s="918">
        <f t="shared" si="17"/>
        <v>2044</v>
      </c>
      <c r="AA23" s="918">
        <f t="shared" si="17"/>
        <v>2045</v>
      </c>
      <c r="AB23" s="918">
        <f t="shared" si="17"/>
        <v>2046</v>
      </c>
      <c r="AC23" s="918">
        <f t="shared" si="17"/>
        <v>2047</v>
      </c>
      <c r="AD23" s="918">
        <f t="shared" si="17"/>
        <v>2048</v>
      </c>
      <c r="AE23" s="918">
        <f t="shared" si="17"/>
        <v>2049</v>
      </c>
      <c r="AF23" s="918">
        <f t="shared" si="17"/>
        <v>2050</v>
      </c>
      <c r="AG23" s="918">
        <f t="shared" si="17"/>
        <v>2051</v>
      </c>
      <c r="AH23" s="918">
        <f t="shared" si="17"/>
        <v>2052</v>
      </c>
      <c r="AI23" s="918">
        <f t="shared" si="17"/>
        <v>2053</v>
      </c>
      <c r="AJ23" s="918">
        <f t="shared" si="17"/>
        <v>2054</v>
      </c>
      <c r="AK23" s="918">
        <f t="shared" si="17"/>
        <v>2055</v>
      </c>
      <c r="AL23" s="918">
        <f t="shared" si="17"/>
        <v>2056</v>
      </c>
      <c r="AM23" s="918">
        <f t="shared" si="17"/>
        <v>2057</v>
      </c>
      <c r="AN23" s="918">
        <f t="shared" si="17"/>
        <v>2058</v>
      </c>
      <c r="AO23" s="918">
        <f t="shared" si="17"/>
        <v>2059</v>
      </c>
    </row>
    <row r="24" spans="1:41" s="940" customFormat="1" ht="15"/>
    <row r="25" spans="1:41" s="940" customFormat="1" ht="15">
      <c r="A25" s="938" t="s">
        <v>459</v>
      </c>
      <c r="B25" s="939" t="s">
        <v>456</v>
      </c>
      <c r="C25" s="933">
        <f t="shared" ref="C25:AE25" si="18">C13-C20</f>
        <v>0</v>
      </c>
      <c r="D25" s="933">
        <f t="shared" si="18"/>
        <v>0</v>
      </c>
      <c r="E25" s="933">
        <f t="shared" si="18"/>
        <v>0</v>
      </c>
      <c r="F25" s="933">
        <f t="shared" si="18"/>
        <v>0</v>
      </c>
      <c r="G25" s="933">
        <f t="shared" si="18"/>
        <v>0</v>
      </c>
      <c r="H25" s="933">
        <f t="shared" si="18"/>
        <v>0</v>
      </c>
      <c r="I25" s="933">
        <f t="shared" si="18"/>
        <v>0</v>
      </c>
      <c r="J25" s="933">
        <f t="shared" si="18"/>
        <v>0</v>
      </c>
      <c r="K25" s="933">
        <f t="shared" si="18"/>
        <v>0</v>
      </c>
      <c r="L25" s="933">
        <f t="shared" si="18"/>
        <v>11676</v>
      </c>
      <c r="M25" s="933">
        <f t="shared" si="18"/>
        <v>11676</v>
      </c>
      <c r="N25" s="933">
        <f t="shared" si="18"/>
        <v>662196.00000000047</v>
      </c>
      <c r="O25" s="933">
        <f t="shared" si="18"/>
        <v>662195.99999999953</v>
      </c>
      <c r="P25" s="933">
        <f t="shared" si="18"/>
        <v>857952.48</v>
      </c>
      <c r="Q25" s="933">
        <f t="shared" si="18"/>
        <v>857952.47999999952</v>
      </c>
      <c r="R25" s="933">
        <f t="shared" si="18"/>
        <v>857952.48</v>
      </c>
      <c r="S25" s="933">
        <f t="shared" si="18"/>
        <v>857952.48000000091</v>
      </c>
      <c r="T25" s="933">
        <f t="shared" si="18"/>
        <v>857952.48000000045</v>
      </c>
      <c r="U25" s="933">
        <f t="shared" si="18"/>
        <v>857952.48000000045</v>
      </c>
      <c r="V25" s="933">
        <f t="shared" si="18"/>
        <v>857952.48</v>
      </c>
      <c r="W25" s="933">
        <f t="shared" si="18"/>
        <v>857952.48</v>
      </c>
      <c r="X25" s="933">
        <f t="shared" si="18"/>
        <v>857952.48</v>
      </c>
      <c r="Y25" s="933">
        <f t="shared" si="18"/>
        <v>857952.48</v>
      </c>
      <c r="Z25" s="933">
        <f t="shared" si="18"/>
        <v>857952.48</v>
      </c>
      <c r="AA25" s="933">
        <f t="shared" si="18"/>
        <v>857952.48</v>
      </c>
      <c r="AB25" s="933">
        <f t="shared" si="18"/>
        <v>857952.48</v>
      </c>
      <c r="AC25" s="933">
        <f t="shared" si="18"/>
        <v>857952.48</v>
      </c>
      <c r="AD25" s="933">
        <f t="shared" si="18"/>
        <v>857952.48</v>
      </c>
      <c r="AE25" s="933">
        <f t="shared" si="18"/>
        <v>857952.48</v>
      </c>
      <c r="AF25" s="933">
        <f t="shared" ref="AF25:AO25" si="19">AF13-AF20</f>
        <v>857952.47999999952</v>
      </c>
      <c r="AG25" s="933">
        <f t="shared" si="19"/>
        <v>857952.48000000045</v>
      </c>
      <c r="AH25" s="933">
        <f t="shared" si="19"/>
        <v>857952.48</v>
      </c>
      <c r="AI25" s="933">
        <f t="shared" si="19"/>
        <v>857952.48</v>
      </c>
      <c r="AJ25" s="933">
        <f t="shared" si="19"/>
        <v>857952.48</v>
      </c>
      <c r="AK25" s="933">
        <f t="shared" si="19"/>
        <v>857952.48000000045</v>
      </c>
      <c r="AL25" s="933">
        <f t="shared" si="19"/>
        <v>857952.48000000045</v>
      </c>
      <c r="AM25" s="933">
        <f t="shared" si="19"/>
        <v>857952.48</v>
      </c>
      <c r="AN25" s="933">
        <f t="shared" si="19"/>
        <v>857952.47999999952</v>
      </c>
      <c r="AO25" s="933">
        <f t="shared" si="19"/>
        <v>857952.48</v>
      </c>
    </row>
    <row r="26" spans="1:41" s="894" customFormat="1">
      <c r="A26" s="888"/>
      <c r="B26" s="920"/>
    </row>
    <row r="27" spans="1:41" s="946" customFormat="1" ht="15">
      <c r="A27" s="942" t="s">
        <v>89</v>
      </c>
      <c r="B27" s="943"/>
      <c r="C27" s="944"/>
      <c r="D27" s="944"/>
      <c r="E27" s="944"/>
      <c r="F27" s="944"/>
      <c r="G27" s="944"/>
      <c r="H27" s="944"/>
      <c r="I27" s="945"/>
      <c r="J27" s="945"/>
      <c r="K27" s="945"/>
      <c r="L27" s="945"/>
      <c r="M27" s="945"/>
      <c r="N27" s="945"/>
      <c r="O27" s="945"/>
      <c r="P27" s="945"/>
      <c r="Q27" s="945"/>
      <c r="R27" s="945"/>
      <c r="S27" s="945"/>
      <c r="T27" s="945"/>
      <c r="U27" s="945"/>
      <c r="V27" s="945"/>
      <c r="W27" s="945"/>
      <c r="X27" s="945"/>
      <c r="Y27" s="945"/>
      <c r="Z27" s="945"/>
      <c r="AA27" s="945"/>
      <c r="AB27" s="945"/>
      <c r="AC27" s="945"/>
      <c r="AD27" s="945"/>
      <c r="AE27" s="945"/>
      <c r="AF27" s="945"/>
      <c r="AG27" s="945"/>
      <c r="AH27" s="945"/>
      <c r="AI27" s="945"/>
      <c r="AJ27" s="945"/>
      <c r="AK27" s="945"/>
      <c r="AL27" s="945"/>
      <c r="AM27" s="945"/>
      <c r="AN27" s="945"/>
      <c r="AO27" s="945"/>
    </row>
    <row r="28" spans="1:41" s="946" customFormat="1">
      <c r="A28" s="888"/>
      <c r="B28" s="888"/>
      <c r="C28" s="888"/>
      <c r="D28" s="888"/>
      <c r="E28" s="888"/>
      <c r="F28" s="888"/>
      <c r="G28" s="888"/>
      <c r="H28" s="888"/>
      <c r="I28" s="888"/>
      <c r="J28" s="888"/>
      <c r="K28" s="888"/>
      <c r="L28" s="888"/>
      <c r="M28" s="888"/>
      <c r="N28" s="888"/>
      <c r="O28" s="888"/>
      <c r="P28" s="888"/>
      <c r="Q28" s="888"/>
      <c r="R28" s="888"/>
      <c r="S28" s="888"/>
      <c r="T28" s="888"/>
      <c r="U28" s="888"/>
      <c r="V28" s="888"/>
      <c r="W28" s="888"/>
      <c r="X28" s="888"/>
      <c r="Y28" s="888"/>
      <c r="Z28" s="888"/>
      <c r="AA28" s="888"/>
      <c r="AB28" s="888"/>
      <c r="AC28" s="888"/>
      <c r="AD28" s="888"/>
      <c r="AE28" s="888"/>
      <c r="AF28" s="888"/>
      <c r="AG28" s="888"/>
      <c r="AH28" s="888"/>
      <c r="AI28" s="888"/>
      <c r="AJ28" s="888"/>
      <c r="AK28" s="888"/>
      <c r="AL28" s="888"/>
      <c r="AM28" s="888"/>
      <c r="AN28" s="888"/>
      <c r="AO28" s="888"/>
    </row>
    <row r="29" spans="1:41" s="950" customFormat="1">
      <c r="A29" s="947" t="s">
        <v>103</v>
      </c>
      <c r="B29" s="1017" t="s">
        <v>517</v>
      </c>
      <c r="C29" s="949">
        <f t="shared" ref="C29:AE29" si="20">C11-C18</f>
        <v>0</v>
      </c>
      <c r="D29" s="949">
        <f t="shared" si="20"/>
        <v>0</v>
      </c>
      <c r="E29" s="949">
        <f t="shared" si="20"/>
        <v>0</v>
      </c>
      <c r="F29" s="949">
        <f t="shared" si="20"/>
        <v>0</v>
      </c>
      <c r="G29" s="949">
        <f t="shared" si="20"/>
        <v>0</v>
      </c>
      <c r="H29" s="949">
        <f t="shared" si="20"/>
        <v>0</v>
      </c>
      <c r="I29" s="949">
        <f t="shared" si="20"/>
        <v>0</v>
      </c>
      <c r="J29" s="949">
        <f t="shared" si="20"/>
        <v>0</v>
      </c>
      <c r="K29" s="949">
        <f t="shared" si="20"/>
        <v>0</v>
      </c>
      <c r="L29" s="949">
        <f t="shared" si="20"/>
        <v>145950</v>
      </c>
      <c r="M29" s="949">
        <f t="shared" si="20"/>
        <v>145950</v>
      </c>
      <c r="N29" s="949">
        <f t="shared" si="20"/>
        <v>8277450.0000000037</v>
      </c>
      <c r="O29" s="949">
        <f t="shared" si="20"/>
        <v>8277449.9999999963</v>
      </c>
      <c r="P29" s="949">
        <f t="shared" si="20"/>
        <v>10724406</v>
      </c>
      <c r="Q29" s="949">
        <f t="shared" si="20"/>
        <v>10724405.999999996</v>
      </c>
      <c r="R29" s="949">
        <f t="shared" si="20"/>
        <v>10724406.000000004</v>
      </c>
      <c r="S29" s="949">
        <f t="shared" si="20"/>
        <v>10724406.000000007</v>
      </c>
      <c r="T29" s="949">
        <f t="shared" si="20"/>
        <v>10724406.000000004</v>
      </c>
      <c r="U29" s="949">
        <f t="shared" si="20"/>
        <v>10724406.000000004</v>
      </c>
      <c r="V29" s="949">
        <f t="shared" si="20"/>
        <v>10724406.000000004</v>
      </c>
      <c r="W29" s="949">
        <f t="shared" si="20"/>
        <v>10724405.999999996</v>
      </c>
      <c r="X29" s="949">
        <f t="shared" si="20"/>
        <v>10724405.999999996</v>
      </c>
      <c r="Y29" s="949">
        <f t="shared" si="20"/>
        <v>10724406</v>
      </c>
      <c r="Z29" s="949">
        <f t="shared" si="20"/>
        <v>10724406</v>
      </c>
      <c r="AA29" s="949">
        <f t="shared" si="20"/>
        <v>10724406</v>
      </c>
      <c r="AB29" s="949">
        <f t="shared" si="20"/>
        <v>10724405.999999996</v>
      </c>
      <c r="AC29" s="949">
        <f t="shared" si="20"/>
        <v>10724405.999999996</v>
      </c>
      <c r="AD29" s="949">
        <f t="shared" si="20"/>
        <v>10724405.999999996</v>
      </c>
      <c r="AE29" s="949">
        <f t="shared" si="20"/>
        <v>10724406.000000004</v>
      </c>
      <c r="AF29" s="949">
        <f t="shared" ref="AF29:AO29" si="21">AF11-AF18</f>
        <v>10724405.999999996</v>
      </c>
      <c r="AG29" s="949">
        <f t="shared" si="21"/>
        <v>10724406.000000004</v>
      </c>
      <c r="AH29" s="949">
        <f t="shared" si="21"/>
        <v>10724406</v>
      </c>
      <c r="AI29" s="949">
        <f t="shared" si="21"/>
        <v>10724406.000000004</v>
      </c>
      <c r="AJ29" s="949">
        <f t="shared" si="21"/>
        <v>10724406</v>
      </c>
      <c r="AK29" s="949">
        <f t="shared" si="21"/>
        <v>10724406.000000004</v>
      </c>
      <c r="AL29" s="949">
        <f t="shared" si="21"/>
        <v>10724406.000000004</v>
      </c>
      <c r="AM29" s="949">
        <f t="shared" si="21"/>
        <v>10724406</v>
      </c>
      <c r="AN29" s="949">
        <f t="shared" si="21"/>
        <v>10724405.999999996</v>
      </c>
      <c r="AO29" s="949">
        <f t="shared" si="21"/>
        <v>10724406</v>
      </c>
    </row>
    <row r="30" spans="1:41" s="888" customFormat="1"/>
    <row r="31" spans="1:41" s="894" customFormat="1">
      <c r="A31" s="888"/>
      <c r="B31" s="920"/>
    </row>
    <row r="32" spans="1:41" s="894" customFormat="1">
      <c r="A32" s="888"/>
      <c r="B32" s="920"/>
    </row>
    <row r="33" spans="1:2" s="894" customFormat="1">
      <c r="A33" s="888"/>
      <c r="B33" s="92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ACA4F-5E97-4B73-83C6-0F320515C34C}">
  <sheetPr codeName="Sheet16">
    <tabColor theme="4" tint="-0.499984740745262"/>
  </sheetPr>
  <dimension ref="A1:AO37"/>
  <sheetViews>
    <sheetView showGridLines="0" workbookViewId="0">
      <selection activeCell="D7" sqref="D7"/>
    </sheetView>
  </sheetViews>
  <sheetFormatPr defaultColWidth="9.25" defaultRowHeight="14.25"/>
  <cols>
    <col min="1" max="1" width="65.75" style="880" customWidth="1"/>
    <col min="2" max="2" width="16.5" style="881" customWidth="1"/>
    <col min="3" max="28" width="9.75" style="882" customWidth="1"/>
    <col min="29" max="16384" width="9.25" style="882"/>
  </cols>
  <sheetData>
    <row r="1" spans="1:41">
      <c r="E1" s="956"/>
    </row>
    <row r="2" spans="1:41" ht="23.25">
      <c r="A2" s="884" t="s">
        <v>521</v>
      </c>
      <c r="B2" s="880"/>
      <c r="C2" s="885"/>
      <c r="D2" s="885"/>
      <c r="E2" s="885"/>
      <c r="F2" s="885"/>
      <c r="G2" s="885"/>
      <c r="J2" s="885"/>
      <c r="K2" s="885"/>
    </row>
    <row r="3" spans="1:41">
      <c r="B3" s="887" t="s">
        <v>443</v>
      </c>
    </row>
    <row r="4" spans="1:41" s="890" customFormat="1" ht="13.5" customHeight="1">
      <c r="A4" s="888"/>
      <c r="B4" s="1177">
        <f>Base.Year</f>
        <v>2022</v>
      </c>
      <c r="C4" s="889">
        <f>B4-1</f>
        <v>2021</v>
      </c>
      <c r="D4" s="889">
        <f>C4+1</f>
        <v>2022</v>
      </c>
      <c r="E4" s="889">
        <f t="shared" ref="E4:AE4" si="0">D4+1</f>
        <v>2023</v>
      </c>
      <c r="F4" s="889">
        <f>E4+1</f>
        <v>2024</v>
      </c>
      <c r="G4" s="889">
        <f t="shared" si="0"/>
        <v>2025</v>
      </c>
      <c r="H4" s="889">
        <f t="shared" si="0"/>
        <v>2026</v>
      </c>
      <c r="I4" s="889">
        <f t="shared" si="0"/>
        <v>2027</v>
      </c>
      <c r="J4" s="889">
        <f t="shared" si="0"/>
        <v>2028</v>
      </c>
      <c r="K4" s="889">
        <f t="shared" si="0"/>
        <v>2029</v>
      </c>
      <c r="L4" s="889">
        <f t="shared" si="0"/>
        <v>2030</v>
      </c>
      <c r="M4" s="889">
        <f t="shared" si="0"/>
        <v>2031</v>
      </c>
      <c r="N4" s="889">
        <f t="shared" si="0"/>
        <v>2032</v>
      </c>
      <c r="O4" s="889">
        <f t="shared" si="0"/>
        <v>2033</v>
      </c>
      <c r="P4" s="889">
        <f t="shared" si="0"/>
        <v>2034</v>
      </c>
      <c r="Q4" s="889">
        <f t="shared" si="0"/>
        <v>2035</v>
      </c>
      <c r="R4" s="889">
        <f t="shared" si="0"/>
        <v>2036</v>
      </c>
      <c r="S4" s="889">
        <f t="shared" si="0"/>
        <v>2037</v>
      </c>
      <c r="T4" s="889">
        <f t="shared" si="0"/>
        <v>2038</v>
      </c>
      <c r="U4" s="889">
        <f t="shared" si="0"/>
        <v>2039</v>
      </c>
      <c r="V4" s="889">
        <f t="shared" si="0"/>
        <v>2040</v>
      </c>
      <c r="W4" s="889">
        <f t="shared" si="0"/>
        <v>2041</v>
      </c>
      <c r="X4" s="889">
        <f t="shared" si="0"/>
        <v>2042</v>
      </c>
      <c r="Y4" s="889">
        <f t="shared" si="0"/>
        <v>2043</v>
      </c>
      <c r="Z4" s="889">
        <f t="shared" si="0"/>
        <v>2044</v>
      </c>
      <c r="AA4" s="889">
        <f t="shared" si="0"/>
        <v>2045</v>
      </c>
      <c r="AB4" s="889">
        <f t="shared" si="0"/>
        <v>2046</v>
      </c>
      <c r="AC4" s="889">
        <f t="shared" si="0"/>
        <v>2047</v>
      </c>
      <c r="AD4" s="889">
        <f t="shared" si="0"/>
        <v>2048</v>
      </c>
      <c r="AE4" s="889">
        <f t="shared" si="0"/>
        <v>2049</v>
      </c>
      <c r="AF4" s="889">
        <f t="shared" ref="AF4" si="1">AE4+1</f>
        <v>2050</v>
      </c>
      <c r="AG4" s="889">
        <f t="shared" ref="AG4" si="2">AF4+1</f>
        <v>2051</v>
      </c>
      <c r="AH4" s="889">
        <f t="shared" ref="AH4" si="3">AG4+1</f>
        <v>2052</v>
      </c>
      <c r="AI4" s="889">
        <f t="shared" ref="AI4" si="4">AH4+1</f>
        <v>2053</v>
      </c>
      <c r="AJ4" s="889">
        <f t="shared" ref="AJ4" si="5">AI4+1</f>
        <v>2054</v>
      </c>
      <c r="AK4" s="889">
        <f t="shared" ref="AK4" si="6">AJ4+1</f>
        <v>2055</v>
      </c>
      <c r="AL4" s="889">
        <f t="shared" ref="AL4" si="7">AK4+1</f>
        <v>2056</v>
      </c>
      <c r="AM4" s="889">
        <f t="shared" ref="AM4" si="8">AL4+1</f>
        <v>2057</v>
      </c>
      <c r="AN4" s="889">
        <f t="shared" ref="AN4" si="9">AM4+1</f>
        <v>2058</v>
      </c>
      <c r="AO4" s="889">
        <f t="shared" ref="AO4" si="10">AN4+1</f>
        <v>2059</v>
      </c>
    </row>
    <row r="5" spans="1:41" s="890" customFormat="1" ht="13.5" customHeight="1">
      <c r="A5" s="891" t="s">
        <v>444</v>
      </c>
      <c r="B5" s="892"/>
      <c r="C5" s="893">
        <f>MAX(0,C$4-Inputs!$E$8+1)</f>
        <v>0</v>
      </c>
      <c r="D5" s="893">
        <f>MAX(0,D$4-Inputs!$E$8+1)</f>
        <v>0</v>
      </c>
      <c r="E5" s="893">
        <f>MAX(0,E$4-Inputs!$E$8+1)</f>
        <v>0</v>
      </c>
      <c r="F5" s="893">
        <f>MAX(0,F$4-Inputs!$E$8+1)</f>
        <v>0</v>
      </c>
      <c r="G5" s="893">
        <f>MAX(0,G$4-Inputs!$E$8+1)</f>
        <v>0</v>
      </c>
      <c r="H5" s="893">
        <f>MAX(0,H$4-Inputs!$E$8+1)</f>
        <v>0</v>
      </c>
      <c r="I5" s="893">
        <f>MAX(0,I$4-Inputs!$E$8+1)</f>
        <v>0</v>
      </c>
      <c r="J5" s="893">
        <f>MAX(0,J$4-Inputs!$E$8+1)</f>
        <v>0</v>
      </c>
      <c r="K5" s="893">
        <f>MAX(0,K$4-Inputs!$E$8+1)</f>
        <v>0</v>
      </c>
      <c r="L5" s="893">
        <f>MAX(0,L$4-Inputs!$E$8+1)</f>
        <v>1</v>
      </c>
      <c r="M5" s="893">
        <f>MAX(0,M$4-Inputs!$E$8+1)</f>
        <v>2</v>
      </c>
      <c r="N5" s="893">
        <f>MAX(0,N$4-Inputs!$E$8+1)</f>
        <v>3</v>
      </c>
      <c r="O5" s="893">
        <f>MAX(0,O$4-Inputs!$E$8+1)</f>
        <v>4</v>
      </c>
      <c r="P5" s="893">
        <f>MAX(0,P$4-Inputs!$E$8+1)</f>
        <v>5</v>
      </c>
      <c r="Q5" s="893">
        <f>MAX(0,Q$4-Inputs!$E$8+1)</f>
        <v>6</v>
      </c>
      <c r="R5" s="893">
        <f>MAX(0,R$4-Inputs!$E$8+1)</f>
        <v>7</v>
      </c>
      <c r="S5" s="893">
        <f>MAX(0,S$4-Inputs!$E$8+1)</f>
        <v>8</v>
      </c>
      <c r="T5" s="893">
        <f>MAX(0,T$4-Inputs!$E$8+1)</f>
        <v>9</v>
      </c>
      <c r="U5" s="893">
        <f>MAX(0,U$4-Inputs!$E$8+1)</f>
        <v>10</v>
      </c>
      <c r="V5" s="893">
        <f>MAX(0,V$4-Inputs!$E$8+1)</f>
        <v>11</v>
      </c>
      <c r="W5" s="893">
        <f>MAX(0,W$4-Inputs!$E$8+1)</f>
        <v>12</v>
      </c>
      <c r="X5" s="893">
        <f>MAX(0,X$4-Inputs!$E$8+1)</f>
        <v>13</v>
      </c>
      <c r="Y5" s="893">
        <f>MAX(0,Y$4-Inputs!$E$8+1)</f>
        <v>14</v>
      </c>
      <c r="Z5" s="893">
        <f>MAX(0,Z$4-Inputs!$E$8+1)</f>
        <v>15</v>
      </c>
      <c r="AA5" s="893">
        <f>MAX(0,AA$4-Inputs!$E$8+1)</f>
        <v>16</v>
      </c>
      <c r="AB5" s="893">
        <f>MAX(0,AB$4-Inputs!$E$8+1)</f>
        <v>17</v>
      </c>
      <c r="AC5" s="893">
        <f>MAX(0,AC$4-Inputs!$E$8+1)</f>
        <v>18</v>
      </c>
      <c r="AD5" s="893">
        <f>MAX(0,AD$4-Inputs!$E$8+1)</f>
        <v>19</v>
      </c>
      <c r="AE5" s="893">
        <f>MAX(0,AE$4-Inputs!$E$8+1)</f>
        <v>20</v>
      </c>
      <c r="AF5" s="893">
        <f>MAX(0,AF$4-Inputs!$E$8+1)</f>
        <v>21</v>
      </c>
      <c r="AG5" s="893">
        <f>MAX(0,AG$4-Inputs!$E$8+1)</f>
        <v>22</v>
      </c>
      <c r="AH5" s="893">
        <f>MAX(0,AH$4-Inputs!$E$8+1)</f>
        <v>23</v>
      </c>
      <c r="AI5" s="893">
        <f>MAX(0,AI$4-Inputs!$E$8+1)</f>
        <v>24</v>
      </c>
      <c r="AJ5" s="893">
        <f>MAX(0,AJ$4-Inputs!$E$8+1)</f>
        <v>25</v>
      </c>
      <c r="AK5" s="893">
        <f>MAX(0,AK$4-Inputs!$E$8+1)</f>
        <v>26</v>
      </c>
      <c r="AL5" s="893">
        <f>MAX(0,AL$4-Inputs!$E$8+1)</f>
        <v>27</v>
      </c>
      <c r="AM5" s="893">
        <f>MAX(0,AM$4-Inputs!$E$8+1)</f>
        <v>28</v>
      </c>
      <c r="AN5" s="893">
        <f>MAX(0,AN$4-Inputs!$E$8+1)</f>
        <v>29</v>
      </c>
      <c r="AO5" s="893">
        <f>MAX(0,AO$4-Inputs!$E$8+1)</f>
        <v>30</v>
      </c>
    </row>
    <row r="6" spans="1:41" s="894" customFormat="1">
      <c r="A6" s="888"/>
      <c r="B6" s="888"/>
    </row>
    <row r="7" spans="1:41" s="894" customFormat="1">
      <c r="A7" s="902" t="s">
        <v>522</v>
      </c>
      <c r="B7" s="903" t="s">
        <v>523</v>
      </c>
      <c r="C7" s="1015">
        <f>SUMIFS('FUEL PRICES'!$D$50:$D$78,'FUEL PRICES'!$B$50:$B$78,MIN('FUEL PRICES'!$B$78,C$4))</f>
        <v>0</v>
      </c>
      <c r="D7" s="1015">
        <f>SUMIFS('FUEL PRICES'!$D$50:$D$78,'FUEL PRICES'!$B$50:$B$78,MIN('FUEL PRICES'!$B$78,D$4))</f>
        <v>4.5464760000000002</v>
      </c>
      <c r="E7" s="1015">
        <f>SUMIFS('FUEL PRICES'!$D$50:$D$78,'FUEL PRICES'!$B$50:$B$78,MIN('FUEL PRICES'!$B$78,E$4))</f>
        <v>3.9692949999999998</v>
      </c>
      <c r="F7" s="1015">
        <f>SUMIFS('FUEL PRICES'!$D$50:$D$78,'FUEL PRICES'!$B$50:$B$78,MIN('FUEL PRICES'!$B$78,F$4))</f>
        <v>3.7429899999999998</v>
      </c>
      <c r="G7" s="1015">
        <f>SUMIFS('FUEL PRICES'!$D$50:$D$78,'FUEL PRICES'!$B$50:$B$78,MIN('FUEL PRICES'!$B$78,G$4))</f>
        <v>3.4577590000000002</v>
      </c>
      <c r="H7" s="1015">
        <f>SUMIFS('FUEL PRICES'!$D$50:$D$78,'FUEL PRICES'!$B$50:$B$78,MIN('FUEL PRICES'!$B$78,H$4))</f>
        <v>3.3352440000000003</v>
      </c>
      <c r="I7" s="1015">
        <f>SUMIFS('FUEL PRICES'!$D$50:$D$78,'FUEL PRICES'!$B$50:$B$78,MIN('FUEL PRICES'!$B$78,I$4))</f>
        <v>3.2114510000000003</v>
      </c>
      <c r="J7" s="1015">
        <f>SUMIFS('FUEL PRICES'!$D$50:$D$78,'FUEL PRICES'!$B$50:$B$78,MIN('FUEL PRICES'!$B$78,J$4))</f>
        <v>3.1095600000000001</v>
      </c>
      <c r="K7" s="1015">
        <f>SUMIFS('FUEL PRICES'!$D$50:$D$78,'FUEL PRICES'!$B$50:$B$78,MIN('FUEL PRICES'!$B$78,K$4))</f>
        <v>3.1272599999999997</v>
      </c>
      <c r="L7" s="1015">
        <f>SUMIFS('FUEL PRICES'!$D$50:$D$78,'FUEL PRICES'!$B$50:$B$78,MIN('FUEL PRICES'!$B$78,L$4))</f>
        <v>3.1351310000000003</v>
      </c>
      <c r="M7" s="1015">
        <f>SUMIFS('FUEL PRICES'!$D$50:$D$78,'FUEL PRICES'!$B$50:$B$78,MIN('FUEL PRICES'!$B$78,M$4))</f>
        <v>3.1611890000000002</v>
      </c>
      <c r="N7" s="1015">
        <f>SUMIFS('FUEL PRICES'!$D$50:$D$78,'FUEL PRICES'!$B$50:$B$78,MIN('FUEL PRICES'!$B$78,N$4))</f>
        <v>3.1828989999999999</v>
      </c>
      <c r="O7" s="1015">
        <f>SUMIFS('FUEL PRICES'!$D$50:$D$78,'FUEL PRICES'!$B$50:$B$78,MIN('FUEL PRICES'!$B$78,O$4))</f>
        <v>3.203767</v>
      </c>
      <c r="P7" s="1015">
        <f>SUMIFS('FUEL PRICES'!$D$50:$D$78,'FUEL PRICES'!$B$50:$B$78,MIN('FUEL PRICES'!$B$78,P$4))</f>
        <v>3.2146479999999999</v>
      </c>
      <c r="Q7" s="1015">
        <f>SUMIFS('FUEL PRICES'!$D$50:$D$78,'FUEL PRICES'!$B$50:$B$78,MIN('FUEL PRICES'!$B$78,Q$4))</f>
        <v>3.2473500000000004</v>
      </c>
      <c r="R7" s="1015">
        <f>SUMIFS('FUEL PRICES'!$D$50:$D$78,'FUEL PRICES'!$B$50:$B$78,MIN('FUEL PRICES'!$B$78,R$4))</f>
        <v>3.2522489999999999</v>
      </c>
      <c r="S7" s="1015">
        <f>SUMIFS('FUEL PRICES'!$D$50:$D$78,'FUEL PRICES'!$B$50:$B$78,MIN('FUEL PRICES'!$B$78,S$4))</f>
        <v>3.2751780000000004</v>
      </c>
      <c r="T7" s="1015">
        <f>SUMIFS('FUEL PRICES'!$D$50:$D$78,'FUEL PRICES'!$B$50:$B$78,MIN('FUEL PRICES'!$B$78,T$4))</f>
        <v>3.2928299999999999</v>
      </c>
      <c r="U7" s="1015">
        <f>SUMIFS('FUEL PRICES'!$D$50:$D$78,'FUEL PRICES'!$B$50:$B$78,MIN('FUEL PRICES'!$B$78,U$4))</f>
        <v>3.3023730000000002</v>
      </c>
      <c r="V7" s="1015">
        <f>SUMIFS('FUEL PRICES'!$D$50:$D$78,'FUEL PRICES'!$B$50:$B$78,MIN('FUEL PRICES'!$B$78,V$4))</f>
        <v>3.3125960000000001</v>
      </c>
      <c r="W7" s="1015">
        <f>SUMIFS('FUEL PRICES'!$D$50:$D$78,'FUEL PRICES'!$B$50:$B$78,MIN('FUEL PRICES'!$B$78,W$4))</f>
        <v>3.3396590000000002</v>
      </c>
      <c r="X7" s="1015">
        <f>SUMIFS('FUEL PRICES'!$D$50:$D$78,'FUEL PRICES'!$B$50:$B$78,MIN('FUEL PRICES'!$B$78,X$4))</f>
        <v>3.34463</v>
      </c>
      <c r="Y7" s="1015">
        <f>SUMIFS('FUEL PRICES'!$D$50:$D$78,'FUEL PRICES'!$B$50:$B$78,MIN('FUEL PRICES'!$B$78,Y$4))</f>
        <v>3.3646120000000002</v>
      </c>
      <c r="Z7" s="1015">
        <f>SUMIFS('FUEL PRICES'!$D$50:$D$78,'FUEL PRICES'!$B$50:$B$78,MIN('FUEL PRICES'!$B$78,Z$4))</f>
        <v>3.3550800000000001</v>
      </c>
      <c r="AA7" s="1015">
        <f>SUMIFS('FUEL PRICES'!$D$50:$D$78,'FUEL PRICES'!$B$50:$B$78,MIN('FUEL PRICES'!$B$78,AA$4))</f>
        <v>3.3661479999999999</v>
      </c>
      <c r="AB7" s="1015">
        <f>SUMIFS('FUEL PRICES'!$D$50:$D$78,'FUEL PRICES'!$B$50:$B$78,MIN('FUEL PRICES'!$B$78,AB$4))</f>
        <v>3.4501440000000003</v>
      </c>
      <c r="AC7" s="1015">
        <f>SUMIFS('FUEL PRICES'!$D$50:$D$78,'FUEL PRICES'!$B$50:$B$78,MIN('FUEL PRICES'!$B$78,AC$4))</f>
        <v>3.4569479999999997</v>
      </c>
      <c r="AD7" s="1015">
        <f>SUMIFS('FUEL PRICES'!$D$50:$D$78,'FUEL PRICES'!$B$50:$B$78,MIN('FUEL PRICES'!$B$78,AD$4))</f>
        <v>3.4668570000000001</v>
      </c>
      <c r="AE7" s="1015">
        <f>SUMIFS('FUEL PRICES'!$D$50:$D$78,'FUEL PRICES'!$B$50:$B$78,MIN('FUEL PRICES'!$B$78,AE$4))</f>
        <v>3.4788049999999999</v>
      </c>
      <c r="AF7" s="1015">
        <f>SUMIFS('FUEL PRICES'!$D$50:$D$78,'FUEL PRICES'!$B$50:$B$78,MIN('FUEL PRICES'!$B$78,AF$4))</f>
        <v>3.4830230000000002</v>
      </c>
      <c r="AG7" s="1015">
        <f>SUMIFS('FUEL PRICES'!$D$50:$D$78,'FUEL PRICES'!$B$50:$B$78,MIN('FUEL PRICES'!$B$78,AG$4))</f>
        <v>3.4830230000000002</v>
      </c>
      <c r="AH7" s="1015">
        <f>SUMIFS('FUEL PRICES'!$D$50:$D$78,'FUEL PRICES'!$B$50:$B$78,MIN('FUEL PRICES'!$B$78,AH$4))</f>
        <v>3.4830230000000002</v>
      </c>
      <c r="AI7" s="1015">
        <f>SUMIFS('FUEL PRICES'!$D$50:$D$78,'FUEL PRICES'!$B$50:$B$78,MIN('FUEL PRICES'!$B$78,AI$4))</f>
        <v>3.4830230000000002</v>
      </c>
      <c r="AJ7" s="1015">
        <f>SUMIFS('FUEL PRICES'!$D$50:$D$78,'FUEL PRICES'!$B$50:$B$78,MIN('FUEL PRICES'!$B$78,AJ$4))</f>
        <v>3.4830230000000002</v>
      </c>
      <c r="AK7" s="1015">
        <f>SUMIFS('FUEL PRICES'!$D$50:$D$78,'FUEL PRICES'!$B$50:$B$78,MIN('FUEL PRICES'!$B$78,AK$4))</f>
        <v>3.4830230000000002</v>
      </c>
      <c r="AL7" s="1015">
        <f>SUMIFS('FUEL PRICES'!$D$50:$D$78,'FUEL PRICES'!$B$50:$B$78,MIN('FUEL PRICES'!$B$78,AL$4))</f>
        <v>3.4830230000000002</v>
      </c>
      <c r="AM7" s="1015">
        <f>SUMIFS('FUEL PRICES'!$D$50:$D$78,'FUEL PRICES'!$B$50:$B$78,MIN('FUEL PRICES'!$B$78,AM$4))</f>
        <v>3.4830230000000002</v>
      </c>
      <c r="AN7" s="1015">
        <f>SUMIFS('FUEL PRICES'!$D$50:$D$78,'FUEL PRICES'!$B$50:$B$78,MIN('FUEL PRICES'!$B$78,AN$4))</f>
        <v>3.4830230000000002</v>
      </c>
      <c r="AO7" s="1015">
        <f>SUMIFS('FUEL PRICES'!$D$50:$D$78,'FUEL PRICES'!$B$50:$B$78,MIN('FUEL PRICES'!$B$78,AO$4))</f>
        <v>3.4830230000000002</v>
      </c>
    </row>
    <row r="8" spans="1:41" s="894" customFormat="1">
      <c r="A8" s="888"/>
      <c r="B8" s="888"/>
    </row>
    <row r="9" spans="1:41" s="919" customFormat="1" ht="15">
      <c r="A9" s="916" t="s">
        <v>446</v>
      </c>
      <c r="B9" s="917" t="s">
        <v>86</v>
      </c>
      <c r="C9" s="918" t="str">
        <f>IF(C$5&gt;0,C$4,"")</f>
        <v/>
      </c>
      <c r="D9" s="918" t="str">
        <f t="shared" ref="D9:AO9" si="11">IF(D$5&gt;0,D$4,"")</f>
        <v/>
      </c>
      <c r="E9" s="918" t="str">
        <f t="shared" si="11"/>
        <v/>
      </c>
      <c r="F9" s="918" t="str">
        <f t="shared" si="11"/>
        <v/>
      </c>
      <c r="G9" s="918" t="str">
        <f t="shared" si="11"/>
        <v/>
      </c>
      <c r="H9" s="918" t="str">
        <f t="shared" si="11"/>
        <v/>
      </c>
      <c r="I9" s="918" t="str">
        <f t="shared" si="11"/>
        <v/>
      </c>
      <c r="J9" s="918" t="str">
        <f t="shared" si="11"/>
        <v/>
      </c>
      <c r="K9" s="918" t="str">
        <f t="shared" si="11"/>
        <v/>
      </c>
      <c r="L9" s="918">
        <f t="shared" si="11"/>
        <v>2030</v>
      </c>
      <c r="M9" s="918">
        <f t="shared" si="11"/>
        <v>2031</v>
      </c>
      <c r="N9" s="918">
        <f t="shared" si="11"/>
        <v>2032</v>
      </c>
      <c r="O9" s="918">
        <f t="shared" si="11"/>
        <v>2033</v>
      </c>
      <c r="P9" s="918">
        <f t="shared" si="11"/>
        <v>2034</v>
      </c>
      <c r="Q9" s="918">
        <f t="shared" si="11"/>
        <v>2035</v>
      </c>
      <c r="R9" s="918">
        <f t="shared" si="11"/>
        <v>2036</v>
      </c>
      <c r="S9" s="918">
        <f t="shared" si="11"/>
        <v>2037</v>
      </c>
      <c r="T9" s="918">
        <f t="shared" si="11"/>
        <v>2038</v>
      </c>
      <c r="U9" s="918">
        <f t="shared" si="11"/>
        <v>2039</v>
      </c>
      <c r="V9" s="918">
        <f t="shared" si="11"/>
        <v>2040</v>
      </c>
      <c r="W9" s="918">
        <f t="shared" si="11"/>
        <v>2041</v>
      </c>
      <c r="X9" s="918">
        <f t="shared" si="11"/>
        <v>2042</v>
      </c>
      <c r="Y9" s="918">
        <f t="shared" si="11"/>
        <v>2043</v>
      </c>
      <c r="Z9" s="918">
        <f t="shared" si="11"/>
        <v>2044</v>
      </c>
      <c r="AA9" s="918">
        <f t="shared" si="11"/>
        <v>2045</v>
      </c>
      <c r="AB9" s="918">
        <f t="shared" si="11"/>
        <v>2046</v>
      </c>
      <c r="AC9" s="918">
        <f t="shared" si="11"/>
        <v>2047</v>
      </c>
      <c r="AD9" s="918">
        <f t="shared" si="11"/>
        <v>2048</v>
      </c>
      <c r="AE9" s="918">
        <f t="shared" si="11"/>
        <v>2049</v>
      </c>
      <c r="AF9" s="918">
        <f t="shared" si="11"/>
        <v>2050</v>
      </c>
      <c r="AG9" s="918">
        <f t="shared" si="11"/>
        <v>2051</v>
      </c>
      <c r="AH9" s="918">
        <f t="shared" si="11"/>
        <v>2052</v>
      </c>
      <c r="AI9" s="918">
        <f t="shared" si="11"/>
        <v>2053</v>
      </c>
      <c r="AJ9" s="918">
        <f t="shared" si="11"/>
        <v>2054</v>
      </c>
      <c r="AK9" s="918">
        <f t="shared" si="11"/>
        <v>2055</v>
      </c>
      <c r="AL9" s="918">
        <f t="shared" si="11"/>
        <v>2056</v>
      </c>
      <c r="AM9" s="918">
        <f t="shared" si="11"/>
        <v>2057</v>
      </c>
      <c r="AN9" s="918">
        <f t="shared" si="11"/>
        <v>2058</v>
      </c>
      <c r="AO9" s="918">
        <f t="shared" si="11"/>
        <v>2059</v>
      </c>
    </row>
    <row r="10" spans="1:41" s="894" customFormat="1">
      <c r="A10" s="888"/>
      <c r="B10" s="920"/>
      <c r="D10" s="921"/>
      <c r="E10" s="921"/>
      <c r="F10" s="921"/>
      <c r="G10" s="921"/>
      <c r="H10" s="921"/>
      <c r="I10" s="921"/>
      <c r="J10" s="921"/>
      <c r="K10" s="921"/>
      <c r="L10" s="921"/>
      <c r="M10" s="921"/>
      <c r="N10" s="921"/>
      <c r="O10" s="921"/>
      <c r="P10" s="921"/>
      <c r="Q10" s="921"/>
      <c r="R10" s="921"/>
      <c r="S10" s="921"/>
      <c r="T10" s="921"/>
      <c r="U10" s="921"/>
      <c r="V10" s="921"/>
      <c r="W10" s="921"/>
      <c r="X10" s="921"/>
      <c r="Y10" s="921"/>
      <c r="Z10" s="921"/>
      <c r="AA10" s="921"/>
      <c r="AB10" s="921"/>
      <c r="AC10" s="921"/>
      <c r="AD10" s="921"/>
      <c r="AE10" s="921"/>
      <c r="AF10" s="921"/>
      <c r="AG10" s="921"/>
      <c r="AH10" s="921"/>
      <c r="AI10" s="921"/>
      <c r="AJ10" s="921"/>
      <c r="AK10" s="921"/>
      <c r="AL10" s="921"/>
      <c r="AM10" s="921"/>
      <c r="AN10" s="921"/>
      <c r="AO10" s="921"/>
    </row>
    <row r="11" spans="1:41" s="894" customFormat="1">
      <c r="A11" s="946" t="s">
        <v>524</v>
      </c>
      <c r="B11" s="1016" t="s">
        <v>525</v>
      </c>
      <c r="C11" s="1018">
        <f>SUMIFS(Demand.Forecast!$D$21:$AO$21,Demand.Forecast!$D$1:$AO$1,C$4)</f>
        <v>0</v>
      </c>
      <c r="D11" s="1018">
        <f>SUMIFS(Demand.Forecast!$D$21:$AO$21,Demand.Forecast!$D$1:$AO$1,D$4)</f>
        <v>3359061.913043478</v>
      </c>
      <c r="E11" s="1018">
        <f>SUMIFS(Demand.Forecast!$D$21:$AO$21,Demand.Forecast!$D$1:$AO$1,E$4)</f>
        <v>3369699.0545445611</v>
      </c>
      <c r="F11" s="1018">
        <f>SUMIFS(Demand.Forecast!$D$21:$AO$21,Demand.Forecast!$D$1:$AO$1,F$4)</f>
        <v>3380369.880682081</v>
      </c>
      <c r="G11" s="1018">
        <f>SUMIFS(Demand.Forecast!$D$21:$AO$21,Demand.Forecast!$D$1:$AO$1,G$4)</f>
        <v>3391074.4981251792</v>
      </c>
      <c r="H11" s="1018">
        <f>SUMIFS(Demand.Forecast!$D$21:$AO$21,Demand.Forecast!$D$1:$AO$1,H$4)</f>
        <v>3401813.0138807846</v>
      </c>
      <c r="I11" s="1018">
        <f>SUMIFS(Demand.Forecast!$D$21:$AO$21,Demand.Forecast!$D$1:$AO$1,I$4)</f>
        <v>3412585.5352946832</v>
      </c>
      <c r="J11" s="1018">
        <f>SUMIFS(Demand.Forecast!$D$21:$AO$21,Demand.Forecast!$D$1:$AO$1,J$4)</f>
        <v>3423392.1700525964</v>
      </c>
      <c r="K11" s="1018">
        <f>SUMIFS(Demand.Forecast!$D$21:$AO$21,Demand.Forecast!$D$1:$AO$1,K$4)</f>
        <v>3434233.0261812503</v>
      </c>
      <c r="L11" s="1018">
        <f>SUMIFS(Demand.Forecast!$D$21:$AO$21,Demand.Forecast!$D$1:$AO$1,L$4)</f>
        <v>3445108.2120494624</v>
      </c>
      <c r="M11" s="1018">
        <f>SUMIFS(Demand.Forecast!$D$21:$AO$21,Demand.Forecast!$D$1:$AO$1,M$4)</f>
        <v>3456017.8363692197</v>
      </c>
      <c r="N11" s="1018">
        <f>SUMIFS(Demand.Forecast!$D$21:$AO$21,Demand.Forecast!$D$1:$AO$1,N$4)</f>
        <v>3466962.0081967697</v>
      </c>
      <c r="O11" s="1018">
        <f>SUMIFS(Demand.Forecast!$D$21:$AO$21,Demand.Forecast!$D$1:$AO$1,O$4)</f>
        <v>3477940.8369337041</v>
      </c>
      <c r="P11" s="1018">
        <f>SUMIFS(Demand.Forecast!$D$21:$AO$21,Demand.Forecast!$D$1:$AO$1,P$4)</f>
        <v>3488954.4323280617</v>
      </c>
      <c r="Q11" s="1018">
        <f>SUMIFS(Demand.Forecast!$D$21:$AO$21,Demand.Forecast!$D$1:$AO$1,Q$4)</f>
        <v>3500002.9044754161</v>
      </c>
      <c r="R11" s="1018">
        <f>SUMIFS(Demand.Forecast!$D$21:$AO$21,Demand.Forecast!$D$1:$AO$1,R$4)</f>
        <v>3511086.3638199847</v>
      </c>
      <c r="S11" s="1018">
        <f>SUMIFS(Demand.Forecast!$D$21:$AO$21,Demand.Forecast!$D$1:$AO$1,S$4)</f>
        <v>3522204.9211557247</v>
      </c>
      <c r="T11" s="1018">
        <f>SUMIFS(Demand.Forecast!$D$21:$AO$21,Demand.Forecast!$D$1:$AO$1,T$4)</f>
        <v>3533358.6876274464</v>
      </c>
      <c r="U11" s="1018">
        <f>SUMIFS(Demand.Forecast!$D$21:$AO$21,Demand.Forecast!$D$1:$AO$1,U$4)</f>
        <v>3544547.7747319224</v>
      </c>
      <c r="V11" s="1018">
        <f>SUMIFS(Demand.Forecast!$D$21:$AO$21,Demand.Forecast!$D$1:$AO$1,V$4)</f>
        <v>3555772.2943190024</v>
      </c>
      <c r="W11" s="1018">
        <f>SUMIFS(Demand.Forecast!$D$21:$AO$21,Demand.Forecast!$D$1:$AO$1,W$4)</f>
        <v>3567032.3585927291</v>
      </c>
      <c r="X11" s="1018">
        <f>SUMIFS(Demand.Forecast!$D$21:$AO$21,Demand.Forecast!$D$1:$AO$1,X$4)</f>
        <v>3578328.0801124652</v>
      </c>
      <c r="Y11" s="1018">
        <f>SUMIFS(Demand.Forecast!$D$21:$AO$21,Demand.Forecast!$D$1:$AO$1,Y$4)</f>
        <v>3589659.5717940121</v>
      </c>
      <c r="Z11" s="1018">
        <f>SUMIFS(Demand.Forecast!$D$21:$AO$21,Demand.Forecast!$D$1:$AO$1,Z$4)</f>
        <v>3601026.9469107427</v>
      </c>
      <c r="AA11" s="1018">
        <f>SUMIFS(Demand.Forecast!$D$21:$AO$21,Demand.Forecast!$D$1:$AO$1,AA$4)</f>
        <v>3612430.3190947324</v>
      </c>
      <c r="AB11" s="1018">
        <f>SUMIFS(Demand.Forecast!$D$21:$AO$21,Demand.Forecast!$D$1:$AO$1,AB$4)</f>
        <v>3623869.8023378961</v>
      </c>
      <c r="AC11" s="1018">
        <f>SUMIFS(Demand.Forecast!$D$21:$AO$21,Demand.Forecast!$D$1:$AO$1,AC$4)</f>
        <v>3635345.5109931263</v>
      </c>
      <c r="AD11" s="1018">
        <f>SUMIFS(Demand.Forecast!$D$21:$AO$21,Demand.Forecast!$D$1:$AO$1,AD$4)</f>
        <v>3646857.5597754372</v>
      </c>
      <c r="AE11" s="1018">
        <f>SUMIFS(Demand.Forecast!$D$21:$AO$21,Demand.Forecast!$D$1:$AO$1,AE$4)</f>
        <v>3658406.0637631104</v>
      </c>
      <c r="AF11" s="1018">
        <f>SUMIFS(Demand.Forecast!$D$21:$AO$21,Demand.Forecast!$D$1:$AO$1,AF$4)</f>
        <v>3669991.1383988461</v>
      </c>
      <c r="AG11" s="1018">
        <f>SUMIFS(Demand.Forecast!$D$21:$AO$21,Demand.Forecast!$D$1:$AO$1,AG$4)</f>
        <v>3681612.8994909176</v>
      </c>
      <c r="AH11" s="1018">
        <f>SUMIFS(Demand.Forecast!$D$21:$AO$21,Demand.Forecast!$D$1:$AO$1,AH$4)</f>
        <v>3693271.4632143266</v>
      </c>
      <c r="AI11" s="1018">
        <f>SUMIFS(Demand.Forecast!$D$21:$AO$21,Demand.Forecast!$D$1:$AO$1,AI$4)</f>
        <v>3704966.9461119692</v>
      </c>
      <c r="AJ11" s="1018">
        <f>SUMIFS(Demand.Forecast!$D$21:$AO$21,Demand.Forecast!$D$1:$AO$1,AJ$4)</f>
        <v>3716699.4650957934</v>
      </c>
      <c r="AK11" s="1018">
        <f>SUMIFS(Demand.Forecast!$D$21:$AO$21,Demand.Forecast!$D$1:$AO$1,AK$4)</f>
        <v>3728469.137447977</v>
      </c>
      <c r="AL11" s="1018">
        <f>SUMIFS(Demand.Forecast!$D$21:$AO$21,Demand.Forecast!$D$1:$AO$1,AL$4)</f>
        <v>3740276.0808220925</v>
      </c>
      <c r="AM11" s="1018">
        <f>SUMIFS(Demand.Forecast!$D$21:$AO$21,Demand.Forecast!$D$1:$AO$1,AM$4)</f>
        <v>3752120.413244287</v>
      </c>
      <c r="AN11" s="1018">
        <f>SUMIFS(Demand.Forecast!$D$21:$AO$21,Demand.Forecast!$D$1:$AO$1,AN$4)</f>
        <v>3764002.25311446</v>
      </c>
      <c r="AO11" s="1018">
        <f>SUMIFS(Demand.Forecast!$D$21:$AO$21,Demand.Forecast!$D$1:$AO$1,AO$4)</f>
        <v>3775921.719207448</v>
      </c>
    </row>
    <row r="12" spans="1:41" s="894" customFormat="1">
      <c r="A12" s="946" t="s">
        <v>526</v>
      </c>
      <c r="B12" s="1016" t="s">
        <v>525</v>
      </c>
      <c r="C12" s="1018">
        <f>SUMIFS(Demand.Forecast!$D$20:$AO$20,Demand.Forecast!$D$1:$AO$1,C$4)</f>
        <v>0</v>
      </c>
      <c r="D12" s="1018">
        <f>SUMIFS(Demand.Forecast!$D$20:$AO$20,Demand.Forecast!$D$1:$AO$1,D$4)</f>
        <v>0</v>
      </c>
      <c r="E12" s="1018">
        <f>SUMIFS(Demand.Forecast!$D$20:$AO$20,Demand.Forecast!$D$1:$AO$1,E$4)</f>
        <v>0</v>
      </c>
      <c r="F12" s="1018">
        <f>SUMIFS(Demand.Forecast!$D$20:$AO$20,Demand.Forecast!$D$1:$AO$1,F$4)</f>
        <v>0</v>
      </c>
      <c r="G12" s="1018">
        <f>SUMIFS(Demand.Forecast!$D$20:$AO$20,Demand.Forecast!$D$1:$AO$1,G$4)</f>
        <v>0</v>
      </c>
      <c r="H12" s="1018">
        <f>SUMIFS(Demand.Forecast!$D$20:$AO$20,Demand.Forecast!$D$1:$AO$1,H$4)</f>
        <v>0</v>
      </c>
      <c r="I12" s="1018">
        <f>SUMIFS(Demand.Forecast!$D$20:$AO$20,Demand.Forecast!$D$1:$AO$1,I$4)</f>
        <v>0</v>
      </c>
      <c r="J12" s="1018">
        <f>SUMIFS(Demand.Forecast!$D$20:$AO$20,Demand.Forecast!$D$1:$AO$1,J$4)</f>
        <v>0</v>
      </c>
      <c r="K12" s="1018">
        <f>SUMIFS(Demand.Forecast!$D$20:$AO$20,Demand.Forecast!$D$1:$AO$1,K$4)</f>
        <v>0</v>
      </c>
      <c r="L12" s="1018">
        <f>SUMIFS(Demand.Forecast!$D$20:$AO$20,Demand.Forecast!$D$1:$AO$1,L$4)</f>
        <v>0</v>
      </c>
      <c r="M12" s="1018">
        <f>SUMIFS(Demand.Forecast!$D$20:$AO$20,Demand.Forecast!$D$1:$AO$1,M$4)</f>
        <v>0</v>
      </c>
      <c r="N12" s="1018">
        <f>SUMIFS(Demand.Forecast!$D$20:$AO$20,Demand.Forecast!$D$1:$AO$1,N$4)</f>
        <v>0</v>
      </c>
      <c r="O12" s="1018">
        <f>SUMIFS(Demand.Forecast!$D$20:$AO$20,Demand.Forecast!$D$1:$AO$1,O$4)</f>
        <v>0</v>
      </c>
      <c r="P12" s="1018">
        <f>SUMIFS(Demand.Forecast!$D$20:$AO$20,Demand.Forecast!$D$1:$AO$1,P$4)</f>
        <v>0</v>
      </c>
      <c r="Q12" s="1018">
        <f>SUMIFS(Demand.Forecast!$D$20:$AO$20,Demand.Forecast!$D$1:$AO$1,Q$4)</f>
        <v>0</v>
      </c>
      <c r="R12" s="1018">
        <f>SUMIFS(Demand.Forecast!$D$20:$AO$20,Demand.Forecast!$D$1:$AO$1,R$4)</f>
        <v>0</v>
      </c>
      <c r="S12" s="1018">
        <f>SUMIFS(Demand.Forecast!$D$20:$AO$20,Demand.Forecast!$D$1:$AO$1,S$4)</f>
        <v>0</v>
      </c>
      <c r="T12" s="1018">
        <f>SUMIFS(Demand.Forecast!$D$20:$AO$20,Demand.Forecast!$D$1:$AO$1,T$4)</f>
        <v>0</v>
      </c>
      <c r="U12" s="1018">
        <f>SUMIFS(Demand.Forecast!$D$20:$AO$20,Demand.Forecast!$D$1:$AO$1,U$4)</f>
        <v>0</v>
      </c>
      <c r="V12" s="1018">
        <f>SUMIFS(Demand.Forecast!$D$20:$AO$20,Demand.Forecast!$D$1:$AO$1,V$4)</f>
        <v>0</v>
      </c>
      <c r="W12" s="1018">
        <f>SUMIFS(Demand.Forecast!$D$20:$AO$20,Demand.Forecast!$D$1:$AO$1,W$4)</f>
        <v>0</v>
      </c>
      <c r="X12" s="1018">
        <f>SUMIFS(Demand.Forecast!$D$20:$AO$20,Demand.Forecast!$D$1:$AO$1,X$4)</f>
        <v>0</v>
      </c>
      <c r="Y12" s="1018">
        <f>SUMIFS(Demand.Forecast!$D$20:$AO$20,Demand.Forecast!$D$1:$AO$1,Y$4)</f>
        <v>0</v>
      </c>
      <c r="Z12" s="1018">
        <f>SUMIFS(Demand.Forecast!$D$20:$AO$20,Demand.Forecast!$D$1:$AO$1,Z$4)</f>
        <v>0</v>
      </c>
      <c r="AA12" s="1018">
        <f>SUMIFS(Demand.Forecast!$D$20:$AO$20,Demand.Forecast!$D$1:$AO$1,AA$4)</f>
        <v>0</v>
      </c>
      <c r="AB12" s="1018">
        <f>SUMIFS(Demand.Forecast!$D$20:$AO$20,Demand.Forecast!$D$1:$AO$1,AB$4)</f>
        <v>0</v>
      </c>
      <c r="AC12" s="1018">
        <f>SUMIFS(Demand.Forecast!$D$20:$AO$20,Demand.Forecast!$D$1:$AO$1,AC$4)</f>
        <v>0</v>
      </c>
      <c r="AD12" s="1018">
        <f>SUMIFS(Demand.Forecast!$D$20:$AO$20,Demand.Forecast!$D$1:$AO$1,AD$4)</f>
        <v>0</v>
      </c>
      <c r="AE12" s="1018">
        <f>SUMIFS(Demand.Forecast!$D$20:$AO$20,Demand.Forecast!$D$1:$AO$1,AE$4)</f>
        <v>0</v>
      </c>
      <c r="AF12" s="1018">
        <f>SUMIFS(Demand.Forecast!$D$20:$AO$20,Demand.Forecast!$D$1:$AO$1,AF$4)</f>
        <v>0</v>
      </c>
      <c r="AG12" s="1018">
        <f>SUMIFS(Demand.Forecast!$D$20:$AO$20,Demand.Forecast!$D$1:$AO$1,AG$4)</f>
        <v>0</v>
      </c>
      <c r="AH12" s="1018">
        <f>SUMIFS(Demand.Forecast!$D$20:$AO$20,Demand.Forecast!$D$1:$AO$1,AH$4)</f>
        <v>0</v>
      </c>
      <c r="AI12" s="1018">
        <f>SUMIFS(Demand.Forecast!$D$20:$AO$20,Demand.Forecast!$D$1:$AO$1,AI$4)</f>
        <v>0</v>
      </c>
      <c r="AJ12" s="1018">
        <f>SUMIFS(Demand.Forecast!$D$20:$AO$20,Demand.Forecast!$D$1:$AO$1,AJ$4)</f>
        <v>0</v>
      </c>
      <c r="AK12" s="1018">
        <f>SUMIFS(Demand.Forecast!$D$20:$AO$20,Demand.Forecast!$D$1:$AO$1,AK$4)</f>
        <v>0</v>
      </c>
      <c r="AL12" s="1018">
        <f>SUMIFS(Demand.Forecast!$D$20:$AO$20,Demand.Forecast!$D$1:$AO$1,AL$4)</f>
        <v>0</v>
      </c>
      <c r="AM12" s="1018">
        <f>SUMIFS(Demand.Forecast!$D$20:$AO$20,Demand.Forecast!$D$1:$AO$1,AM$4)</f>
        <v>0</v>
      </c>
      <c r="AN12" s="1018">
        <f>SUMIFS(Demand.Forecast!$D$20:$AO$20,Demand.Forecast!$D$1:$AO$1,AN$4)</f>
        <v>0</v>
      </c>
      <c r="AO12" s="1018">
        <f>SUMIFS(Demand.Forecast!$D$20:$AO$20,Demand.Forecast!$D$1:$AO$1,AO$4)</f>
        <v>0</v>
      </c>
    </row>
    <row r="13" spans="1:41" s="894" customFormat="1">
      <c r="A13" s="946" t="s">
        <v>527</v>
      </c>
      <c r="B13" s="1016" t="s">
        <v>525</v>
      </c>
      <c r="C13" s="1018">
        <f>SUM(C11:C12)</f>
        <v>0</v>
      </c>
      <c r="D13" s="1018">
        <f t="shared" ref="D13:AE13" si="12">SUM(D11:D12)</f>
        <v>3359061.913043478</v>
      </c>
      <c r="E13" s="1018">
        <f t="shared" si="12"/>
        <v>3369699.0545445611</v>
      </c>
      <c r="F13" s="1018">
        <f t="shared" si="12"/>
        <v>3380369.880682081</v>
      </c>
      <c r="G13" s="1018">
        <f t="shared" si="12"/>
        <v>3391074.4981251792</v>
      </c>
      <c r="H13" s="1018">
        <f t="shared" si="12"/>
        <v>3401813.0138807846</v>
      </c>
      <c r="I13" s="1018">
        <f t="shared" si="12"/>
        <v>3412585.5352946832</v>
      </c>
      <c r="J13" s="1018">
        <f t="shared" si="12"/>
        <v>3423392.1700525964</v>
      </c>
      <c r="K13" s="1018">
        <f t="shared" si="12"/>
        <v>3434233.0261812503</v>
      </c>
      <c r="L13" s="1018">
        <f t="shared" si="12"/>
        <v>3445108.2120494624</v>
      </c>
      <c r="M13" s="1018">
        <f t="shared" si="12"/>
        <v>3456017.8363692197</v>
      </c>
      <c r="N13" s="1018">
        <f t="shared" si="12"/>
        <v>3466962.0081967697</v>
      </c>
      <c r="O13" s="1018">
        <f t="shared" si="12"/>
        <v>3477940.8369337041</v>
      </c>
      <c r="P13" s="1018">
        <f t="shared" si="12"/>
        <v>3488954.4323280617</v>
      </c>
      <c r="Q13" s="1018">
        <f t="shared" si="12"/>
        <v>3500002.9044754161</v>
      </c>
      <c r="R13" s="1018">
        <f t="shared" si="12"/>
        <v>3511086.3638199847</v>
      </c>
      <c r="S13" s="1018">
        <f t="shared" si="12"/>
        <v>3522204.9211557247</v>
      </c>
      <c r="T13" s="1018">
        <f t="shared" si="12"/>
        <v>3533358.6876274464</v>
      </c>
      <c r="U13" s="1018">
        <f t="shared" si="12"/>
        <v>3544547.7747319224</v>
      </c>
      <c r="V13" s="1018">
        <f t="shared" si="12"/>
        <v>3555772.2943190024</v>
      </c>
      <c r="W13" s="1018">
        <f t="shared" si="12"/>
        <v>3567032.3585927291</v>
      </c>
      <c r="X13" s="1018">
        <f t="shared" si="12"/>
        <v>3578328.0801124652</v>
      </c>
      <c r="Y13" s="1018">
        <f t="shared" si="12"/>
        <v>3589659.5717940121</v>
      </c>
      <c r="Z13" s="1018">
        <f t="shared" si="12"/>
        <v>3601026.9469107427</v>
      </c>
      <c r="AA13" s="1018">
        <f t="shared" si="12"/>
        <v>3612430.3190947324</v>
      </c>
      <c r="AB13" s="1018">
        <f t="shared" si="12"/>
        <v>3623869.8023378961</v>
      </c>
      <c r="AC13" s="1018">
        <f t="shared" si="12"/>
        <v>3635345.5109931263</v>
      </c>
      <c r="AD13" s="1018">
        <f t="shared" si="12"/>
        <v>3646857.5597754372</v>
      </c>
      <c r="AE13" s="1018">
        <f t="shared" si="12"/>
        <v>3658406.0637631104</v>
      </c>
      <c r="AF13" s="1018">
        <f t="shared" ref="AF13:AO13" si="13">SUM(AF11:AF12)</f>
        <v>3669991.1383988461</v>
      </c>
      <c r="AG13" s="1018">
        <f t="shared" si="13"/>
        <v>3681612.8994909176</v>
      </c>
      <c r="AH13" s="1018">
        <f t="shared" si="13"/>
        <v>3693271.4632143266</v>
      </c>
      <c r="AI13" s="1018">
        <f t="shared" si="13"/>
        <v>3704966.9461119692</v>
      </c>
      <c r="AJ13" s="1018">
        <f t="shared" si="13"/>
        <v>3716699.4650957934</v>
      </c>
      <c r="AK13" s="1018">
        <f t="shared" si="13"/>
        <v>3728469.137447977</v>
      </c>
      <c r="AL13" s="1018">
        <f t="shared" si="13"/>
        <v>3740276.0808220925</v>
      </c>
      <c r="AM13" s="1018">
        <f t="shared" si="13"/>
        <v>3752120.413244287</v>
      </c>
      <c r="AN13" s="1018">
        <f t="shared" si="13"/>
        <v>3764002.25311446</v>
      </c>
      <c r="AO13" s="1018">
        <f t="shared" si="13"/>
        <v>3775921.719207448</v>
      </c>
    </row>
    <row r="14" spans="1:41" s="894" customFormat="1">
      <c r="A14" s="946"/>
      <c r="B14" s="920"/>
      <c r="C14" s="883"/>
      <c r="D14" s="883"/>
      <c r="E14" s="883"/>
      <c r="F14" s="883"/>
      <c r="G14" s="883"/>
      <c r="H14" s="883"/>
      <c r="I14" s="883"/>
      <c r="J14" s="883"/>
      <c r="K14" s="883"/>
      <c r="L14" s="883"/>
      <c r="M14" s="883"/>
      <c r="N14" s="883"/>
      <c r="O14" s="883"/>
      <c r="P14" s="883"/>
      <c r="Q14" s="883"/>
      <c r="R14" s="883"/>
      <c r="S14" s="883"/>
      <c r="T14" s="883"/>
      <c r="U14" s="883"/>
      <c r="V14" s="883"/>
      <c r="W14" s="883"/>
      <c r="X14" s="883"/>
      <c r="Y14" s="883"/>
      <c r="Z14" s="883"/>
      <c r="AA14" s="883"/>
      <c r="AB14" s="883"/>
      <c r="AC14" s="883"/>
      <c r="AD14" s="883"/>
      <c r="AE14" s="883"/>
      <c r="AF14" s="883"/>
      <c r="AG14" s="883"/>
      <c r="AH14" s="883"/>
      <c r="AI14" s="883"/>
      <c r="AJ14" s="883"/>
      <c r="AK14" s="883"/>
      <c r="AL14" s="883"/>
      <c r="AM14" s="883"/>
      <c r="AN14" s="883"/>
      <c r="AO14" s="883"/>
    </row>
    <row r="15" spans="1:41" s="934" customFormat="1" ht="15">
      <c r="A15" s="931" t="s">
        <v>528</v>
      </c>
      <c r="B15" s="932" t="s">
        <v>456</v>
      </c>
      <c r="C15" s="933">
        <f>C13*C$7</f>
        <v>0</v>
      </c>
      <c r="D15" s="933">
        <f t="shared" ref="D15:AE15" si="14">D13*D$7</f>
        <v>15271894.370166261</v>
      </c>
      <c r="E15" s="933">
        <f t="shared" si="14"/>
        <v>13375329.608708452</v>
      </c>
      <c r="F15" s="933">
        <f t="shared" si="14"/>
        <v>12652690.659694221</v>
      </c>
      <c r="G15" s="933">
        <f t="shared" si="14"/>
        <v>11725518.365562823</v>
      </c>
      <c r="H15" s="933">
        <f t="shared" si="14"/>
        <v>11345876.443667805</v>
      </c>
      <c r="I15" s="933">
        <f t="shared" si="14"/>
        <v>10959351.229907647</v>
      </c>
      <c r="J15" s="933">
        <f t="shared" si="14"/>
        <v>10645243.356308753</v>
      </c>
      <c r="K15" s="933">
        <f t="shared" si="14"/>
        <v>10739739.573455576</v>
      </c>
      <c r="L15" s="933">
        <f t="shared" si="14"/>
        <v>10800865.553950844</v>
      </c>
      <c r="M15" s="933">
        <f t="shared" si="14"/>
        <v>10925125.568134177</v>
      </c>
      <c r="N15" s="933">
        <f t="shared" si="14"/>
        <v>11034989.908927489</v>
      </c>
      <c r="O15" s="933">
        <f t="shared" si="14"/>
        <v>11142512.081320582</v>
      </c>
      <c r="P15" s="933">
        <f t="shared" si="14"/>
        <v>11215760.387974538</v>
      </c>
      <c r="Q15" s="933">
        <f t="shared" si="14"/>
        <v>11365734.431848243</v>
      </c>
      <c r="R15" s="933">
        <f t="shared" si="14"/>
        <v>11418927.115647182</v>
      </c>
      <c r="S15" s="933">
        <f t="shared" si="14"/>
        <v>11535848.069260966</v>
      </c>
      <c r="T15" s="933">
        <f t="shared" si="14"/>
        <v>11634749.487380285</v>
      </c>
      <c r="U15" s="933">
        <f t="shared" si="14"/>
        <v>11705418.868484784</v>
      </c>
      <c r="V15" s="933">
        <f t="shared" si="14"/>
        <v>11778837.07907195</v>
      </c>
      <c r="W15" s="933">
        <f t="shared" si="14"/>
        <v>11912671.719665436</v>
      </c>
      <c r="X15" s="933">
        <f t="shared" si="14"/>
        <v>11968183.446586555</v>
      </c>
      <c r="Y15" s="933">
        <f t="shared" si="14"/>
        <v>12077811.671172995</v>
      </c>
      <c r="Z15" s="933">
        <f t="shared" si="14"/>
        <v>12081733.489041295</v>
      </c>
      <c r="AA15" s="933">
        <f t="shared" si="14"/>
        <v>12159975.093760096</v>
      </c>
      <c r="AB15" s="933">
        <f t="shared" si="14"/>
        <v>12502872.655317279</v>
      </c>
      <c r="AC15" s="933">
        <f t="shared" si="14"/>
        <v>12567200.393536665</v>
      </c>
      <c r="AD15" s="933">
        <f t="shared" si="14"/>
        <v>12643133.659110393</v>
      </c>
      <c r="AE15" s="933">
        <f t="shared" si="14"/>
        <v>12726881.306649428</v>
      </c>
      <c r="AF15" s="933">
        <f t="shared" ref="AF15:AO15" si="15">AF13*AF$7</f>
        <v>12782663.544839365</v>
      </c>
      <c r="AG15" s="933">
        <f t="shared" si="15"/>
        <v>12823142.406023555</v>
      </c>
      <c r="AH15" s="933">
        <f t="shared" si="15"/>
        <v>12863749.451619154</v>
      </c>
      <c r="AI15" s="933">
        <f t="shared" si="15"/>
        <v>12904485.087547749</v>
      </c>
      <c r="AJ15" s="933">
        <f t="shared" si="15"/>
        <v>12945349.721016346</v>
      </c>
      <c r="AK15" s="933">
        <f t="shared" si="15"/>
        <v>12986343.760521466</v>
      </c>
      <c r="AL15" s="933">
        <f t="shared" si="15"/>
        <v>13027467.615853207</v>
      </c>
      <c r="AM15" s="933">
        <f t="shared" si="15"/>
        <v>13068721.698099356</v>
      </c>
      <c r="AN15" s="933">
        <f t="shared" si="15"/>
        <v>13110106.419649487</v>
      </c>
      <c r="AO15" s="933">
        <f t="shared" si="15"/>
        <v>13151622.194199083</v>
      </c>
    </row>
    <row r="16" spans="1:41" s="936" customFormat="1">
      <c r="A16" s="967" t="s">
        <v>510</v>
      </c>
      <c r="B16" s="926"/>
      <c r="C16" s="935"/>
      <c r="D16" s="935"/>
      <c r="E16" s="935"/>
      <c r="F16" s="935"/>
      <c r="G16" s="935"/>
      <c r="H16" s="935"/>
      <c r="I16" s="935"/>
      <c r="J16" s="935"/>
      <c r="K16" s="935"/>
      <c r="L16" s="935"/>
      <c r="M16" s="935"/>
      <c r="N16" s="935"/>
      <c r="O16" s="935"/>
      <c r="P16" s="935"/>
      <c r="Q16" s="935"/>
      <c r="R16" s="935"/>
      <c r="S16" s="935"/>
      <c r="T16" s="935"/>
      <c r="U16" s="935"/>
      <c r="V16" s="935"/>
      <c r="W16" s="935"/>
      <c r="X16" s="935"/>
      <c r="Y16" s="935"/>
      <c r="Z16" s="935"/>
      <c r="AA16" s="935"/>
      <c r="AB16" s="935"/>
      <c r="AC16" s="935"/>
      <c r="AD16" s="935"/>
      <c r="AE16" s="935"/>
      <c r="AF16" s="935"/>
      <c r="AG16" s="935"/>
      <c r="AH16" s="935"/>
      <c r="AI16" s="935"/>
      <c r="AJ16" s="935"/>
      <c r="AK16" s="935"/>
      <c r="AL16" s="935"/>
      <c r="AM16" s="935"/>
      <c r="AN16" s="935"/>
      <c r="AO16" s="935"/>
    </row>
    <row r="17" spans="1:41" s="936" customFormat="1">
      <c r="A17" s="967"/>
      <c r="B17" s="926"/>
      <c r="C17" s="935"/>
      <c r="D17" s="935"/>
      <c r="E17" s="935"/>
      <c r="F17" s="935"/>
      <c r="G17" s="935"/>
      <c r="H17" s="935"/>
      <c r="I17" s="935"/>
      <c r="J17" s="935"/>
      <c r="K17" s="935"/>
      <c r="L17" s="935"/>
      <c r="M17" s="935"/>
      <c r="N17" s="935"/>
      <c r="O17" s="935"/>
      <c r="P17" s="935"/>
      <c r="Q17" s="935"/>
      <c r="R17" s="935"/>
      <c r="S17" s="935"/>
      <c r="T17" s="935"/>
      <c r="U17" s="935"/>
      <c r="V17" s="935"/>
      <c r="W17" s="935"/>
      <c r="X17" s="935"/>
      <c r="Y17" s="935"/>
      <c r="Z17" s="935"/>
      <c r="AA17" s="935"/>
      <c r="AB17" s="935"/>
      <c r="AC17" s="935"/>
      <c r="AD17" s="935"/>
      <c r="AE17" s="935"/>
      <c r="AF17" s="935"/>
      <c r="AG17" s="935"/>
      <c r="AH17" s="935"/>
      <c r="AI17" s="935"/>
      <c r="AJ17" s="935"/>
      <c r="AK17" s="935"/>
      <c r="AL17" s="935"/>
      <c r="AM17" s="935"/>
      <c r="AN17" s="935"/>
      <c r="AO17" s="935"/>
    </row>
    <row r="18" spans="1:41" s="919" customFormat="1" ht="15">
      <c r="A18" s="916" t="s">
        <v>489</v>
      </c>
      <c r="B18" s="917" t="s">
        <v>86</v>
      </c>
      <c r="C18" s="918" t="str">
        <f>IF(C$5&gt;0,C$4,"")</f>
        <v/>
      </c>
      <c r="D18" s="918" t="str">
        <f t="shared" ref="D18:AO18" si="16">IF(D$5&gt;0,D$4,"")</f>
        <v/>
      </c>
      <c r="E18" s="918" t="str">
        <f t="shared" si="16"/>
        <v/>
      </c>
      <c r="F18" s="918" t="str">
        <f t="shared" si="16"/>
        <v/>
      </c>
      <c r="G18" s="918" t="str">
        <f t="shared" si="16"/>
        <v/>
      </c>
      <c r="H18" s="918" t="str">
        <f t="shared" si="16"/>
        <v/>
      </c>
      <c r="I18" s="918" t="str">
        <f t="shared" si="16"/>
        <v/>
      </c>
      <c r="J18" s="918" t="str">
        <f t="shared" si="16"/>
        <v/>
      </c>
      <c r="K18" s="918" t="str">
        <f t="shared" si="16"/>
        <v/>
      </c>
      <c r="L18" s="918">
        <f t="shared" si="16"/>
        <v>2030</v>
      </c>
      <c r="M18" s="918">
        <f t="shared" si="16"/>
        <v>2031</v>
      </c>
      <c r="N18" s="918">
        <f t="shared" si="16"/>
        <v>2032</v>
      </c>
      <c r="O18" s="918">
        <f t="shared" si="16"/>
        <v>2033</v>
      </c>
      <c r="P18" s="918">
        <f t="shared" si="16"/>
        <v>2034</v>
      </c>
      <c r="Q18" s="918">
        <f t="shared" si="16"/>
        <v>2035</v>
      </c>
      <c r="R18" s="918">
        <f t="shared" si="16"/>
        <v>2036</v>
      </c>
      <c r="S18" s="918">
        <f t="shared" si="16"/>
        <v>2037</v>
      </c>
      <c r="T18" s="918">
        <f t="shared" si="16"/>
        <v>2038</v>
      </c>
      <c r="U18" s="918">
        <f t="shared" si="16"/>
        <v>2039</v>
      </c>
      <c r="V18" s="918">
        <f t="shared" si="16"/>
        <v>2040</v>
      </c>
      <c r="W18" s="918">
        <f t="shared" si="16"/>
        <v>2041</v>
      </c>
      <c r="X18" s="918">
        <f t="shared" si="16"/>
        <v>2042</v>
      </c>
      <c r="Y18" s="918">
        <f t="shared" si="16"/>
        <v>2043</v>
      </c>
      <c r="Z18" s="918">
        <f t="shared" si="16"/>
        <v>2044</v>
      </c>
      <c r="AA18" s="918">
        <f t="shared" si="16"/>
        <v>2045</v>
      </c>
      <c r="AB18" s="918">
        <f t="shared" si="16"/>
        <v>2046</v>
      </c>
      <c r="AC18" s="918">
        <f t="shared" si="16"/>
        <v>2047</v>
      </c>
      <c r="AD18" s="918">
        <f t="shared" si="16"/>
        <v>2048</v>
      </c>
      <c r="AE18" s="918">
        <f t="shared" si="16"/>
        <v>2049</v>
      </c>
      <c r="AF18" s="918">
        <f t="shared" si="16"/>
        <v>2050</v>
      </c>
      <c r="AG18" s="918">
        <f t="shared" si="16"/>
        <v>2051</v>
      </c>
      <c r="AH18" s="918">
        <f t="shared" si="16"/>
        <v>2052</v>
      </c>
      <c r="AI18" s="918">
        <f t="shared" si="16"/>
        <v>2053</v>
      </c>
      <c r="AJ18" s="918">
        <f t="shared" si="16"/>
        <v>2054</v>
      </c>
      <c r="AK18" s="918">
        <f t="shared" si="16"/>
        <v>2055</v>
      </c>
      <c r="AL18" s="918">
        <f t="shared" si="16"/>
        <v>2056</v>
      </c>
      <c r="AM18" s="918">
        <f t="shared" si="16"/>
        <v>2057</v>
      </c>
      <c r="AN18" s="918">
        <f t="shared" si="16"/>
        <v>2058</v>
      </c>
      <c r="AO18" s="918">
        <f t="shared" si="16"/>
        <v>2059</v>
      </c>
    </row>
    <row r="19" spans="1:41" s="894" customFormat="1">
      <c r="A19" s="946"/>
      <c r="B19" s="1016"/>
      <c r="C19" s="921"/>
      <c r="D19" s="921"/>
      <c r="E19" s="921"/>
      <c r="F19" s="921"/>
      <c r="G19" s="921"/>
      <c r="H19" s="921"/>
      <c r="I19" s="921"/>
      <c r="J19" s="921"/>
      <c r="K19" s="921"/>
      <c r="L19" s="921"/>
      <c r="M19" s="921"/>
      <c r="N19" s="921"/>
      <c r="O19" s="921"/>
      <c r="P19" s="921"/>
      <c r="Q19" s="921"/>
      <c r="R19" s="921"/>
      <c r="S19" s="921"/>
      <c r="T19" s="921"/>
      <c r="U19" s="921"/>
      <c r="V19" s="921"/>
      <c r="W19" s="921"/>
      <c r="X19" s="921"/>
      <c r="Y19" s="921"/>
      <c r="Z19" s="921"/>
      <c r="AA19" s="921"/>
      <c r="AB19" s="921"/>
      <c r="AC19" s="921"/>
      <c r="AD19" s="921"/>
      <c r="AE19" s="921"/>
      <c r="AF19" s="921"/>
      <c r="AG19" s="921"/>
      <c r="AH19" s="921"/>
      <c r="AI19" s="921"/>
      <c r="AJ19" s="921"/>
      <c r="AK19" s="921"/>
      <c r="AL19" s="921"/>
      <c r="AM19" s="921"/>
      <c r="AN19" s="921"/>
      <c r="AO19" s="921"/>
    </row>
    <row r="20" spans="1:41" s="894" customFormat="1">
      <c r="A20" s="946" t="s">
        <v>524</v>
      </c>
      <c r="B20" s="1016" t="s">
        <v>525</v>
      </c>
      <c r="C20" s="1018">
        <f>SUMIFS(Demand.Forecast!$D$41:$AO$41,Demand.Forecast!$D$1:$AO$1,C$4)</f>
        <v>0</v>
      </c>
      <c r="D20" s="1018">
        <f>SUMIFS(Demand.Forecast!$D$41:$AO$41,Demand.Forecast!$D$1:$AO$1,D$4)</f>
        <v>3359061.913043478</v>
      </c>
      <c r="E20" s="1018">
        <f>SUMIFS(Demand.Forecast!$D$41:$AO$41,Demand.Forecast!$D$1:$AO$1,E$4)</f>
        <v>3369699.0545445611</v>
      </c>
      <c r="F20" s="1018">
        <f>SUMIFS(Demand.Forecast!$D$41:$AO$41,Demand.Forecast!$D$1:$AO$1,F$4)</f>
        <v>3380369.880682081</v>
      </c>
      <c r="G20" s="1018">
        <f>SUMIFS(Demand.Forecast!$D$41:$AO$41,Demand.Forecast!$D$1:$AO$1,G$4)</f>
        <v>3391074.4981251792</v>
      </c>
      <c r="H20" s="1018">
        <f>SUMIFS(Demand.Forecast!$D$41:$AO$41,Demand.Forecast!$D$1:$AO$1,H$4)</f>
        <v>3401813.0138807846</v>
      </c>
      <c r="I20" s="1018">
        <f>SUMIFS(Demand.Forecast!$D$41:$AO$41,Demand.Forecast!$D$1:$AO$1,I$4)</f>
        <v>3412585.5352946832</v>
      </c>
      <c r="J20" s="1018">
        <f>SUMIFS(Demand.Forecast!$D$41:$AO$41,Demand.Forecast!$D$1:$AO$1,J$4)</f>
        <v>3423392.1700525964</v>
      </c>
      <c r="K20" s="1018">
        <f>SUMIFS(Demand.Forecast!$D$41:$AO$41,Demand.Forecast!$D$1:$AO$1,K$4)</f>
        <v>3434233.0261812503</v>
      </c>
      <c r="L20" s="1018">
        <f>SUMIFS(Demand.Forecast!$D$41:$AO$41,Demand.Forecast!$D$1:$AO$1,L$4)</f>
        <v>3432416.9077016362</v>
      </c>
      <c r="M20" s="1018">
        <f>SUMIFS(Demand.Forecast!$D$41:$AO$41,Demand.Forecast!$D$1:$AO$1,M$4)</f>
        <v>3443326.5320213935</v>
      </c>
      <c r="N20" s="1018">
        <f>SUMIFS(Demand.Forecast!$D$41:$AO$41,Demand.Forecast!$D$1:$AO$1,N$4)</f>
        <v>2747183.7473272043</v>
      </c>
      <c r="O20" s="1018">
        <f>SUMIFS(Demand.Forecast!$D$41:$AO$41,Demand.Forecast!$D$1:$AO$1,O$4)</f>
        <v>2758162.5760641391</v>
      </c>
      <c r="P20" s="1018">
        <f>SUMIFS(Demand.Forecast!$D$41:$AO$41,Demand.Forecast!$D$1:$AO$1,P$4)</f>
        <v>2556397.3888498009</v>
      </c>
      <c r="Q20" s="1018">
        <f>SUMIFS(Demand.Forecast!$D$41:$AO$41,Demand.Forecast!$D$1:$AO$1,Q$4)</f>
        <v>2567445.8609971558</v>
      </c>
      <c r="R20" s="1018">
        <f>SUMIFS(Demand.Forecast!$D$41:$AO$41,Demand.Forecast!$D$1:$AO$1,R$4)</f>
        <v>2578529.3203417235</v>
      </c>
      <c r="S20" s="1018">
        <f>SUMIFS(Demand.Forecast!$D$41:$AO$41,Demand.Forecast!$D$1:$AO$1,S$4)</f>
        <v>2589647.8776774635</v>
      </c>
      <c r="T20" s="1018">
        <f>SUMIFS(Demand.Forecast!$D$41:$AO$41,Demand.Forecast!$D$1:$AO$1,T$4)</f>
        <v>2600801.6441491852</v>
      </c>
      <c r="U20" s="1018">
        <f>SUMIFS(Demand.Forecast!$D$41:$AO$41,Demand.Forecast!$D$1:$AO$1,U$4)</f>
        <v>2611990.7312536612</v>
      </c>
      <c r="V20" s="1018">
        <f>SUMIFS(Demand.Forecast!$D$41:$AO$41,Demand.Forecast!$D$1:$AO$1,V$4)</f>
        <v>2623215.2508407412</v>
      </c>
      <c r="W20" s="1018">
        <f>SUMIFS(Demand.Forecast!$D$41:$AO$41,Demand.Forecast!$D$1:$AO$1,W$4)</f>
        <v>2634475.3151144688</v>
      </c>
      <c r="X20" s="1018">
        <f>SUMIFS(Demand.Forecast!$D$41:$AO$41,Demand.Forecast!$D$1:$AO$1,X$4)</f>
        <v>2645771.0366342044</v>
      </c>
      <c r="Y20" s="1018">
        <f>SUMIFS(Demand.Forecast!$D$41:$AO$41,Demand.Forecast!$D$1:$AO$1,Y$4)</f>
        <v>2657102.5283157513</v>
      </c>
      <c r="Z20" s="1018">
        <f>SUMIFS(Demand.Forecast!$D$41:$AO$41,Demand.Forecast!$D$1:$AO$1,Z$4)</f>
        <v>2668469.9034324819</v>
      </c>
      <c r="AA20" s="1018">
        <f>SUMIFS(Demand.Forecast!$D$41:$AO$41,Demand.Forecast!$D$1:$AO$1,AA$4)</f>
        <v>2679873.2756164717</v>
      </c>
      <c r="AB20" s="1018">
        <f>SUMIFS(Demand.Forecast!$D$41:$AO$41,Demand.Forecast!$D$1:$AO$1,AB$4)</f>
        <v>2691312.7588596353</v>
      </c>
      <c r="AC20" s="1018">
        <f>SUMIFS(Demand.Forecast!$D$41:$AO$41,Demand.Forecast!$D$1:$AO$1,AC$4)</f>
        <v>2702788.4675148656</v>
      </c>
      <c r="AD20" s="1018">
        <f>SUMIFS(Demand.Forecast!$D$41:$AO$41,Demand.Forecast!$D$1:$AO$1,AD$4)</f>
        <v>2714300.5162971769</v>
      </c>
      <c r="AE20" s="1018">
        <f>SUMIFS(Demand.Forecast!$D$41:$AO$41,Demand.Forecast!$D$1:$AO$1,AE$4)</f>
        <v>2725849.0202848492</v>
      </c>
      <c r="AF20" s="1018">
        <f>SUMIFS(Demand.Forecast!$D$41:$AO$41,Demand.Forecast!$D$1:$AO$1,AF$4)</f>
        <v>2737434.0949205859</v>
      </c>
      <c r="AG20" s="1018">
        <f>SUMIFS(Demand.Forecast!$D$41:$AO$41,Demand.Forecast!$D$1:$AO$1,AG$4)</f>
        <v>2749055.8560126564</v>
      </c>
      <c r="AH20" s="1018">
        <f>SUMIFS(Demand.Forecast!$D$41:$AO$41,Demand.Forecast!$D$1:$AO$1,AH$4)</f>
        <v>2760714.4197360659</v>
      </c>
      <c r="AI20" s="1018">
        <f>SUMIFS(Demand.Forecast!$D$41:$AO$41,Demand.Forecast!$D$1:$AO$1,AI$4)</f>
        <v>2772409.902633708</v>
      </c>
      <c r="AJ20" s="1018">
        <f>SUMIFS(Demand.Forecast!$D$41:$AO$41,Demand.Forecast!$D$1:$AO$1,AJ$4)</f>
        <v>2784142.4216175326</v>
      </c>
      <c r="AK20" s="1018">
        <f>SUMIFS(Demand.Forecast!$D$41:$AO$41,Demand.Forecast!$D$1:$AO$1,AK$4)</f>
        <v>2795912.0939697162</v>
      </c>
      <c r="AL20" s="1018">
        <f>SUMIFS(Demand.Forecast!$D$41:$AO$41,Demand.Forecast!$D$1:$AO$1,AL$4)</f>
        <v>2807719.0373438313</v>
      </c>
      <c r="AM20" s="1018">
        <f>SUMIFS(Demand.Forecast!$D$41:$AO$41,Demand.Forecast!$D$1:$AO$1,AM$4)</f>
        <v>2819563.3697660263</v>
      </c>
      <c r="AN20" s="1018">
        <f>SUMIFS(Demand.Forecast!$D$41:$AO$41,Demand.Forecast!$D$1:$AO$1,AN$4)</f>
        <v>2831445.2096361993</v>
      </c>
      <c r="AO20" s="1018">
        <f>SUMIFS(Demand.Forecast!$D$41:$AO$41,Demand.Forecast!$D$1:$AO$1,AO$4)</f>
        <v>2843364.6757291872</v>
      </c>
    </row>
    <row r="21" spans="1:41" s="966" customFormat="1">
      <c r="A21" s="946" t="s">
        <v>526</v>
      </c>
      <c r="B21" s="1016" t="s">
        <v>525</v>
      </c>
      <c r="C21" s="1018">
        <f>SUMIFS(Demand.Forecast!$D$40:$AO$40,Demand.Forecast!$D$1:$AO$1,C$4)</f>
        <v>0</v>
      </c>
      <c r="D21" s="1018">
        <f>SUMIFS(Demand.Forecast!$D$40:$AO$40,Demand.Forecast!$D$1:$AO$1,D$4)</f>
        <v>0</v>
      </c>
      <c r="E21" s="1018">
        <f>SUMIFS(Demand.Forecast!$D$40:$AO$40,Demand.Forecast!$D$1:$AO$1,E$4)</f>
        <v>0</v>
      </c>
      <c r="F21" s="1018">
        <f>SUMIFS(Demand.Forecast!$D$40:$AO$40,Demand.Forecast!$D$1:$AO$1,F$4)</f>
        <v>0</v>
      </c>
      <c r="G21" s="1018">
        <f>SUMIFS(Demand.Forecast!$D$40:$AO$40,Demand.Forecast!$D$1:$AO$1,G$4)</f>
        <v>0</v>
      </c>
      <c r="H21" s="1018">
        <f>SUMIFS(Demand.Forecast!$D$40:$AO$40,Demand.Forecast!$D$1:$AO$1,H$4)</f>
        <v>0</v>
      </c>
      <c r="I21" s="1018">
        <f>SUMIFS(Demand.Forecast!$D$40:$AO$40,Demand.Forecast!$D$1:$AO$1,I$4)</f>
        <v>0</v>
      </c>
      <c r="J21" s="1018">
        <f>SUMIFS(Demand.Forecast!$D$40:$AO$40,Demand.Forecast!$D$1:$AO$1,J$4)</f>
        <v>0</v>
      </c>
      <c r="K21" s="1018">
        <f>SUMIFS(Demand.Forecast!$D$40:$AO$40,Demand.Forecast!$D$1:$AO$1,K$4)</f>
        <v>0</v>
      </c>
      <c r="L21" s="1018">
        <f>SUMIFS(Demand.Forecast!$D$40:$AO$40,Demand.Forecast!$D$1:$AO$1,L$4)</f>
        <v>7297.5</v>
      </c>
      <c r="M21" s="1018">
        <f>SUMIFS(Demand.Forecast!$D$40:$AO$40,Demand.Forecast!$D$1:$AO$1,M$4)</f>
        <v>7297.5</v>
      </c>
      <c r="N21" s="1018">
        <f>SUMIFS(Demand.Forecast!$D$40:$AO$40,Demand.Forecast!$D$1:$AO$1,N$4)</f>
        <v>413872.5</v>
      </c>
      <c r="O21" s="1018">
        <f>SUMIFS(Demand.Forecast!$D$40:$AO$40,Demand.Forecast!$D$1:$AO$1,O$4)</f>
        <v>413872.5</v>
      </c>
      <c r="P21" s="1018">
        <f>SUMIFS(Demand.Forecast!$D$40:$AO$40,Demand.Forecast!$D$1:$AO$1,P$4)</f>
        <v>536220.30000000005</v>
      </c>
      <c r="Q21" s="1018">
        <f>SUMIFS(Demand.Forecast!$D$40:$AO$40,Demand.Forecast!$D$1:$AO$1,Q$4)</f>
        <v>536220.30000000005</v>
      </c>
      <c r="R21" s="1018">
        <f>SUMIFS(Demand.Forecast!$D$40:$AO$40,Demand.Forecast!$D$1:$AO$1,R$4)</f>
        <v>536220.30000000005</v>
      </c>
      <c r="S21" s="1018">
        <f>SUMIFS(Demand.Forecast!$D$40:$AO$40,Demand.Forecast!$D$1:$AO$1,S$4)</f>
        <v>536220.30000000005</v>
      </c>
      <c r="T21" s="1018">
        <f>SUMIFS(Demand.Forecast!$D$40:$AO$40,Demand.Forecast!$D$1:$AO$1,T$4)</f>
        <v>536220.30000000005</v>
      </c>
      <c r="U21" s="1018">
        <f>SUMIFS(Demand.Forecast!$D$40:$AO$40,Demand.Forecast!$D$1:$AO$1,U$4)</f>
        <v>536220.30000000005</v>
      </c>
      <c r="V21" s="1018">
        <f>SUMIFS(Demand.Forecast!$D$40:$AO$40,Demand.Forecast!$D$1:$AO$1,V$4)</f>
        <v>536220.30000000005</v>
      </c>
      <c r="W21" s="1018">
        <f>SUMIFS(Demand.Forecast!$D$40:$AO$40,Demand.Forecast!$D$1:$AO$1,W$4)</f>
        <v>536220.30000000005</v>
      </c>
      <c r="X21" s="1018">
        <f>SUMIFS(Demand.Forecast!$D$40:$AO$40,Demand.Forecast!$D$1:$AO$1,X$4)</f>
        <v>536220.30000000005</v>
      </c>
      <c r="Y21" s="1018">
        <f>SUMIFS(Demand.Forecast!$D$40:$AO$40,Demand.Forecast!$D$1:$AO$1,Y$4)</f>
        <v>536220.30000000005</v>
      </c>
      <c r="Z21" s="1018">
        <f>SUMIFS(Demand.Forecast!$D$40:$AO$40,Demand.Forecast!$D$1:$AO$1,Z$4)</f>
        <v>536220.30000000005</v>
      </c>
      <c r="AA21" s="1018">
        <f>SUMIFS(Demand.Forecast!$D$40:$AO$40,Demand.Forecast!$D$1:$AO$1,AA$4)</f>
        <v>536220.30000000005</v>
      </c>
      <c r="AB21" s="1018">
        <f>SUMIFS(Demand.Forecast!$D$40:$AO$40,Demand.Forecast!$D$1:$AO$1,AB$4)</f>
        <v>536220.30000000005</v>
      </c>
      <c r="AC21" s="1018">
        <f>SUMIFS(Demand.Forecast!$D$40:$AO$40,Demand.Forecast!$D$1:$AO$1,AC$4)</f>
        <v>536220.30000000005</v>
      </c>
      <c r="AD21" s="1018">
        <f>SUMIFS(Demand.Forecast!$D$40:$AO$40,Demand.Forecast!$D$1:$AO$1,AD$4)</f>
        <v>536220.30000000005</v>
      </c>
      <c r="AE21" s="1018">
        <f>SUMIFS(Demand.Forecast!$D$40:$AO$40,Demand.Forecast!$D$1:$AO$1,AE$4)</f>
        <v>536220.30000000005</v>
      </c>
      <c r="AF21" s="1018">
        <f>SUMIFS(Demand.Forecast!$D$40:$AO$40,Demand.Forecast!$D$1:$AO$1,AF$4)</f>
        <v>536220.30000000005</v>
      </c>
      <c r="AG21" s="1018">
        <f>SUMIFS(Demand.Forecast!$D$40:$AO$40,Demand.Forecast!$D$1:$AO$1,AG$4)</f>
        <v>536220.30000000005</v>
      </c>
      <c r="AH21" s="1018">
        <f>SUMIFS(Demand.Forecast!$D$40:$AO$40,Demand.Forecast!$D$1:$AO$1,AH$4)</f>
        <v>536220.30000000005</v>
      </c>
      <c r="AI21" s="1018">
        <f>SUMIFS(Demand.Forecast!$D$40:$AO$40,Demand.Forecast!$D$1:$AO$1,AI$4)</f>
        <v>536220.30000000005</v>
      </c>
      <c r="AJ21" s="1018">
        <f>SUMIFS(Demand.Forecast!$D$40:$AO$40,Demand.Forecast!$D$1:$AO$1,AJ$4)</f>
        <v>536220.30000000005</v>
      </c>
      <c r="AK21" s="1018">
        <f>SUMIFS(Demand.Forecast!$D$40:$AO$40,Demand.Forecast!$D$1:$AO$1,AK$4)</f>
        <v>536220.30000000005</v>
      </c>
      <c r="AL21" s="1018">
        <f>SUMIFS(Demand.Forecast!$D$40:$AO$40,Demand.Forecast!$D$1:$AO$1,AL$4)</f>
        <v>536220.30000000005</v>
      </c>
      <c r="AM21" s="1018">
        <f>SUMIFS(Demand.Forecast!$D$40:$AO$40,Demand.Forecast!$D$1:$AO$1,AM$4)</f>
        <v>536220.30000000005</v>
      </c>
      <c r="AN21" s="1018">
        <f>SUMIFS(Demand.Forecast!$D$40:$AO$40,Demand.Forecast!$D$1:$AO$1,AN$4)</f>
        <v>536220.30000000005</v>
      </c>
      <c r="AO21" s="1018">
        <f>SUMIFS(Demand.Forecast!$D$40:$AO$40,Demand.Forecast!$D$1:$AO$1,AO$4)</f>
        <v>536220.30000000005</v>
      </c>
    </row>
    <row r="22" spans="1:41" s="966" customFormat="1">
      <c r="A22" s="946" t="s">
        <v>527</v>
      </c>
      <c r="B22" s="1016" t="s">
        <v>525</v>
      </c>
      <c r="C22" s="1018">
        <f>SUM(C20:C21)</f>
        <v>0</v>
      </c>
      <c r="D22" s="1018">
        <f t="shared" ref="D22:AE22" si="17">SUM(D20:D21)</f>
        <v>3359061.913043478</v>
      </c>
      <c r="E22" s="1018">
        <f t="shared" si="17"/>
        <v>3369699.0545445611</v>
      </c>
      <c r="F22" s="1018">
        <f t="shared" si="17"/>
        <v>3380369.880682081</v>
      </c>
      <c r="G22" s="1018">
        <f t="shared" si="17"/>
        <v>3391074.4981251792</v>
      </c>
      <c r="H22" s="1018">
        <f t="shared" si="17"/>
        <v>3401813.0138807846</v>
      </c>
      <c r="I22" s="1018">
        <f t="shared" si="17"/>
        <v>3412585.5352946832</v>
      </c>
      <c r="J22" s="1018">
        <f t="shared" si="17"/>
        <v>3423392.1700525964</v>
      </c>
      <c r="K22" s="1018">
        <f t="shared" si="17"/>
        <v>3434233.0261812503</v>
      </c>
      <c r="L22" s="1018">
        <f t="shared" si="17"/>
        <v>3439714.4077016362</v>
      </c>
      <c r="M22" s="1018">
        <f t="shared" si="17"/>
        <v>3450624.0320213935</v>
      </c>
      <c r="N22" s="1018">
        <f t="shared" si="17"/>
        <v>3161056.2473272043</v>
      </c>
      <c r="O22" s="1018">
        <f t="shared" si="17"/>
        <v>3172035.0760641391</v>
      </c>
      <c r="P22" s="1018">
        <f t="shared" si="17"/>
        <v>3092617.6888498012</v>
      </c>
      <c r="Q22" s="1018">
        <f t="shared" si="17"/>
        <v>3103666.1609971561</v>
      </c>
      <c r="R22" s="1018">
        <f t="shared" si="17"/>
        <v>3114749.6203417238</v>
      </c>
      <c r="S22" s="1018">
        <f t="shared" si="17"/>
        <v>3125868.1776774637</v>
      </c>
      <c r="T22" s="1018">
        <f t="shared" si="17"/>
        <v>3137021.944149185</v>
      </c>
      <c r="U22" s="1018">
        <f t="shared" si="17"/>
        <v>3148211.031253661</v>
      </c>
      <c r="V22" s="1018">
        <f t="shared" si="17"/>
        <v>3159435.550840741</v>
      </c>
      <c r="W22" s="1018">
        <f t="shared" si="17"/>
        <v>3170695.6151144691</v>
      </c>
      <c r="X22" s="1018">
        <f t="shared" si="17"/>
        <v>3181991.3366342047</v>
      </c>
      <c r="Y22" s="1018">
        <f t="shared" si="17"/>
        <v>3193322.8283157516</v>
      </c>
      <c r="Z22" s="1018">
        <f t="shared" si="17"/>
        <v>3204690.2034324817</v>
      </c>
      <c r="AA22" s="1018">
        <f t="shared" si="17"/>
        <v>3216093.5756164715</v>
      </c>
      <c r="AB22" s="1018">
        <f t="shared" si="17"/>
        <v>3227533.0588596351</v>
      </c>
      <c r="AC22" s="1018">
        <f t="shared" si="17"/>
        <v>3239008.7675148658</v>
      </c>
      <c r="AD22" s="1018">
        <f t="shared" si="17"/>
        <v>3250520.8162971772</v>
      </c>
      <c r="AE22" s="1018">
        <f t="shared" si="17"/>
        <v>3262069.320284849</v>
      </c>
      <c r="AF22" s="1018">
        <f t="shared" ref="AF22:AO22" si="18">SUM(AF20:AF21)</f>
        <v>3273654.3949205857</v>
      </c>
      <c r="AG22" s="1018">
        <f t="shared" si="18"/>
        <v>3285276.1560126562</v>
      </c>
      <c r="AH22" s="1018">
        <f t="shared" si="18"/>
        <v>3296934.7197360657</v>
      </c>
      <c r="AI22" s="1018">
        <f t="shared" si="18"/>
        <v>3308630.2026337078</v>
      </c>
      <c r="AJ22" s="1018">
        <f t="shared" si="18"/>
        <v>3320362.7216175329</v>
      </c>
      <c r="AK22" s="1018">
        <f t="shared" si="18"/>
        <v>3332132.3939697165</v>
      </c>
      <c r="AL22" s="1018">
        <f t="shared" si="18"/>
        <v>3343939.3373438315</v>
      </c>
      <c r="AM22" s="1018">
        <f t="shared" si="18"/>
        <v>3355783.6697660265</v>
      </c>
      <c r="AN22" s="1018">
        <f t="shared" si="18"/>
        <v>3367665.5096361991</v>
      </c>
      <c r="AO22" s="1018">
        <f t="shared" si="18"/>
        <v>3379584.975729187</v>
      </c>
    </row>
    <row r="23" spans="1:41" s="966" customFormat="1">
      <c r="A23" s="965"/>
      <c r="B23" s="928"/>
      <c r="C23" s="883"/>
      <c r="D23" s="883"/>
      <c r="E23" s="883"/>
      <c r="F23" s="883"/>
      <c r="G23" s="883"/>
      <c r="H23" s="883"/>
      <c r="I23" s="883"/>
      <c r="J23" s="883"/>
      <c r="K23" s="883"/>
      <c r="L23" s="883"/>
      <c r="M23" s="883"/>
      <c r="N23" s="883"/>
      <c r="O23" s="883"/>
      <c r="P23" s="883"/>
      <c r="Q23" s="883"/>
      <c r="R23" s="883"/>
      <c r="S23" s="883"/>
      <c r="T23" s="883"/>
      <c r="U23" s="883"/>
      <c r="V23" s="883"/>
      <c r="W23" s="883"/>
      <c r="X23" s="883"/>
      <c r="Y23" s="883"/>
      <c r="Z23" s="883"/>
      <c r="AA23" s="883"/>
      <c r="AB23" s="883"/>
      <c r="AC23" s="883"/>
      <c r="AD23" s="883"/>
      <c r="AE23" s="883"/>
      <c r="AF23" s="883"/>
      <c r="AG23" s="883"/>
      <c r="AH23" s="883"/>
      <c r="AI23" s="883"/>
      <c r="AJ23" s="883"/>
      <c r="AK23" s="883"/>
      <c r="AL23" s="883"/>
      <c r="AM23" s="883"/>
      <c r="AN23" s="883"/>
      <c r="AO23" s="883"/>
    </row>
    <row r="24" spans="1:41" s="934" customFormat="1" ht="15">
      <c r="A24" s="931" t="s">
        <v>528</v>
      </c>
      <c r="B24" s="932" t="s">
        <v>456</v>
      </c>
      <c r="C24" s="933">
        <f>C22*C$7</f>
        <v>0</v>
      </c>
      <c r="D24" s="933">
        <f t="shared" ref="D24:AE24" si="19">D22*D$7</f>
        <v>15271894.370166261</v>
      </c>
      <c r="E24" s="933">
        <f t="shared" si="19"/>
        <v>13375329.608708452</v>
      </c>
      <c r="F24" s="933">
        <f t="shared" si="19"/>
        <v>12652690.659694221</v>
      </c>
      <c r="G24" s="933">
        <f t="shared" si="19"/>
        <v>11725518.365562823</v>
      </c>
      <c r="H24" s="933">
        <f t="shared" si="19"/>
        <v>11345876.443667805</v>
      </c>
      <c r="I24" s="933">
        <f t="shared" si="19"/>
        <v>10959351.229907647</v>
      </c>
      <c r="J24" s="933">
        <f t="shared" si="19"/>
        <v>10645243.356308753</v>
      </c>
      <c r="K24" s="933">
        <f t="shared" si="19"/>
        <v>10739739.573455576</v>
      </c>
      <c r="L24" s="933">
        <f t="shared" si="19"/>
        <v>10783955.27073204</v>
      </c>
      <c r="M24" s="933">
        <f t="shared" si="19"/>
        <v>10908074.733161679</v>
      </c>
      <c r="N24" s="933">
        <f t="shared" si="19"/>
        <v>10061322.76856151</v>
      </c>
      <c r="O24" s="933">
        <f t="shared" si="19"/>
        <v>10162461.29953678</v>
      </c>
      <c r="P24" s="933">
        <f t="shared" si="19"/>
        <v>9941677.2682256363</v>
      </c>
      <c r="Q24" s="933">
        <f t="shared" si="19"/>
        <v>10078690.307914115</v>
      </c>
      <c r="R24" s="933">
        <f t="shared" si="19"/>
        <v>10129941.33800675</v>
      </c>
      <c r="S24" s="933">
        <f t="shared" si="19"/>
        <v>10237774.686429322</v>
      </c>
      <c r="T24" s="933">
        <f t="shared" si="19"/>
        <v>10329679.968352761</v>
      </c>
      <c r="U24" s="933">
        <f t="shared" si="19"/>
        <v>10396567.107914247</v>
      </c>
      <c r="V24" s="933">
        <f t="shared" si="19"/>
        <v>10465933.567972835</v>
      </c>
      <c r="W24" s="933">
        <f t="shared" si="19"/>
        <v>10589042.147277573</v>
      </c>
      <c r="X24" s="933">
        <f t="shared" si="19"/>
        <v>10642583.68424686</v>
      </c>
      <c r="Y24" s="933">
        <f t="shared" si="19"/>
        <v>10744292.308025118</v>
      </c>
      <c r="Z24" s="933">
        <f t="shared" si="19"/>
        <v>10751992.007732252</v>
      </c>
      <c r="AA24" s="933">
        <f t="shared" si="19"/>
        <v>10825846.957374234</v>
      </c>
      <c r="AB24" s="933">
        <f t="shared" si="19"/>
        <v>11135453.817826219</v>
      </c>
      <c r="AC24" s="933">
        <f t="shared" si="19"/>
        <v>11197084.88084298</v>
      </c>
      <c r="AD24" s="933">
        <f t="shared" si="19"/>
        <v>11269090.845625583</v>
      </c>
      <c r="AE24" s="933">
        <f t="shared" si="19"/>
        <v>11348103.061753534</v>
      </c>
      <c r="AF24" s="933">
        <f t="shared" ref="AF24:AO24" si="20">AF22*AF$7</f>
        <v>11402213.551559484</v>
      </c>
      <c r="AG24" s="933">
        <f t="shared" si="20"/>
        <v>11442692.412743671</v>
      </c>
      <c r="AH24" s="933">
        <f t="shared" si="20"/>
        <v>11483299.458339272</v>
      </c>
      <c r="AI24" s="933">
        <f t="shared" si="20"/>
        <v>11524035.094267866</v>
      </c>
      <c r="AJ24" s="933">
        <f t="shared" si="20"/>
        <v>11564899.727736466</v>
      </c>
      <c r="AK24" s="933">
        <f t="shared" si="20"/>
        <v>11605893.767241584</v>
      </c>
      <c r="AL24" s="933">
        <f t="shared" si="20"/>
        <v>11647017.622573325</v>
      </c>
      <c r="AM24" s="933">
        <f t="shared" si="20"/>
        <v>11688271.704819476</v>
      </c>
      <c r="AN24" s="933">
        <f t="shared" si="20"/>
        <v>11729656.426369604</v>
      </c>
      <c r="AO24" s="933">
        <f t="shared" si="20"/>
        <v>11771172.200919202</v>
      </c>
    </row>
    <row r="25" spans="1:41" s="936" customFormat="1">
      <c r="A25" s="967" t="s">
        <v>510</v>
      </c>
      <c r="B25" s="926"/>
      <c r="C25" s="935"/>
      <c r="D25" s="935"/>
      <c r="E25" s="935"/>
      <c r="F25" s="935"/>
      <c r="G25" s="935"/>
      <c r="H25" s="935"/>
      <c r="I25" s="935"/>
      <c r="J25" s="935"/>
      <c r="K25" s="935"/>
      <c r="L25" s="935"/>
      <c r="M25" s="935"/>
      <c r="N25" s="935"/>
      <c r="O25" s="935"/>
      <c r="P25" s="935"/>
      <c r="Q25" s="935"/>
      <c r="R25" s="935"/>
      <c r="S25" s="935"/>
      <c r="T25" s="935"/>
      <c r="U25" s="935"/>
      <c r="V25" s="935"/>
      <c r="W25" s="935"/>
      <c r="X25" s="935"/>
      <c r="Y25" s="935"/>
      <c r="Z25" s="935"/>
      <c r="AA25" s="935"/>
      <c r="AB25" s="935"/>
      <c r="AC25" s="935"/>
      <c r="AD25" s="935"/>
      <c r="AE25" s="935"/>
      <c r="AF25" s="935"/>
      <c r="AG25" s="935"/>
      <c r="AH25" s="935"/>
      <c r="AI25" s="935"/>
      <c r="AJ25" s="935"/>
      <c r="AK25" s="935"/>
      <c r="AL25" s="935"/>
      <c r="AM25" s="935"/>
      <c r="AN25" s="935"/>
      <c r="AO25" s="935"/>
    </row>
    <row r="26" spans="1:41" s="894" customFormat="1" ht="15">
      <c r="A26" s="888"/>
      <c r="B26" s="920"/>
      <c r="C26" s="937"/>
      <c r="D26" s="937"/>
      <c r="E26" s="937"/>
      <c r="F26" s="937"/>
      <c r="G26" s="937"/>
      <c r="H26" s="937"/>
      <c r="I26" s="937"/>
      <c r="J26" s="937"/>
      <c r="K26" s="937"/>
      <c r="L26" s="937"/>
      <c r="M26" s="937"/>
      <c r="N26" s="937"/>
      <c r="O26" s="937"/>
      <c r="P26" s="937"/>
      <c r="Q26" s="937"/>
      <c r="R26" s="937"/>
      <c r="S26" s="937"/>
      <c r="T26" s="937"/>
      <c r="U26" s="937"/>
      <c r="V26" s="937"/>
      <c r="W26" s="937"/>
      <c r="X26" s="937"/>
      <c r="Y26" s="937"/>
      <c r="Z26" s="937"/>
      <c r="AA26" s="937"/>
      <c r="AB26" s="937"/>
      <c r="AC26" s="937"/>
      <c r="AD26" s="937"/>
      <c r="AE26" s="937"/>
      <c r="AF26" s="937"/>
      <c r="AG26" s="937"/>
      <c r="AH26" s="937"/>
      <c r="AI26" s="937"/>
      <c r="AJ26" s="937"/>
      <c r="AK26" s="937"/>
      <c r="AL26" s="937"/>
      <c r="AM26" s="937"/>
      <c r="AN26" s="937"/>
      <c r="AO26" s="937"/>
    </row>
    <row r="27" spans="1:41" s="919" customFormat="1" ht="15">
      <c r="A27" s="916" t="s">
        <v>490</v>
      </c>
      <c r="B27" s="917" t="s">
        <v>86</v>
      </c>
      <c r="C27" s="918" t="str">
        <f>IF(C$5&gt;0,C$4,"")</f>
        <v/>
      </c>
      <c r="D27" s="918" t="str">
        <f t="shared" ref="D27:AO27" si="21">IF(D$5&gt;0,D$4,"")</f>
        <v/>
      </c>
      <c r="E27" s="918" t="str">
        <f t="shared" si="21"/>
        <v/>
      </c>
      <c r="F27" s="918" t="str">
        <f t="shared" si="21"/>
        <v/>
      </c>
      <c r="G27" s="918" t="str">
        <f t="shared" si="21"/>
        <v/>
      </c>
      <c r="H27" s="918" t="str">
        <f t="shared" si="21"/>
        <v/>
      </c>
      <c r="I27" s="918" t="str">
        <f t="shared" si="21"/>
        <v/>
      </c>
      <c r="J27" s="918" t="str">
        <f t="shared" si="21"/>
        <v/>
      </c>
      <c r="K27" s="918" t="str">
        <f t="shared" si="21"/>
        <v/>
      </c>
      <c r="L27" s="918">
        <f t="shared" si="21"/>
        <v>2030</v>
      </c>
      <c r="M27" s="918">
        <f t="shared" si="21"/>
        <v>2031</v>
      </c>
      <c r="N27" s="918">
        <f t="shared" si="21"/>
        <v>2032</v>
      </c>
      <c r="O27" s="918">
        <f t="shared" si="21"/>
        <v>2033</v>
      </c>
      <c r="P27" s="918">
        <f t="shared" si="21"/>
        <v>2034</v>
      </c>
      <c r="Q27" s="918">
        <f t="shared" si="21"/>
        <v>2035</v>
      </c>
      <c r="R27" s="918">
        <f t="shared" si="21"/>
        <v>2036</v>
      </c>
      <c r="S27" s="918">
        <f t="shared" si="21"/>
        <v>2037</v>
      </c>
      <c r="T27" s="918">
        <f t="shared" si="21"/>
        <v>2038</v>
      </c>
      <c r="U27" s="918">
        <f t="shared" si="21"/>
        <v>2039</v>
      </c>
      <c r="V27" s="918">
        <f t="shared" si="21"/>
        <v>2040</v>
      </c>
      <c r="W27" s="918">
        <f t="shared" si="21"/>
        <v>2041</v>
      </c>
      <c r="X27" s="918">
        <f t="shared" si="21"/>
        <v>2042</v>
      </c>
      <c r="Y27" s="918">
        <f t="shared" si="21"/>
        <v>2043</v>
      </c>
      <c r="Z27" s="918">
        <f t="shared" si="21"/>
        <v>2044</v>
      </c>
      <c r="AA27" s="918">
        <f t="shared" si="21"/>
        <v>2045</v>
      </c>
      <c r="AB27" s="918">
        <f t="shared" si="21"/>
        <v>2046</v>
      </c>
      <c r="AC27" s="918">
        <f t="shared" si="21"/>
        <v>2047</v>
      </c>
      <c r="AD27" s="918">
        <f t="shared" si="21"/>
        <v>2048</v>
      </c>
      <c r="AE27" s="918">
        <f t="shared" si="21"/>
        <v>2049</v>
      </c>
      <c r="AF27" s="918">
        <f t="shared" si="21"/>
        <v>2050</v>
      </c>
      <c r="AG27" s="918">
        <f t="shared" si="21"/>
        <v>2051</v>
      </c>
      <c r="AH27" s="918">
        <f t="shared" si="21"/>
        <v>2052</v>
      </c>
      <c r="AI27" s="918">
        <f t="shared" si="21"/>
        <v>2053</v>
      </c>
      <c r="AJ27" s="918">
        <f t="shared" si="21"/>
        <v>2054</v>
      </c>
      <c r="AK27" s="918">
        <f t="shared" si="21"/>
        <v>2055</v>
      </c>
      <c r="AL27" s="918">
        <f t="shared" si="21"/>
        <v>2056</v>
      </c>
      <c r="AM27" s="918">
        <f t="shared" si="21"/>
        <v>2057</v>
      </c>
      <c r="AN27" s="918">
        <f t="shared" si="21"/>
        <v>2058</v>
      </c>
      <c r="AO27" s="918">
        <f t="shared" si="21"/>
        <v>2059</v>
      </c>
    </row>
    <row r="28" spans="1:41" s="940" customFormat="1" ht="15"/>
    <row r="29" spans="1:41" s="940" customFormat="1" ht="15">
      <c r="A29" s="938" t="s">
        <v>459</v>
      </c>
      <c r="B29" s="939" t="s">
        <v>456</v>
      </c>
      <c r="C29" s="933">
        <f t="shared" ref="C29:AE29" si="22">C15-C24</f>
        <v>0</v>
      </c>
      <c r="D29" s="933">
        <f t="shared" si="22"/>
        <v>0</v>
      </c>
      <c r="E29" s="933">
        <f t="shared" si="22"/>
        <v>0</v>
      </c>
      <c r="F29" s="933">
        <f t="shared" si="22"/>
        <v>0</v>
      </c>
      <c r="G29" s="933">
        <f t="shared" si="22"/>
        <v>0</v>
      </c>
      <c r="H29" s="933">
        <f t="shared" si="22"/>
        <v>0</v>
      </c>
      <c r="I29" s="933">
        <f t="shared" si="22"/>
        <v>0</v>
      </c>
      <c r="J29" s="933">
        <f t="shared" si="22"/>
        <v>0</v>
      </c>
      <c r="K29" s="933">
        <f t="shared" si="22"/>
        <v>0</v>
      </c>
      <c r="L29" s="933">
        <f t="shared" si="22"/>
        <v>16910.283218804747</v>
      </c>
      <c r="M29" s="933">
        <f t="shared" si="22"/>
        <v>17050.834972498938</v>
      </c>
      <c r="N29" s="933">
        <f t="shared" si="22"/>
        <v>973667.1403659787</v>
      </c>
      <c r="O29" s="933">
        <f t="shared" si="22"/>
        <v>980050.78178380243</v>
      </c>
      <c r="P29" s="933">
        <f t="shared" si="22"/>
        <v>1274083.1197489016</v>
      </c>
      <c r="Q29" s="933">
        <f t="shared" si="22"/>
        <v>1287044.1239341274</v>
      </c>
      <c r="R29" s="933">
        <f t="shared" si="22"/>
        <v>1288985.7776404321</v>
      </c>
      <c r="S29" s="933">
        <f t="shared" si="22"/>
        <v>1298073.3828316443</v>
      </c>
      <c r="T29" s="933">
        <f t="shared" si="22"/>
        <v>1305069.5190275237</v>
      </c>
      <c r="U29" s="933">
        <f t="shared" si="22"/>
        <v>1308851.7605705373</v>
      </c>
      <c r="V29" s="933">
        <f t="shared" si="22"/>
        <v>1312903.511099115</v>
      </c>
      <c r="W29" s="933">
        <f t="shared" si="22"/>
        <v>1323629.572387863</v>
      </c>
      <c r="X29" s="933">
        <f t="shared" si="22"/>
        <v>1325599.7623396944</v>
      </c>
      <c r="Y29" s="933">
        <f t="shared" si="22"/>
        <v>1333519.3631478772</v>
      </c>
      <c r="Z29" s="933">
        <f t="shared" si="22"/>
        <v>1329741.4813090432</v>
      </c>
      <c r="AA29" s="933">
        <f t="shared" si="22"/>
        <v>1334128.1363858618</v>
      </c>
      <c r="AB29" s="933">
        <f t="shared" si="22"/>
        <v>1367418.8374910597</v>
      </c>
      <c r="AC29" s="933">
        <f t="shared" si="22"/>
        <v>1370115.5126936845</v>
      </c>
      <c r="AD29" s="933">
        <f t="shared" si="22"/>
        <v>1374042.8134848103</v>
      </c>
      <c r="AE29" s="933">
        <f t="shared" si="22"/>
        <v>1378778.2448958941</v>
      </c>
      <c r="AF29" s="933">
        <f t="shared" ref="AF29:AO29" si="23">AF15-AF24</f>
        <v>1380449.9932798818</v>
      </c>
      <c r="AG29" s="933">
        <f t="shared" si="23"/>
        <v>1380449.9932798836</v>
      </c>
      <c r="AH29" s="933">
        <f t="shared" si="23"/>
        <v>1380449.9932798818</v>
      </c>
      <c r="AI29" s="933">
        <f t="shared" si="23"/>
        <v>1380449.9932798836</v>
      </c>
      <c r="AJ29" s="933">
        <f t="shared" si="23"/>
        <v>1380449.9932798799</v>
      </c>
      <c r="AK29" s="933">
        <f t="shared" si="23"/>
        <v>1380449.9932798818</v>
      </c>
      <c r="AL29" s="933">
        <f t="shared" si="23"/>
        <v>1380449.9932798818</v>
      </c>
      <c r="AM29" s="933">
        <f t="shared" si="23"/>
        <v>1380449.9932798799</v>
      </c>
      <c r="AN29" s="933">
        <f t="shared" si="23"/>
        <v>1380449.9932798836</v>
      </c>
      <c r="AO29" s="933">
        <f t="shared" si="23"/>
        <v>1380449.9932798818</v>
      </c>
    </row>
    <row r="30" spans="1:41" s="894" customFormat="1">
      <c r="A30" s="888"/>
      <c r="B30" s="920"/>
    </row>
    <row r="31" spans="1:41" s="946" customFormat="1" ht="15">
      <c r="A31" s="942" t="s">
        <v>89</v>
      </c>
      <c r="B31" s="943"/>
      <c r="C31" s="944"/>
      <c r="D31" s="944"/>
      <c r="E31" s="944"/>
      <c r="F31" s="944"/>
      <c r="G31" s="944"/>
      <c r="H31" s="944"/>
      <c r="I31" s="945"/>
      <c r="J31" s="945"/>
      <c r="K31" s="945"/>
      <c r="L31" s="945"/>
      <c r="M31" s="945"/>
      <c r="N31" s="945"/>
      <c r="O31" s="945"/>
      <c r="P31" s="945"/>
      <c r="Q31" s="945"/>
      <c r="R31" s="945"/>
      <c r="S31" s="945"/>
      <c r="T31" s="945"/>
      <c r="U31" s="945"/>
      <c r="V31" s="945"/>
      <c r="W31" s="945"/>
      <c r="X31" s="945"/>
      <c r="Y31" s="945"/>
      <c r="Z31" s="945"/>
      <c r="AA31" s="945"/>
      <c r="AB31" s="945"/>
      <c r="AC31" s="945"/>
      <c r="AD31" s="945"/>
      <c r="AE31" s="945"/>
      <c r="AF31" s="945"/>
      <c r="AG31" s="945"/>
      <c r="AH31" s="945"/>
      <c r="AI31" s="945"/>
      <c r="AJ31" s="945"/>
      <c r="AK31" s="945"/>
      <c r="AL31" s="945"/>
      <c r="AM31" s="945"/>
      <c r="AN31" s="945"/>
      <c r="AO31" s="945"/>
    </row>
    <row r="32" spans="1:41" s="946" customFormat="1">
      <c r="A32" s="888"/>
      <c r="B32" s="888"/>
      <c r="C32" s="888"/>
      <c r="D32" s="888"/>
      <c r="E32" s="888"/>
      <c r="F32" s="888"/>
      <c r="G32" s="888"/>
      <c r="H32" s="888"/>
      <c r="I32" s="888"/>
      <c r="J32" s="888"/>
      <c r="K32" s="888"/>
      <c r="L32" s="888"/>
      <c r="M32" s="888"/>
      <c r="N32" s="888"/>
      <c r="O32" s="888"/>
      <c r="P32" s="888"/>
      <c r="Q32" s="888"/>
      <c r="R32" s="888"/>
      <c r="S32" s="888"/>
      <c r="T32" s="888"/>
      <c r="U32" s="888"/>
      <c r="V32" s="888"/>
      <c r="W32" s="888"/>
      <c r="X32" s="888"/>
      <c r="Y32" s="888"/>
      <c r="Z32" s="888"/>
      <c r="AA32" s="888"/>
      <c r="AB32" s="888"/>
      <c r="AC32" s="888"/>
      <c r="AD32" s="888"/>
      <c r="AE32" s="888"/>
      <c r="AF32" s="888"/>
      <c r="AG32" s="888"/>
      <c r="AH32" s="888"/>
      <c r="AI32" s="888"/>
      <c r="AJ32" s="888"/>
      <c r="AK32" s="888"/>
      <c r="AL32" s="888"/>
      <c r="AM32" s="888"/>
      <c r="AN32" s="888"/>
      <c r="AO32" s="888"/>
    </row>
    <row r="33" spans="1:41" s="950" customFormat="1">
      <c r="A33" s="947" t="s">
        <v>529</v>
      </c>
      <c r="B33" s="1017" t="s">
        <v>525</v>
      </c>
      <c r="C33" s="949">
        <f>C13-C22</f>
        <v>0</v>
      </c>
      <c r="D33" s="949">
        <f t="shared" ref="D33:AE33" si="24">D13-D22</f>
        <v>0</v>
      </c>
      <c r="E33" s="949">
        <f t="shared" si="24"/>
        <v>0</v>
      </c>
      <c r="F33" s="949">
        <f t="shared" si="24"/>
        <v>0</v>
      </c>
      <c r="G33" s="949">
        <f t="shared" si="24"/>
        <v>0</v>
      </c>
      <c r="H33" s="949">
        <f t="shared" si="24"/>
        <v>0</v>
      </c>
      <c r="I33" s="949">
        <f t="shared" si="24"/>
        <v>0</v>
      </c>
      <c r="J33" s="949">
        <f t="shared" si="24"/>
        <v>0</v>
      </c>
      <c r="K33" s="949">
        <f t="shared" si="24"/>
        <v>0</v>
      </c>
      <c r="L33" s="949">
        <f t="shared" si="24"/>
        <v>5393.8043478261679</v>
      </c>
      <c r="M33" s="949">
        <f t="shared" si="24"/>
        <v>5393.8043478261679</v>
      </c>
      <c r="N33" s="949">
        <f t="shared" si="24"/>
        <v>305905.76086956542</v>
      </c>
      <c r="O33" s="949">
        <f t="shared" si="24"/>
        <v>305905.76086956495</v>
      </c>
      <c r="P33" s="949">
        <f t="shared" si="24"/>
        <v>396336.74347826047</v>
      </c>
      <c r="Q33" s="949">
        <f t="shared" si="24"/>
        <v>396336.74347826</v>
      </c>
      <c r="R33" s="949">
        <f t="shared" si="24"/>
        <v>396336.74347826093</v>
      </c>
      <c r="S33" s="949">
        <f t="shared" si="24"/>
        <v>396336.74347826093</v>
      </c>
      <c r="T33" s="949">
        <f t="shared" si="24"/>
        <v>396336.7434782614</v>
      </c>
      <c r="U33" s="949">
        <f t="shared" si="24"/>
        <v>396336.7434782614</v>
      </c>
      <c r="V33" s="949">
        <f t="shared" si="24"/>
        <v>396336.7434782614</v>
      </c>
      <c r="W33" s="949">
        <f t="shared" si="24"/>
        <v>396336.74347826</v>
      </c>
      <c r="X33" s="949">
        <f t="shared" si="24"/>
        <v>396336.74347826047</v>
      </c>
      <c r="Y33" s="949">
        <f t="shared" si="24"/>
        <v>396336.74347826047</v>
      </c>
      <c r="Z33" s="949">
        <f t="shared" si="24"/>
        <v>396336.74347826093</v>
      </c>
      <c r="AA33" s="949">
        <f t="shared" si="24"/>
        <v>396336.74347826093</v>
      </c>
      <c r="AB33" s="949">
        <f t="shared" si="24"/>
        <v>396336.74347826093</v>
      </c>
      <c r="AC33" s="949">
        <f t="shared" si="24"/>
        <v>396336.74347826047</v>
      </c>
      <c r="AD33" s="949">
        <f t="shared" si="24"/>
        <v>396336.74347826</v>
      </c>
      <c r="AE33" s="949">
        <f t="shared" si="24"/>
        <v>396336.7434782614</v>
      </c>
      <c r="AF33" s="949">
        <f t="shared" ref="AF33:AO33" si="25">AF13-AF22</f>
        <v>396336.74347826047</v>
      </c>
      <c r="AG33" s="949">
        <f t="shared" si="25"/>
        <v>396336.7434782614</v>
      </c>
      <c r="AH33" s="949">
        <f t="shared" si="25"/>
        <v>396336.74347826093</v>
      </c>
      <c r="AI33" s="949">
        <f t="shared" si="25"/>
        <v>396336.7434782614</v>
      </c>
      <c r="AJ33" s="949">
        <f t="shared" si="25"/>
        <v>396336.74347826047</v>
      </c>
      <c r="AK33" s="949">
        <f t="shared" si="25"/>
        <v>396336.74347826047</v>
      </c>
      <c r="AL33" s="949">
        <f t="shared" si="25"/>
        <v>396336.74347826093</v>
      </c>
      <c r="AM33" s="949">
        <f t="shared" si="25"/>
        <v>396336.74347826047</v>
      </c>
      <c r="AN33" s="949">
        <f t="shared" si="25"/>
        <v>396336.74347826093</v>
      </c>
      <c r="AO33" s="949">
        <f t="shared" si="25"/>
        <v>396336.74347826093</v>
      </c>
    </row>
    <row r="34" spans="1:41" s="888" customFormat="1"/>
    <row r="35" spans="1:41" s="894" customFormat="1">
      <c r="A35" s="888"/>
      <c r="B35" s="920"/>
    </row>
    <row r="36" spans="1:41" s="894" customFormat="1">
      <c r="A36" s="888"/>
      <c r="B36" s="920"/>
    </row>
    <row r="37" spans="1:41" s="894" customFormat="1">
      <c r="A37" s="888"/>
      <c r="B37" s="920"/>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9719D-C6B3-41EC-9016-3D4BF316F3FD}">
  <sheetPr codeName="Sheet14">
    <tabColor rgb="FF0070C0"/>
  </sheetPr>
  <dimension ref="B2:AE66"/>
  <sheetViews>
    <sheetView showGridLines="0" topLeftCell="A7" zoomScale="80" zoomScaleNormal="80" workbookViewId="0">
      <selection activeCell="D47" sqref="D47"/>
    </sheetView>
  </sheetViews>
  <sheetFormatPr defaultRowHeight="14.25"/>
  <cols>
    <col min="2" max="2" width="37.125" bestFit="1" customWidth="1"/>
    <col min="3" max="3" width="19.625" customWidth="1"/>
    <col min="4" max="5" width="21.625" customWidth="1"/>
    <col min="6" max="6" width="18.75" customWidth="1"/>
  </cols>
  <sheetData>
    <row r="2" spans="2:8">
      <c r="B2" s="601" t="s">
        <v>530</v>
      </c>
      <c r="C2" s="602" t="s">
        <v>531</v>
      </c>
      <c r="D2" s="602" t="s">
        <v>532</v>
      </c>
      <c r="E2" s="602" t="s">
        <v>78</v>
      </c>
    </row>
    <row r="3" spans="2:8">
      <c r="B3" s="614" t="str">
        <f>B11</f>
        <v>Avoided Tons of GHG (CO2)</v>
      </c>
      <c r="C3" s="612">
        <f t="shared" ref="C3:E3" si="0">C11</f>
        <v>261.46727930881025</v>
      </c>
      <c r="D3" s="612">
        <f t="shared" si="0"/>
        <v>17205.368199065906</v>
      </c>
      <c r="E3" s="615">
        <f t="shared" si="0"/>
        <v>468053.90256109537</v>
      </c>
    </row>
    <row r="4" spans="2:8">
      <c r="B4" s="614" t="str">
        <f>B12</f>
        <v>Avoided Tons of CAC (Non-CO2)</v>
      </c>
      <c r="C4" s="613">
        <f t="shared" ref="C4:E4" si="1">C12</f>
        <v>9.9011728994088277E-2</v>
      </c>
      <c r="D4" s="613">
        <f t="shared" si="1"/>
        <v>6.7909921837662646</v>
      </c>
      <c r="E4" s="616">
        <f t="shared" si="1"/>
        <v>164.21009123049492</v>
      </c>
    </row>
    <row r="5" spans="2:8">
      <c r="B5" s="614" t="str">
        <f>B20</f>
        <v>Avoided Fatalities</v>
      </c>
      <c r="C5" s="609">
        <f t="shared" ref="C5:E5" si="2">C20</f>
        <v>6.356122500000172E-3</v>
      </c>
      <c r="D5" s="609">
        <f t="shared" si="2"/>
        <v>0.42923076846000008</v>
      </c>
      <c r="E5" s="620">
        <f t="shared" si="2"/>
        <v>12.876923053800002</v>
      </c>
    </row>
    <row r="6" spans="2:8">
      <c r="B6" s="614" t="str">
        <f>B21</f>
        <v>Avoided Injuries</v>
      </c>
      <c r="C6" s="609">
        <f t="shared" ref="C6:E6" si="3">C21</f>
        <v>0.18444431250000548</v>
      </c>
      <c r="D6" s="609">
        <f t="shared" si="3"/>
        <v>12.455577121500001</v>
      </c>
      <c r="E6" s="620">
        <f t="shared" si="3"/>
        <v>373.66731364500004</v>
      </c>
    </row>
    <row r="7" spans="2:8">
      <c r="B7" s="614" t="str">
        <f>B16</f>
        <v>Avoided Truck-Miles</v>
      </c>
      <c r="C7" s="610">
        <f>C16</f>
        <v>145950</v>
      </c>
      <c r="D7" s="610">
        <f>D16</f>
        <v>9856045.1999999993</v>
      </c>
      <c r="E7" s="618">
        <f>E16</f>
        <v>295681356</v>
      </c>
    </row>
    <row r="10" spans="2:8">
      <c r="B10" s="601" t="s">
        <v>533</v>
      </c>
      <c r="C10" s="602" t="s">
        <v>531</v>
      </c>
      <c r="D10" s="602" t="s">
        <v>532</v>
      </c>
      <c r="E10" s="602" t="s">
        <v>78</v>
      </c>
      <c r="H10" s="832"/>
    </row>
    <row r="11" spans="2:8">
      <c r="B11" s="614" t="s">
        <v>534</v>
      </c>
      <c r="C11" s="612">
        <f>Results!L81</f>
        <v>261.46727930881025</v>
      </c>
      <c r="D11" s="834">
        <f>Results!D104</f>
        <v>17205.368199065906</v>
      </c>
      <c r="E11" s="615">
        <f>Results!D94</f>
        <v>468053.90256109537</v>
      </c>
    </row>
    <row r="12" spans="2:8">
      <c r="B12" s="614" t="s">
        <v>535</v>
      </c>
      <c r="C12" s="613">
        <f>SUM(Results!L82:L85)</f>
        <v>9.9011728994088277E-2</v>
      </c>
      <c r="D12" s="613">
        <f>SUM(Results!D105:D107)</f>
        <v>6.7909921837662646</v>
      </c>
      <c r="E12" s="616">
        <f>SUM(Results!D95:D97)</f>
        <v>164.21009123049492</v>
      </c>
    </row>
    <row r="13" spans="2:8">
      <c r="B13" s="614" t="s">
        <v>536</v>
      </c>
      <c r="C13" s="611">
        <f>SUM(Results!L56:L57)</f>
        <v>68707.453775437854</v>
      </c>
      <c r="D13" s="611">
        <f>AVERAGEIF(I66:AM66,"&gt;0")</f>
        <v>3743985.9684599685</v>
      </c>
      <c r="E13" s="617">
        <f>SUM(Results!I56:AE57)</f>
        <v>74879719.36919935</v>
      </c>
    </row>
    <row r="14" spans="2:8">
      <c r="B14" s="568"/>
      <c r="C14" s="585"/>
      <c r="D14" s="585"/>
      <c r="E14" s="585"/>
    </row>
    <row r="15" spans="2:8">
      <c r="B15" s="601" t="s">
        <v>61</v>
      </c>
      <c r="C15" s="602" t="s">
        <v>531</v>
      </c>
      <c r="D15" s="602" t="s">
        <v>532</v>
      </c>
      <c r="E15" s="602" t="s">
        <v>78</v>
      </c>
    </row>
    <row r="16" spans="2:8">
      <c r="B16" s="614" t="s">
        <v>537</v>
      </c>
      <c r="C16" s="610">
        <f>Results!L91</f>
        <v>145950</v>
      </c>
      <c r="D16" s="610">
        <f>Results!D111</f>
        <v>9856045.1999999993</v>
      </c>
      <c r="E16" s="618">
        <f>Results!D101</f>
        <v>295681356</v>
      </c>
    </row>
    <row r="17" spans="2:5">
      <c r="B17" s="614" t="s">
        <v>536</v>
      </c>
      <c r="C17" s="611">
        <f>Results!L61</f>
        <v>10793.805073600119</v>
      </c>
      <c r="D17" s="607">
        <f>AVERAGEIF(Results!I58:AE58,"&gt;0")</f>
        <v>4416126.4183575632</v>
      </c>
      <c r="E17" s="619">
        <f>SUM(Results!I58:AE58)</f>
        <v>88322528.36715126</v>
      </c>
    </row>
    <row r="18" spans="2:5">
      <c r="B18" s="568"/>
      <c r="C18" s="585"/>
      <c r="D18" s="585"/>
      <c r="E18" s="585"/>
    </row>
    <row r="19" spans="2:5">
      <c r="B19" s="601" t="s">
        <v>58</v>
      </c>
      <c r="C19" s="602" t="s">
        <v>531</v>
      </c>
      <c r="D19" s="602" t="s">
        <v>532</v>
      </c>
      <c r="E19" s="602" t="s">
        <v>78</v>
      </c>
    </row>
    <row r="20" spans="2:5">
      <c r="B20" s="614" t="s">
        <v>538</v>
      </c>
      <c r="C20" s="609">
        <f>Results!L87</f>
        <v>6.356122500000172E-3</v>
      </c>
      <c r="D20" s="609">
        <f>Results!D108</f>
        <v>0.42923076846000008</v>
      </c>
      <c r="E20" s="620">
        <f>Results!D98</f>
        <v>12.876923053800002</v>
      </c>
    </row>
    <row r="21" spans="2:5">
      <c r="B21" s="614" t="s">
        <v>539</v>
      </c>
      <c r="C21" s="609">
        <f>Results!L88</f>
        <v>0.18444431250000548</v>
      </c>
      <c r="D21" s="609">
        <f>Results!D109</f>
        <v>12.455577121500001</v>
      </c>
      <c r="E21" s="620">
        <f>Results!D99</f>
        <v>373.66731364500004</v>
      </c>
    </row>
    <row r="22" spans="2:5">
      <c r="B22" s="614" t="s">
        <v>536</v>
      </c>
      <c r="C22" s="825">
        <f>Results!L58</f>
        <v>93672.744735078479</v>
      </c>
      <c r="D22" s="607">
        <f>AVERAGEIF(Results!I58:AE58,"&gt;0")</f>
        <v>4416126.4183575632</v>
      </c>
      <c r="E22" s="619">
        <f>SUM(Results!I58:AE58)</f>
        <v>88322528.36715126</v>
      </c>
    </row>
    <row r="23" spans="2:5">
      <c r="B23" s="568"/>
      <c r="C23" s="585"/>
      <c r="D23" s="585"/>
      <c r="E23" s="585"/>
    </row>
    <row r="24" spans="2:5">
      <c r="B24" s="601" t="s">
        <v>118</v>
      </c>
      <c r="C24" s="602" t="s">
        <v>531</v>
      </c>
      <c r="D24" s="602" t="s">
        <v>532</v>
      </c>
      <c r="E24" s="602" t="s">
        <v>78</v>
      </c>
    </row>
    <row r="25" spans="2:5">
      <c r="B25" s="614" t="s">
        <v>540</v>
      </c>
      <c r="C25" s="608">
        <f>-Demand.Forecast!L49</f>
        <v>3648750</v>
      </c>
      <c r="D25" s="608">
        <f>-AVERAGEIF(Demand.Forecast!I49:AE49,"&lt;0")</f>
        <v>235546620</v>
      </c>
      <c r="E25" s="621">
        <f>-SUM(Demand.Forecast!I49:AE49)</f>
        <v>4710932400</v>
      </c>
    </row>
    <row r="26" spans="2:5">
      <c r="B26" s="614" t="s">
        <v>536</v>
      </c>
      <c r="C26" s="607">
        <f>Results!L55</f>
        <v>1134821.3750194211</v>
      </c>
      <c r="D26" s="607">
        <f>AVERAGE(Results!L55:AE55)</f>
        <v>53500243.51814808</v>
      </c>
      <c r="E26" s="619">
        <f>SUM(Results!I55:AB55)</f>
        <v>925561754.0340451</v>
      </c>
    </row>
    <row r="28" spans="2:5">
      <c r="B28" s="601" t="s">
        <v>52</v>
      </c>
      <c r="C28" s="602" t="s">
        <v>1031</v>
      </c>
      <c r="D28" s="604" t="s">
        <v>1032</v>
      </c>
      <c r="E28" s="589"/>
    </row>
    <row r="29" spans="2:5" ht="12.95" customHeight="1">
      <c r="B29" s="614" t="s">
        <v>118</v>
      </c>
      <c r="C29" s="607">
        <f>Results!C6</f>
        <v>2935057890.189918</v>
      </c>
      <c r="D29" s="619">
        <f>Results!D6</f>
        <v>1466216985.3181121</v>
      </c>
      <c r="E29" s="590"/>
    </row>
    <row r="30" spans="2:5">
      <c r="B30" s="614" t="s">
        <v>56</v>
      </c>
      <c r="C30" s="607">
        <f>Results!C7</f>
        <v>147422763.6176087</v>
      </c>
      <c r="D30" s="619">
        <f>Results!D7</f>
        <v>94644307.980748206</v>
      </c>
      <c r="E30" s="590"/>
    </row>
    <row r="31" spans="2:5">
      <c r="B31" s="614" t="s">
        <v>57</v>
      </c>
      <c r="C31" s="607">
        <f>Results!C8</f>
        <v>13602090.644015988</v>
      </c>
      <c r="D31" s="619">
        <f>Results!D8</f>
        <v>7182871.2898530951</v>
      </c>
      <c r="E31" s="591"/>
    </row>
    <row r="32" spans="2:5">
      <c r="B32" s="614" t="s">
        <v>58</v>
      </c>
      <c r="C32" s="607">
        <f>Results!C9</f>
        <v>242271545.62165201</v>
      </c>
      <c r="D32" s="619">
        <f>Results!D9</f>
        <v>121027478.34617767</v>
      </c>
      <c r="E32" s="591"/>
    </row>
    <row r="33" spans="2:6">
      <c r="B33" s="614" t="s">
        <v>61</v>
      </c>
      <c r="C33" s="607">
        <f>Results!C12</f>
        <v>27916677.852407541</v>
      </c>
      <c r="D33" s="619">
        <f>Results!D12</f>
        <v>13945860.276781578</v>
      </c>
      <c r="E33" s="591"/>
    </row>
    <row r="34" spans="2:6">
      <c r="B34" s="614" t="s">
        <v>1033</v>
      </c>
      <c r="C34" s="607"/>
      <c r="D34" s="619"/>
      <c r="E34" s="591"/>
    </row>
    <row r="35" spans="2:6">
      <c r="B35" s="614" t="s">
        <v>1034</v>
      </c>
      <c r="C35" s="607"/>
      <c r="D35" s="619"/>
      <c r="E35" s="591"/>
    </row>
    <row r="36" spans="2:6">
      <c r="B36" s="614" t="s">
        <v>62</v>
      </c>
      <c r="C36" s="607">
        <f>Results!C13</f>
        <v>0</v>
      </c>
      <c r="D36" s="619">
        <f>Results!D13</f>
        <v>0</v>
      </c>
      <c r="E36" s="591"/>
    </row>
    <row r="37" spans="2:6">
      <c r="B37" s="614" t="s">
        <v>119</v>
      </c>
      <c r="C37" s="607">
        <f>Results!C14</f>
        <v>-27349735.384615373</v>
      </c>
      <c r="D37" s="619">
        <f>Results!D14</f>
        <v>-12959617.392153509</v>
      </c>
    </row>
    <row r="38" spans="2:6">
      <c r="B38" s="605" t="s">
        <v>78</v>
      </c>
      <c r="C38" s="606">
        <f>SUM(C29:C37)</f>
        <v>3338921232.5409865</v>
      </c>
      <c r="D38" s="606">
        <f>SUM(D29:D37)</f>
        <v>1690057885.819519</v>
      </c>
    </row>
    <row r="40" spans="2:6">
      <c r="B40" s="568"/>
    </row>
    <row r="41" spans="2:6" ht="25.5">
      <c r="B41" s="602" t="s">
        <v>541</v>
      </c>
      <c r="C41" s="603" t="s">
        <v>542</v>
      </c>
      <c r="D41" s="648" t="s">
        <v>543</v>
      </c>
      <c r="E41" s="650" t="s">
        <v>544</v>
      </c>
    </row>
    <row r="42" spans="2:6">
      <c r="B42" s="807" t="s">
        <v>545</v>
      </c>
      <c r="C42" s="808" t="s">
        <v>546</v>
      </c>
      <c r="D42" s="1237">
        <v>1576</v>
      </c>
      <c r="E42" s="833">
        <v>11.5</v>
      </c>
    </row>
    <row r="43" spans="2:6">
      <c r="B43" s="807" t="s">
        <v>547</v>
      </c>
      <c r="C43" s="809" t="s">
        <v>1018</v>
      </c>
      <c r="D43" s="1237">
        <v>1541</v>
      </c>
      <c r="E43" s="812">
        <v>7.3</v>
      </c>
      <c r="F43" s="1239">
        <f>(D43-$D$42)/$D$42</f>
        <v>-2.2208121827411168E-2</v>
      </c>
    </row>
    <row r="44" spans="2:6">
      <c r="B44" s="807"/>
      <c r="C44" s="809" t="s">
        <v>1019</v>
      </c>
      <c r="D44" s="1237">
        <v>1612</v>
      </c>
      <c r="E44" s="812">
        <v>20.399999999999999</v>
      </c>
      <c r="F44" s="1239">
        <f>(D44-$D$42)/$D$42</f>
        <v>2.2842639593908629E-2</v>
      </c>
    </row>
    <row r="45" spans="2:6">
      <c r="B45" s="807" t="s">
        <v>548</v>
      </c>
      <c r="C45" s="808" t="s">
        <v>1020</v>
      </c>
      <c r="D45" s="1237">
        <v>110</v>
      </c>
      <c r="E45" s="836">
        <v>1.3</v>
      </c>
      <c r="F45" s="1239">
        <f>(D45-$D$42)/$D$42</f>
        <v>-0.93020304568527923</v>
      </c>
    </row>
    <row r="46" spans="2:6" ht="24">
      <c r="B46" s="807" t="s">
        <v>549</v>
      </c>
      <c r="C46" s="808" t="s">
        <v>1021</v>
      </c>
      <c r="D46" s="1237">
        <v>710</v>
      </c>
      <c r="E46" s="836">
        <v>5.7</v>
      </c>
      <c r="F46" s="1239">
        <f>(D46-$D$42)/$D$42</f>
        <v>-0.54949238578680204</v>
      </c>
    </row>
    <row r="51" spans="2:31">
      <c r="C51" s="806" t="s">
        <v>550</v>
      </c>
      <c r="D51" s="649"/>
      <c r="E51" s="835"/>
    </row>
    <row r="52" spans="2:31">
      <c r="C52" t="s">
        <v>551</v>
      </c>
      <c r="D52" s="805"/>
      <c r="E52" s="810"/>
    </row>
    <row r="53" spans="2:31">
      <c r="E53" s="598"/>
    </row>
    <row r="55" spans="2:31">
      <c r="D55" s="758"/>
    </row>
    <row r="62" spans="2:31">
      <c r="D62">
        <f>Results!D54</f>
        <v>2022</v>
      </c>
      <c r="E62">
        <f>Results!E54</f>
        <v>2023</v>
      </c>
      <c r="F62">
        <f>Results!F54</f>
        <v>2024</v>
      </c>
      <c r="G62">
        <f>Results!G54</f>
        <v>2025</v>
      </c>
      <c r="H62">
        <f>Results!H54</f>
        <v>2026</v>
      </c>
      <c r="I62">
        <f>Results!I54</f>
        <v>2027</v>
      </c>
      <c r="J62">
        <f>Results!J54</f>
        <v>2028</v>
      </c>
      <c r="K62">
        <f>Results!K54</f>
        <v>2029</v>
      </c>
      <c r="L62">
        <f>Results!L54</f>
        <v>2030</v>
      </c>
      <c r="M62">
        <f>Results!M54</f>
        <v>2031</v>
      </c>
      <c r="N62">
        <f>Results!N54</f>
        <v>2032</v>
      </c>
      <c r="O62">
        <f>Results!O54</f>
        <v>2033</v>
      </c>
      <c r="P62">
        <f>Results!P54</f>
        <v>2034</v>
      </c>
      <c r="Q62">
        <f>Results!Q54</f>
        <v>2035</v>
      </c>
      <c r="R62">
        <f>Results!R54</f>
        <v>2036</v>
      </c>
      <c r="S62">
        <f>Results!S54</f>
        <v>2037</v>
      </c>
      <c r="T62">
        <f>Results!T54</f>
        <v>2038</v>
      </c>
      <c r="U62">
        <f>Results!U54</f>
        <v>2039</v>
      </c>
      <c r="V62">
        <f>Results!V54</f>
        <v>2040</v>
      </c>
      <c r="W62">
        <f>Results!W54</f>
        <v>2041</v>
      </c>
      <c r="X62">
        <f>Results!X54</f>
        <v>2042</v>
      </c>
      <c r="Y62">
        <f>Results!Y54</f>
        <v>2043</v>
      </c>
      <c r="Z62">
        <f>Results!Z54</f>
        <v>2044</v>
      </c>
      <c r="AA62">
        <f>Results!AA54</f>
        <v>2045</v>
      </c>
      <c r="AB62">
        <f>Results!AB54</f>
        <v>2046</v>
      </c>
      <c r="AC62">
        <f>Results!AC54</f>
        <v>2047</v>
      </c>
      <c r="AD62">
        <f>Results!AD54</f>
        <v>2048</v>
      </c>
      <c r="AE62">
        <f>Results!AE54</f>
        <v>2049</v>
      </c>
    </row>
    <row r="63" spans="2:31">
      <c r="B63" t="s">
        <v>534</v>
      </c>
      <c r="D63">
        <f>Results!D56</f>
        <v>0</v>
      </c>
      <c r="E63">
        <f>Results!E56</f>
        <v>0</v>
      </c>
      <c r="F63">
        <f>Results!F56</f>
        <v>0</v>
      </c>
      <c r="G63">
        <f>Results!G56</f>
        <v>0</v>
      </c>
      <c r="H63">
        <f>Results!H56</f>
        <v>0</v>
      </c>
      <c r="I63">
        <f>Results!I56</f>
        <v>0</v>
      </c>
      <c r="J63">
        <f>Results!J56</f>
        <v>0</v>
      </c>
      <c r="K63">
        <f>Results!K56</f>
        <v>0</v>
      </c>
      <c r="L63">
        <f>Results!L56</f>
        <v>57352.069954734594</v>
      </c>
      <c r="M63">
        <f>Results!M56</f>
        <v>57130.434809245009</v>
      </c>
      <c r="N63">
        <f>Results!N56</f>
        <v>3202211.321196449</v>
      </c>
      <c r="O63">
        <f>Results!O56</f>
        <v>3187927.246519173</v>
      </c>
      <c r="P63">
        <f>Results!P56</f>
        <v>4095505.2196919085</v>
      </c>
      <c r="Q63">
        <f>Results!Q56</f>
        <v>4060059.2008709623</v>
      </c>
      <c r="R63">
        <f>Results!R56</f>
        <v>4035687.0689077023</v>
      </c>
      <c r="S63">
        <f>Results!S56</f>
        <v>4024676.3880662736</v>
      </c>
      <c r="T63">
        <f>Results!T56</f>
        <v>3984993.8042126587</v>
      </c>
      <c r="U63">
        <f>Results!U56</f>
        <v>3958744.3431660994</v>
      </c>
      <c r="V63">
        <f>Results!V56</f>
        <v>3945133.2428236543</v>
      </c>
      <c r="W63">
        <f>Results!W56</f>
        <v>3917539.3439569585</v>
      </c>
      <c r="X63">
        <f>Results!X56</f>
        <v>3902128.7493952219</v>
      </c>
      <c r="Y63">
        <f>Results!Y56</f>
        <v>3873338.9306025542</v>
      </c>
      <c r="Z63">
        <f>Results!Z56</f>
        <v>3856293.5548565062</v>
      </c>
      <c r="AA63">
        <f>Results!AA56</f>
        <v>3826446.6512890281</v>
      </c>
      <c r="AB63">
        <f>Results!AB56</f>
        <v>3809851.5922064111</v>
      </c>
      <c r="AC63">
        <f>Results!AC56</f>
        <v>3792436.1753287669</v>
      </c>
      <c r="AD63">
        <f>Results!AD56</f>
        <v>3774238.9518111083</v>
      </c>
      <c r="AE63">
        <f>Results!AE56</f>
        <v>3744284.6744157821</v>
      </c>
    </row>
    <row r="64" spans="2:31">
      <c r="B64" t="s">
        <v>535</v>
      </c>
      <c r="D64">
        <f>Results!D57</f>
        <v>0</v>
      </c>
      <c r="E64">
        <f>Results!E57</f>
        <v>0</v>
      </c>
      <c r="F64">
        <f>Results!F57</f>
        <v>0</v>
      </c>
      <c r="G64">
        <f>Results!G57</f>
        <v>0</v>
      </c>
      <c r="H64">
        <f>Results!H57</f>
        <v>0</v>
      </c>
      <c r="I64">
        <f>Results!I57</f>
        <v>0</v>
      </c>
      <c r="J64">
        <f>Results!J57</f>
        <v>0</v>
      </c>
      <c r="K64">
        <f>Results!K57</f>
        <v>0</v>
      </c>
      <c r="L64">
        <f>Results!L57</f>
        <v>11355.383820703266</v>
      </c>
      <c r="M64">
        <f>Results!M57</f>
        <v>9464.651497410372</v>
      </c>
      <c r="N64">
        <f>Results!N57</f>
        <v>456680.25651083409</v>
      </c>
      <c r="O64">
        <f>Results!O57</f>
        <v>379471.26447917533</v>
      </c>
      <c r="P64">
        <f>Results!P57</f>
        <v>395326.30201024946</v>
      </c>
      <c r="Q64">
        <f>Results!Q57</f>
        <v>270937.02072740364</v>
      </c>
      <c r="R64">
        <f>Results!R57</f>
        <v>306295.5468219996</v>
      </c>
      <c r="S64">
        <f>Results!S57</f>
        <v>308969.4034168268</v>
      </c>
      <c r="T64">
        <f>Results!T57</f>
        <v>338461.03798251483</v>
      </c>
      <c r="U64">
        <f>Results!U57</f>
        <v>338229.61601019889</v>
      </c>
      <c r="V64">
        <f>Results!V57</f>
        <v>357240.43081121653</v>
      </c>
      <c r="W64">
        <f>Results!W57</f>
        <v>340968.5879436938</v>
      </c>
      <c r="X64">
        <f>Results!X57</f>
        <v>325352.29187964491</v>
      </c>
      <c r="Y64">
        <f>Results!Y57</f>
        <v>310366.83181427582</v>
      </c>
      <c r="Z64">
        <f>Results!Z57</f>
        <v>295988.39028091525</v>
      </c>
      <c r="AA64">
        <f>Results!AA57</f>
        <v>282194.01176992414</v>
      </c>
      <c r="AB64">
        <f>Results!AB57</f>
        <v>273709.0317846011</v>
      </c>
      <c r="AC64">
        <f>Results!AC57</f>
        <v>265479.17728865333</v>
      </c>
      <c r="AD64">
        <f>Results!AD57</f>
        <v>257496.77719559008</v>
      </c>
      <c r="AE64">
        <f>Results!AE57</f>
        <v>249754.3910723475</v>
      </c>
    </row>
    <row r="66" spans="2:31">
      <c r="B66" t="s">
        <v>552</v>
      </c>
      <c r="D66">
        <f>SUM(D63:D64)</f>
        <v>0</v>
      </c>
      <c r="E66">
        <f t="shared" ref="E66:AB66" si="4">SUM(E63:E64)</f>
        <v>0</v>
      </c>
      <c r="F66">
        <f t="shared" si="4"/>
        <v>0</v>
      </c>
      <c r="G66">
        <f t="shared" si="4"/>
        <v>0</v>
      </c>
      <c r="H66">
        <f t="shared" si="4"/>
        <v>0</v>
      </c>
      <c r="I66">
        <f t="shared" si="4"/>
        <v>0</v>
      </c>
      <c r="J66">
        <f t="shared" si="4"/>
        <v>0</v>
      </c>
      <c r="K66">
        <f t="shared" si="4"/>
        <v>0</v>
      </c>
      <c r="L66">
        <f t="shared" si="4"/>
        <v>68707.453775437854</v>
      </c>
      <c r="M66">
        <f t="shared" si="4"/>
        <v>66595.086306655387</v>
      </c>
      <c r="N66">
        <f t="shared" si="4"/>
        <v>3658891.5777072832</v>
      </c>
      <c r="O66">
        <f t="shared" si="4"/>
        <v>3567398.5109983482</v>
      </c>
      <c r="P66">
        <f t="shared" si="4"/>
        <v>4490831.5217021583</v>
      </c>
      <c r="Q66">
        <f t="shared" si="4"/>
        <v>4330996.2215983663</v>
      </c>
      <c r="R66">
        <f t="shared" si="4"/>
        <v>4341982.6157297017</v>
      </c>
      <c r="S66">
        <f t="shared" si="4"/>
        <v>4333645.7914831005</v>
      </c>
      <c r="T66">
        <f t="shared" si="4"/>
        <v>4323454.8421951737</v>
      </c>
      <c r="U66">
        <f t="shared" si="4"/>
        <v>4296973.9591762982</v>
      </c>
      <c r="V66">
        <f t="shared" si="4"/>
        <v>4302373.6736348709</v>
      </c>
      <c r="W66">
        <f t="shared" si="4"/>
        <v>4258507.9319006521</v>
      </c>
      <c r="X66">
        <f t="shared" si="4"/>
        <v>4227481.041274867</v>
      </c>
      <c r="Y66">
        <f t="shared" si="4"/>
        <v>4183705.7624168303</v>
      </c>
      <c r="Z66">
        <f t="shared" si="4"/>
        <v>4152281.9451374216</v>
      </c>
      <c r="AA66">
        <f t="shared" si="4"/>
        <v>4108640.6630589524</v>
      </c>
      <c r="AB66">
        <f t="shared" si="4"/>
        <v>4083560.6239910121</v>
      </c>
      <c r="AC66">
        <f t="shared" ref="AC66:AE66" si="5">SUM(AC63:AC64)</f>
        <v>4057915.3526174203</v>
      </c>
      <c r="AD66">
        <f t="shared" si="5"/>
        <v>4031735.7290066984</v>
      </c>
      <c r="AE66">
        <f t="shared" si="5"/>
        <v>3994039.0654881294</v>
      </c>
    </row>
  </sheetData>
  <pageMargins left="0.7" right="0.7" top="0.75" bottom="0.75" header="0.3" footer="0.3"/>
  <pageSetup orientation="portrait" horizontalDpi="90" verticalDpi="9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theme="9" tint="0.59999389629810485"/>
  </sheetPr>
  <dimension ref="A1:AY96"/>
  <sheetViews>
    <sheetView showGridLines="0" zoomScaleNormal="100" workbookViewId="0">
      <selection activeCell="H56" sqref="H56"/>
    </sheetView>
  </sheetViews>
  <sheetFormatPr defaultColWidth="17.75" defaultRowHeight="14.25"/>
  <sheetData>
    <row r="1" spans="1:51" ht="15.75">
      <c r="A1" s="124" t="s">
        <v>553</v>
      </c>
    </row>
    <row r="2" spans="1:51" ht="15.75">
      <c r="A2" s="592" t="s">
        <v>554</v>
      </c>
    </row>
    <row r="3" spans="1:51">
      <c r="A3" s="593" t="s">
        <v>555</v>
      </c>
    </row>
    <row r="4" spans="1:51" ht="15">
      <c r="A4" s="1283" t="s">
        <v>85</v>
      </c>
      <c r="B4" s="1283" t="s">
        <v>556</v>
      </c>
      <c r="C4" s="1283"/>
      <c r="D4" s="1283"/>
      <c r="E4" s="1283"/>
      <c r="F4" s="1283"/>
      <c r="G4" s="1283"/>
      <c r="H4" s="6"/>
      <c r="I4" s="1284" t="s">
        <v>85</v>
      </c>
      <c r="J4" s="1283" t="s">
        <v>557</v>
      </c>
      <c r="K4" s="1283"/>
      <c r="L4" s="1283"/>
      <c r="M4" s="1283"/>
      <c r="N4" s="1283"/>
      <c r="O4" s="1283"/>
      <c r="P4" s="1283"/>
      <c r="Y4" s="6"/>
      <c r="Z4" s="6"/>
      <c r="AA4" s="6"/>
      <c r="AB4" s="6"/>
      <c r="AC4" s="6"/>
      <c r="AD4" s="6"/>
      <c r="AE4" s="6"/>
      <c r="AF4" s="6"/>
      <c r="AG4" s="6"/>
      <c r="AH4" s="6"/>
      <c r="AI4" s="6"/>
      <c r="AJ4" s="6"/>
      <c r="AK4" s="6"/>
      <c r="AL4" s="6"/>
      <c r="AM4" s="6"/>
      <c r="AN4" s="6"/>
      <c r="AO4" s="6"/>
      <c r="AP4" s="6"/>
      <c r="AQ4" s="6"/>
      <c r="AR4" s="6"/>
      <c r="AS4" s="6"/>
      <c r="AT4" s="6"/>
      <c r="AU4" s="6"/>
      <c r="AV4" s="6"/>
      <c r="AW4" s="6"/>
      <c r="AX4" s="6"/>
      <c r="AY4" s="6"/>
    </row>
    <row r="5" spans="1:51" ht="15">
      <c r="A5" s="1283"/>
      <c r="B5" s="1179" t="s">
        <v>558</v>
      </c>
      <c r="C5" s="1179" t="s">
        <v>559</v>
      </c>
      <c r="D5" s="1179" t="s">
        <v>560</v>
      </c>
      <c r="E5" s="1179" t="s">
        <v>561</v>
      </c>
      <c r="F5" s="1179" t="s">
        <v>562</v>
      </c>
      <c r="G5" s="1179" t="s">
        <v>563</v>
      </c>
      <c r="I5" s="1285"/>
      <c r="J5" s="1180" t="s">
        <v>564</v>
      </c>
      <c r="K5" s="1180" t="s">
        <v>565</v>
      </c>
      <c r="L5" s="1180" t="s">
        <v>566</v>
      </c>
      <c r="M5" s="1180" t="s">
        <v>567</v>
      </c>
      <c r="N5" s="1180" t="s">
        <v>568</v>
      </c>
      <c r="O5" s="1180" t="s">
        <v>569</v>
      </c>
      <c r="P5" s="1181" t="s">
        <v>570</v>
      </c>
    </row>
    <row r="6" spans="1:51" ht="15">
      <c r="A6" s="1178">
        <v>2015</v>
      </c>
      <c r="B6" s="1182">
        <v>15.033472475</v>
      </c>
      <c r="C6" s="1182">
        <v>3.644387365</v>
      </c>
      <c r="D6" s="1182">
        <v>4.4599424999999998E-2</v>
      </c>
      <c r="E6" s="1182">
        <v>0.98220370000000001</v>
      </c>
      <c r="F6" s="1183">
        <v>2546.415</v>
      </c>
      <c r="G6" s="1182">
        <v>0.19113132499999999</v>
      </c>
      <c r="H6" s="35"/>
      <c r="I6" s="1178">
        <v>2015</v>
      </c>
      <c r="J6" s="1184">
        <f t="shared" ref="J6:O30" si="0">B6*AVERAGE(0,2.5)</f>
        <v>18.791840593749999</v>
      </c>
      <c r="K6" s="1184">
        <f t="shared" si="0"/>
        <v>4.5554842062500001</v>
      </c>
      <c r="L6" s="1184">
        <f t="shared" si="0"/>
        <v>5.5749281249999998E-2</v>
      </c>
      <c r="M6" s="1184">
        <f t="shared" si="0"/>
        <v>1.227754625</v>
      </c>
      <c r="N6" s="1184">
        <f t="shared" si="0"/>
        <v>3183.0187500000002</v>
      </c>
      <c r="O6" s="1184">
        <f t="shared" si="0"/>
        <v>0.23891415624999998</v>
      </c>
      <c r="P6" s="1185">
        <f>0.97*O6</f>
        <v>0.23174673156249997</v>
      </c>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row>
    <row r="7" spans="1:51" ht="15">
      <c r="A7" s="1178">
        <v>2016</v>
      </c>
      <c r="B7" s="1182">
        <v>13.366271175</v>
      </c>
      <c r="C7" s="1182">
        <v>3.2834879324999999</v>
      </c>
      <c r="D7" s="1182">
        <v>4.3713374999999999E-2</v>
      </c>
      <c r="E7" s="1182">
        <v>0.82247182500000005</v>
      </c>
      <c r="F7" s="1183">
        <v>2509.2375000000002</v>
      </c>
      <c r="G7" s="1182">
        <v>0.17402867499999999</v>
      </c>
      <c r="H7" s="35"/>
      <c r="I7" s="1178">
        <v>2016</v>
      </c>
      <c r="J7" s="1184">
        <f t="shared" si="0"/>
        <v>16.70783896875</v>
      </c>
      <c r="K7" s="1184">
        <f t="shared" si="0"/>
        <v>4.1043599156250004</v>
      </c>
      <c r="L7" s="1184">
        <f t="shared" si="0"/>
        <v>5.4641718749999998E-2</v>
      </c>
      <c r="M7" s="1184">
        <f t="shared" si="0"/>
        <v>1.0280897812500001</v>
      </c>
      <c r="N7" s="1184">
        <f t="shared" si="0"/>
        <v>3136.546875</v>
      </c>
      <c r="O7" s="1184">
        <f t="shared" si="0"/>
        <v>0.21753584374999999</v>
      </c>
      <c r="P7" s="1185">
        <f t="shared" ref="P7:P30" si="1">0.97*O7</f>
        <v>0.21100976843749997</v>
      </c>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row>
    <row r="8" spans="1:51" ht="15">
      <c r="A8" s="1178">
        <v>2017</v>
      </c>
      <c r="B8" s="1182">
        <v>11.619256875</v>
      </c>
      <c r="C8" s="1182">
        <v>2.7822861324999999</v>
      </c>
      <c r="D8" s="1182">
        <v>1.7500100000000001E-2</v>
      </c>
      <c r="E8" s="1182">
        <v>0.64498882499999999</v>
      </c>
      <c r="F8" s="1183">
        <v>2463.2624999999998</v>
      </c>
      <c r="G8" s="1182">
        <v>0.155380925</v>
      </c>
      <c r="H8" s="35"/>
      <c r="I8" s="1178">
        <v>2017</v>
      </c>
      <c r="J8" s="1184">
        <f t="shared" si="0"/>
        <v>14.524071093749999</v>
      </c>
      <c r="K8" s="1184">
        <f t="shared" si="0"/>
        <v>3.4778576656249998</v>
      </c>
      <c r="L8" s="1184">
        <f t="shared" si="0"/>
        <v>2.1875125000000002E-2</v>
      </c>
      <c r="M8" s="1184">
        <f t="shared" si="0"/>
        <v>0.80623603124999998</v>
      </c>
      <c r="N8" s="1184">
        <f t="shared" si="0"/>
        <v>3079.078125</v>
      </c>
      <c r="O8" s="1184">
        <f t="shared" si="0"/>
        <v>0.19422615625</v>
      </c>
      <c r="P8" s="1185">
        <f t="shared" si="1"/>
        <v>0.1883993715625</v>
      </c>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row>
    <row r="9" spans="1:51" ht="15">
      <c r="A9" s="1178">
        <v>2018</v>
      </c>
      <c r="B9" s="1182">
        <v>10.5199487</v>
      </c>
      <c r="C9" s="1182">
        <v>2.4531466325000002</v>
      </c>
      <c r="D9" s="1182">
        <v>1.7167925000000001E-2</v>
      </c>
      <c r="E9" s="1182">
        <v>0.54022190000000003</v>
      </c>
      <c r="F9" s="1183">
        <v>2413.625</v>
      </c>
      <c r="G9" s="1182">
        <v>0.13736745</v>
      </c>
      <c r="H9" s="35"/>
      <c r="I9" s="1178">
        <v>2018</v>
      </c>
      <c r="J9" s="1184">
        <f t="shared" si="0"/>
        <v>13.149935875000001</v>
      </c>
      <c r="K9" s="1184">
        <f t="shared" si="0"/>
        <v>3.0664332906250005</v>
      </c>
      <c r="L9" s="1184">
        <f t="shared" si="0"/>
        <v>2.1459906250000001E-2</v>
      </c>
      <c r="M9" s="1184">
        <f t="shared" si="0"/>
        <v>0.67527737500000007</v>
      </c>
      <c r="N9" s="1184">
        <f t="shared" si="0"/>
        <v>3017.03125</v>
      </c>
      <c r="O9" s="1184">
        <f t="shared" si="0"/>
        <v>0.17170931249999999</v>
      </c>
      <c r="P9" s="1185">
        <f t="shared" si="1"/>
        <v>0.16655803312499998</v>
      </c>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row>
    <row r="10" spans="1:51" ht="15">
      <c r="A10" s="1178">
        <v>2019</v>
      </c>
      <c r="B10" s="1182">
        <v>9.5674521549999998</v>
      </c>
      <c r="C10" s="1182">
        <v>2.1669509367500002</v>
      </c>
      <c r="D10" s="1182">
        <v>1.6834849999999998E-2</v>
      </c>
      <c r="E10" s="1182">
        <v>0.45371901999999997</v>
      </c>
      <c r="F10" s="1183">
        <v>2363.6350000000002</v>
      </c>
      <c r="G10" s="1182">
        <v>0.12101484999999999</v>
      </c>
      <c r="H10" s="35"/>
      <c r="I10" s="1178">
        <v>2019</v>
      </c>
      <c r="J10" s="1184">
        <f t="shared" si="0"/>
        <v>11.959315193749999</v>
      </c>
      <c r="K10" s="1184">
        <f t="shared" si="0"/>
        <v>2.7086886709375002</v>
      </c>
      <c r="L10" s="1184">
        <f t="shared" si="0"/>
        <v>2.1043562499999998E-2</v>
      </c>
      <c r="M10" s="1184">
        <f t="shared" si="0"/>
        <v>0.56714877499999994</v>
      </c>
      <c r="N10" s="1184">
        <f t="shared" si="0"/>
        <v>2954.5437500000003</v>
      </c>
      <c r="O10" s="1184">
        <f t="shared" si="0"/>
        <v>0.15126856249999998</v>
      </c>
      <c r="P10" s="1185">
        <f t="shared" si="1"/>
        <v>0.14673050562499998</v>
      </c>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row>
    <row r="11" spans="1:51" ht="15">
      <c r="A11" s="1178">
        <v>2020</v>
      </c>
      <c r="B11" s="1182">
        <v>8.7952449324999993</v>
      </c>
      <c r="C11" s="1182">
        <v>1.91760957525</v>
      </c>
      <c r="D11" s="1182">
        <v>1.6505700000000002E-2</v>
      </c>
      <c r="E11" s="1182">
        <v>0.38276603749999999</v>
      </c>
      <c r="F11" s="1183">
        <v>2313.6799999999998</v>
      </c>
      <c r="G11" s="1182">
        <v>0.10656067499999999</v>
      </c>
      <c r="H11" s="35"/>
      <c r="I11" s="1178">
        <v>2020</v>
      </c>
      <c r="J11" s="1184">
        <f t="shared" si="0"/>
        <v>10.994056165624999</v>
      </c>
      <c r="K11" s="1184">
        <f t="shared" si="0"/>
        <v>2.3970119690625</v>
      </c>
      <c r="L11" s="1184">
        <f t="shared" si="0"/>
        <v>2.0632125000000001E-2</v>
      </c>
      <c r="M11" s="1184">
        <f t="shared" si="0"/>
        <v>0.47845754687499997</v>
      </c>
      <c r="N11" s="1184">
        <f t="shared" si="0"/>
        <v>2892.1</v>
      </c>
      <c r="O11" s="1184">
        <f t="shared" si="0"/>
        <v>0.13320084374999999</v>
      </c>
      <c r="P11" s="1185">
        <f t="shared" si="1"/>
        <v>0.12920481843749998</v>
      </c>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row>
    <row r="12" spans="1:51" ht="15">
      <c r="A12" s="1178">
        <v>2021</v>
      </c>
      <c r="B12" s="1182">
        <v>8.0741323025000007</v>
      </c>
      <c r="C12" s="1182">
        <v>1.7068746207500001</v>
      </c>
      <c r="D12" s="1182">
        <v>1.6164899999999999E-2</v>
      </c>
      <c r="E12" s="1182">
        <v>0.32647349250000002</v>
      </c>
      <c r="F12" s="1183">
        <v>2262.1925000000001</v>
      </c>
      <c r="G12" s="1182">
        <v>9.4220700000000004E-2</v>
      </c>
      <c r="H12" s="35"/>
      <c r="I12" s="1178">
        <v>2021</v>
      </c>
      <c r="J12" s="1184">
        <f t="shared" si="0"/>
        <v>10.092665378125002</v>
      </c>
      <c r="K12" s="1184">
        <f t="shared" si="0"/>
        <v>2.1335932759375003</v>
      </c>
      <c r="L12" s="1184">
        <f t="shared" si="0"/>
        <v>2.0206124999999998E-2</v>
      </c>
      <c r="M12" s="1184">
        <f t="shared" si="0"/>
        <v>0.40809186562499999</v>
      </c>
      <c r="N12" s="1184">
        <f t="shared" si="0"/>
        <v>2827.7406250000004</v>
      </c>
      <c r="O12" s="1184">
        <f t="shared" si="0"/>
        <v>0.117775875</v>
      </c>
      <c r="P12" s="1185">
        <f t="shared" si="1"/>
        <v>0.11424259874999999</v>
      </c>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row>
    <row r="13" spans="1:51" ht="15">
      <c r="A13" s="1178">
        <v>2022</v>
      </c>
      <c r="B13" s="1182">
        <v>7.4591776425000003</v>
      </c>
      <c r="C13" s="1182">
        <v>1.5279396052500001</v>
      </c>
      <c r="D13" s="1182">
        <v>1.5836349999999999E-2</v>
      </c>
      <c r="E13" s="1182">
        <v>0.28115895000000002</v>
      </c>
      <c r="F13" s="1183">
        <v>2211.0100000000002</v>
      </c>
      <c r="G13" s="1182">
        <v>8.3779549999999994E-2</v>
      </c>
      <c r="H13" s="35"/>
      <c r="I13" s="1178">
        <v>2022</v>
      </c>
      <c r="J13" s="1184">
        <f t="shared" si="0"/>
        <v>9.3239720531250008</v>
      </c>
      <c r="K13" s="1184">
        <f t="shared" si="0"/>
        <v>1.9099245065625001</v>
      </c>
      <c r="L13" s="1184">
        <f t="shared" si="0"/>
        <v>1.9795437499999999E-2</v>
      </c>
      <c r="M13" s="1184">
        <f t="shared" si="0"/>
        <v>0.35144868750000002</v>
      </c>
      <c r="N13" s="1184">
        <f t="shared" si="0"/>
        <v>2763.7625000000003</v>
      </c>
      <c r="O13" s="1184">
        <f t="shared" si="0"/>
        <v>0.10472443749999999</v>
      </c>
      <c r="P13" s="1185">
        <f t="shared" si="1"/>
        <v>0.10158270437499999</v>
      </c>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row>
    <row r="14" spans="1:51" ht="15">
      <c r="A14" s="1178">
        <v>2023</v>
      </c>
      <c r="B14" s="1182">
        <v>6.88931922</v>
      </c>
      <c r="C14" s="1182">
        <v>1.3747206112499999</v>
      </c>
      <c r="D14" s="1182">
        <v>1.5493425E-2</v>
      </c>
      <c r="E14" s="1182">
        <v>0.24515432000000001</v>
      </c>
      <c r="F14" s="1183">
        <v>2159.1799999999998</v>
      </c>
      <c r="G14" s="1182">
        <v>7.5046100000000004E-2</v>
      </c>
      <c r="H14" s="35"/>
      <c r="I14" s="1178">
        <v>2023</v>
      </c>
      <c r="J14" s="1184">
        <f t="shared" si="0"/>
        <v>8.6116490250000002</v>
      </c>
      <c r="K14" s="1184">
        <f t="shared" si="0"/>
        <v>1.7184007640624999</v>
      </c>
      <c r="L14" s="1184">
        <f t="shared" si="0"/>
        <v>1.9366781249999999E-2</v>
      </c>
      <c r="M14" s="1184">
        <f t="shared" si="0"/>
        <v>0.30644290000000002</v>
      </c>
      <c r="N14" s="1184">
        <f t="shared" si="0"/>
        <v>2698.9749999999999</v>
      </c>
      <c r="O14" s="1184">
        <f t="shared" si="0"/>
        <v>9.3807625000000006E-2</v>
      </c>
      <c r="P14" s="1185">
        <f t="shared" si="1"/>
        <v>9.0993396249999997E-2</v>
      </c>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row>
    <row r="15" spans="1:51" ht="15">
      <c r="A15" s="1178">
        <v>2024</v>
      </c>
      <c r="B15" s="1182">
        <v>6.3601257100000002</v>
      </c>
      <c r="C15" s="1182">
        <v>1.2391236612500001</v>
      </c>
      <c r="D15" s="1182">
        <v>1.5139400000000001E-2</v>
      </c>
      <c r="E15" s="1182">
        <v>0.21411397500000001</v>
      </c>
      <c r="F15" s="1183">
        <v>2106.3225000000002</v>
      </c>
      <c r="G15" s="1182">
        <v>6.6830100000000003E-2</v>
      </c>
      <c r="H15" s="35"/>
      <c r="I15" s="1178">
        <v>2024</v>
      </c>
      <c r="J15" s="1184">
        <f t="shared" si="0"/>
        <v>7.9501571374999997</v>
      </c>
      <c r="K15" s="1184">
        <f t="shared" si="0"/>
        <v>1.5489045765625</v>
      </c>
      <c r="L15" s="1184">
        <f t="shared" si="0"/>
        <v>1.892425E-2</v>
      </c>
      <c r="M15" s="1184">
        <f t="shared" si="0"/>
        <v>0.26764246875000003</v>
      </c>
      <c r="N15" s="1184">
        <f t="shared" si="0"/>
        <v>2632.9031250000003</v>
      </c>
      <c r="O15" s="1184">
        <f t="shared" si="0"/>
        <v>8.3537625000000004E-2</v>
      </c>
      <c r="P15" s="1185">
        <f t="shared" si="1"/>
        <v>8.1031496250000001E-2</v>
      </c>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row>
    <row r="16" spans="1:51" ht="15">
      <c r="A16" s="1178">
        <v>2025</v>
      </c>
      <c r="B16" s="1182">
        <v>5.8331937825000004</v>
      </c>
      <c r="C16" s="1182">
        <v>1.12305665125</v>
      </c>
      <c r="D16" s="1182">
        <v>1.47866E-2</v>
      </c>
      <c r="E16" s="1182">
        <v>0.18758282749999999</v>
      </c>
      <c r="F16" s="1183">
        <v>2053.5500000000002</v>
      </c>
      <c r="G16" s="1182">
        <v>5.9345000000000002E-2</v>
      </c>
      <c r="H16" s="35"/>
      <c r="I16" s="1178">
        <v>2025</v>
      </c>
      <c r="J16" s="1184">
        <f t="shared" si="0"/>
        <v>7.2914922281250005</v>
      </c>
      <c r="K16" s="1184">
        <f t="shared" si="0"/>
        <v>1.4038208140624999</v>
      </c>
      <c r="L16" s="1184">
        <f t="shared" si="0"/>
        <v>1.848325E-2</v>
      </c>
      <c r="M16" s="1184">
        <f t="shared" si="0"/>
        <v>0.23447853437499999</v>
      </c>
      <c r="N16" s="1184">
        <f t="shared" si="0"/>
        <v>2566.9375</v>
      </c>
      <c r="O16" s="1184">
        <f t="shared" si="0"/>
        <v>7.4181250000000004E-2</v>
      </c>
      <c r="P16" s="1185">
        <f t="shared" si="1"/>
        <v>7.1955812500000008E-2</v>
      </c>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row>
    <row r="17" spans="1:51" ht="15">
      <c r="A17" s="1178">
        <v>2026</v>
      </c>
      <c r="B17" s="1182">
        <v>5.3563922274999998</v>
      </c>
      <c r="C17" s="1182">
        <v>1.02035952825</v>
      </c>
      <c r="D17" s="1182">
        <v>1.4457124999999999E-2</v>
      </c>
      <c r="E17" s="1182">
        <v>0.16503128249999999</v>
      </c>
      <c r="F17" s="1183">
        <v>2004.5450000000001</v>
      </c>
      <c r="G17" s="1182">
        <v>5.2492400000000002E-2</v>
      </c>
      <c r="H17" s="35"/>
      <c r="I17" s="1178">
        <v>2026</v>
      </c>
      <c r="J17" s="1184">
        <f t="shared" si="0"/>
        <v>6.6954902843749995</v>
      </c>
      <c r="K17" s="1184">
        <f t="shared" si="0"/>
        <v>1.2754494103125</v>
      </c>
      <c r="L17" s="1184">
        <f t="shared" si="0"/>
        <v>1.8071406249999998E-2</v>
      </c>
      <c r="M17" s="1184">
        <f t="shared" si="0"/>
        <v>0.20628910312499998</v>
      </c>
      <c r="N17" s="1184">
        <f t="shared" si="0"/>
        <v>2505.6812500000001</v>
      </c>
      <c r="O17" s="1184">
        <f t="shared" si="0"/>
        <v>6.5615500000000007E-2</v>
      </c>
      <c r="P17" s="1185">
        <f t="shared" si="1"/>
        <v>6.3647035000000005E-2</v>
      </c>
      <c r="Y17" s="35"/>
      <c r="Z17" s="35"/>
      <c r="AA17" s="35"/>
      <c r="AB17" s="35"/>
      <c r="AC17" s="35"/>
      <c r="AD17" s="35"/>
      <c r="AE17" s="35"/>
      <c r="AF17" s="35"/>
      <c r="AG17" s="35"/>
      <c r="AH17" s="35"/>
      <c r="AI17" s="35"/>
      <c r="AJ17" s="35"/>
      <c r="AK17" s="35"/>
      <c r="AL17" s="35"/>
      <c r="AM17" s="35"/>
      <c r="AN17" s="35"/>
      <c r="AO17" s="35"/>
      <c r="AP17" s="35"/>
      <c r="AQ17" s="35"/>
      <c r="AR17" s="35"/>
      <c r="AS17" s="35"/>
      <c r="AT17" s="35"/>
      <c r="AU17" s="35"/>
      <c r="AV17" s="35"/>
      <c r="AW17" s="35"/>
      <c r="AX17" s="35"/>
      <c r="AY17" s="35"/>
    </row>
    <row r="18" spans="1:51" ht="15">
      <c r="A18" s="1178">
        <v>2027</v>
      </c>
      <c r="B18" s="1182">
        <v>4.9151911549999996</v>
      </c>
      <c r="C18" s="1182">
        <v>0.92950189449999998</v>
      </c>
      <c r="D18" s="1182">
        <v>1.414665E-2</v>
      </c>
      <c r="E18" s="1182">
        <v>0.14864103749999999</v>
      </c>
      <c r="F18" s="1183">
        <v>1958.8050000000001</v>
      </c>
      <c r="G18" s="1182">
        <v>4.6258174999999999E-2</v>
      </c>
      <c r="H18" s="35"/>
      <c r="I18" s="1178">
        <v>2027</v>
      </c>
      <c r="J18" s="1184">
        <f t="shared" si="0"/>
        <v>6.1439889437499993</v>
      </c>
      <c r="K18" s="1184">
        <f t="shared" si="0"/>
        <v>1.1618773681249999</v>
      </c>
      <c r="L18" s="1184">
        <f t="shared" si="0"/>
        <v>1.7683312499999999E-2</v>
      </c>
      <c r="M18" s="1184">
        <f t="shared" si="0"/>
        <v>0.18580129687499999</v>
      </c>
      <c r="N18" s="1184">
        <f t="shared" si="0"/>
        <v>2448.5062499999999</v>
      </c>
      <c r="O18" s="1184">
        <f t="shared" si="0"/>
        <v>5.7822718750000002E-2</v>
      </c>
      <c r="P18" s="1185">
        <f t="shared" si="1"/>
        <v>5.6088037187500002E-2</v>
      </c>
      <c r="Y18" s="35"/>
      <c r="Z18" s="35"/>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5"/>
      <c r="AY18" s="35"/>
    </row>
    <row r="19" spans="1:51" ht="15">
      <c r="A19" s="1178">
        <v>2028</v>
      </c>
      <c r="B19" s="1182">
        <v>4.4980308449999997</v>
      </c>
      <c r="C19" s="1182">
        <v>0.848516983</v>
      </c>
      <c r="D19" s="1182">
        <v>1.3864599999999999E-2</v>
      </c>
      <c r="E19" s="1182">
        <v>0.13423212000000001</v>
      </c>
      <c r="F19" s="1183">
        <v>1916.855</v>
      </c>
      <c r="G19" s="1182">
        <v>4.063025E-2</v>
      </c>
      <c r="H19" s="35"/>
      <c r="I19" s="1178">
        <v>2028</v>
      </c>
      <c r="J19" s="1184">
        <f t="shared" si="0"/>
        <v>5.6225385562499994</v>
      </c>
      <c r="K19" s="1184">
        <f t="shared" si="0"/>
        <v>1.06064622875</v>
      </c>
      <c r="L19" s="1184">
        <f t="shared" si="0"/>
        <v>1.7330749999999999E-2</v>
      </c>
      <c r="M19" s="1184">
        <f t="shared" si="0"/>
        <v>0.16779015000000003</v>
      </c>
      <c r="N19" s="1184">
        <f t="shared" si="0"/>
        <v>2396.0687499999999</v>
      </c>
      <c r="O19" s="1184">
        <f t="shared" si="0"/>
        <v>5.0787812500000001E-2</v>
      </c>
      <c r="P19" s="1185">
        <f t="shared" si="1"/>
        <v>4.9264178125000002E-2</v>
      </c>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5"/>
      <c r="AY19" s="35"/>
    </row>
    <row r="20" spans="1:51" ht="15">
      <c r="A20" s="1178">
        <v>2029</v>
      </c>
      <c r="B20" s="1182">
        <v>4.1218649899999997</v>
      </c>
      <c r="C20" s="1182">
        <v>0.78226759999999995</v>
      </c>
      <c r="D20" s="1182">
        <v>1.36168E-2</v>
      </c>
      <c r="E20" s="1182">
        <v>0.12243312000000001</v>
      </c>
      <c r="F20" s="1183">
        <v>1879.835</v>
      </c>
      <c r="G20" s="1182">
        <v>3.6325332500000002E-2</v>
      </c>
      <c r="H20" s="35"/>
      <c r="I20" s="1178">
        <v>2029</v>
      </c>
      <c r="J20" s="1184">
        <f t="shared" si="0"/>
        <v>5.1523312374999994</v>
      </c>
      <c r="K20" s="1184">
        <f t="shared" si="0"/>
        <v>0.97783449999999994</v>
      </c>
      <c r="L20" s="1184">
        <f t="shared" si="0"/>
        <v>1.7021000000000001E-2</v>
      </c>
      <c r="M20" s="1184">
        <f t="shared" si="0"/>
        <v>0.15304139999999999</v>
      </c>
      <c r="N20" s="1184">
        <f t="shared" si="0"/>
        <v>2349.7937499999998</v>
      </c>
      <c r="O20" s="1184">
        <f t="shared" si="0"/>
        <v>4.5406665625000002E-2</v>
      </c>
      <c r="P20" s="1185">
        <f t="shared" si="1"/>
        <v>4.4044465656250004E-2</v>
      </c>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row>
    <row r="21" spans="1:51" ht="15">
      <c r="A21" s="1178">
        <v>2030</v>
      </c>
      <c r="B21" s="1182">
        <v>3.7943125549999999</v>
      </c>
      <c r="C21" s="1182">
        <v>0.73019169775000003</v>
      </c>
      <c r="D21" s="1182">
        <v>1.3404275E-2</v>
      </c>
      <c r="E21" s="1182">
        <v>0.11259598975</v>
      </c>
      <c r="F21" s="1183">
        <v>1847.8525</v>
      </c>
      <c r="G21" s="1182">
        <v>3.2741207500000001E-2</v>
      </c>
      <c r="H21" s="35"/>
      <c r="I21" s="1178">
        <v>2030</v>
      </c>
      <c r="J21" s="1184">
        <f t="shared" si="0"/>
        <v>4.7428906937499997</v>
      </c>
      <c r="K21" s="1184">
        <f t="shared" si="0"/>
        <v>0.91273962218750004</v>
      </c>
      <c r="L21" s="1184">
        <f t="shared" si="0"/>
        <v>1.6755343749999999E-2</v>
      </c>
      <c r="M21" s="1184">
        <f t="shared" si="0"/>
        <v>0.1407449871875</v>
      </c>
      <c r="N21" s="1184">
        <f t="shared" si="0"/>
        <v>2309.8156250000002</v>
      </c>
      <c r="O21" s="1184">
        <f t="shared" si="0"/>
        <v>4.0926509375000003E-2</v>
      </c>
      <c r="P21" s="1185">
        <f t="shared" si="1"/>
        <v>3.9698714093750004E-2</v>
      </c>
      <c r="Y21" s="35"/>
      <c r="Z21" s="35"/>
      <c r="AA21" s="35"/>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row>
    <row r="22" spans="1:51" ht="15">
      <c r="A22" s="1178">
        <v>2031</v>
      </c>
      <c r="B22" s="1182">
        <v>3.5280379150000001</v>
      </c>
      <c r="C22" s="1182">
        <v>0.68615086749999998</v>
      </c>
      <c r="D22" s="1182">
        <v>1.320115E-2</v>
      </c>
      <c r="E22" s="1182">
        <v>0.10431499650000001</v>
      </c>
      <c r="F22" s="1183">
        <v>1819.6524999999999</v>
      </c>
      <c r="G22" s="1182">
        <v>2.9736184999999998E-2</v>
      </c>
      <c r="H22" s="35"/>
      <c r="I22" s="1178">
        <v>2031</v>
      </c>
      <c r="J22" s="1184">
        <f t="shared" si="0"/>
        <v>4.4100473937500002</v>
      </c>
      <c r="K22" s="1184">
        <f t="shared" si="0"/>
        <v>0.85768858437499995</v>
      </c>
      <c r="L22" s="1184">
        <f t="shared" si="0"/>
        <v>1.65014375E-2</v>
      </c>
      <c r="M22" s="1184">
        <f t="shared" si="0"/>
        <v>0.130393745625</v>
      </c>
      <c r="N22" s="1184">
        <f t="shared" si="0"/>
        <v>2274.5656249999997</v>
      </c>
      <c r="O22" s="1184">
        <f t="shared" si="0"/>
        <v>3.7170231249999998E-2</v>
      </c>
      <c r="P22" s="1185">
        <f t="shared" si="1"/>
        <v>3.6055124312499999E-2</v>
      </c>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row>
    <row r="23" spans="1:51" ht="15">
      <c r="A23" s="1178">
        <v>2032</v>
      </c>
      <c r="B23" s="1182">
        <v>3.2876464775000001</v>
      </c>
      <c r="C23" s="1182">
        <v>0.64954262775000005</v>
      </c>
      <c r="D23" s="1182">
        <v>1.3029325E-2</v>
      </c>
      <c r="E23" s="1182">
        <v>9.8571919250000001E-2</v>
      </c>
      <c r="F23" s="1183">
        <v>1794.0675000000001</v>
      </c>
      <c r="G23" s="1182">
        <v>2.7170077500000001E-2</v>
      </c>
      <c r="H23" s="35"/>
      <c r="I23" s="1178">
        <v>2032</v>
      </c>
      <c r="J23" s="1184">
        <f t="shared" si="0"/>
        <v>4.1095580968750003</v>
      </c>
      <c r="K23" s="1184">
        <f t="shared" si="0"/>
        <v>0.8119282846875</v>
      </c>
      <c r="L23" s="1184">
        <f t="shared" si="0"/>
        <v>1.628665625E-2</v>
      </c>
      <c r="M23" s="1184">
        <f t="shared" si="0"/>
        <v>0.12321489906249999</v>
      </c>
      <c r="N23" s="1184">
        <f t="shared" si="0"/>
        <v>2242.5843750000004</v>
      </c>
      <c r="O23" s="1184">
        <f t="shared" si="0"/>
        <v>3.3962596875000001E-2</v>
      </c>
      <c r="P23" s="1185">
        <f t="shared" si="1"/>
        <v>3.2943718968750001E-2</v>
      </c>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row>
    <row r="24" spans="1:51" ht="15">
      <c r="A24" s="1178">
        <v>2033</v>
      </c>
      <c r="B24" s="1182">
        <v>3.0829795799999999</v>
      </c>
      <c r="C24" s="1182">
        <v>0.62055396475000002</v>
      </c>
      <c r="D24" s="1182">
        <v>1.289015E-2</v>
      </c>
      <c r="E24" s="1182">
        <v>9.4004239500000003E-2</v>
      </c>
      <c r="F24" s="1183">
        <v>1772.9525000000001</v>
      </c>
      <c r="G24" s="1182">
        <v>2.5165445000000002E-2</v>
      </c>
      <c r="H24" s="35"/>
      <c r="I24" s="1178">
        <v>2033</v>
      </c>
      <c r="J24" s="1184">
        <f t="shared" si="0"/>
        <v>3.8537244749999999</v>
      </c>
      <c r="K24" s="1184">
        <f t="shared" si="0"/>
        <v>0.77569245593750002</v>
      </c>
      <c r="L24" s="1184">
        <f t="shared" si="0"/>
        <v>1.61126875E-2</v>
      </c>
      <c r="M24" s="1184">
        <f t="shared" si="0"/>
        <v>0.11750529937500001</v>
      </c>
      <c r="N24" s="1184">
        <f t="shared" si="0"/>
        <v>2216.1906250000002</v>
      </c>
      <c r="O24" s="1184">
        <f t="shared" si="0"/>
        <v>3.1456806250000004E-2</v>
      </c>
      <c r="P24" s="1185">
        <f t="shared" si="1"/>
        <v>3.0513102062500002E-2</v>
      </c>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row>
    <row r="25" spans="1:51" ht="15">
      <c r="A25" s="1178">
        <v>2034</v>
      </c>
      <c r="B25" s="1182">
        <v>2.9096151925</v>
      </c>
      <c r="C25" s="1182">
        <v>0.60258116900000003</v>
      </c>
      <c r="D25" s="1182">
        <v>1.27876E-2</v>
      </c>
      <c r="E25" s="1182">
        <v>9.07568235E-2</v>
      </c>
      <c r="F25" s="1183">
        <v>1756.625</v>
      </c>
      <c r="G25" s="1182">
        <v>2.37141625E-2</v>
      </c>
      <c r="H25" s="35"/>
      <c r="I25" s="1178">
        <v>2034</v>
      </c>
      <c r="J25" s="1184">
        <f t="shared" si="0"/>
        <v>3.6370189906250001</v>
      </c>
      <c r="K25" s="1184">
        <f t="shared" si="0"/>
        <v>0.75322646125000003</v>
      </c>
      <c r="L25" s="1184">
        <f t="shared" si="0"/>
        <v>1.5984499999999999E-2</v>
      </c>
      <c r="M25" s="1184">
        <f t="shared" si="0"/>
        <v>0.11344602937500001</v>
      </c>
      <c r="N25" s="1184">
        <f t="shared" si="0"/>
        <v>2195.78125</v>
      </c>
      <c r="O25" s="1184">
        <f t="shared" si="0"/>
        <v>2.9642703124999999E-2</v>
      </c>
      <c r="P25" s="1185">
        <f t="shared" si="1"/>
        <v>2.875342203125E-2</v>
      </c>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row>
    <row r="26" spans="1:51" ht="15">
      <c r="A26" s="1178">
        <v>2035</v>
      </c>
      <c r="B26" s="1182">
        <v>2.7671013775</v>
      </c>
      <c r="C26" s="1182">
        <v>0.58842822324999999</v>
      </c>
      <c r="D26" s="1182">
        <v>1.270545E-2</v>
      </c>
      <c r="E26" s="1182">
        <v>8.8307328249999997E-2</v>
      </c>
      <c r="F26" s="1183">
        <v>1743.09</v>
      </c>
      <c r="G26" s="1182">
        <v>2.2574614999999999E-2</v>
      </c>
      <c r="H26" s="35"/>
      <c r="I26" s="1178">
        <v>2035</v>
      </c>
      <c r="J26" s="1184">
        <f t="shared" si="0"/>
        <v>3.4588767218749998</v>
      </c>
      <c r="K26" s="1184">
        <f t="shared" si="0"/>
        <v>0.73553527906250005</v>
      </c>
      <c r="L26" s="1184">
        <f t="shared" si="0"/>
        <v>1.5881812500000002E-2</v>
      </c>
      <c r="M26" s="1184">
        <f t="shared" si="0"/>
        <v>0.11038416031249999</v>
      </c>
      <c r="N26" s="1184">
        <f t="shared" si="0"/>
        <v>2178.8624999999997</v>
      </c>
      <c r="O26" s="1184">
        <f t="shared" si="0"/>
        <v>2.8218268749999997E-2</v>
      </c>
      <c r="P26" s="1185">
        <f t="shared" si="1"/>
        <v>2.7371720687499997E-2</v>
      </c>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row>
    <row r="27" spans="1:51" ht="15">
      <c r="A27" s="1178">
        <v>2036</v>
      </c>
      <c r="B27" s="1182">
        <v>2.6526412975000002</v>
      </c>
      <c r="C27" s="1182">
        <v>0.57779742975000004</v>
      </c>
      <c r="D27" s="1182">
        <v>1.2641100000000001E-2</v>
      </c>
      <c r="E27" s="1182">
        <v>8.6429624999999996E-2</v>
      </c>
      <c r="F27" s="1183">
        <v>1732.1949999999999</v>
      </c>
      <c r="G27" s="1182">
        <v>2.1709275E-2</v>
      </c>
      <c r="H27" s="35"/>
      <c r="I27" s="1178">
        <v>2036</v>
      </c>
      <c r="J27" s="1184">
        <f t="shared" si="0"/>
        <v>3.3158016218750004</v>
      </c>
      <c r="K27" s="1184">
        <f t="shared" si="0"/>
        <v>0.72224678718750002</v>
      </c>
      <c r="L27" s="1184">
        <f t="shared" si="0"/>
        <v>1.5801374999999999E-2</v>
      </c>
      <c r="M27" s="1184">
        <f t="shared" si="0"/>
        <v>0.10803703125</v>
      </c>
      <c r="N27" s="1184">
        <f t="shared" si="0"/>
        <v>2165.2437500000001</v>
      </c>
      <c r="O27" s="1184">
        <f t="shared" si="0"/>
        <v>2.713659375E-2</v>
      </c>
      <c r="P27" s="1185">
        <f t="shared" si="1"/>
        <v>2.6322495937499999E-2</v>
      </c>
      <c r="Y27" s="35"/>
      <c r="Z27" s="35"/>
      <c r="AA27" s="35"/>
      <c r="AB27" s="35"/>
      <c r="AC27" s="35"/>
      <c r="AD27" s="35"/>
      <c r="AE27" s="35"/>
      <c r="AF27" s="35"/>
      <c r="AG27" s="35"/>
      <c r="AH27" s="35"/>
      <c r="AI27" s="35"/>
      <c r="AJ27" s="35"/>
      <c r="AK27" s="35"/>
      <c r="AL27" s="35"/>
      <c r="AM27" s="35"/>
      <c r="AN27" s="35"/>
      <c r="AO27" s="35"/>
      <c r="AP27" s="35"/>
      <c r="AQ27" s="35"/>
      <c r="AR27" s="35"/>
      <c r="AS27" s="35"/>
      <c r="AT27" s="35"/>
      <c r="AU27" s="35"/>
      <c r="AV27" s="35"/>
      <c r="AW27" s="35"/>
      <c r="AX27" s="35"/>
      <c r="AY27" s="35"/>
    </row>
    <row r="28" spans="1:51" ht="15">
      <c r="A28" s="1178">
        <v>2037</v>
      </c>
      <c r="B28" s="1182">
        <v>2.5527169275000001</v>
      </c>
      <c r="C28" s="1182">
        <v>0.56957973299999998</v>
      </c>
      <c r="D28" s="1182">
        <v>1.2593274999999999E-2</v>
      </c>
      <c r="E28" s="1182">
        <v>8.4694923249999998E-2</v>
      </c>
      <c r="F28" s="1183">
        <v>1723.6575</v>
      </c>
      <c r="G28" s="1182">
        <v>2.0869552499999999E-2</v>
      </c>
      <c r="H28" s="35"/>
      <c r="I28" s="1178">
        <v>2037</v>
      </c>
      <c r="J28" s="1184">
        <f t="shared" si="0"/>
        <v>3.1908961593750003</v>
      </c>
      <c r="K28" s="1184">
        <f t="shared" si="0"/>
        <v>0.71197466624999994</v>
      </c>
      <c r="L28" s="1184">
        <f t="shared" si="0"/>
        <v>1.5741593749999998E-2</v>
      </c>
      <c r="M28" s="1184">
        <f t="shared" si="0"/>
        <v>0.1058686540625</v>
      </c>
      <c r="N28" s="1184">
        <f t="shared" si="0"/>
        <v>2154.5718750000001</v>
      </c>
      <c r="O28" s="1184">
        <f t="shared" si="0"/>
        <v>2.6086940624999999E-2</v>
      </c>
      <c r="P28" s="1185">
        <f t="shared" si="1"/>
        <v>2.5304332406249998E-2</v>
      </c>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row>
    <row r="29" spans="1:51" ht="15">
      <c r="A29" s="1178">
        <v>2038</v>
      </c>
      <c r="B29" s="1182">
        <v>2.4712103187499999</v>
      </c>
      <c r="C29" s="1182">
        <v>0.56564641199999999</v>
      </c>
      <c r="D29" s="1182">
        <v>1.2561424999999999E-2</v>
      </c>
      <c r="E29" s="1182">
        <v>8.4204420249999995E-2</v>
      </c>
      <c r="F29" s="1183">
        <v>1717.1075000000001</v>
      </c>
      <c r="G29" s="1182">
        <v>2.0786605E-2</v>
      </c>
      <c r="H29" s="35"/>
      <c r="I29" s="1178">
        <v>2038</v>
      </c>
      <c r="J29" s="1184">
        <f t="shared" si="0"/>
        <v>3.0890128984374998</v>
      </c>
      <c r="K29" s="1184">
        <f t="shared" si="0"/>
        <v>0.70705801499999998</v>
      </c>
      <c r="L29" s="1184">
        <f t="shared" si="0"/>
        <v>1.5701781249999998E-2</v>
      </c>
      <c r="M29" s="1184">
        <f t="shared" si="0"/>
        <v>0.10525552531249999</v>
      </c>
      <c r="N29" s="1184">
        <f t="shared" si="0"/>
        <v>2146.3843750000001</v>
      </c>
      <c r="O29" s="1184">
        <f t="shared" si="0"/>
        <v>2.598325625E-2</v>
      </c>
      <c r="P29" s="1185">
        <f t="shared" si="1"/>
        <v>2.5203758562499998E-2</v>
      </c>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row>
    <row r="30" spans="1:51" ht="15">
      <c r="A30" s="1178">
        <v>2039</v>
      </c>
      <c r="B30" s="1182">
        <v>2.4034581005</v>
      </c>
      <c r="C30" s="1182">
        <v>0.56313335549999999</v>
      </c>
      <c r="D30" s="1182">
        <v>1.25421E-2</v>
      </c>
      <c r="E30" s="1182">
        <v>8.3885126500000004E-2</v>
      </c>
      <c r="F30" s="1183">
        <v>1712.08</v>
      </c>
      <c r="G30" s="1182">
        <v>2.0726757500000002E-2</v>
      </c>
      <c r="H30" s="35"/>
      <c r="I30" s="1178">
        <v>2039</v>
      </c>
      <c r="J30" s="1184">
        <f t="shared" si="0"/>
        <v>3.004322625625</v>
      </c>
      <c r="K30" s="1184">
        <f t="shared" si="0"/>
        <v>0.70391669437499993</v>
      </c>
      <c r="L30" s="1184">
        <f t="shared" si="0"/>
        <v>1.5677625000000001E-2</v>
      </c>
      <c r="M30" s="1184">
        <f t="shared" si="0"/>
        <v>0.10485640812500001</v>
      </c>
      <c r="N30" s="1184">
        <f t="shared" si="0"/>
        <v>2140.1</v>
      </c>
      <c r="O30" s="1184">
        <f t="shared" si="0"/>
        <v>2.5908446875000001E-2</v>
      </c>
      <c r="P30" s="1185">
        <f t="shared" si="1"/>
        <v>2.513119346875E-2</v>
      </c>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row>
    <row r="31" spans="1:51" ht="15">
      <c r="A31" s="1178">
        <v>2040</v>
      </c>
      <c r="B31" s="1182">
        <v>2.3482798702499998</v>
      </c>
      <c r="C31" s="1182">
        <v>0.56247106499999999</v>
      </c>
      <c r="D31" s="1182">
        <v>1.2540175000000001E-2</v>
      </c>
      <c r="E31" s="1182">
        <v>8.3700178E-2</v>
      </c>
      <c r="F31" s="1183">
        <v>1709.2075</v>
      </c>
      <c r="G31" s="1182">
        <v>2.07057E-2</v>
      </c>
      <c r="H31" s="35"/>
      <c r="I31" s="1178">
        <v>2040</v>
      </c>
      <c r="J31" s="1184">
        <f t="shared" ref="J31:O31" si="2">B31*AVERAGE(0,2.5)</f>
        <v>2.9353498378124998</v>
      </c>
      <c r="K31" s="1184">
        <f t="shared" si="2"/>
        <v>0.70308883124999999</v>
      </c>
      <c r="L31" s="1184">
        <f t="shared" si="2"/>
        <v>1.5675218750000001E-2</v>
      </c>
      <c r="M31" s="1184">
        <f t="shared" si="2"/>
        <v>0.1046252225</v>
      </c>
      <c r="N31" s="1184">
        <f t="shared" si="2"/>
        <v>2136.5093750000001</v>
      </c>
      <c r="O31" s="1184">
        <f t="shared" si="2"/>
        <v>2.5882124999999999E-2</v>
      </c>
      <c r="P31" s="1185">
        <f>0.97*O31</f>
        <v>2.5105661249999998E-2</v>
      </c>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row>
    <row r="32" spans="1:51" ht="15">
      <c r="A32" s="1178">
        <v>2041</v>
      </c>
      <c r="B32" s="1186">
        <f>B31</f>
        <v>2.3482798702499998</v>
      </c>
      <c r="C32" s="1186">
        <f t="shared" ref="C32:G32" si="3">C31</f>
        <v>0.56247106499999999</v>
      </c>
      <c r="D32" s="1186">
        <f t="shared" si="3"/>
        <v>1.2540175000000001E-2</v>
      </c>
      <c r="E32" s="1186">
        <f t="shared" si="3"/>
        <v>8.3700178E-2</v>
      </c>
      <c r="F32" s="1186">
        <f t="shared" si="3"/>
        <v>1709.2075</v>
      </c>
      <c r="G32" s="1186">
        <f t="shared" si="3"/>
        <v>2.07057E-2</v>
      </c>
      <c r="H32" s="35"/>
      <c r="I32" s="1178">
        <v>2041</v>
      </c>
      <c r="J32" s="1186">
        <f>J31</f>
        <v>2.9353498378124998</v>
      </c>
      <c r="K32" s="1186">
        <f t="shared" ref="K32:P36" si="4">K31</f>
        <v>0.70308883124999999</v>
      </c>
      <c r="L32" s="1186">
        <f t="shared" si="4"/>
        <v>1.5675218750000001E-2</v>
      </c>
      <c r="M32" s="1186">
        <f t="shared" si="4"/>
        <v>0.1046252225</v>
      </c>
      <c r="N32" s="1186">
        <f t="shared" si="4"/>
        <v>2136.5093750000001</v>
      </c>
      <c r="O32" s="1186">
        <f t="shared" si="4"/>
        <v>2.5882124999999999E-2</v>
      </c>
      <c r="P32" s="1186">
        <f>P31</f>
        <v>2.5105661249999998E-2</v>
      </c>
      <c r="Y32" s="35"/>
      <c r="Z32" s="35"/>
      <c r="AA32" s="35"/>
      <c r="AB32" s="35"/>
      <c r="AC32" s="35"/>
      <c r="AD32" s="35"/>
      <c r="AE32" s="35"/>
      <c r="AF32" s="35"/>
      <c r="AG32" s="35"/>
      <c r="AH32" s="35"/>
      <c r="AI32" s="35"/>
      <c r="AJ32" s="35"/>
      <c r="AK32" s="35"/>
      <c r="AL32" s="35"/>
      <c r="AM32" s="35"/>
      <c r="AN32" s="35"/>
      <c r="AO32" s="35"/>
      <c r="AP32" s="35"/>
      <c r="AQ32" s="35"/>
      <c r="AR32" s="35"/>
      <c r="AS32" s="35"/>
      <c r="AT32" s="35"/>
      <c r="AU32" s="35"/>
      <c r="AV32" s="35"/>
      <c r="AW32" s="35"/>
      <c r="AX32" s="35"/>
      <c r="AY32" s="35"/>
    </row>
    <row r="33" spans="1:51" ht="15">
      <c r="A33" s="1178">
        <v>2042</v>
      </c>
      <c r="B33" s="1186">
        <f>B32</f>
        <v>2.3482798702499998</v>
      </c>
      <c r="C33" s="1186">
        <f t="shared" ref="C33:G36" si="5">C32</f>
        <v>0.56247106499999999</v>
      </c>
      <c r="D33" s="1186">
        <f t="shared" si="5"/>
        <v>1.2540175000000001E-2</v>
      </c>
      <c r="E33" s="1186">
        <f t="shared" si="5"/>
        <v>8.3700178E-2</v>
      </c>
      <c r="F33" s="1186">
        <f t="shared" si="5"/>
        <v>1709.2075</v>
      </c>
      <c r="G33" s="1186">
        <f t="shared" si="5"/>
        <v>2.07057E-2</v>
      </c>
      <c r="H33" s="35"/>
      <c r="I33" s="1178">
        <v>2042</v>
      </c>
      <c r="J33" s="1186">
        <f>J32</f>
        <v>2.9353498378124998</v>
      </c>
      <c r="K33" s="1186">
        <f t="shared" si="4"/>
        <v>0.70308883124999999</v>
      </c>
      <c r="L33" s="1186">
        <f t="shared" si="4"/>
        <v>1.5675218750000001E-2</v>
      </c>
      <c r="M33" s="1186">
        <f t="shared" si="4"/>
        <v>0.1046252225</v>
      </c>
      <c r="N33" s="1186">
        <f t="shared" si="4"/>
        <v>2136.5093750000001</v>
      </c>
      <c r="O33" s="1186">
        <f t="shared" si="4"/>
        <v>2.5882124999999999E-2</v>
      </c>
      <c r="P33" s="1186">
        <f t="shared" si="4"/>
        <v>2.5105661249999998E-2</v>
      </c>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c r="AX33" s="35"/>
      <c r="AY33" s="35"/>
    </row>
    <row r="34" spans="1:51" ht="15">
      <c r="A34" s="1178">
        <v>2043</v>
      </c>
      <c r="B34" s="1186">
        <f>B33</f>
        <v>2.3482798702499998</v>
      </c>
      <c r="C34" s="1186">
        <f t="shared" si="5"/>
        <v>0.56247106499999999</v>
      </c>
      <c r="D34" s="1186">
        <f t="shared" si="5"/>
        <v>1.2540175000000001E-2</v>
      </c>
      <c r="E34" s="1186">
        <f t="shared" si="5"/>
        <v>8.3700178E-2</v>
      </c>
      <c r="F34" s="1186">
        <f t="shared" si="5"/>
        <v>1709.2075</v>
      </c>
      <c r="G34" s="1186">
        <f t="shared" si="5"/>
        <v>2.07057E-2</v>
      </c>
      <c r="H34" s="35"/>
      <c r="I34" s="1178">
        <v>2043</v>
      </c>
      <c r="J34" s="1186">
        <f>J33</f>
        <v>2.9353498378124998</v>
      </c>
      <c r="K34" s="1186">
        <f t="shared" si="4"/>
        <v>0.70308883124999999</v>
      </c>
      <c r="L34" s="1186">
        <f t="shared" si="4"/>
        <v>1.5675218750000001E-2</v>
      </c>
      <c r="M34" s="1186">
        <f t="shared" si="4"/>
        <v>0.1046252225</v>
      </c>
      <c r="N34" s="1186">
        <f t="shared" si="4"/>
        <v>2136.5093750000001</v>
      </c>
      <c r="O34" s="1186">
        <f t="shared" si="4"/>
        <v>2.5882124999999999E-2</v>
      </c>
      <c r="P34" s="1186">
        <f t="shared" si="4"/>
        <v>2.5105661249999998E-2</v>
      </c>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row>
    <row r="35" spans="1:51" ht="15">
      <c r="A35" s="1178">
        <v>2044</v>
      </c>
      <c r="B35" s="1186">
        <f>B34</f>
        <v>2.3482798702499998</v>
      </c>
      <c r="C35" s="1186">
        <f t="shared" si="5"/>
        <v>0.56247106499999999</v>
      </c>
      <c r="D35" s="1186">
        <f t="shared" si="5"/>
        <v>1.2540175000000001E-2</v>
      </c>
      <c r="E35" s="1186">
        <f t="shared" si="5"/>
        <v>8.3700178E-2</v>
      </c>
      <c r="F35" s="1186">
        <f t="shared" si="5"/>
        <v>1709.2075</v>
      </c>
      <c r="G35" s="1186">
        <f t="shared" si="5"/>
        <v>2.07057E-2</v>
      </c>
      <c r="H35" s="35"/>
      <c r="I35" s="1178">
        <v>2044</v>
      </c>
      <c r="J35" s="1186">
        <f>J34</f>
        <v>2.9353498378124998</v>
      </c>
      <c r="K35" s="1186">
        <f t="shared" si="4"/>
        <v>0.70308883124999999</v>
      </c>
      <c r="L35" s="1186">
        <f t="shared" si="4"/>
        <v>1.5675218750000001E-2</v>
      </c>
      <c r="M35" s="1186">
        <f t="shared" si="4"/>
        <v>0.1046252225</v>
      </c>
      <c r="N35" s="1186">
        <f t="shared" si="4"/>
        <v>2136.5093750000001</v>
      </c>
      <c r="O35" s="1186">
        <f t="shared" si="4"/>
        <v>2.5882124999999999E-2</v>
      </c>
      <c r="P35" s="1186">
        <f t="shared" si="4"/>
        <v>2.5105661249999998E-2</v>
      </c>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row>
    <row r="36" spans="1:51" ht="15">
      <c r="A36" s="1178">
        <v>2045</v>
      </c>
      <c r="B36" s="1186">
        <f>B35</f>
        <v>2.3482798702499998</v>
      </c>
      <c r="C36" s="1186">
        <f t="shared" si="5"/>
        <v>0.56247106499999999</v>
      </c>
      <c r="D36" s="1186">
        <f t="shared" si="5"/>
        <v>1.2540175000000001E-2</v>
      </c>
      <c r="E36" s="1186">
        <f t="shared" si="5"/>
        <v>8.3700178E-2</v>
      </c>
      <c r="F36" s="1186">
        <f t="shared" si="5"/>
        <v>1709.2075</v>
      </c>
      <c r="G36" s="1186">
        <f t="shared" si="5"/>
        <v>2.07057E-2</v>
      </c>
      <c r="H36" s="35"/>
      <c r="I36" s="1178">
        <v>2045</v>
      </c>
      <c r="J36" s="1186">
        <f>J35</f>
        <v>2.9353498378124998</v>
      </c>
      <c r="K36" s="1186">
        <f t="shared" si="4"/>
        <v>0.70308883124999999</v>
      </c>
      <c r="L36" s="1186">
        <f t="shared" si="4"/>
        <v>1.5675218750000001E-2</v>
      </c>
      <c r="M36" s="1186">
        <f t="shared" si="4"/>
        <v>0.1046252225</v>
      </c>
      <c r="N36" s="1186">
        <f t="shared" si="4"/>
        <v>2136.5093750000001</v>
      </c>
      <c r="O36" s="1186">
        <f t="shared" si="4"/>
        <v>2.5882124999999999E-2</v>
      </c>
      <c r="P36" s="1186">
        <f t="shared" si="4"/>
        <v>2.5105661249999998E-2</v>
      </c>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row>
    <row r="37" spans="1:51">
      <c r="I37" s="34" t="s">
        <v>571</v>
      </c>
      <c r="J37" s="35"/>
      <c r="K37" s="35"/>
      <c r="L37" s="35"/>
      <c r="M37" s="35"/>
      <c r="N37" s="35"/>
      <c r="O37" s="35"/>
    </row>
    <row r="38" spans="1:51">
      <c r="I38" s="34" t="s">
        <v>572</v>
      </c>
      <c r="J38" s="35"/>
      <c r="K38" s="35"/>
      <c r="L38" s="35"/>
      <c r="M38" s="35"/>
      <c r="N38" s="35"/>
      <c r="O38" s="35"/>
    </row>
    <row r="40" spans="1:51" s="34" customFormat="1" ht="15">
      <c r="A40" s="1283" t="s">
        <v>85</v>
      </c>
      <c r="B40" s="1282" t="s">
        <v>573</v>
      </c>
      <c r="C40" s="1282"/>
      <c r="D40" s="1282"/>
      <c r="E40" s="1282"/>
      <c r="F40" s="1282"/>
      <c r="G40" s="1282"/>
      <c r="I40" s="1283" t="s">
        <v>85</v>
      </c>
      <c r="J40" s="1282" t="s">
        <v>574</v>
      </c>
      <c r="K40" s="1282"/>
      <c r="L40" s="1282"/>
      <c r="M40" s="1282"/>
      <c r="N40" s="1282"/>
      <c r="O40" s="1282"/>
      <c r="Q40" s="1283" t="s">
        <v>85</v>
      </c>
      <c r="R40" s="1282" t="s">
        <v>575</v>
      </c>
      <c r="S40" s="1282"/>
      <c r="T40" s="1282"/>
      <c r="U40" s="1282"/>
      <c r="V40" s="1282"/>
      <c r="W40" s="1282"/>
      <c r="X40" s="1282"/>
    </row>
    <row r="41" spans="1:51" ht="15">
      <c r="A41" s="1283"/>
      <c r="B41" s="1179" t="s">
        <v>558</v>
      </c>
      <c r="C41" s="1179" t="s">
        <v>559</v>
      </c>
      <c r="D41" s="1179" t="s">
        <v>560</v>
      </c>
      <c r="E41" s="1179" t="s">
        <v>561</v>
      </c>
      <c r="F41" s="1179" t="s">
        <v>562</v>
      </c>
      <c r="G41" s="1179" t="s">
        <v>563</v>
      </c>
      <c r="I41" s="1283"/>
      <c r="J41" s="1179" t="s">
        <v>558</v>
      </c>
      <c r="K41" s="1179" t="s">
        <v>559</v>
      </c>
      <c r="L41" s="1179" t="s">
        <v>560</v>
      </c>
      <c r="M41" s="1179" t="s">
        <v>561</v>
      </c>
      <c r="N41" s="1179" t="s">
        <v>562</v>
      </c>
      <c r="O41" s="1179" t="s">
        <v>563</v>
      </c>
      <c r="Q41" s="1283"/>
      <c r="R41" s="1179" t="s">
        <v>558</v>
      </c>
      <c r="S41" s="1179" t="s">
        <v>559</v>
      </c>
      <c r="T41" s="1187" t="s">
        <v>560</v>
      </c>
      <c r="U41" s="1179" t="s">
        <v>561</v>
      </c>
      <c r="V41" s="1179" t="s">
        <v>562</v>
      </c>
      <c r="W41" s="1179" t="s">
        <v>563</v>
      </c>
      <c r="X41" s="1179" t="s">
        <v>576</v>
      </c>
    </row>
    <row r="42" spans="1:51" ht="15">
      <c r="A42" s="1178">
        <v>2016</v>
      </c>
      <c r="B42" s="586">
        <v>2.232316212146543</v>
      </c>
      <c r="C42" s="586">
        <v>8.4276386002020445</v>
      </c>
      <c r="D42" s="586">
        <v>1.8366224598139469E-2</v>
      </c>
      <c r="E42" s="586">
        <v>0.42411220259964466</v>
      </c>
      <c r="F42" s="586">
        <v>2140.1524658203089</v>
      </c>
      <c r="G42" s="586">
        <v>0.50989073235541582</v>
      </c>
      <c r="I42" s="1178">
        <v>2016</v>
      </c>
      <c r="J42" s="1184">
        <f>B42*6.3</f>
        <v>14.063592136523221</v>
      </c>
      <c r="K42" s="1184">
        <f t="shared" ref="K42:O67" si="6">C42*6.3</f>
        <v>53.094123181272877</v>
      </c>
      <c r="L42" s="1184">
        <f t="shared" si="6"/>
        <v>0.11570721496827865</v>
      </c>
      <c r="M42" s="1184">
        <f t="shared" si="6"/>
        <v>2.6719068763777614</v>
      </c>
      <c r="N42" s="1184">
        <f t="shared" si="6"/>
        <v>13482.960534667945</v>
      </c>
      <c r="O42" s="1184">
        <f t="shared" si="6"/>
        <v>3.2123116138391197</v>
      </c>
      <c r="P42" s="35"/>
      <c r="Q42" s="1178">
        <v>2016</v>
      </c>
      <c r="R42" s="1188">
        <f t="shared" ref="R42:U43" si="7">J42/130</f>
        <v>0.10818147797325554</v>
      </c>
      <c r="S42" s="1188">
        <f t="shared" si="7"/>
        <v>0.40841633216363754</v>
      </c>
      <c r="T42" s="1189">
        <f t="shared" si="7"/>
        <v>8.9005549975598969E-4</v>
      </c>
      <c r="U42" s="1188">
        <f t="shared" si="7"/>
        <v>2.0553129818290473E-2</v>
      </c>
      <c r="V42" s="1188">
        <f t="shared" ref="S42:W67" si="8">N42/130</f>
        <v>103.71508103590728</v>
      </c>
      <c r="W42" s="1188">
        <f t="shared" si="8"/>
        <v>2.4710089337223996E-2</v>
      </c>
      <c r="X42" s="1188">
        <f>W42*0.97</f>
        <v>2.3968786657107277E-2</v>
      </c>
    </row>
    <row r="43" spans="1:51" ht="15">
      <c r="A43" s="1178">
        <f>A42+1</f>
        <v>2017</v>
      </c>
      <c r="B43" s="586">
        <v>2.082067735525527</v>
      </c>
      <c r="C43" s="586">
        <v>7.8692279592651175</v>
      </c>
      <c r="D43" s="586">
        <v>1.8222306544582012E-2</v>
      </c>
      <c r="E43" s="586">
        <v>0.3942784212785142</v>
      </c>
      <c r="F43" s="586">
        <v>2127.9566345214807</v>
      </c>
      <c r="G43" s="586">
        <v>0.47202556228472758</v>
      </c>
      <c r="I43" s="1178">
        <f>I42+1</f>
        <v>2017</v>
      </c>
      <c r="J43" s="1184">
        <f t="shared" ref="J43:J67" si="9">B43*6.3</f>
        <v>13.117026733810819</v>
      </c>
      <c r="K43" s="1184">
        <f t="shared" si="6"/>
        <v>49.576136143370242</v>
      </c>
      <c r="L43" s="1184">
        <f t="shared" si="6"/>
        <v>0.11480053123086667</v>
      </c>
      <c r="M43" s="1184">
        <f t="shared" si="6"/>
        <v>2.4839540540546392</v>
      </c>
      <c r="N43" s="1184">
        <f t="shared" si="6"/>
        <v>13406.126797485329</v>
      </c>
      <c r="O43" s="1184">
        <f t="shared" si="6"/>
        <v>2.9737610423937837</v>
      </c>
      <c r="P43" s="35"/>
      <c r="Q43" s="1178">
        <f>Q42+1</f>
        <v>2017</v>
      </c>
      <c r="R43" s="1188">
        <f t="shared" si="7"/>
        <v>0.10090020564469861</v>
      </c>
      <c r="S43" s="1188">
        <f t="shared" si="7"/>
        <v>0.3813548934105403</v>
      </c>
      <c r="T43" s="1189">
        <f t="shared" si="7"/>
        <v>8.8308100946820516E-4</v>
      </c>
      <c r="U43" s="1188">
        <f t="shared" si="7"/>
        <v>1.910733887734338E-2</v>
      </c>
      <c r="V43" s="1188">
        <f t="shared" si="8"/>
        <v>103.12405228834868</v>
      </c>
      <c r="W43" s="1188">
        <f t="shared" si="8"/>
        <v>2.2875084941490643E-2</v>
      </c>
      <c r="X43" s="1188">
        <f t="shared" ref="X43:X67" si="10">W43*0.97</f>
        <v>2.2188832393245924E-2</v>
      </c>
    </row>
    <row r="44" spans="1:51" ht="15">
      <c r="A44" s="1178">
        <f t="shared" ref="A44:A85" si="11">A43+1</f>
        <v>2018</v>
      </c>
      <c r="B44" s="586">
        <v>1.9318192589045111</v>
      </c>
      <c r="C44" s="586">
        <v>7.3108173183281906</v>
      </c>
      <c r="D44" s="586">
        <v>1.8078388491024555E-2</v>
      </c>
      <c r="E44" s="586">
        <v>0.36444463995738374</v>
      </c>
      <c r="F44" s="586">
        <v>2115.7608032226526</v>
      </c>
      <c r="G44" s="586">
        <v>0.43416039221402514</v>
      </c>
      <c r="I44" s="1178">
        <f t="shared" ref="I44:I85" si="12">I43+1</f>
        <v>2018</v>
      </c>
      <c r="J44" s="1184">
        <f t="shared" si="9"/>
        <v>12.170461331098419</v>
      </c>
      <c r="K44" s="1184">
        <f t="shared" si="6"/>
        <v>46.058149105467599</v>
      </c>
      <c r="L44" s="1184">
        <f t="shared" si="6"/>
        <v>0.1138938474934547</v>
      </c>
      <c r="M44" s="1184">
        <f t="shared" si="6"/>
        <v>2.2960012317315175</v>
      </c>
      <c r="N44" s="1184">
        <f t="shared" si="6"/>
        <v>13329.293060302711</v>
      </c>
      <c r="O44" s="1184">
        <f t="shared" si="6"/>
        <v>2.7352104709483585</v>
      </c>
      <c r="P44" s="35"/>
      <c r="Q44" s="1178">
        <f t="shared" ref="Q44:Q85" si="13">Q43+1</f>
        <v>2018</v>
      </c>
      <c r="R44" s="1188">
        <f>J44/130</f>
        <v>9.3618933316141684E-2</v>
      </c>
      <c r="S44" s="1188">
        <f t="shared" si="8"/>
        <v>0.35429345465744305</v>
      </c>
      <c r="T44" s="1189">
        <f t="shared" si="8"/>
        <v>8.7610651918042075E-4</v>
      </c>
      <c r="U44" s="1188">
        <f t="shared" si="8"/>
        <v>1.766154793639629E-2</v>
      </c>
      <c r="V44" s="1188">
        <f t="shared" si="8"/>
        <v>102.53302354079008</v>
      </c>
      <c r="W44" s="1188">
        <f t="shared" si="8"/>
        <v>2.1040080545756602E-2</v>
      </c>
      <c r="X44" s="1188">
        <f t="shared" si="10"/>
        <v>2.0408878129383905E-2</v>
      </c>
    </row>
    <row r="45" spans="1:51" ht="15">
      <c r="A45" s="1178">
        <f t="shared" si="11"/>
        <v>2019</v>
      </c>
      <c r="B45" s="586">
        <v>1.7815707822834952</v>
      </c>
      <c r="C45" s="586">
        <v>6.7524066773912637</v>
      </c>
      <c r="D45" s="586">
        <v>1.7934470437467043E-2</v>
      </c>
      <c r="E45" s="586">
        <v>0.33461085863624618</v>
      </c>
      <c r="F45" s="586">
        <v>2103.5649719238245</v>
      </c>
      <c r="G45" s="586">
        <v>0.3962952221433369</v>
      </c>
      <c r="I45" s="1178">
        <f t="shared" si="12"/>
        <v>2019</v>
      </c>
      <c r="J45" s="1184">
        <f t="shared" si="9"/>
        <v>11.223895928386019</v>
      </c>
      <c r="K45" s="1184">
        <f t="shared" si="6"/>
        <v>42.540162067564957</v>
      </c>
      <c r="L45" s="1184">
        <f t="shared" si="6"/>
        <v>0.11298716375604237</v>
      </c>
      <c r="M45" s="1184">
        <f t="shared" si="6"/>
        <v>2.1080484094083509</v>
      </c>
      <c r="N45" s="1184">
        <f t="shared" si="6"/>
        <v>13252.459323120094</v>
      </c>
      <c r="O45" s="1184">
        <f t="shared" si="6"/>
        <v>2.4966598995030225</v>
      </c>
      <c r="P45" s="35"/>
      <c r="Q45" s="1178">
        <f t="shared" si="13"/>
        <v>2019</v>
      </c>
      <c r="R45" s="1188">
        <f>J45/130</f>
        <v>8.6337660987584761E-2</v>
      </c>
      <c r="S45" s="1188">
        <f t="shared" si="8"/>
        <v>0.32723201590434581</v>
      </c>
      <c r="T45" s="1189">
        <f t="shared" si="8"/>
        <v>8.6913202889263362E-4</v>
      </c>
      <c r="U45" s="1188">
        <f t="shared" si="8"/>
        <v>1.6215756995448853E-2</v>
      </c>
      <c r="V45" s="1188">
        <f t="shared" si="8"/>
        <v>101.9419947932315</v>
      </c>
      <c r="W45" s="1188">
        <f t="shared" si="8"/>
        <v>1.9205076150023249E-2</v>
      </c>
      <c r="X45" s="1188">
        <f t="shared" si="10"/>
        <v>1.8628923865522552E-2</v>
      </c>
    </row>
    <row r="46" spans="1:51" ht="15">
      <c r="A46" s="1178">
        <f t="shared" si="11"/>
        <v>2020</v>
      </c>
      <c r="B46" s="586">
        <v>1.6313223056624793</v>
      </c>
      <c r="C46" s="586">
        <v>6.1939960364543367</v>
      </c>
      <c r="D46" s="586">
        <v>1.7790552383909586E-2</v>
      </c>
      <c r="E46" s="586">
        <v>0.30477707731511572</v>
      </c>
      <c r="F46" s="586">
        <v>2091.3691406249964</v>
      </c>
      <c r="G46" s="586">
        <v>0.35843005207264866</v>
      </c>
      <c r="I46" s="1178">
        <f t="shared" si="12"/>
        <v>2020</v>
      </c>
      <c r="J46" s="1184">
        <f t="shared" si="9"/>
        <v>10.277330525673619</v>
      </c>
      <c r="K46" s="1184">
        <f t="shared" si="6"/>
        <v>39.022175029662321</v>
      </c>
      <c r="L46" s="1184">
        <f t="shared" si="6"/>
        <v>0.11208048001863039</v>
      </c>
      <c r="M46" s="1184">
        <f t="shared" si="6"/>
        <v>1.920095587085229</v>
      </c>
      <c r="N46" s="1184">
        <f t="shared" si="6"/>
        <v>13175.625585937476</v>
      </c>
      <c r="O46" s="1184">
        <f t="shared" si="6"/>
        <v>2.2581093280576865</v>
      </c>
      <c r="P46" s="35"/>
      <c r="Q46" s="1178">
        <f t="shared" si="13"/>
        <v>2020</v>
      </c>
      <c r="R46" s="1188">
        <f t="shared" ref="R46:R67" si="14">J46/130</f>
        <v>7.9056388659027838E-2</v>
      </c>
      <c r="S46" s="1188">
        <f t="shared" si="8"/>
        <v>0.30017057715124862</v>
      </c>
      <c r="T46" s="1189">
        <f t="shared" si="8"/>
        <v>8.6215753860484909E-4</v>
      </c>
      <c r="U46" s="1188">
        <f t="shared" si="8"/>
        <v>1.4769966054501761E-2</v>
      </c>
      <c r="V46" s="1188">
        <f t="shared" si="8"/>
        <v>101.35096604567289</v>
      </c>
      <c r="W46" s="1188">
        <f t="shared" si="8"/>
        <v>1.7370071754289895E-2</v>
      </c>
      <c r="X46" s="1188">
        <f t="shared" si="10"/>
        <v>1.6848969601661198E-2</v>
      </c>
    </row>
    <row r="47" spans="1:51" ht="15">
      <c r="A47" s="1178">
        <f t="shared" si="11"/>
        <v>2021</v>
      </c>
      <c r="B47" s="586">
        <v>1.4810738290414633</v>
      </c>
      <c r="C47" s="586">
        <v>5.6355853955174098</v>
      </c>
      <c r="D47" s="586">
        <v>1.7646634330352129E-2</v>
      </c>
      <c r="E47" s="586">
        <v>0.27494329599398526</v>
      </c>
      <c r="F47" s="586">
        <v>2079.1733093261682</v>
      </c>
      <c r="G47" s="586">
        <v>0.32056488200194622</v>
      </c>
      <c r="I47" s="1178">
        <f t="shared" si="12"/>
        <v>2021</v>
      </c>
      <c r="J47" s="1184">
        <f t="shared" si="9"/>
        <v>9.3307651229612194</v>
      </c>
      <c r="K47" s="1184">
        <f t="shared" si="6"/>
        <v>35.504187991759679</v>
      </c>
      <c r="L47" s="1184">
        <f t="shared" si="6"/>
        <v>0.11117379628121841</v>
      </c>
      <c r="M47" s="1184">
        <f t="shared" si="6"/>
        <v>1.732142764762107</v>
      </c>
      <c r="N47" s="1184">
        <f t="shared" si="6"/>
        <v>13098.79184875486</v>
      </c>
      <c r="O47" s="1184">
        <f t="shared" si="6"/>
        <v>2.0195587566122613</v>
      </c>
      <c r="P47" s="35"/>
      <c r="Q47" s="1178">
        <f t="shared" si="13"/>
        <v>2021</v>
      </c>
      <c r="R47" s="1188">
        <f t="shared" si="14"/>
        <v>7.1775116330470914E-2</v>
      </c>
      <c r="S47" s="1188">
        <f t="shared" si="8"/>
        <v>0.27310913839815137</v>
      </c>
      <c r="T47" s="1189">
        <f t="shared" si="8"/>
        <v>8.5518304831706468E-4</v>
      </c>
      <c r="U47" s="1188">
        <f t="shared" si="8"/>
        <v>1.332417511355467E-2</v>
      </c>
      <c r="V47" s="1188">
        <f t="shared" si="8"/>
        <v>100.75993729811431</v>
      </c>
      <c r="W47" s="1188">
        <f t="shared" si="8"/>
        <v>1.5535067358555857E-2</v>
      </c>
      <c r="X47" s="1188">
        <f t="shared" si="10"/>
        <v>1.5069015337799181E-2</v>
      </c>
    </row>
    <row r="48" spans="1:51" ht="15">
      <c r="A48" s="1178">
        <f t="shared" si="11"/>
        <v>2022</v>
      </c>
      <c r="B48" s="586">
        <v>1.3308253524204474</v>
      </c>
      <c r="C48" s="586">
        <v>5.0771747545804828</v>
      </c>
      <c r="D48" s="586">
        <v>1.7502716276794617E-2</v>
      </c>
      <c r="E48" s="586">
        <v>0.2451095146728548</v>
      </c>
      <c r="F48" s="586">
        <v>2066.9774780273365</v>
      </c>
      <c r="G48" s="586">
        <v>0.28269971193125798</v>
      </c>
      <c r="I48" s="1178">
        <f t="shared" si="12"/>
        <v>2022</v>
      </c>
      <c r="J48" s="1184">
        <f t="shared" si="9"/>
        <v>8.3841997202488177</v>
      </c>
      <c r="K48" s="1184">
        <f t="shared" si="6"/>
        <v>31.98620095385704</v>
      </c>
      <c r="L48" s="1184">
        <f t="shared" si="6"/>
        <v>0.11026711254380608</v>
      </c>
      <c r="M48" s="1184">
        <f t="shared" si="6"/>
        <v>1.5441899424389851</v>
      </c>
      <c r="N48" s="1184">
        <f t="shared" si="6"/>
        <v>13021.958111572219</v>
      </c>
      <c r="O48" s="1184">
        <f t="shared" si="6"/>
        <v>1.7810081851669253</v>
      </c>
      <c r="P48" s="35"/>
      <c r="Q48" s="1178">
        <f t="shared" si="13"/>
        <v>2022</v>
      </c>
      <c r="R48" s="1188">
        <f t="shared" si="14"/>
        <v>6.4493844001913977E-2</v>
      </c>
      <c r="S48" s="1188">
        <f t="shared" si="8"/>
        <v>0.24604769964505416</v>
      </c>
      <c r="T48" s="1189">
        <f t="shared" si="8"/>
        <v>8.4820855802927755E-4</v>
      </c>
      <c r="U48" s="1188">
        <f t="shared" si="8"/>
        <v>1.1878384172607578E-2</v>
      </c>
      <c r="V48" s="1188">
        <f t="shared" si="8"/>
        <v>100.16890855055553</v>
      </c>
      <c r="W48" s="1188">
        <f t="shared" si="8"/>
        <v>1.3700062962822501E-2</v>
      </c>
      <c r="X48" s="1188">
        <f t="shared" si="10"/>
        <v>1.3289061073937826E-2</v>
      </c>
    </row>
    <row r="49" spans="1:24" ht="15">
      <c r="A49" s="1178">
        <f t="shared" si="11"/>
        <v>2023</v>
      </c>
      <c r="B49" s="586">
        <v>1.1805768757994315</v>
      </c>
      <c r="C49" s="586">
        <v>4.5187641136435559</v>
      </c>
      <c r="D49" s="586">
        <v>1.735879822323716E-2</v>
      </c>
      <c r="E49" s="586">
        <v>0.21527573335171724</v>
      </c>
      <c r="F49" s="586">
        <v>2054.7816467285083</v>
      </c>
      <c r="G49" s="586">
        <v>0.24483454186055553</v>
      </c>
      <c r="I49" s="1178">
        <f t="shared" si="12"/>
        <v>2023</v>
      </c>
      <c r="J49" s="1184">
        <f t="shared" si="9"/>
        <v>7.4376343175364186</v>
      </c>
      <c r="K49" s="1184">
        <f t="shared" si="6"/>
        <v>28.468213915954401</v>
      </c>
      <c r="L49" s="1184">
        <f t="shared" si="6"/>
        <v>0.1093604288063941</v>
      </c>
      <c r="M49" s="1184">
        <f t="shared" si="6"/>
        <v>1.3562371201158185</v>
      </c>
      <c r="N49" s="1184">
        <f t="shared" si="6"/>
        <v>12945.124374389603</v>
      </c>
      <c r="O49" s="1184">
        <f t="shared" si="6"/>
        <v>1.5424576137214998</v>
      </c>
      <c r="P49" s="35"/>
      <c r="Q49" s="1178">
        <f t="shared" si="13"/>
        <v>2023</v>
      </c>
      <c r="R49" s="1188">
        <f t="shared" si="14"/>
        <v>5.7212571673357068E-2</v>
      </c>
      <c r="S49" s="1188">
        <f t="shared" si="8"/>
        <v>0.21898626089195694</v>
      </c>
      <c r="T49" s="1189">
        <f t="shared" si="8"/>
        <v>8.4123406774149303E-4</v>
      </c>
      <c r="U49" s="1188">
        <f t="shared" si="8"/>
        <v>1.0432593231660143E-2</v>
      </c>
      <c r="V49" s="1188">
        <f t="shared" si="8"/>
        <v>99.577879802996947</v>
      </c>
      <c r="W49" s="1188">
        <f t="shared" si="8"/>
        <v>1.1865058567088461E-2</v>
      </c>
      <c r="X49" s="1188">
        <f t="shared" si="10"/>
        <v>1.1509106810075807E-2</v>
      </c>
    </row>
    <row r="50" spans="1:24" ht="15">
      <c r="A50" s="1178">
        <f t="shared" si="11"/>
        <v>2024</v>
      </c>
      <c r="B50" s="586">
        <v>1.0303283991783587</v>
      </c>
      <c r="C50" s="586">
        <v>3.960353472706629</v>
      </c>
      <c r="D50" s="586">
        <v>1.7214880169679703E-2</v>
      </c>
      <c r="E50" s="586">
        <v>0.18544195203058678</v>
      </c>
      <c r="F50" s="586">
        <v>2042.5858154296802</v>
      </c>
      <c r="G50" s="586">
        <v>0.2069693717898673</v>
      </c>
      <c r="I50" s="1178">
        <f t="shared" si="12"/>
        <v>2024</v>
      </c>
      <c r="J50" s="1184">
        <f t="shared" si="9"/>
        <v>6.4910689148236598</v>
      </c>
      <c r="K50" s="1184">
        <f t="shared" si="6"/>
        <v>24.950226878051762</v>
      </c>
      <c r="L50" s="1184">
        <f t="shared" si="6"/>
        <v>0.10845374506898213</v>
      </c>
      <c r="M50" s="1184">
        <f t="shared" si="6"/>
        <v>1.1682842977926966</v>
      </c>
      <c r="N50" s="1184">
        <f t="shared" si="6"/>
        <v>12868.290637206985</v>
      </c>
      <c r="O50" s="1184">
        <f t="shared" si="6"/>
        <v>1.3039070422761638</v>
      </c>
      <c r="P50" s="35"/>
      <c r="Q50" s="1178">
        <f t="shared" si="13"/>
        <v>2024</v>
      </c>
      <c r="R50" s="1188">
        <f t="shared" si="14"/>
        <v>4.9931299344797384E-2</v>
      </c>
      <c r="S50" s="1188">
        <f t="shared" si="8"/>
        <v>0.1919248221388597</v>
      </c>
      <c r="T50" s="1189">
        <f t="shared" si="8"/>
        <v>8.3425957745370872E-4</v>
      </c>
      <c r="U50" s="1188">
        <f t="shared" si="8"/>
        <v>8.9868022907130512E-3</v>
      </c>
      <c r="V50" s="1188">
        <f t="shared" si="8"/>
        <v>98.98685105543835</v>
      </c>
      <c r="W50" s="1188">
        <f t="shared" si="8"/>
        <v>1.0030054171355107E-2</v>
      </c>
      <c r="X50" s="1188">
        <f t="shared" si="10"/>
        <v>9.7291525462144535E-3</v>
      </c>
    </row>
    <row r="51" spans="1:24" ht="15">
      <c r="A51" s="1178">
        <f t="shared" si="11"/>
        <v>2025</v>
      </c>
      <c r="B51" s="586">
        <v>0.8800799225573428</v>
      </c>
      <c r="C51" s="586">
        <v>3.401942831769702</v>
      </c>
      <c r="D51" s="586">
        <v>1.7070962116122204E-2</v>
      </c>
      <c r="E51" s="586">
        <v>0.15560817070945632</v>
      </c>
      <c r="F51" s="586">
        <v>2030.3899841308539</v>
      </c>
      <c r="G51" s="586">
        <v>0.16910420171916485</v>
      </c>
      <c r="I51" s="1178">
        <f t="shared" si="12"/>
        <v>2025</v>
      </c>
      <c r="J51" s="1184">
        <f t="shared" si="9"/>
        <v>5.5445035121112598</v>
      </c>
      <c r="K51" s="1184">
        <f t="shared" si="6"/>
        <v>21.432239840149123</v>
      </c>
      <c r="L51" s="1184">
        <f t="shared" si="6"/>
        <v>0.10754706133156988</v>
      </c>
      <c r="M51" s="1184">
        <f t="shared" si="6"/>
        <v>0.98033147546957478</v>
      </c>
      <c r="N51" s="1184">
        <f t="shared" si="6"/>
        <v>12791.456900024379</v>
      </c>
      <c r="O51" s="1184">
        <f t="shared" si="6"/>
        <v>1.0653564708307386</v>
      </c>
      <c r="P51" s="35"/>
      <c r="Q51" s="1178">
        <f t="shared" si="13"/>
        <v>2025</v>
      </c>
      <c r="R51" s="1188">
        <f t="shared" si="14"/>
        <v>4.265002701624046E-2</v>
      </c>
      <c r="S51" s="1188">
        <f t="shared" si="8"/>
        <v>0.16486338338576248</v>
      </c>
      <c r="T51" s="1189">
        <f t="shared" si="8"/>
        <v>8.2728508716592214E-4</v>
      </c>
      <c r="U51" s="1188">
        <f t="shared" si="8"/>
        <v>7.5410113497659595E-3</v>
      </c>
      <c r="V51" s="1188">
        <f t="shared" si="8"/>
        <v>98.39582230787984</v>
      </c>
      <c r="W51" s="1188">
        <f t="shared" si="8"/>
        <v>8.1950497756210668E-3</v>
      </c>
      <c r="X51" s="1188">
        <f t="shared" si="10"/>
        <v>7.9491982823524342E-3</v>
      </c>
    </row>
    <row r="52" spans="1:24" ht="15">
      <c r="A52" s="1178">
        <f t="shared" si="11"/>
        <v>2026</v>
      </c>
      <c r="B52" s="586">
        <v>0.83428400518749868</v>
      </c>
      <c r="C52" s="586">
        <v>3.2291370994885256</v>
      </c>
      <c r="D52" s="586">
        <v>1.7016187170520378E-2</v>
      </c>
      <c r="E52" s="586">
        <v>0.14598435075067684</v>
      </c>
      <c r="F52" s="586">
        <v>2025.4627349853472</v>
      </c>
      <c r="G52" s="586">
        <v>0.15731210149824548</v>
      </c>
      <c r="I52" s="1178">
        <f t="shared" si="12"/>
        <v>2026</v>
      </c>
      <c r="J52" s="1184">
        <f t="shared" si="9"/>
        <v>5.2559892326812419</v>
      </c>
      <c r="K52" s="1184">
        <f t="shared" si="6"/>
        <v>20.34356372677771</v>
      </c>
      <c r="L52" s="1184">
        <f t="shared" si="6"/>
        <v>0.10720197917427837</v>
      </c>
      <c r="M52" s="1184">
        <f t="shared" si="6"/>
        <v>0.91970140972926406</v>
      </c>
      <c r="N52" s="1184">
        <f t="shared" si="6"/>
        <v>12760.415230407687</v>
      </c>
      <c r="O52" s="1184">
        <f t="shared" si="6"/>
        <v>0.99106623943894656</v>
      </c>
      <c r="P52" s="35"/>
      <c r="Q52" s="1178">
        <f t="shared" si="13"/>
        <v>2026</v>
      </c>
      <c r="R52" s="1188">
        <f t="shared" si="14"/>
        <v>4.0430686405240321E-2</v>
      </c>
      <c r="S52" s="1188">
        <f t="shared" si="8"/>
        <v>0.15648895174444391</v>
      </c>
      <c r="T52" s="1189">
        <f t="shared" si="8"/>
        <v>8.2463060903291061E-4</v>
      </c>
      <c r="U52" s="1188">
        <f t="shared" si="8"/>
        <v>7.0746262286866465E-3</v>
      </c>
      <c r="V52" s="1188">
        <f t="shared" si="8"/>
        <v>98.157040233905278</v>
      </c>
      <c r="W52" s="1188">
        <f t="shared" si="8"/>
        <v>7.6235864572226659E-3</v>
      </c>
      <c r="X52" s="1188">
        <f t="shared" si="10"/>
        <v>7.394878863505986E-3</v>
      </c>
    </row>
    <row r="53" spans="1:24" ht="15">
      <c r="A53" s="1178">
        <f t="shared" si="11"/>
        <v>2027</v>
      </c>
      <c r="B53" s="586">
        <v>0.78848808781766877</v>
      </c>
      <c r="C53" s="586">
        <v>3.0563313672072923</v>
      </c>
      <c r="D53" s="586">
        <v>1.6961412224918565E-2</v>
      </c>
      <c r="E53" s="586">
        <v>0.13636053079190091</v>
      </c>
      <c r="F53" s="586">
        <v>2020.5354858398387</v>
      </c>
      <c r="G53" s="586">
        <v>0.14552000127732612</v>
      </c>
      <c r="I53" s="1178">
        <f t="shared" si="12"/>
        <v>2027</v>
      </c>
      <c r="J53" s="1184">
        <f t="shared" si="9"/>
        <v>4.9674749532513127</v>
      </c>
      <c r="K53" s="1184">
        <f t="shared" si="6"/>
        <v>19.254887613405941</v>
      </c>
      <c r="L53" s="1184">
        <f t="shared" si="6"/>
        <v>0.10685689701698696</v>
      </c>
      <c r="M53" s="1184">
        <f t="shared" si="6"/>
        <v>0.85907134398897578</v>
      </c>
      <c r="N53" s="1184">
        <f t="shared" si="6"/>
        <v>12729.373560790984</v>
      </c>
      <c r="O53" s="1184">
        <f t="shared" si="6"/>
        <v>0.91677600804715453</v>
      </c>
      <c r="P53" s="35"/>
      <c r="Q53" s="1178">
        <f t="shared" si="13"/>
        <v>2027</v>
      </c>
      <c r="R53" s="1188">
        <f t="shared" si="14"/>
        <v>3.8211345794240868E-2</v>
      </c>
      <c r="S53" s="1188">
        <f t="shared" si="8"/>
        <v>0.14811452010312262</v>
      </c>
      <c r="T53" s="1189">
        <f t="shared" si="8"/>
        <v>8.2197613089989973E-4</v>
      </c>
      <c r="U53" s="1188">
        <f t="shared" si="8"/>
        <v>6.6082411076075062E-3</v>
      </c>
      <c r="V53" s="1188">
        <f t="shared" si="8"/>
        <v>97.918258159930645</v>
      </c>
      <c r="W53" s="1188">
        <f t="shared" si="8"/>
        <v>7.0521231388242659E-3</v>
      </c>
      <c r="X53" s="1188">
        <f t="shared" si="10"/>
        <v>6.8405594446595379E-3</v>
      </c>
    </row>
    <row r="54" spans="1:24" ht="15">
      <c r="A54" s="1178">
        <f t="shared" si="11"/>
        <v>2028</v>
      </c>
      <c r="B54" s="586">
        <v>0.74269217044783886</v>
      </c>
      <c r="C54" s="586">
        <v>2.8835256349261158</v>
      </c>
      <c r="D54" s="586">
        <v>1.6906637279316739E-2</v>
      </c>
      <c r="E54" s="586">
        <v>0.12673671083312144</v>
      </c>
      <c r="F54" s="586">
        <v>2015.6082366943319</v>
      </c>
      <c r="G54" s="586">
        <v>0.1337279010564103</v>
      </c>
      <c r="I54" s="1178">
        <f t="shared" si="12"/>
        <v>2028</v>
      </c>
      <c r="J54" s="1184">
        <f t="shared" si="9"/>
        <v>4.6789606738213845</v>
      </c>
      <c r="K54" s="1184">
        <f t="shared" si="6"/>
        <v>18.166211500034528</v>
      </c>
      <c r="L54" s="1184">
        <f t="shared" si="6"/>
        <v>0.10651181485969545</v>
      </c>
      <c r="M54" s="1184">
        <f t="shared" si="6"/>
        <v>0.79844127824866507</v>
      </c>
      <c r="N54" s="1184">
        <f t="shared" si="6"/>
        <v>12698.331891174292</v>
      </c>
      <c r="O54" s="1184">
        <f t="shared" si="6"/>
        <v>0.84248577665538493</v>
      </c>
      <c r="P54" s="35"/>
      <c r="Q54" s="1178">
        <f t="shared" si="13"/>
        <v>2028</v>
      </c>
      <c r="R54" s="1188">
        <f t="shared" si="14"/>
        <v>3.5992005183241416E-2</v>
      </c>
      <c r="S54" s="1188">
        <f t="shared" si="8"/>
        <v>0.13974008846180405</v>
      </c>
      <c r="T54" s="1189">
        <f t="shared" si="8"/>
        <v>8.1932165276688809E-4</v>
      </c>
      <c r="U54" s="1188">
        <f t="shared" si="8"/>
        <v>6.1418559865281932E-3</v>
      </c>
      <c r="V54" s="1188">
        <f t="shared" si="8"/>
        <v>97.679476085956097</v>
      </c>
      <c r="W54" s="1188">
        <f t="shared" si="8"/>
        <v>6.4806598204260376E-3</v>
      </c>
      <c r="X54" s="1188">
        <f t="shared" si="10"/>
        <v>6.2862400258132563E-3</v>
      </c>
    </row>
    <row r="55" spans="1:24" ht="15">
      <c r="A55" s="1178">
        <f t="shared" si="11"/>
        <v>2029</v>
      </c>
      <c r="B55" s="586">
        <v>0.69689625307800895</v>
      </c>
      <c r="C55" s="586">
        <v>2.7107199026449393</v>
      </c>
      <c r="D55" s="586">
        <v>1.6851862333714912E-2</v>
      </c>
      <c r="E55" s="586">
        <v>0.11711289087434196</v>
      </c>
      <c r="F55" s="586">
        <v>2010.6809875488252</v>
      </c>
      <c r="G55" s="586">
        <v>0.12193580083549094</v>
      </c>
      <c r="I55" s="1178">
        <f t="shared" si="12"/>
        <v>2029</v>
      </c>
      <c r="J55" s="1184">
        <f t="shared" si="9"/>
        <v>4.3904463943914562</v>
      </c>
      <c r="K55" s="1184">
        <f t="shared" si="6"/>
        <v>17.077535386663119</v>
      </c>
      <c r="L55" s="1184">
        <f t="shared" si="6"/>
        <v>0.10616673270240394</v>
      </c>
      <c r="M55" s="1184">
        <f t="shared" si="6"/>
        <v>0.73781121250835435</v>
      </c>
      <c r="N55" s="1184">
        <f t="shared" si="6"/>
        <v>12667.290221557598</v>
      </c>
      <c r="O55" s="1184">
        <f t="shared" si="6"/>
        <v>0.7681955452635929</v>
      </c>
      <c r="P55" s="35"/>
      <c r="Q55" s="1178">
        <f t="shared" si="13"/>
        <v>2029</v>
      </c>
      <c r="R55" s="1188">
        <f t="shared" si="14"/>
        <v>3.377266457224197E-2</v>
      </c>
      <c r="S55" s="1188">
        <f t="shared" si="8"/>
        <v>0.13136565682048554</v>
      </c>
      <c r="T55" s="1189">
        <f t="shared" si="8"/>
        <v>8.1666717463387646E-4</v>
      </c>
      <c r="U55" s="1188">
        <f t="shared" si="8"/>
        <v>5.6754708654488794E-3</v>
      </c>
      <c r="V55" s="1188">
        <f t="shared" si="8"/>
        <v>97.44069401198152</v>
      </c>
      <c r="W55" s="1188">
        <f t="shared" si="8"/>
        <v>5.9091965020276376E-3</v>
      </c>
      <c r="X55" s="1188">
        <f t="shared" si="10"/>
        <v>5.7319206069668081E-3</v>
      </c>
    </row>
    <row r="56" spans="1:24" ht="15">
      <c r="A56" s="1178">
        <f t="shared" si="11"/>
        <v>2030</v>
      </c>
      <c r="B56" s="586">
        <v>0.65110033570817905</v>
      </c>
      <c r="C56" s="586">
        <v>2.537914170363706</v>
      </c>
      <c r="D56" s="586">
        <v>1.6797087388113099E-2</v>
      </c>
      <c r="E56" s="586">
        <v>0.10748907091556248</v>
      </c>
      <c r="F56" s="586">
        <v>2005.7537384033167</v>
      </c>
      <c r="G56" s="586">
        <v>0.11014370061457157</v>
      </c>
      <c r="I56" s="1178">
        <f t="shared" si="12"/>
        <v>2030</v>
      </c>
      <c r="J56" s="1184">
        <f t="shared" si="9"/>
        <v>4.101932114961528</v>
      </c>
      <c r="K56" s="1184">
        <f t="shared" si="6"/>
        <v>15.988859273291348</v>
      </c>
      <c r="L56" s="1184">
        <f t="shared" si="6"/>
        <v>0.10582165054511253</v>
      </c>
      <c r="M56" s="1184">
        <f t="shared" si="6"/>
        <v>0.67718114676804364</v>
      </c>
      <c r="N56" s="1184">
        <f t="shared" si="6"/>
        <v>12636.248551940895</v>
      </c>
      <c r="O56" s="1184">
        <f t="shared" si="6"/>
        <v>0.69390531387180088</v>
      </c>
      <c r="P56" s="35"/>
      <c r="Q56" s="1178">
        <f t="shared" si="13"/>
        <v>2030</v>
      </c>
      <c r="R56" s="1188">
        <f t="shared" si="14"/>
        <v>3.1553323961242524E-2</v>
      </c>
      <c r="S56" s="1188">
        <f t="shared" si="8"/>
        <v>0.12299122517916422</v>
      </c>
      <c r="T56" s="1189">
        <f t="shared" si="8"/>
        <v>8.1401269650086558E-4</v>
      </c>
      <c r="U56" s="1188">
        <f t="shared" si="8"/>
        <v>5.2090857443695664E-3</v>
      </c>
      <c r="V56" s="1188">
        <f t="shared" si="8"/>
        <v>97.201911938006887</v>
      </c>
      <c r="W56" s="1188">
        <f t="shared" si="8"/>
        <v>5.3377331836292376E-3</v>
      </c>
      <c r="X56" s="1188">
        <f t="shared" si="10"/>
        <v>5.17760118812036E-3</v>
      </c>
    </row>
    <row r="57" spans="1:24" ht="15">
      <c r="A57" s="1178">
        <f t="shared" si="11"/>
        <v>2031</v>
      </c>
      <c r="B57" s="586">
        <v>0.60530441833833493</v>
      </c>
      <c r="C57" s="586">
        <v>2.3651084380825296</v>
      </c>
      <c r="D57" s="586">
        <v>1.6742312442511273E-2</v>
      </c>
      <c r="E57" s="586">
        <v>9.7865250956783001E-2</v>
      </c>
      <c r="F57" s="586">
        <v>2000.82648925781</v>
      </c>
      <c r="G57" s="586">
        <v>9.8351600393652205E-2</v>
      </c>
      <c r="I57" s="1178">
        <f t="shared" si="12"/>
        <v>2031</v>
      </c>
      <c r="J57" s="1184">
        <f t="shared" si="9"/>
        <v>3.81341783553151</v>
      </c>
      <c r="K57" s="1184">
        <f t="shared" si="6"/>
        <v>14.900183159919935</v>
      </c>
      <c r="L57" s="1184">
        <f t="shared" si="6"/>
        <v>0.10547656838782102</v>
      </c>
      <c r="M57" s="1184">
        <f t="shared" si="6"/>
        <v>0.61655108102773293</v>
      </c>
      <c r="N57" s="1184">
        <f t="shared" si="6"/>
        <v>12605.206882324203</v>
      </c>
      <c r="O57" s="1184">
        <f t="shared" si="6"/>
        <v>0.61961508248000885</v>
      </c>
      <c r="P57" s="35"/>
      <c r="Q57" s="1178">
        <f t="shared" si="13"/>
        <v>2031</v>
      </c>
      <c r="R57" s="1188">
        <f t="shared" si="14"/>
        <v>2.9333983350242385E-2</v>
      </c>
      <c r="S57" s="1188">
        <f t="shared" si="8"/>
        <v>0.11461679353784565</v>
      </c>
      <c r="T57" s="1189">
        <f t="shared" si="8"/>
        <v>8.1135821836785394E-4</v>
      </c>
      <c r="U57" s="1188">
        <f t="shared" si="8"/>
        <v>4.7427006232902535E-3</v>
      </c>
      <c r="V57" s="1188">
        <f t="shared" si="8"/>
        <v>96.963129864032325</v>
      </c>
      <c r="W57" s="1188">
        <f t="shared" si="8"/>
        <v>4.7662698652308376E-3</v>
      </c>
      <c r="X57" s="1188">
        <f t="shared" si="10"/>
        <v>4.6232817692739127E-3</v>
      </c>
    </row>
    <row r="58" spans="1:24" ht="15">
      <c r="A58" s="1178">
        <f t="shared" si="11"/>
        <v>2032</v>
      </c>
      <c r="B58" s="586">
        <v>0.55950850096850502</v>
      </c>
      <c r="C58" s="586">
        <v>2.1923027058012963</v>
      </c>
      <c r="D58" s="586">
        <v>1.668753749690946E-2</v>
      </c>
      <c r="E58" s="586">
        <v>8.8241430998007075E-2</v>
      </c>
      <c r="F58" s="586">
        <v>1995.8992401123014</v>
      </c>
      <c r="G58" s="586">
        <v>8.6559500172732839E-2</v>
      </c>
      <c r="I58" s="1178">
        <f t="shared" si="12"/>
        <v>2032</v>
      </c>
      <c r="J58" s="1184">
        <f t="shared" si="9"/>
        <v>3.5249035561015813</v>
      </c>
      <c r="K58" s="1184">
        <f t="shared" si="6"/>
        <v>13.811507046548167</v>
      </c>
      <c r="L58" s="1184">
        <f t="shared" si="6"/>
        <v>0.10513148623052959</v>
      </c>
      <c r="M58" s="1184">
        <f t="shared" si="6"/>
        <v>0.55592101528744453</v>
      </c>
      <c r="N58" s="1184">
        <f t="shared" si="6"/>
        <v>12574.165212707499</v>
      </c>
      <c r="O58" s="1184">
        <f t="shared" si="6"/>
        <v>0.54532485108821682</v>
      </c>
      <c r="P58" s="35"/>
      <c r="Q58" s="1178">
        <f t="shared" si="13"/>
        <v>2032</v>
      </c>
      <c r="R58" s="1188">
        <f t="shared" si="14"/>
        <v>2.7114642739242932E-2</v>
      </c>
      <c r="S58" s="1188">
        <f t="shared" si="8"/>
        <v>0.10624236189652436</v>
      </c>
      <c r="T58" s="1189">
        <f t="shared" si="8"/>
        <v>8.0870374023484307E-4</v>
      </c>
      <c r="U58" s="1188">
        <f t="shared" si="8"/>
        <v>4.2763155022111114E-3</v>
      </c>
      <c r="V58" s="1188">
        <f t="shared" si="8"/>
        <v>96.724347790057692</v>
      </c>
      <c r="W58" s="1188">
        <f t="shared" si="8"/>
        <v>4.1948065468324367E-3</v>
      </c>
      <c r="X58" s="1188">
        <f t="shared" si="10"/>
        <v>4.0689623504274637E-3</v>
      </c>
    </row>
    <row r="59" spans="1:24" ht="15">
      <c r="A59" s="1178">
        <f t="shared" si="11"/>
        <v>2033</v>
      </c>
      <c r="B59" s="586">
        <v>0.51371258359867511</v>
      </c>
      <c r="C59" s="586">
        <v>2.0194969735201198</v>
      </c>
      <c r="D59" s="586">
        <v>1.6632762551307634E-2</v>
      </c>
      <c r="E59" s="586">
        <v>7.8617611039227597E-2</v>
      </c>
      <c r="F59" s="586">
        <v>1990.9719909667947</v>
      </c>
      <c r="G59" s="586">
        <v>7.4767399951817026E-2</v>
      </c>
      <c r="I59" s="1178">
        <f t="shared" si="12"/>
        <v>2033</v>
      </c>
      <c r="J59" s="1184">
        <f t="shared" si="9"/>
        <v>3.2363892766716531</v>
      </c>
      <c r="K59" s="1184">
        <f t="shared" si="6"/>
        <v>12.722830933176754</v>
      </c>
      <c r="L59" s="1184">
        <f t="shared" si="6"/>
        <v>0.1047864040732381</v>
      </c>
      <c r="M59" s="1184">
        <f t="shared" si="6"/>
        <v>0.49529094954713387</v>
      </c>
      <c r="N59" s="1184">
        <f t="shared" si="6"/>
        <v>12543.123543090805</v>
      </c>
      <c r="O59" s="1184">
        <f t="shared" si="6"/>
        <v>0.47103461969644728</v>
      </c>
      <c r="P59" s="35"/>
      <c r="Q59" s="1178">
        <f t="shared" si="13"/>
        <v>2033</v>
      </c>
      <c r="R59" s="1188">
        <f t="shared" si="14"/>
        <v>2.4895302128243486E-2</v>
      </c>
      <c r="S59" s="1188">
        <f t="shared" si="8"/>
        <v>9.7867930255205793E-2</v>
      </c>
      <c r="T59" s="1189">
        <f t="shared" si="8"/>
        <v>8.0604926210183154E-4</v>
      </c>
      <c r="U59" s="1188">
        <f t="shared" si="8"/>
        <v>3.8099303811317989E-3</v>
      </c>
      <c r="V59" s="1188">
        <f t="shared" si="8"/>
        <v>96.485565716083116</v>
      </c>
      <c r="W59" s="1188">
        <f t="shared" si="8"/>
        <v>3.6233432284342097E-3</v>
      </c>
      <c r="X59" s="1188">
        <f t="shared" si="10"/>
        <v>3.5146429315811834E-3</v>
      </c>
    </row>
    <row r="60" spans="1:24" ht="15">
      <c r="A60" s="1178">
        <f t="shared" si="11"/>
        <v>2034</v>
      </c>
      <c r="B60" s="586">
        <v>0.4679166662288452</v>
      </c>
      <c r="C60" s="586">
        <v>1.8466912412389433</v>
      </c>
      <c r="D60" s="586">
        <v>1.6577987605705807E-2</v>
      </c>
      <c r="E60" s="586">
        <v>6.8993791080448119E-2</v>
      </c>
      <c r="F60" s="586">
        <v>1986.0447418212862</v>
      </c>
      <c r="G60" s="586">
        <v>6.297529973089766E-2</v>
      </c>
      <c r="I60" s="1178">
        <f t="shared" si="12"/>
        <v>2034</v>
      </c>
      <c r="J60" s="1184">
        <f t="shared" si="9"/>
        <v>2.9478749972417249</v>
      </c>
      <c r="K60" s="1184">
        <f t="shared" si="6"/>
        <v>11.634154819805342</v>
      </c>
      <c r="L60" s="1184">
        <f t="shared" si="6"/>
        <v>0.10444132191594659</v>
      </c>
      <c r="M60" s="1184">
        <f t="shared" si="6"/>
        <v>0.43466088380682316</v>
      </c>
      <c r="N60" s="1184">
        <f t="shared" si="6"/>
        <v>12512.081873474102</v>
      </c>
      <c r="O60" s="1184">
        <f t="shared" si="6"/>
        <v>0.39674438830465525</v>
      </c>
      <c r="P60" s="35"/>
      <c r="Q60" s="1178">
        <f t="shared" si="13"/>
        <v>2034</v>
      </c>
      <c r="R60" s="1188">
        <f t="shared" si="14"/>
        <v>2.2675961517244037E-2</v>
      </c>
      <c r="S60" s="1188">
        <f t="shared" si="8"/>
        <v>8.9493498613887251E-2</v>
      </c>
      <c r="T60" s="1189">
        <f t="shared" si="8"/>
        <v>8.033947839688199E-4</v>
      </c>
      <c r="U60" s="1188">
        <f t="shared" si="8"/>
        <v>3.3435452600524859E-3</v>
      </c>
      <c r="V60" s="1188">
        <f t="shared" si="8"/>
        <v>96.246783642108483</v>
      </c>
      <c r="W60" s="1188">
        <f t="shared" si="8"/>
        <v>3.0518799100358097E-3</v>
      </c>
      <c r="X60" s="1188">
        <f t="shared" si="10"/>
        <v>2.9603235127347353E-3</v>
      </c>
    </row>
    <row r="61" spans="1:24" ht="15">
      <c r="A61" s="1178">
        <f t="shared" si="11"/>
        <v>2035</v>
      </c>
      <c r="B61" s="586">
        <v>0.42212074885901529</v>
      </c>
      <c r="C61" s="586">
        <v>1.6738855089577065</v>
      </c>
      <c r="D61" s="586">
        <v>1.6523212660104009E-2</v>
      </c>
      <c r="E61" s="586">
        <v>5.9369971121668641E-2</v>
      </c>
      <c r="F61" s="586">
        <v>1981.1174926757787</v>
      </c>
      <c r="G61" s="586">
        <v>5.1183199509978294E-2</v>
      </c>
      <c r="I61" s="1178">
        <f t="shared" si="12"/>
        <v>2035</v>
      </c>
      <c r="J61" s="1184">
        <f t="shared" si="9"/>
        <v>2.6593607178117962</v>
      </c>
      <c r="K61" s="1184">
        <f t="shared" si="6"/>
        <v>10.545478706433551</v>
      </c>
      <c r="L61" s="1184">
        <f t="shared" si="6"/>
        <v>0.10409623975865526</v>
      </c>
      <c r="M61" s="1184">
        <f t="shared" si="6"/>
        <v>0.37403081806651245</v>
      </c>
      <c r="N61" s="1184">
        <f t="shared" si="6"/>
        <v>12481.040203857407</v>
      </c>
      <c r="O61" s="1184">
        <f t="shared" si="6"/>
        <v>0.32245415691286322</v>
      </c>
      <c r="P61" s="35"/>
      <c r="Q61" s="1178">
        <f t="shared" si="13"/>
        <v>2035</v>
      </c>
      <c r="R61" s="1188">
        <f t="shared" si="14"/>
        <v>2.0456620906244585E-2</v>
      </c>
      <c r="S61" s="1188">
        <f t="shared" si="8"/>
        <v>8.1119066972565781E-2</v>
      </c>
      <c r="T61" s="1189">
        <f t="shared" si="8"/>
        <v>8.0074030583580967E-4</v>
      </c>
      <c r="U61" s="1188">
        <f t="shared" si="8"/>
        <v>2.8771601389731725E-3</v>
      </c>
      <c r="V61" s="1188">
        <f t="shared" si="8"/>
        <v>96.008001568133892</v>
      </c>
      <c r="W61" s="1188">
        <f t="shared" si="8"/>
        <v>2.4804165916374092E-3</v>
      </c>
      <c r="X61" s="1188">
        <f t="shared" si="10"/>
        <v>2.4060040938882871E-3</v>
      </c>
    </row>
    <row r="62" spans="1:24" ht="15">
      <c r="A62" s="1178">
        <f t="shared" si="11"/>
        <v>2036</v>
      </c>
      <c r="B62" s="586">
        <v>0.42051402381184744</v>
      </c>
      <c r="C62" s="586">
        <v>1.6636603321878916</v>
      </c>
      <c r="D62" s="586">
        <v>1.6516457614488868E-2</v>
      </c>
      <c r="E62" s="586">
        <v>5.8918593986618362E-2</v>
      </c>
      <c r="F62" s="586">
        <v>1980.3843704223605</v>
      </c>
      <c r="G62" s="586">
        <v>5.0667364522814839E-2</v>
      </c>
      <c r="I62" s="1178">
        <f t="shared" si="12"/>
        <v>2036</v>
      </c>
      <c r="J62" s="1184">
        <f t="shared" si="9"/>
        <v>2.6492383500146386</v>
      </c>
      <c r="K62" s="1184">
        <f t="shared" si="6"/>
        <v>10.481060092783716</v>
      </c>
      <c r="L62" s="1184">
        <f t="shared" si="6"/>
        <v>0.10405368297127987</v>
      </c>
      <c r="M62" s="1184">
        <f t="shared" si="6"/>
        <v>0.37118714211569565</v>
      </c>
      <c r="N62" s="1184">
        <f t="shared" si="6"/>
        <v>12476.42153366087</v>
      </c>
      <c r="O62" s="1184">
        <f t="shared" si="6"/>
        <v>0.3192043964937335</v>
      </c>
      <c r="P62" s="35"/>
      <c r="Q62" s="1178">
        <f t="shared" si="13"/>
        <v>2036</v>
      </c>
      <c r="R62" s="1188">
        <f t="shared" si="14"/>
        <v>2.0378756538574141E-2</v>
      </c>
      <c r="S62" s="1188">
        <f t="shared" si="8"/>
        <v>8.0623539175259357E-2</v>
      </c>
      <c r="T62" s="1189">
        <f t="shared" si="8"/>
        <v>8.0041294593292207E-4</v>
      </c>
      <c r="U62" s="1188">
        <f t="shared" si="8"/>
        <v>2.8552857085822744E-3</v>
      </c>
      <c r="V62" s="1188">
        <f t="shared" si="8"/>
        <v>95.972473335852854</v>
      </c>
      <c r="W62" s="1188">
        <f t="shared" si="8"/>
        <v>2.4554184345671809E-3</v>
      </c>
      <c r="X62" s="1188">
        <f t="shared" si="10"/>
        <v>2.3817558815301654E-3</v>
      </c>
    </row>
    <row r="63" spans="1:24" ht="15">
      <c r="A63" s="1178">
        <f t="shared" si="11"/>
        <v>2037</v>
      </c>
      <c r="B63" s="586">
        <v>0.41890729876467914</v>
      </c>
      <c r="C63" s="586">
        <v>1.6534351554180766</v>
      </c>
      <c r="D63" s="586">
        <v>1.6509702568873727E-2</v>
      </c>
      <c r="E63" s="586">
        <v>5.8467216851568082E-2</v>
      </c>
      <c r="F63" s="586">
        <v>1979.6512481689424</v>
      </c>
      <c r="G63" s="586">
        <v>5.0151529535651163E-2</v>
      </c>
      <c r="I63" s="1178">
        <f t="shared" si="12"/>
        <v>2037</v>
      </c>
      <c r="J63" s="1184">
        <f t="shared" si="9"/>
        <v>2.6391159822174783</v>
      </c>
      <c r="K63" s="1184">
        <f t="shared" si="6"/>
        <v>10.416641479133883</v>
      </c>
      <c r="L63" s="1184">
        <f t="shared" si="6"/>
        <v>0.10401112618390447</v>
      </c>
      <c r="M63" s="1184">
        <f t="shared" si="6"/>
        <v>0.3683434661648789</v>
      </c>
      <c r="N63" s="1184">
        <f t="shared" si="6"/>
        <v>12471.802863464336</v>
      </c>
      <c r="O63" s="1184">
        <f t="shared" si="6"/>
        <v>0.31595463607460234</v>
      </c>
      <c r="P63" s="35"/>
      <c r="Q63" s="1178">
        <f t="shared" si="13"/>
        <v>2037</v>
      </c>
      <c r="R63" s="1188">
        <f t="shared" si="14"/>
        <v>2.0300892170903681E-2</v>
      </c>
      <c r="S63" s="1188">
        <f t="shared" si="8"/>
        <v>8.0128011377952946E-2</v>
      </c>
      <c r="T63" s="1189">
        <f t="shared" si="8"/>
        <v>8.0008558603003436E-4</v>
      </c>
      <c r="U63" s="1188">
        <f t="shared" si="8"/>
        <v>2.8334112781913763E-3</v>
      </c>
      <c r="V63" s="1188">
        <f t="shared" si="8"/>
        <v>95.936945103571816</v>
      </c>
      <c r="W63" s="1188">
        <f t="shared" si="8"/>
        <v>2.4304202774969412E-3</v>
      </c>
      <c r="X63" s="1188">
        <f t="shared" si="10"/>
        <v>2.3575076691720329E-3</v>
      </c>
    </row>
    <row r="64" spans="1:24" ht="15">
      <c r="A64" s="1178">
        <f t="shared" si="11"/>
        <v>2038</v>
      </c>
      <c r="B64" s="586">
        <v>0.41730057371751128</v>
      </c>
      <c r="C64" s="586">
        <v>1.6432099786482652</v>
      </c>
      <c r="D64" s="586">
        <v>1.6502947523258586E-2</v>
      </c>
      <c r="E64" s="586">
        <v>5.8015839716517803E-2</v>
      </c>
      <c r="F64" s="586">
        <v>1978.9181259155241</v>
      </c>
      <c r="G64" s="586">
        <v>4.9635694548487708E-2</v>
      </c>
      <c r="I64" s="1178">
        <f t="shared" si="12"/>
        <v>2038</v>
      </c>
      <c r="J64" s="1184">
        <f t="shared" si="9"/>
        <v>2.6289936144203212</v>
      </c>
      <c r="K64" s="1184">
        <f t="shared" si="6"/>
        <v>10.352222865484071</v>
      </c>
      <c r="L64" s="1184">
        <f t="shared" si="6"/>
        <v>0.10396856939652908</v>
      </c>
      <c r="M64" s="1184">
        <f t="shared" si="6"/>
        <v>0.36549979021406215</v>
      </c>
      <c r="N64" s="1184">
        <f t="shared" si="6"/>
        <v>12467.184193267802</v>
      </c>
      <c r="O64" s="1184">
        <f t="shared" si="6"/>
        <v>0.31270487565547256</v>
      </c>
      <c r="P64" s="35"/>
      <c r="Q64" s="1178">
        <f t="shared" si="13"/>
        <v>2038</v>
      </c>
      <c r="R64" s="1188">
        <f t="shared" si="14"/>
        <v>2.0223027803233241E-2</v>
      </c>
      <c r="S64" s="1188">
        <f t="shared" si="8"/>
        <v>7.9632483580646701E-2</v>
      </c>
      <c r="T64" s="1189">
        <f t="shared" si="8"/>
        <v>7.9975822612714676E-4</v>
      </c>
      <c r="U64" s="1188">
        <f t="shared" si="8"/>
        <v>2.8115368478004782E-3</v>
      </c>
      <c r="V64" s="1188">
        <f t="shared" si="8"/>
        <v>95.901416871290778</v>
      </c>
      <c r="W64" s="1188">
        <f t="shared" si="8"/>
        <v>2.4054221204267119E-3</v>
      </c>
      <c r="X64" s="1188">
        <f t="shared" si="10"/>
        <v>2.3332594568139103E-3</v>
      </c>
    </row>
    <row r="65" spans="1:24" ht="15">
      <c r="A65" s="1178">
        <f t="shared" si="11"/>
        <v>2039</v>
      </c>
      <c r="B65" s="586">
        <v>0.41569384867034342</v>
      </c>
      <c r="C65" s="586">
        <v>1.6329848018784503</v>
      </c>
      <c r="D65" s="586">
        <v>1.6496192477643449E-2</v>
      </c>
      <c r="E65" s="586">
        <v>5.7564462581467524E-2</v>
      </c>
      <c r="F65" s="586">
        <v>1978.1850036621058</v>
      </c>
      <c r="G65" s="586">
        <v>4.9119859561324253E-2</v>
      </c>
      <c r="I65" s="1178">
        <f t="shared" si="12"/>
        <v>2039</v>
      </c>
      <c r="J65" s="1184">
        <f t="shared" si="9"/>
        <v>2.6188712466231636</v>
      </c>
      <c r="K65" s="1184">
        <f t="shared" si="6"/>
        <v>10.287804251834237</v>
      </c>
      <c r="L65" s="1184">
        <f t="shared" si="6"/>
        <v>0.10392601260915373</v>
      </c>
      <c r="M65" s="1184">
        <f t="shared" si="6"/>
        <v>0.3626561142632454</v>
      </c>
      <c r="N65" s="1184">
        <f t="shared" si="6"/>
        <v>12462.565523071265</v>
      </c>
      <c r="O65" s="1184">
        <f t="shared" si="6"/>
        <v>0.30945511523634278</v>
      </c>
      <c r="P65" s="35"/>
      <c r="Q65" s="1178">
        <f t="shared" si="13"/>
        <v>2039</v>
      </c>
      <c r="R65" s="1188">
        <f t="shared" si="14"/>
        <v>2.0145163435562798E-2</v>
      </c>
      <c r="S65" s="1188">
        <f t="shared" si="8"/>
        <v>7.9136955783340276E-2</v>
      </c>
      <c r="T65" s="1189">
        <f t="shared" si="8"/>
        <v>7.9943086622425938E-4</v>
      </c>
      <c r="U65" s="1188">
        <f t="shared" si="8"/>
        <v>2.78966241740958E-3</v>
      </c>
      <c r="V65" s="1188">
        <f t="shared" si="8"/>
        <v>95.865888639009739</v>
      </c>
      <c r="W65" s="1188">
        <f t="shared" si="8"/>
        <v>2.3804239633564831E-3</v>
      </c>
      <c r="X65" s="1188">
        <f t="shared" si="10"/>
        <v>2.3090112444557886E-3</v>
      </c>
    </row>
    <row r="66" spans="1:24" ht="15">
      <c r="A66" s="1178">
        <f t="shared" si="11"/>
        <v>2040</v>
      </c>
      <c r="B66" s="586">
        <v>0.41408712362317557</v>
      </c>
      <c r="C66" s="586">
        <v>1.6227596251086389</v>
      </c>
      <c r="D66" s="586">
        <v>1.6489437432028312E-2</v>
      </c>
      <c r="E66" s="586">
        <v>5.7113085446417244E-2</v>
      </c>
      <c r="F66" s="586">
        <v>1977.4518814086878</v>
      </c>
      <c r="G66" s="586">
        <v>4.8604024574160576E-2</v>
      </c>
      <c r="I66" s="1178">
        <f t="shared" si="12"/>
        <v>2040</v>
      </c>
      <c r="J66" s="1184">
        <f t="shared" si="9"/>
        <v>2.608748878826006</v>
      </c>
      <c r="K66" s="1184">
        <f t="shared" si="6"/>
        <v>10.223385638184425</v>
      </c>
      <c r="L66" s="1184">
        <f t="shared" si="6"/>
        <v>0.10388345582177835</v>
      </c>
      <c r="M66" s="1184">
        <f t="shared" si="6"/>
        <v>0.35981243831242865</v>
      </c>
      <c r="N66" s="1184">
        <f t="shared" si="6"/>
        <v>12457.946852874733</v>
      </c>
      <c r="O66" s="1184">
        <f t="shared" si="6"/>
        <v>0.30620535481721162</v>
      </c>
      <c r="P66" s="35"/>
      <c r="Q66" s="1178">
        <f t="shared" si="13"/>
        <v>2040</v>
      </c>
      <c r="R66" s="1188">
        <f t="shared" si="14"/>
        <v>2.0067299067892355E-2</v>
      </c>
      <c r="S66" s="1188">
        <f t="shared" si="8"/>
        <v>7.8641427986034032E-2</v>
      </c>
      <c r="T66" s="1189">
        <f t="shared" si="8"/>
        <v>7.9910350632137199E-4</v>
      </c>
      <c r="U66" s="1188">
        <f t="shared" si="8"/>
        <v>2.7677879870186819E-3</v>
      </c>
      <c r="V66" s="1188">
        <f t="shared" si="8"/>
        <v>95.830360406728715</v>
      </c>
      <c r="W66" s="1188">
        <f t="shared" si="8"/>
        <v>2.355425806286243E-3</v>
      </c>
      <c r="X66" s="1188">
        <f t="shared" si="10"/>
        <v>2.2847630320976557E-3</v>
      </c>
    </row>
    <row r="67" spans="1:24" ht="15">
      <c r="A67" s="1178">
        <f t="shared" si="11"/>
        <v>2041</v>
      </c>
      <c r="B67" s="586">
        <v>0.41248039857600771</v>
      </c>
      <c r="C67" s="586">
        <v>1.612534448338824</v>
      </c>
      <c r="D67" s="586">
        <v>1.6482682386413171E-2</v>
      </c>
      <c r="E67" s="586">
        <v>5.6661708311366965E-2</v>
      </c>
      <c r="F67" s="586">
        <v>1976.7187591552695</v>
      </c>
      <c r="G67" s="586">
        <v>4.8088189586997121E-2</v>
      </c>
      <c r="I67" s="1178">
        <f t="shared" si="12"/>
        <v>2041</v>
      </c>
      <c r="J67" s="1184">
        <f t="shared" si="9"/>
        <v>2.5986265110288485</v>
      </c>
      <c r="K67" s="1184">
        <f t="shared" si="6"/>
        <v>10.15896702453459</v>
      </c>
      <c r="L67" s="1184">
        <f t="shared" si="6"/>
        <v>0.10384089903440297</v>
      </c>
      <c r="M67" s="1184">
        <f t="shared" si="6"/>
        <v>0.35696876236161185</v>
      </c>
      <c r="N67" s="1184">
        <f t="shared" si="6"/>
        <v>12453.328182678197</v>
      </c>
      <c r="O67" s="1184">
        <f t="shared" si="6"/>
        <v>0.30295559439808184</v>
      </c>
      <c r="P67" s="35"/>
      <c r="Q67" s="1178">
        <f t="shared" si="13"/>
        <v>2041</v>
      </c>
      <c r="R67" s="1188">
        <f t="shared" si="14"/>
        <v>1.9989434700221912E-2</v>
      </c>
      <c r="S67" s="1188">
        <f t="shared" si="8"/>
        <v>7.8145900188727621E-2</v>
      </c>
      <c r="T67" s="1189">
        <f t="shared" si="8"/>
        <v>7.9877614641848439E-4</v>
      </c>
      <c r="U67" s="1188">
        <f t="shared" si="8"/>
        <v>2.7459135566277834E-3</v>
      </c>
      <c r="V67" s="1188">
        <f t="shared" si="8"/>
        <v>95.794832174447663</v>
      </c>
      <c r="W67" s="1188">
        <f t="shared" si="8"/>
        <v>2.3304276492160142E-3</v>
      </c>
      <c r="X67" s="1188">
        <f t="shared" si="10"/>
        <v>2.2605148197395336E-3</v>
      </c>
    </row>
    <row r="68" spans="1:24" ht="15">
      <c r="A68" s="1178">
        <f t="shared" si="11"/>
        <v>2042</v>
      </c>
      <c r="B68" s="586">
        <v>0.41087367352883986</v>
      </c>
      <c r="C68" s="586">
        <v>1.602309271569009</v>
      </c>
      <c r="D68" s="586">
        <v>1.647592734079803E-2</v>
      </c>
      <c r="E68" s="586">
        <v>5.6210331176316686E-2</v>
      </c>
      <c r="F68" s="586">
        <v>1975.9856369018514</v>
      </c>
      <c r="G68" s="586">
        <v>4.7572354599833444E-2</v>
      </c>
      <c r="I68" s="1178">
        <f t="shared" si="12"/>
        <v>2042</v>
      </c>
      <c r="J68" s="1184">
        <f t="shared" ref="J68:J71" si="15">B68*6.3</f>
        <v>2.5885041432316909</v>
      </c>
      <c r="K68" s="1184">
        <f t="shared" ref="K68:K71" si="16">C68*6.3</f>
        <v>10.094548410884757</v>
      </c>
      <c r="L68" s="1184">
        <f t="shared" ref="L68:L71" si="17">D68*6.3</f>
        <v>0.10379834224702758</v>
      </c>
      <c r="M68" s="1184">
        <f t="shared" ref="M68:M71" si="18">E68*6.3</f>
        <v>0.3541250864107951</v>
      </c>
      <c r="N68" s="1184">
        <f t="shared" ref="N68:N71" si="19">F68*6.3</f>
        <v>12448.709512481664</v>
      </c>
      <c r="O68" s="1184">
        <f t="shared" ref="O68:O71" si="20">G68*6.3</f>
        <v>0.29970583397895068</v>
      </c>
      <c r="P68" s="35"/>
      <c r="Q68" s="1178">
        <f t="shared" si="13"/>
        <v>2042</v>
      </c>
      <c r="R68" s="1188">
        <f t="shared" ref="R68:R71" si="21">J68/130</f>
        <v>1.9911570332551469E-2</v>
      </c>
      <c r="S68" s="1188">
        <f t="shared" ref="S68:S71" si="22">K68/130</f>
        <v>7.765037239142121E-2</v>
      </c>
      <c r="T68" s="1189">
        <f t="shared" ref="T68:T71" si="23">L68/130</f>
        <v>7.9844878651559679E-4</v>
      </c>
      <c r="U68" s="1188">
        <f t="shared" ref="U68:U71" si="24">M68/130</f>
        <v>2.7240391262368852E-3</v>
      </c>
      <c r="V68" s="1188">
        <f t="shared" ref="V68:V71" si="25">N68/130</f>
        <v>95.759303942166653</v>
      </c>
      <c r="W68" s="1188">
        <f t="shared" ref="W68:W71" si="26">O68/130</f>
        <v>2.3054294921457746E-3</v>
      </c>
      <c r="X68" s="1188">
        <f t="shared" ref="X68:X71" si="27">W68*0.97</f>
        <v>2.2362666073814015E-3</v>
      </c>
    </row>
    <row r="69" spans="1:24" ht="15">
      <c r="A69" s="1178">
        <f t="shared" si="11"/>
        <v>2043</v>
      </c>
      <c r="B69" s="586">
        <v>0.409266948481672</v>
      </c>
      <c r="C69" s="586">
        <v>1.5920840947991977</v>
      </c>
      <c r="D69" s="586">
        <v>1.6469172295182889E-2</v>
      </c>
      <c r="E69" s="586">
        <v>5.5758954041266406E-2</v>
      </c>
      <c r="F69" s="586">
        <v>1975.2525146484331</v>
      </c>
      <c r="G69" s="586">
        <v>4.7056519612669989E-2</v>
      </c>
      <c r="I69" s="1178">
        <f t="shared" si="12"/>
        <v>2043</v>
      </c>
      <c r="J69" s="1184">
        <f t="shared" si="15"/>
        <v>2.5783817754345337</v>
      </c>
      <c r="K69" s="1184">
        <f t="shared" si="16"/>
        <v>10.030129797234945</v>
      </c>
      <c r="L69" s="1184">
        <f t="shared" si="17"/>
        <v>0.10375578545965219</v>
      </c>
      <c r="M69" s="1184">
        <f t="shared" si="18"/>
        <v>0.35128141045997835</v>
      </c>
      <c r="N69" s="1184">
        <f t="shared" si="19"/>
        <v>12444.090842285128</v>
      </c>
      <c r="O69" s="1184">
        <f t="shared" si="20"/>
        <v>0.2964560735598209</v>
      </c>
      <c r="P69" s="35"/>
      <c r="Q69" s="1178">
        <f t="shared" si="13"/>
        <v>2043</v>
      </c>
      <c r="R69" s="1188">
        <f t="shared" si="21"/>
        <v>1.9833705964881029E-2</v>
      </c>
      <c r="S69" s="1188">
        <f t="shared" si="22"/>
        <v>7.7154844594114966E-2</v>
      </c>
      <c r="T69" s="1189">
        <f t="shared" si="23"/>
        <v>7.9812142661270919E-4</v>
      </c>
      <c r="U69" s="1188">
        <f t="shared" si="24"/>
        <v>2.7021646958459871E-3</v>
      </c>
      <c r="V69" s="1188">
        <f t="shared" si="25"/>
        <v>95.723775709885601</v>
      </c>
      <c r="W69" s="1188">
        <f t="shared" si="26"/>
        <v>2.2804313350755453E-3</v>
      </c>
      <c r="X69" s="1188">
        <f t="shared" si="27"/>
        <v>2.2120183950232789E-3</v>
      </c>
    </row>
    <row r="70" spans="1:24" ht="15">
      <c r="A70" s="1178">
        <f t="shared" si="11"/>
        <v>2044</v>
      </c>
      <c r="B70" s="586">
        <v>0.40766022343450414</v>
      </c>
      <c r="C70" s="586">
        <v>1.5818589180293827</v>
      </c>
      <c r="D70" s="586">
        <v>1.6462417249567752E-2</v>
      </c>
      <c r="E70" s="586">
        <v>5.5307576906216127E-2</v>
      </c>
      <c r="F70" s="586">
        <v>1974.5193923950148</v>
      </c>
      <c r="G70" s="586">
        <v>4.6540684625506534E-2</v>
      </c>
      <c r="I70" s="1178">
        <f t="shared" si="12"/>
        <v>2044</v>
      </c>
      <c r="J70" s="1184">
        <f t="shared" si="15"/>
        <v>2.5682594076373761</v>
      </c>
      <c r="K70" s="1184">
        <f t="shared" si="16"/>
        <v>9.9657111835851104</v>
      </c>
      <c r="L70" s="1184">
        <f t="shared" si="17"/>
        <v>0.10371322867227684</v>
      </c>
      <c r="M70" s="1184">
        <f t="shared" si="18"/>
        <v>0.3484377345091616</v>
      </c>
      <c r="N70" s="1184">
        <f t="shared" si="19"/>
        <v>12439.472172088594</v>
      </c>
      <c r="O70" s="1184">
        <f t="shared" si="20"/>
        <v>0.29320631314069118</v>
      </c>
      <c r="P70" s="35"/>
      <c r="Q70" s="1178">
        <f t="shared" si="13"/>
        <v>2044</v>
      </c>
      <c r="R70" s="1188">
        <f t="shared" si="21"/>
        <v>1.9755841597210586E-2</v>
      </c>
      <c r="S70" s="1188">
        <f t="shared" si="22"/>
        <v>7.6659316796808541E-2</v>
      </c>
      <c r="T70" s="1189">
        <f t="shared" si="23"/>
        <v>7.977940667098218E-4</v>
      </c>
      <c r="U70" s="1188">
        <f t="shared" si="24"/>
        <v>2.6802902654550894E-3</v>
      </c>
      <c r="V70" s="1188">
        <f t="shared" si="25"/>
        <v>95.688247477604563</v>
      </c>
      <c r="W70" s="1188">
        <f t="shared" si="26"/>
        <v>2.2554331780053169E-3</v>
      </c>
      <c r="X70" s="1188">
        <f t="shared" si="27"/>
        <v>2.1877701826651572E-3</v>
      </c>
    </row>
    <row r="71" spans="1:24" ht="15">
      <c r="A71" s="1178">
        <f t="shared" si="11"/>
        <v>2045</v>
      </c>
      <c r="B71" s="586">
        <v>0.40605349838733584</v>
      </c>
      <c r="C71" s="586">
        <v>1.5716337412595713</v>
      </c>
      <c r="D71" s="586">
        <v>1.6455662203952615E-2</v>
      </c>
      <c r="E71" s="586">
        <v>5.4856199771165848E-2</v>
      </c>
      <c r="F71" s="586">
        <v>1973.7862701415968</v>
      </c>
      <c r="G71" s="586">
        <v>4.6024849638342857E-2</v>
      </c>
      <c r="I71" s="1178">
        <f t="shared" si="12"/>
        <v>2045</v>
      </c>
      <c r="J71" s="1184">
        <f t="shared" si="15"/>
        <v>2.5581370398402159</v>
      </c>
      <c r="K71" s="1184">
        <f t="shared" si="16"/>
        <v>9.9012925699352987</v>
      </c>
      <c r="L71" s="1184">
        <f t="shared" si="17"/>
        <v>0.10367067188490146</v>
      </c>
      <c r="M71" s="1184">
        <f t="shared" si="18"/>
        <v>0.34559405855834485</v>
      </c>
      <c r="N71" s="1184">
        <f t="shared" si="19"/>
        <v>12434.853501892059</v>
      </c>
      <c r="O71" s="1184">
        <f t="shared" si="20"/>
        <v>0.28995655272156001</v>
      </c>
      <c r="P71" s="35"/>
      <c r="Q71" s="1178">
        <f t="shared" si="13"/>
        <v>2045</v>
      </c>
      <c r="R71" s="1188">
        <f t="shared" si="21"/>
        <v>1.9677977229540122E-2</v>
      </c>
      <c r="S71" s="1188">
        <f t="shared" si="22"/>
        <v>7.6163788999502297E-2</v>
      </c>
      <c r="T71" s="1189">
        <f t="shared" si="23"/>
        <v>7.9746670680693431E-4</v>
      </c>
      <c r="U71" s="1188">
        <f t="shared" si="24"/>
        <v>2.6584158350641913E-3</v>
      </c>
      <c r="V71" s="1188">
        <f t="shared" si="25"/>
        <v>95.652719245323539</v>
      </c>
      <c r="W71" s="1188">
        <f t="shared" si="26"/>
        <v>2.2304350209350768E-3</v>
      </c>
      <c r="X71" s="1188">
        <f t="shared" si="27"/>
        <v>2.1635219703070242E-3</v>
      </c>
    </row>
    <row r="72" spans="1:24" ht="15">
      <c r="A72" s="1178">
        <f t="shared" si="11"/>
        <v>2046</v>
      </c>
      <c r="B72" s="625">
        <f t="shared" ref="B72:G72" si="28">B71</f>
        <v>0.40605349838733584</v>
      </c>
      <c r="C72" s="625">
        <f t="shared" si="28"/>
        <v>1.5716337412595713</v>
      </c>
      <c r="D72" s="625">
        <f t="shared" si="28"/>
        <v>1.6455662203952615E-2</v>
      </c>
      <c r="E72" s="625">
        <f t="shared" si="28"/>
        <v>5.4856199771165848E-2</v>
      </c>
      <c r="F72" s="625">
        <f t="shared" si="28"/>
        <v>1973.7862701415968</v>
      </c>
      <c r="G72" s="625">
        <f t="shared" si="28"/>
        <v>4.6024849638342857E-2</v>
      </c>
      <c r="I72" s="1178">
        <f t="shared" si="12"/>
        <v>2046</v>
      </c>
      <c r="J72" s="1184">
        <f t="shared" ref="J72:J85" si="29">B72*6.3</f>
        <v>2.5581370398402159</v>
      </c>
      <c r="K72" s="1184">
        <f t="shared" ref="K72:K85" si="30">C72*6.3</f>
        <v>9.9012925699352987</v>
      </c>
      <c r="L72" s="1184">
        <f t="shared" ref="L72:L85" si="31">D72*6.3</f>
        <v>0.10367067188490146</v>
      </c>
      <c r="M72" s="1184">
        <f t="shared" ref="M72:M85" si="32">E72*6.3</f>
        <v>0.34559405855834485</v>
      </c>
      <c r="N72" s="1184">
        <f t="shared" ref="N72:N85" si="33">F72*6.3</f>
        <v>12434.853501892059</v>
      </c>
      <c r="O72" s="1184">
        <f t="shared" ref="O72:O85" si="34">G72*6.3</f>
        <v>0.28995655272156001</v>
      </c>
      <c r="P72" s="35"/>
      <c r="Q72" s="1178">
        <f t="shared" si="13"/>
        <v>2046</v>
      </c>
      <c r="R72" s="1188">
        <f t="shared" ref="R72:R85" si="35">J72/130</f>
        <v>1.9677977229540122E-2</v>
      </c>
      <c r="S72" s="1188">
        <f t="shared" ref="S72:S85" si="36">K72/130</f>
        <v>7.6163788999502297E-2</v>
      </c>
      <c r="T72" s="1189">
        <f t="shared" ref="T72:T85" si="37">L72/130</f>
        <v>7.9746670680693431E-4</v>
      </c>
      <c r="U72" s="1188">
        <f t="shared" ref="U72:U85" si="38">M72/130</f>
        <v>2.6584158350641913E-3</v>
      </c>
      <c r="V72" s="1188">
        <f t="shared" ref="V72:V84" si="39">N72/130</f>
        <v>95.652719245323539</v>
      </c>
      <c r="W72" s="1188">
        <f t="shared" ref="W72:W85" si="40">O72/130</f>
        <v>2.2304350209350768E-3</v>
      </c>
      <c r="X72" s="1188">
        <f t="shared" ref="X72:X85" si="41">W72*0.97</f>
        <v>2.1635219703070242E-3</v>
      </c>
    </row>
    <row r="73" spans="1:24" ht="15">
      <c r="A73" s="1178">
        <f t="shared" si="11"/>
        <v>2047</v>
      </c>
      <c r="B73" s="625">
        <f t="shared" ref="B73:G85" si="42">B72</f>
        <v>0.40605349838733584</v>
      </c>
      <c r="C73" s="625">
        <f t="shared" si="42"/>
        <v>1.5716337412595713</v>
      </c>
      <c r="D73" s="625">
        <f t="shared" si="42"/>
        <v>1.6455662203952615E-2</v>
      </c>
      <c r="E73" s="625">
        <f t="shared" si="42"/>
        <v>5.4856199771165848E-2</v>
      </c>
      <c r="F73" s="625">
        <f t="shared" si="42"/>
        <v>1973.7862701415968</v>
      </c>
      <c r="G73" s="625">
        <f t="shared" si="42"/>
        <v>4.6024849638342857E-2</v>
      </c>
      <c r="I73" s="1178">
        <f t="shared" si="12"/>
        <v>2047</v>
      </c>
      <c r="J73" s="1184">
        <f t="shared" si="29"/>
        <v>2.5581370398402159</v>
      </c>
      <c r="K73" s="1184">
        <f t="shared" si="30"/>
        <v>9.9012925699352987</v>
      </c>
      <c r="L73" s="1184">
        <f t="shared" si="31"/>
        <v>0.10367067188490146</v>
      </c>
      <c r="M73" s="1184">
        <f t="shared" si="32"/>
        <v>0.34559405855834485</v>
      </c>
      <c r="N73" s="1184">
        <f t="shared" si="33"/>
        <v>12434.853501892059</v>
      </c>
      <c r="O73" s="1184">
        <f t="shared" si="34"/>
        <v>0.28995655272156001</v>
      </c>
      <c r="P73" s="35"/>
      <c r="Q73" s="1178">
        <f t="shared" si="13"/>
        <v>2047</v>
      </c>
      <c r="R73" s="1188">
        <f t="shared" si="35"/>
        <v>1.9677977229540122E-2</v>
      </c>
      <c r="S73" s="1188">
        <f t="shared" si="36"/>
        <v>7.6163788999502297E-2</v>
      </c>
      <c r="T73" s="1189">
        <f t="shared" si="37"/>
        <v>7.9746670680693431E-4</v>
      </c>
      <c r="U73" s="1188">
        <f t="shared" si="38"/>
        <v>2.6584158350641913E-3</v>
      </c>
      <c r="V73" s="1188">
        <f t="shared" si="39"/>
        <v>95.652719245323539</v>
      </c>
      <c r="W73" s="1188">
        <f t="shared" si="40"/>
        <v>2.2304350209350768E-3</v>
      </c>
      <c r="X73" s="1188">
        <f t="shared" si="41"/>
        <v>2.1635219703070242E-3</v>
      </c>
    </row>
    <row r="74" spans="1:24" ht="15">
      <c r="A74" s="1178">
        <f t="shared" si="11"/>
        <v>2048</v>
      </c>
      <c r="B74" s="625">
        <f t="shared" si="42"/>
        <v>0.40605349838733584</v>
      </c>
      <c r="C74" s="625">
        <f t="shared" si="42"/>
        <v>1.5716337412595713</v>
      </c>
      <c r="D74" s="625">
        <f t="shared" si="42"/>
        <v>1.6455662203952615E-2</v>
      </c>
      <c r="E74" s="625">
        <f t="shared" si="42"/>
        <v>5.4856199771165848E-2</v>
      </c>
      <c r="F74" s="625">
        <f t="shared" si="42"/>
        <v>1973.7862701415968</v>
      </c>
      <c r="G74" s="625">
        <f t="shared" si="42"/>
        <v>4.6024849638342857E-2</v>
      </c>
      <c r="I74" s="1178">
        <f t="shared" si="12"/>
        <v>2048</v>
      </c>
      <c r="J74" s="1184">
        <f t="shared" si="29"/>
        <v>2.5581370398402159</v>
      </c>
      <c r="K74" s="1184">
        <f t="shared" si="30"/>
        <v>9.9012925699352987</v>
      </c>
      <c r="L74" s="1184">
        <f t="shared" si="31"/>
        <v>0.10367067188490146</v>
      </c>
      <c r="M74" s="1184">
        <f t="shared" si="32"/>
        <v>0.34559405855834485</v>
      </c>
      <c r="N74" s="1184">
        <f t="shared" si="33"/>
        <v>12434.853501892059</v>
      </c>
      <c r="O74" s="1184">
        <f t="shared" si="34"/>
        <v>0.28995655272156001</v>
      </c>
      <c r="P74" s="35"/>
      <c r="Q74" s="1178">
        <f t="shared" si="13"/>
        <v>2048</v>
      </c>
      <c r="R74" s="1188">
        <f t="shared" si="35"/>
        <v>1.9677977229540122E-2</v>
      </c>
      <c r="S74" s="1188">
        <f t="shared" si="36"/>
        <v>7.6163788999502297E-2</v>
      </c>
      <c r="T74" s="1189">
        <f t="shared" si="37"/>
        <v>7.9746670680693431E-4</v>
      </c>
      <c r="U74" s="1188">
        <f t="shared" si="38"/>
        <v>2.6584158350641913E-3</v>
      </c>
      <c r="V74" s="1188">
        <f t="shared" si="39"/>
        <v>95.652719245323539</v>
      </c>
      <c r="W74" s="1188">
        <f t="shared" si="40"/>
        <v>2.2304350209350768E-3</v>
      </c>
      <c r="X74" s="1188">
        <f t="shared" si="41"/>
        <v>2.1635219703070242E-3</v>
      </c>
    </row>
    <row r="75" spans="1:24" ht="15">
      <c r="A75" s="1178">
        <f t="shared" si="11"/>
        <v>2049</v>
      </c>
      <c r="B75" s="625">
        <f t="shared" si="42"/>
        <v>0.40605349838733584</v>
      </c>
      <c r="C75" s="625">
        <f t="shared" si="42"/>
        <v>1.5716337412595713</v>
      </c>
      <c r="D75" s="625">
        <f t="shared" si="42"/>
        <v>1.6455662203952615E-2</v>
      </c>
      <c r="E75" s="625">
        <f t="shared" si="42"/>
        <v>5.4856199771165848E-2</v>
      </c>
      <c r="F75" s="625">
        <f t="shared" si="42"/>
        <v>1973.7862701415968</v>
      </c>
      <c r="G75" s="625">
        <f t="shared" si="42"/>
        <v>4.6024849638342857E-2</v>
      </c>
      <c r="I75" s="1178">
        <f t="shared" si="12"/>
        <v>2049</v>
      </c>
      <c r="J75" s="1184">
        <f t="shared" si="29"/>
        <v>2.5581370398402159</v>
      </c>
      <c r="K75" s="1184">
        <f t="shared" si="30"/>
        <v>9.9012925699352987</v>
      </c>
      <c r="L75" s="1184">
        <f t="shared" si="31"/>
        <v>0.10367067188490146</v>
      </c>
      <c r="M75" s="1184">
        <f t="shared" si="32"/>
        <v>0.34559405855834485</v>
      </c>
      <c r="N75" s="1184">
        <f t="shared" si="33"/>
        <v>12434.853501892059</v>
      </c>
      <c r="O75" s="1184">
        <f t="shared" si="34"/>
        <v>0.28995655272156001</v>
      </c>
      <c r="P75" s="35"/>
      <c r="Q75" s="1178">
        <f t="shared" si="13"/>
        <v>2049</v>
      </c>
      <c r="R75" s="1188">
        <f t="shared" si="35"/>
        <v>1.9677977229540122E-2</v>
      </c>
      <c r="S75" s="1188">
        <f t="shared" si="36"/>
        <v>7.6163788999502297E-2</v>
      </c>
      <c r="T75" s="1189">
        <f t="shared" si="37"/>
        <v>7.9746670680693431E-4</v>
      </c>
      <c r="U75" s="1188">
        <f t="shared" si="38"/>
        <v>2.6584158350641913E-3</v>
      </c>
      <c r="V75" s="1188">
        <f t="shared" si="39"/>
        <v>95.652719245323539</v>
      </c>
      <c r="W75" s="1188">
        <f t="shared" si="40"/>
        <v>2.2304350209350768E-3</v>
      </c>
      <c r="X75" s="1188">
        <f t="shared" si="41"/>
        <v>2.1635219703070242E-3</v>
      </c>
    </row>
    <row r="76" spans="1:24" ht="15">
      <c r="A76" s="1178">
        <f t="shared" si="11"/>
        <v>2050</v>
      </c>
      <c r="B76" s="625">
        <f t="shared" si="42"/>
        <v>0.40605349838733584</v>
      </c>
      <c r="C76" s="625">
        <f t="shared" si="42"/>
        <v>1.5716337412595713</v>
      </c>
      <c r="D76" s="625">
        <f t="shared" si="42"/>
        <v>1.6455662203952615E-2</v>
      </c>
      <c r="E76" s="625">
        <f t="shared" si="42"/>
        <v>5.4856199771165848E-2</v>
      </c>
      <c r="F76" s="625">
        <f t="shared" si="42"/>
        <v>1973.7862701415968</v>
      </c>
      <c r="G76" s="625">
        <f t="shared" si="42"/>
        <v>4.6024849638342857E-2</v>
      </c>
      <c r="I76" s="1178">
        <f t="shared" si="12"/>
        <v>2050</v>
      </c>
      <c r="J76" s="1184">
        <f t="shared" si="29"/>
        <v>2.5581370398402159</v>
      </c>
      <c r="K76" s="1184">
        <f t="shared" si="30"/>
        <v>9.9012925699352987</v>
      </c>
      <c r="L76" s="1184">
        <f t="shared" si="31"/>
        <v>0.10367067188490146</v>
      </c>
      <c r="M76" s="1184">
        <f t="shared" si="32"/>
        <v>0.34559405855834485</v>
      </c>
      <c r="N76" s="1184">
        <f t="shared" si="33"/>
        <v>12434.853501892059</v>
      </c>
      <c r="O76" s="1184">
        <f t="shared" si="34"/>
        <v>0.28995655272156001</v>
      </c>
      <c r="P76" s="35"/>
      <c r="Q76" s="1178">
        <f t="shared" si="13"/>
        <v>2050</v>
      </c>
      <c r="R76" s="1188">
        <f t="shared" si="35"/>
        <v>1.9677977229540122E-2</v>
      </c>
      <c r="S76" s="1188">
        <f t="shared" si="36"/>
        <v>7.6163788999502297E-2</v>
      </c>
      <c r="T76" s="1189">
        <f t="shared" si="37"/>
        <v>7.9746670680693431E-4</v>
      </c>
      <c r="U76" s="1188">
        <f t="shared" si="38"/>
        <v>2.6584158350641913E-3</v>
      </c>
      <c r="V76" s="1188">
        <f t="shared" si="39"/>
        <v>95.652719245323539</v>
      </c>
      <c r="W76" s="1188">
        <f t="shared" si="40"/>
        <v>2.2304350209350768E-3</v>
      </c>
      <c r="X76" s="1188">
        <f t="shared" si="41"/>
        <v>2.1635219703070242E-3</v>
      </c>
    </row>
    <row r="77" spans="1:24" ht="15">
      <c r="A77" s="1178">
        <f t="shared" si="11"/>
        <v>2051</v>
      </c>
      <c r="B77" s="625">
        <f t="shared" si="42"/>
        <v>0.40605349838733584</v>
      </c>
      <c r="C77" s="625">
        <f t="shared" si="42"/>
        <v>1.5716337412595713</v>
      </c>
      <c r="D77" s="625">
        <f t="shared" si="42"/>
        <v>1.6455662203952615E-2</v>
      </c>
      <c r="E77" s="625">
        <f t="shared" si="42"/>
        <v>5.4856199771165848E-2</v>
      </c>
      <c r="F77" s="625">
        <f t="shared" si="42"/>
        <v>1973.7862701415968</v>
      </c>
      <c r="G77" s="625">
        <f t="shared" si="42"/>
        <v>4.6024849638342857E-2</v>
      </c>
      <c r="I77" s="1178">
        <f t="shared" si="12"/>
        <v>2051</v>
      </c>
      <c r="J77" s="1184">
        <f t="shared" si="29"/>
        <v>2.5581370398402159</v>
      </c>
      <c r="K77" s="1184">
        <f t="shared" si="30"/>
        <v>9.9012925699352987</v>
      </c>
      <c r="L77" s="1184">
        <f t="shared" si="31"/>
        <v>0.10367067188490146</v>
      </c>
      <c r="M77" s="1184">
        <f t="shared" si="32"/>
        <v>0.34559405855834485</v>
      </c>
      <c r="N77" s="1184">
        <f t="shared" si="33"/>
        <v>12434.853501892059</v>
      </c>
      <c r="O77" s="1184">
        <f t="shared" si="34"/>
        <v>0.28995655272156001</v>
      </c>
      <c r="P77" s="35"/>
      <c r="Q77" s="1178">
        <f t="shared" si="13"/>
        <v>2051</v>
      </c>
      <c r="R77" s="1188">
        <f t="shared" si="35"/>
        <v>1.9677977229540122E-2</v>
      </c>
      <c r="S77" s="1188">
        <f t="shared" si="36"/>
        <v>7.6163788999502297E-2</v>
      </c>
      <c r="T77" s="1189">
        <f t="shared" si="37"/>
        <v>7.9746670680693431E-4</v>
      </c>
      <c r="U77" s="1188">
        <f t="shared" si="38"/>
        <v>2.6584158350641913E-3</v>
      </c>
      <c r="V77" s="1188">
        <f t="shared" si="39"/>
        <v>95.652719245323539</v>
      </c>
      <c r="W77" s="1188">
        <f t="shared" si="40"/>
        <v>2.2304350209350768E-3</v>
      </c>
      <c r="X77" s="1188">
        <f t="shared" si="41"/>
        <v>2.1635219703070242E-3</v>
      </c>
    </row>
    <row r="78" spans="1:24" ht="15">
      <c r="A78" s="1178">
        <f t="shared" si="11"/>
        <v>2052</v>
      </c>
      <c r="B78" s="625">
        <f t="shared" si="42"/>
        <v>0.40605349838733584</v>
      </c>
      <c r="C78" s="625">
        <f t="shared" si="42"/>
        <v>1.5716337412595713</v>
      </c>
      <c r="D78" s="625">
        <f t="shared" si="42"/>
        <v>1.6455662203952615E-2</v>
      </c>
      <c r="E78" s="625">
        <f t="shared" si="42"/>
        <v>5.4856199771165848E-2</v>
      </c>
      <c r="F78" s="625">
        <f t="shared" si="42"/>
        <v>1973.7862701415968</v>
      </c>
      <c r="G78" s="625">
        <f t="shared" si="42"/>
        <v>4.6024849638342857E-2</v>
      </c>
      <c r="I78" s="1178">
        <f t="shared" si="12"/>
        <v>2052</v>
      </c>
      <c r="J78" s="1184">
        <f t="shared" si="29"/>
        <v>2.5581370398402159</v>
      </c>
      <c r="K78" s="1184">
        <f t="shared" si="30"/>
        <v>9.9012925699352987</v>
      </c>
      <c r="L78" s="1184">
        <f t="shared" si="31"/>
        <v>0.10367067188490146</v>
      </c>
      <c r="M78" s="1184">
        <f t="shared" si="32"/>
        <v>0.34559405855834485</v>
      </c>
      <c r="N78" s="1184">
        <f t="shared" si="33"/>
        <v>12434.853501892059</v>
      </c>
      <c r="O78" s="1184">
        <f t="shared" si="34"/>
        <v>0.28995655272156001</v>
      </c>
      <c r="P78" s="35"/>
      <c r="Q78" s="1178">
        <f t="shared" si="13"/>
        <v>2052</v>
      </c>
      <c r="R78" s="1188">
        <f t="shared" si="35"/>
        <v>1.9677977229540122E-2</v>
      </c>
      <c r="S78" s="1188">
        <f t="shared" si="36"/>
        <v>7.6163788999502297E-2</v>
      </c>
      <c r="T78" s="1189">
        <f t="shared" si="37"/>
        <v>7.9746670680693431E-4</v>
      </c>
      <c r="U78" s="1188">
        <f t="shared" si="38"/>
        <v>2.6584158350641913E-3</v>
      </c>
      <c r="V78" s="1188">
        <f t="shared" si="39"/>
        <v>95.652719245323539</v>
      </c>
      <c r="W78" s="1188">
        <f t="shared" si="40"/>
        <v>2.2304350209350768E-3</v>
      </c>
      <c r="X78" s="1188">
        <f t="shared" si="41"/>
        <v>2.1635219703070242E-3</v>
      </c>
    </row>
    <row r="79" spans="1:24" ht="15">
      <c r="A79" s="1178">
        <f t="shared" si="11"/>
        <v>2053</v>
      </c>
      <c r="B79" s="625">
        <f t="shared" si="42"/>
        <v>0.40605349838733584</v>
      </c>
      <c r="C79" s="625">
        <f t="shared" si="42"/>
        <v>1.5716337412595713</v>
      </c>
      <c r="D79" s="625">
        <f t="shared" si="42"/>
        <v>1.6455662203952615E-2</v>
      </c>
      <c r="E79" s="625">
        <f t="shared" si="42"/>
        <v>5.4856199771165848E-2</v>
      </c>
      <c r="F79" s="625">
        <f t="shared" si="42"/>
        <v>1973.7862701415968</v>
      </c>
      <c r="G79" s="625">
        <f t="shared" si="42"/>
        <v>4.6024849638342857E-2</v>
      </c>
      <c r="I79" s="1178">
        <f t="shared" si="12"/>
        <v>2053</v>
      </c>
      <c r="J79" s="1184">
        <f t="shared" si="29"/>
        <v>2.5581370398402159</v>
      </c>
      <c r="K79" s="1184">
        <f t="shared" si="30"/>
        <v>9.9012925699352987</v>
      </c>
      <c r="L79" s="1184">
        <f t="shared" si="31"/>
        <v>0.10367067188490146</v>
      </c>
      <c r="M79" s="1184">
        <f t="shared" si="32"/>
        <v>0.34559405855834485</v>
      </c>
      <c r="N79" s="1184">
        <f t="shared" si="33"/>
        <v>12434.853501892059</v>
      </c>
      <c r="O79" s="1184">
        <f t="shared" si="34"/>
        <v>0.28995655272156001</v>
      </c>
      <c r="P79" s="35"/>
      <c r="Q79" s="1178">
        <f t="shared" si="13"/>
        <v>2053</v>
      </c>
      <c r="R79" s="1188">
        <f t="shared" si="35"/>
        <v>1.9677977229540122E-2</v>
      </c>
      <c r="S79" s="1188">
        <f t="shared" si="36"/>
        <v>7.6163788999502297E-2</v>
      </c>
      <c r="T79" s="1189">
        <f t="shared" si="37"/>
        <v>7.9746670680693431E-4</v>
      </c>
      <c r="U79" s="1188">
        <f t="shared" si="38"/>
        <v>2.6584158350641913E-3</v>
      </c>
      <c r="V79" s="1188">
        <f t="shared" si="39"/>
        <v>95.652719245323539</v>
      </c>
      <c r="W79" s="1188">
        <f t="shared" si="40"/>
        <v>2.2304350209350768E-3</v>
      </c>
      <c r="X79" s="1188">
        <f t="shared" si="41"/>
        <v>2.1635219703070242E-3</v>
      </c>
    </row>
    <row r="80" spans="1:24" ht="15">
      <c r="A80" s="1178">
        <f t="shared" si="11"/>
        <v>2054</v>
      </c>
      <c r="B80" s="625">
        <f t="shared" si="42"/>
        <v>0.40605349838733584</v>
      </c>
      <c r="C80" s="625">
        <f t="shared" si="42"/>
        <v>1.5716337412595713</v>
      </c>
      <c r="D80" s="625">
        <f t="shared" si="42"/>
        <v>1.6455662203952615E-2</v>
      </c>
      <c r="E80" s="625">
        <f t="shared" si="42"/>
        <v>5.4856199771165848E-2</v>
      </c>
      <c r="F80" s="625">
        <f t="shared" si="42"/>
        <v>1973.7862701415968</v>
      </c>
      <c r="G80" s="625">
        <f t="shared" si="42"/>
        <v>4.6024849638342857E-2</v>
      </c>
      <c r="I80" s="1178">
        <f t="shared" si="12"/>
        <v>2054</v>
      </c>
      <c r="J80" s="1184">
        <f t="shared" si="29"/>
        <v>2.5581370398402159</v>
      </c>
      <c r="K80" s="1184">
        <f t="shared" si="30"/>
        <v>9.9012925699352987</v>
      </c>
      <c r="L80" s="1184">
        <f t="shared" si="31"/>
        <v>0.10367067188490146</v>
      </c>
      <c r="M80" s="1184">
        <f t="shared" si="32"/>
        <v>0.34559405855834485</v>
      </c>
      <c r="N80" s="1184">
        <f t="shared" si="33"/>
        <v>12434.853501892059</v>
      </c>
      <c r="O80" s="1184">
        <f t="shared" si="34"/>
        <v>0.28995655272156001</v>
      </c>
      <c r="P80" s="35"/>
      <c r="Q80" s="1178">
        <f t="shared" si="13"/>
        <v>2054</v>
      </c>
      <c r="R80" s="1188">
        <f t="shared" si="35"/>
        <v>1.9677977229540122E-2</v>
      </c>
      <c r="S80" s="1188">
        <f t="shared" si="36"/>
        <v>7.6163788999502297E-2</v>
      </c>
      <c r="T80" s="1189">
        <f t="shared" si="37"/>
        <v>7.9746670680693431E-4</v>
      </c>
      <c r="U80" s="1188">
        <f t="shared" si="38"/>
        <v>2.6584158350641913E-3</v>
      </c>
      <c r="V80" s="1188">
        <f t="shared" si="39"/>
        <v>95.652719245323539</v>
      </c>
      <c r="W80" s="1188">
        <f t="shared" si="40"/>
        <v>2.2304350209350768E-3</v>
      </c>
      <c r="X80" s="1188">
        <f t="shared" si="41"/>
        <v>2.1635219703070242E-3</v>
      </c>
    </row>
    <row r="81" spans="1:24" ht="15">
      <c r="A81" s="1178">
        <f t="shared" si="11"/>
        <v>2055</v>
      </c>
      <c r="B81" s="625">
        <f t="shared" si="42"/>
        <v>0.40605349838733584</v>
      </c>
      <c r="C81" s="625">
        <f t="shared" si="42"/>
        <v>1.5716337412595713</v>
      </c>
      <c r="D81" s="625">
        <f t="shared" si="42"/>
        <v>1.6455662203952615E-2</v>
      </c>
      <c r="E81" s="625">
        <f t="shared" si="42"/>
        <v>5.4856199771165848E-2</v>
      </c>
      <c r="F81" s="625">
        <f t="shared" si="42"/>
        <v>1973.7862701415968</v>
      </c>
      <c r="G81" s="625">
        <f t="shared" si="42"/>
        <v>4.6024849638342857E-2</v>
      </c>
      <c r="I81" s="1178">
        <f t="shared" si="12"/>
        <v>2055</v>
      </c>
      <c r="J81" s="1184">
        <f t="shared" si="29"/>
        <v>2.5581370398402159</v>
      </c>
      <c r="K81" s="1184">
        <f t="shared" si="30"/>
        <v>9.9012925699352987</v>
      </c>
      <c r="L81" s="1184">
        <f t="shared" si="31"/>
        <v>0.10367067188490146</v>
      </c>
      <c r="M81" s="1184">
        <f t="shared" si="32"/>
        <v>0.34559405855834485</v>
      </c>
      <c r="N81" s="1184">
        <f t="shared" si="33"/>
        <v>12434.853501892059</v>
      </c>
      <c r="O81" s="1184">
        <f t="shared" si="34"/>
        <v>0.28995655272156001</v>
      </c>
      <c r="P81" s="35"/>
      <c r="Q81" s="1178">
        <f t="shared" si="13"/>
        <v>2055</v>
      </c>
      <c r="R81" s="1188">
        <f t="shared" si="35"/>
        <v>1.9677977229540122E-2</v>
      </c>
      <c r="S81" s="1188">
        <f t="shared" si="36"/>
        <v>7.6163788999502297E-2</v>
      </c>
      <c r="T81" s="1189">
        <f t="shared" si="37"/>
        <v>7.9746670680693431E-4</v>
      </c>
      <c r="U81" s="1188">
        <f t="shared" si="38"/>
        <v>2.6584158350641913E-3</v>
      </c>
      <c r="V81" s="1188">
        <f t="shared" si="39"/>
        <v>95.652719245323539</v>
      </c>
      <c r="W81" s="1188">
        <f t="shared" si="40"/>
        <v>2.2304350209350768E-3</v>
      </c>
      <c r="X81" s="1188">
        <f t="shared" si="41"/>
        <v>2.1635219703070242E-3</v>
      </c>
    </row>
    <row r="82" spans="1:24" ht="15">
      <c r="A82" s="1178">
        <f t="shared" si="11"/>
        <v>2056</v>
      </c>
      <c r="B82" s="625">
        <f t="shared" si="42"/>
        <v>0.40605349838733584</v>
      </c>
      <c r="C82" s="625">
        <f t="shared" si="42"/>
        <v>1.5716337412595713</v>
      </c>
      <c r="D82" s="625">
        <f t="shared" si="42"/>
        <v>1.6455662203952615E-2</v>
      </c>
      <c r="E82" s="625">
        <f t="shared" si="42"/>
        <v>5.4856199771165848E-2</v>
      </c>
      <c r="F82" s="625">
        <f t="shared" si="42"/>
        <v>1973.7862701415968</v>
      </c>
      <c r="G82" s="625">
        <f t="shared" si="42"/>
        <v>4.6024849638342857E-2</v>
      </c>
      <c r="I82" s="1178">
        <f t="shared" si="12"/>
        <v>2056</v>
      </c>
      <c r="J82" s="1184">
        <f t="shared" si="29"/>
        <v>2.5581370398402159</v>
      </c>
      <c r="K82" s="1184">
        <f t="shared" si="30"/>
        <v>9.9012925699352987</v>
      </c>
      <c r="L82" s="1184">
        <f t="shared" si="31"/>
        <v>0.10367067188490146</v>
      </c>
      <c r="M82" s="1184">
        <f t="shared" si="32"/>
        <v>0.34559405855834485</v>
      </c>
      <c r="N82" s="1184">
        <f t="shared" si="33"/>
        <v>12434.853501892059</v>
      </c>
      <c r="O82" s="1184">
        <f t="shared" si="34"/>
        <v>0.28995655272156001</v>
      </c>
      <c r="P82" s="35"/>
      <c r="Q82" s="1178">
        <f t="shared" si="13"/>
        <v>2056</v>
      </c>
      <c r="R82" s="1188">
        <f t="shared" si="35"/>
        <v>1.9677977229540122E-2</v>
      </c>
      <c r="S82" s="1188">
        <f t="shared" si="36"/>
        <v>7.6163788999502297E-2</v>
      </c>
      <c r="T82" s="1189">
        <f t="shared" si="37"/>
        <v>7.9746670680693431E-4</v>
      </c>
      <c r="U82" s="1188">
        <f t="shared" si="38"/>
        <v>2.6584158350641913E-3</v>
      </c>
      <c r="V82" s="1188">
        <f t="shared" si="39"/>
        <v>95.652719245323539</v>
      </c>
      <c r="W82" s="1188">
        <f t="shared" si="40"/>
        <v>2.2304350209350768E-3</v>
      </c>
      <c r="X82" s="1188">
        <f t="shared" si="41"/>
        <v>2.1635219703070242E-3</v>
      </c>
    </row>
    <row r="83" spans="1:24" ht="15">
      <c r="A83" s="1178">
        <f t="shared" si="11"/>
        <v>2057</v>
      </c>
      <c r="B83" s="625">
        <f t="shared" si="42"/>
        <v>0.40605349838733584</v>
      </c>
      <c r="C83" s="625">
        <f t="shared" si="42"/>
        <v>1.5716337412595713</v>
      </c>
      <c r="D83" s="625">
        <f t="shared" si="42"/>
        <v>1.6455662203952615E-2</v>
      </c>
      <c r="E83" s="625">
        <f t="shared" si="42"/>
        <v>5.4856199771165848E-2</v>
      </c>
      <c r="F83" s="625">
        <f t="shared" si="42"/>
        <v>1973.7862701415968</v>
      </c>
      <c r="G83" s="625">
        <f t="shared" si="42"/>
        <v>4.6024849638342857E-2</v>
      </c>
      <c r="I83" s="1178">
        <f t="shared" si="12"/>
        <v>2057</v>
      </c>
      <c r="J83" s="1184">
        <f t="shared" si="29"/>
        <v>2.5581370398402159</v>
      </c>
      <c r="K83" s="1184">
        <f t="shared" si="30"/>
        <v>9.9012925699352987</v>
      </c>
      <c r="L83" s="1184">
        <f t="shared" si="31"/>
        <v>0.10367067188490146</v>
      </c>
      <c r="M83" s="1184">
        <f t="shared" si="32"/>
        <v>0.34559405855834485</v>
      </c>
      <c r="N83" s="1184">
        <f t="shared" si="33"/>
        <v>12434.853501892059</v>
      </c>
      <c r="O83" s="1184">
        <f t="shared" si="34"/>
        <v>0.28995655272156001</v>
      </c>
      <c r="P83" s="35"/>
      <c r="Q83" s="1178">
        <f t="shared" si="13"/>
        <v>2057</v>
      </c>
      <c r="R83" s="1188">
        <f t="shared" si="35"/>
        <v>1.9677977229540122E-2</v>
      </c>
      <c r="S83" s="1188">
        <f t="shared" si="36"/>
        <v>7.6163788999502297E-2</v>
      </c>
      <c r="T83" s="1189">
        <f t="shared" si="37"/>
        <v>7.9746670680693431E-4</v>
      </c>
      <c r="U83" s="1188">
        <f t="shared" si="38"/>
        <v>2.6584158350641913E-3</v>
      </c>
      <c r="V83" s="1188">
        <f t="shared" si="39"/>
        <v>95.652719245323539</v>
      </c>
      <c r="W83" s="1188">
        <f t="shared" si="40"/>
        <v>2.2304350209350768E-3</v>
      </c>
      <c r="X83" s="1188">
        <f t="shared" si="41"/>
        <v>2.1635219703070242E-3</v>
      </c>
    </row>
    <row r="84" spans="1:24" ht="15">
      <c r="A84" s="1178">
        <f t="shared" si="11"/>
        <v>2058</v>
      </c>
      <c r="B84" s="625">
        <f t="shared" si="42"/>
        <v>0.40605349838733584</v>
      </c>
      <c r="C84" s="625">
        <f t="shared" si="42"/>
        <v>1.5716337412595713</v>
      </c>
      <c r="D84" s="625">
        <f t="shared" si="42"/>
        <v>1.6455662203952615E-2</v>
      </c>
      <c r="E84" s="625">
        <f t="shared" si="42"/>
        <v>5.4856199771165848E-2</v>
      </c>
      <c r="F84" s="625">
        <f t="shared" si="42"/>
        <v>1973.7862701415968</v>
      </c>
      <c r="G84" s="625">
        <f t="shared" si="42"/>
        <v>4.6024849638342857E-2</v>
      </c>
      <c r="I84" s="1178">
        <f t="shared" si="12"/>
        <v>2058</v>
      </c>
      <c r="J84" s="1184">
        <f t="shared" si="29"/>
        <v>2.5581370398402159</v>
      </c>
      <c r="K84" s="1184">
        <f t="shared" si="30"/>
        <v>9.9012925699352987</v>
      </c>
      <c r="L84" s="1184">
        <f t="shared" si="31"/>
        <v>0.10367067188490146</v>
      </c>
      <c r="M84" s="1184">
        <f t="shared" si="32"/>
        <v>0.34559405855834485</v>
      </c>
      <c r="N84" s="1184">
        <f t="shared" si="33"/>
        <v>12434.853501892059</v>
      </c>
      <c r="O84" s="1184">
        <f t="shared" si="34"/>
        <v>0.28995655272156001</v>
      </c>
      <c r="P84" s="35"/>
      <c r="Q84" s="1178">
        <f t="shared" si="13"/>
        <v>2058</v>
      </c>
      <c r="R84" s="1188">
        <f t="shared" si="35"/>
        <v>1.9677977229540122E-2</v>
      </c>
      <c r="S84" s="1188">
        <f t="shared" si="36"/>
        <v>7.6163788999502297E-2</v>
      </c>
      <c r="T84" s="1189">
        <f t="shared" si="37"/>
        <v>7.9746670680693431E-4</v>
      </c>
      <c r="U84" s="1188">
        <f t="shared" si="38"/>
        <v>2.6584158350641913E-3</v>
      </c>
      <c r="V84" s="1188">
        <f t="shared" si="39"/>
        <v>95.652719245323539</v>
      </c>
      <c r="W84" s="1188">
        <f t="shared" si="40"/>
        <v>2.2304350209350768E-3</v>
      </c>
      <c r="X84" s="1188">
        <f t="shared" si="41"/>
        <v>2.1635219703070242E-3</v>
      </c>
    </row>
    <row r="85" spans="1:24" ht="15">
      <c r="A85" s="1178">
        <f t="shared" si="11"/>
        <v>2059</v>
      </c>
      <c r="B85" s="625">
        <f t="shared" si="42"/>
        <v>0.40605349838733584</v>
      </c>
      <c r="C85" s="625">
        <f t="shared" si="42"/>
        <v>1.5716337412595713</v>
      </c>
      <c r="D85" s="625">
        <f t="shared" si="42"/>
        <v>1.6455662203952615E-2</v>
      </c>
      <c r="E85" s="625">
        <f t="shared" si="42"/>
        <v>5.4856199771165848E-2</v>
      </c>
      <c r="F85" s="625">
        <f t="shared" si="42"/>
        <v>1973.7862701415968</v>
      </c>
      <c r="G85" s="625">
        <f t="shared" si="42"/>
        <v>4.6024849638342857E-2</v>
      </c>
      <c r="I85" s="1178">
        <f t="shared" si="12"/>
        <v>2059</v>
      </c>
      <c r="J85" s="1184">
        <f t="shared" si="29"/>
        <v>2.5581370398402159</v>
      </c>
      <c r="K85" s="1184">
        <f t="shared" si="30"/>
        <v>9.9012925699352987</v>
      </c>
      <c r="L85" s="1184">
        <f t="shared" si="31"/>
        <v>0.10367067188490146</v>
      </c>
      <c r="M85" s="1184">
        <f t="shared" si="32"/>
        <v>0.34559405855834485</v>
      </c>
      <c r="N85" s="1184">
        <f t="shared" si="33"/>
        <v>12434.853501892059</v>
      </c>
      <c r="O85" s="1184">
        <f t="shared" si="34"/>
        <v>0.28995655272156001</v>
      </c>
      <c r="P85" s="35"/>
      <c r="Q85" s="1178">
        <f t="shared" si="13"/>
        <v>2059</v>
      </c>
      <c r="R85" s="1188">
        <f t="shared" si="35"/>
        <v>1.9677977229540122E-2</v>
      </c>
      <c r="S85" s="1188">
        <f t="shared" si="36"/>
        <v>7.6163788999502297E-2</v>
      </c>
      <c r="T85" s="1189">
        <f t="shared" si="37"/>
        <v>7.9746670680693431E-4</v>
      </c>
      <c r="U85" s="1188">
        <f t="shared" si="38"/>
        <v>2.6584158350641913E-3</v>
      </c>
      <c r="V85" s="1188">
        <f>N85/130</f>
        <v>95.652719245323539</v>
      </c>
      <c r="W85" s="1188">
        <f t="shared" si="40"/>
        <v>2.2304350209350768E-3</v>
      </c>
      <c r="X85" s="1188">
        <f t="shared" si="41"/>
        <v>2.1635219703070242E-3</v>
      </c>
    </row>
    <row r="86" spans="1:24" ht="15">
      <c r="A86" s="277"/>
      <c r="B86" s="277"/>
      <c r="C86" s="277"/>
      <c r="D86" s="277"/>
      <c r="E86" s="277"/>
      <c r="F86" s="277"/>
      <c r="G86" s="277"/>
      <c r="I86" s="277"/>
      <c r="J86" s="35"/>
      <c r="K86" s="35"/>
      <c r="L86" s="35"/>
      <c r="M86" s="35"/>
      <c r="N86" s="35"/>
      <c r="O86" s="35"/>
      <c r="P86" s="35"/>
      <c r="Q86" s="277"/>
      <c r="R86" s="279"/>
      <c r="S86" s="279"/>
      <c r="T86" s="280"/>
      <c r="U86" s="279"/>
      <c r="V86" s="279"/>
      <c r="W86" s="279"/>
      <c r="X86" s="279"/>
    </row>
    <row r="87" spans="1:24" ht="15">
      <c r="A87" s="277"/>
      <c r="B87" s="278"/>
      <c r="C87" s="278"/>
      <c r="D87" s="278"/>
      <c r="E87" s="278"/>
      <c r="F87" s="278"/>
      <c r="G87" s="278"/>
      <c r="I87" s="277"/>
      <c r="J87" s="35"/>
      <c r="K87" s="35"/>
      <c r="L87" s="35"/>
      <c r="M87" s="35"/>
      <c r="N87" s="35"/>
      <c r="O87" s="35"/>
      <c r="P87" s="35"/>
      <c r="Q87" s="277"/>
      <c r="R87" s="279"/>
      <c r="S87" s="279"/>
      <c r="T87" s="280"/>
      <c r="U87" s="279"/>
      <c r="V87" s="279"/>
      <c r="W87" s="279"/>
      <c r="X87" s="279"/>
    </row>
    <row r="88" spans="1:24" ht="15">
      <c r="A88" s="277"/>
      <c r="B88" s="278"/>
      <c r="C88" s="278"/>
      <c r="D88" s="278"/>
      <c r="E88" s="278"/>
      <c r="F88" s="278"/>
      <c r="G88" s="278"/>
      <c r="I88" s="277"/>
      <c r="J88" s="35"/>
      <c r="K88" s="35"/>
      <c r="L88" s="35"/>
      <c r="M88" s="35"/>
      <c r="N88" s="35"/>
      <c r="O88" s="35"/>
      <c r="P88" s="35"/>
      <c r="Q88" s="277"/>
      <c r="R88" s="279"/>
      <c r="S88" s="279"/>
      <c r="T88" s="280"/>
      <c r="U88" s="279"/>
      <c r="V88" s="279"/>
      <c r="W88" s="279"/>
      <c r="X88" s="279"/>
    </row>
    <row r="89" spans="1:24" ht="15">
      <c r="A89" s="277"/>
      <c r="B89" s="278"/>
      <c r="C89" s="278"/>
      <c r="D89" s="278"/>
      <c r="E89" s="278"/>
      <c r="F89" s="278"/>
      <c r="G89" s="278"/>
      <c r="I89" s="277"/>
      <c r="J89" s="35"/>
      <c r="K89" s="35"/>
      <c r="L89" s="35"/>
      <c r="M89" s="35"/>
      <c r="N89" s="35"/>
      <c r="O89" s="35"/>
      <c r="P89" s="35"/>
      <c r="Q89" s="277"/>
      <c r="R89" s="279"/>
      <c r="S89" s="279"/>
      <c r="T89" s="280"/>
      <c r="U89" s="279"/>
      <c r="V89" s="279"/>
      <c r="W89" s="279"/>
      <c r="X89" s="279"/>
    </row>
    <row r="90" spans="1:24" ht="15">
      <c r="A90" s="277"/>
      <c r="B90" s="278"/>
      <c r="C90" s="278"/>
      <c r="D90" s="278"/>
      <c r="E90" s="278"/>
      <c r="F90" s="278"/>
      <c r="G90" s="278"/>
      <c r="I90" s="277"/>
      <c r="J90" s="35"/>
      <c r="K90" s="35"/>
      <c r="L90" s="35"/>
      <c r="M90" s="35"/>
      <c r="N90" s="35"/>
      <c r="O90" s="35"/>
      <c r="P90" s="35"/>
      <c r="Q90" s="277"/>
      <c r="R90" s="279"/>
      <c r="S90" s="279"/>
      <c r="T90" s="280"/>
      <c r="U90" s="279"/>
      <c r="V90" s="279"/>
      <c r="W90" s="279"/>
      <c r="X90" s="279"/>
    </row>
    <row r="91" spans="1:24" ht="15">
      <c r="A91" s="277"/>
      <c r="B91" s="278"/>
      <c r="C91" s="278"/>
      <c r="D91" s="278"/>
      <c r="E91" s="278"/>
      <c r="F91" s="278"/>
      <c r="G91" s="278"/>
      <c r="I91" s="277"/>
      <c r="J91" s="35"/>
      <c r="K91" s="35"/>
      <c r="L91" s="35"/>
      <c r="M91" s="35"/>
      <c r="N91" s="35"/>
      <c r="O91" s="35"/>
      <c r="P91" s="35"/>
      <c r="Q91" s="277"/>
      <c r="R91" s="279"/>
      <c r="S91" s="279"/>
      <c r="T91" s="280"/>
      <c r="U91" s="279"/>
      <c r="V91" s="279"/>
      <c r="W91" s="279"/>
      <c r="X91" s="279"/>
    </row>
    <row r="92" spans="1:24" ht="15">
      <c r="A92" s="277"/>
      <c r="B92" s="278"/>
      <c r="C92" s="278"/>
      <c r="D92" s="278"/>
      <c r="E92" s="278"/>
      <c r="F92" s="278"/>
      <c r="G92" s="278"/>
      <c r="I92" s="277"/>
      <c r="J92" s="35"/>
      <c r="K92" s="35"/>
      <c r="L92" s="35"/>
      <c r="M92" s="35"/>
      <c r="N92" s="35"/>
      <c r="O92" s="35"/>
      <c r="P92" s="35"/>
      <c r="Q92" s="277"/>
      <c r="R92" s="279"/>
      <c r="S92" s="279"/>
      <c r="T92" s="280"/>
      <c r="U92" s="279"/>
      <c r="V92" s="279"/>
      <c r="W92" s="279"/>
      <c r="X92" s="279"/>
    </row>
    <row r="93" spans="1:24" ht="15">
      <c r="A93" s="277"/>
      <c r="B93" s="278"/>
      <c r="C93" s="278"/>
      <c r="D93" s="278"/>
      <c r="E93" s="278"/>
      <c r="F93" s="278"/>
      <c r="G93" s="278"/>
      <c r="I93" s="277"/>
      <c r="J93" s="35"/>
      <c r="K93" s="35"/>
      <c r="L93" s="35"/>
      <c r="M93" s="35"/>
      <c r="N93" s="35"/>
      <c r="O93" s="35"/>
      <c r="P93" s="35"/>
      <c r="Q93" s="277"/>
      <c r="R93" s="279"/>
      <c r="S93" s="279"/>
      <c r="T93" s="280"/>
      <c r="U93" s="279"/>
      <c r="V93" s="279"/>
      <c r="W93" s="279"/>
      <c r="X93" s="279"/>
    </row>
    <row r="94" spans="1:24">
      <c r="I94" t="s">
        <v>577</v>
      </c>
      <c r="Q94" t="s">
        <v>578</v>
      </c>
    </row>
    <row r="95" spans="1:24">
      <c r="Q95" t="s">
        <v>579</v>
      </c>
    </row>
    <row r="96" spans="1:24">
      <c r="I96" t="s">
        <v>580</v>
      </c>
    </row>
  </sheetData>
  <mergeCells count="10">
    <mergeCell ref="R40:X40"/>
    <mergeCell ref="J4:P4"/>
    <mergeCell ref="A4:A5"/>
    <mergeCell ref="B4:G4"/>
    <mergeCell ref="I4:I5"/>
    <mergeCell ref="A40:A41"/>
    <mergeCell ref="B40:G40"/>
    <mergeCell ref="I40:I41"/>
    <mergeCell ref="J40:O40"/>
    <mergeCell ref="Q40:Q41"/>
  </mergeCells>
  <hyperlinks>
    <hyperlink ref="A3" r:id="rId1" display="https://www.epa.gov/moves" xr:uid="{3B4D9291-42E2-4D68-A719-4C3FF875F656}"/>
  </hyperlinks>
  <pageMargins left="0.7" right="0.7" top="0.75" bottom="0.75" header="0.3" footer="0.3"/>
  <pageSetup orientation="portrait"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9" tint="0.59999389629810485"/>
  </sheetPr>
  <dimension ref="A2:AO200"/>
  <sheetViews>
    <sheetView showGridLines="0" topLeftCell="E33" zoomScaleNormal="100" workbookViewId="0">
      <selection activeCell="AO42" sqref="AO42"/>
    </sheetView>
  </sheetViews>
  <sheetFormatPr defaultRowHeight="14.25"/>
  <cols>
    <col min="1" max="1" width="9.75" customWidth="1"/>
    <col min="24" max="24" width="10.875" customWidth="1"/>
    <col min="26" max="26" width="12.75" customWidth="1"/>
    <col min="40" max="41" width="9.25" customWidth="1"/>
  </cols>
  <sheetData>
    <row r="2" spans="2:41" ht="15">
      <c r="B2" s="43" t="s">
        <v>581</v>
      </c>
      <c r="C2" s="44"/>
      <c r="D2" s="44"/>
      <c r="E2" s="44"/>
      <c r="F2" s="44"/>
      <c r="G2" s="44"/>
      <c r="I2" s="43" t="s">
        <v>582</v>
      </c>
      <c r="J2" s="44"/>
      <c r="K2" s="44"/>
      <c r="L2" s="44"/>
      <c r="M2" s="44"/>
      <c r="N2" s="44"/>
      <c r="P2" s="43" t="s">
        <v>583</v>
      </c>
      <c r="Q2" s="44"/>
      <c r="R2" s="44"/>
      <c r="S2" s="44"/>
      <c r="T2" s="44"/>
      <c r="U2" s="44"/>
      <c r="W2" s="43" t="s">
        <v>584</v>
      </c>
      <c r="X2" s="44"/>
      <c r="Z2" s="43" t="s">
        <v>585</v>
      </c>
      <c r="AA2" s="44"/>
      <c r="AB2" s="44"/>
      <c r="AC2" s="44"/>
      <c r="AD2" s="44"/>
      <c r="AE2" s="44"/>
      <c r="AG2" s="43" t="s">
        <v>586</v>
      </c>
      <c r="AH2" s="44"/>
      <c r="AI2" s="44"/>
      <c r="AJ2" s="44"/>
      <c r="AK2" s="44"/>
      <c r="AL2" s="44"/>
      <c r="AN2" s="43" t="s">
        <v>587</v>
      </c>
      <c r="AO2" s="44"/>
    </row>
    <row r="3" spans="2:41">
      <c r="B3" s="44" t="s">
        <v>588</v>
      </c>
      <c r="C3" s="44" t="s">
        <v>589</v>
      </c>
      <c r="D3" s="44" t="s">
        <v>590</v>
      </c>
      <c r="E3" s="44" t="s">
        <v>591</v>
      </c>
      <c r="F3" s="44" t="s">
        <v>592</v>
      </c>
      <c r="G3" s="44" t="s">
        <v>593</v>
      </c>
      <c r="I3" s="44" t="s">
        <v>588</v>
      </c>
      <c r="J3" s="44" t="s">
        <v>589</v>
      </c>
      <c r="K3" s="44" t="s">
        <v>590</v>
      </c>
      <c r="L3" s="44" t="s">
        <v>591</v>
      </c>
      <c r="M3" s="44" t="s">
        <v>592</v>
      </c>
      <c r="N3" s="44" t="s">
        <v>593</v>
      </c>
      <c r="P3" s="44" t="s">
        <v>588</v>
      </c>
      <c r="Q3" s="44" t="s">
        <v>589</v>
      </c>
      <c r="R3" s="44" t="s">
        <v>590</v>
      </c>
      <c r="S3" s="44" t="s">
        <v>591</v>
      </c>
      <c r="T3" s="44" t="s">
        <v>592</v>
      </c>
      <c r="U3" s="44" t="s">
        <v>593</v>
      </c>
      <c r="W3" s="44" t="s">
        <v>588</v>
      </c>
      <c r="X3" s="44" t="s">
        <v>593</v>
      </c>
      <c r="Z3" s="44" t="s">
        <v>588</v>
      </c>
      <c r="AA3" s="44" t="s">
        <v>589</v>
      </c>
      <c r="AB3" s="44" t="s">
        <v>590</v>
      </c>
      <c r="AC3" s="44" t="s">
        <v>591</v>
      </c>
      <c r="AD3" s="44" t="s">
        <v>592</v>
      </c>
      <c r="AE3" s="44" t="s">
        <v>593</v>
      </c>
      <c r="AG3" s="44" t="s">
        <v>588</v>
      </c>
      <c r="AH3" s="44" t="s">
        <v>589</v>
      </c>
      <c r="AI3" s="44" t="s">
        <v>590</v>
      </c>
      <c r="AJ3" s="44" t="s">
        <v>591</v>
      </c>
      <c r="AK3" s="44" t="s">
        <v>592</v>
      </c>
      <c r="AL3" s="44" t="s">
        <v>593</v>
      </c>
      <c r="AN3" s="44" t="s">
        <v>588</v>
      </c>
      <c r="AO3" s="44" t="s">
        <v>593</v>
      </c>
    </row>
    <row r="4" spans="2:41" ht="15">
      <c r="B4" s="43">
        <v>2009</v>
      </c>
      <c r="C4" s="44">
        <v>165</v>
      </c>
      <c r="D4" s="44">
        <v>241</v>
      </c>
      <c r="E4" s="44">
        <v>242</v>
      </c>
      <c r="F4" s="44">
        <v>200</v>
      </c>
      <c r="G4" s="44">
        <v>172</v>
      </c>
      <c r="I4" s="43">
        <v>2009</v>
      </c>
      <c r="J4" s="44">
        <v>4.9000000000000004</v>
      </c>
      <c r="K4" s="44">
        <v>5.5</v>
      </c>
      <c r="L4" s="44">
        <v>5.7</v>
      </c>
      <c r="M4" s="44">
        <v>5</v>
      </c>
      <c r="N4" s="44">
        <v>4.9000000000000004</v>
      </c>
      <c r="P4" s="43">
        <v>2009</v>
      </c>
      <c r="Q4" s="44">
        <v>8.6999999999999993</v>
      </c>
      <c r="R4" s="44">
        <v>14.5</v>
      </c>
      <c r="S4" s="44">
        <v>11.7</v>
      </c>
      <c r="T4" s="44">
        <v>9.1</v>
      </c>
      <c r="U4" s="44">
        <v>9.1</v>
      </c>
      <c r="W4" s="43" t="s">
        <v>594</v>
      </c>
      <c r="X4" s="44">
        <v>10217</v>
      </c>
      <c r="Z4" s="43">
        <v>2009</v>
      </c>
      <c r="AA4" s="44">
        <f t="shared" ref="AA4:AA35" si="0">Q4*$AA$37</f>
        <v>9.1610999999999994</v>
      </c>
      <c r="AB4" s="44">
        <f t="shared" ref="AB4:AB35" si="1">R4*$AA$37</f>
        <v>15.2685</v>
      </c>
      <c r="AC4" s="44">
        <f t="shared" ref="AC4:AC35" si="2">S4*$AA$37</f>
        <v>12.320099999999998</v>
      </c>
      <c r="AD4" s="44">
        <f t="shared" ref="AD4:AD35" si="3">T4*$AA$37</f>
        <v>9.5822999999999983</v>
      </c>
      <c r="AE4" s="44">
        <f t="shared" ref="AE4:AE35" si="4">U4*$AA$37</f>
        <v>9.5822999999999983</v>
      </c>
      <c r="AG4" s="43">
        <v>2009</v>
      </c>
      <c r="AH4" s="44">
        <f t="shared" ref="AH4:AH35" si="5">J4*$AH$37</f>
        <v>4.7530000000000001</v>
      </c>
      <c r="AI4" s="44">
        <f t="shared" ref="AI4:AI35" si="6">K4*$AH$37</f>
        <v>5.335</v>
      </c>
      <c r="AJ4" s="44">
        <f t="shared" ref="AJ4:AJ35" si="7">L4*$AH$37</f>
        <v>5.5289999999999999</v>
      </c>
      <c r="AK4" s="44">
        <f t="shared" ref="AK4:AK35" si="8">M4*$AH$37</f>
        <v>4.8499999999999996</v>
      </c>
      <c r="AL4" s="44">
        <f t="shared" ref="AL4:AL35" si="9">N4*$AH$37</f>
        <v>4.7530000000000001</v>
      </c>
      <c r="AN4" s="43" t="s">
        <v>594</v>
      </c>
      <c r="AO4" s="44">
        <v>1.88</v>
      </c>
    </row>
    <row r="5" spans="2:41" ht="15">
      <c r="B5" s="43">
        <v>2010</v>
      </c>
      <c r="C5" s="44">
        <v>157</v>
      </c>
      <c r="D5" s="44">
        <v>236</v>
      </c>
      <c r="E5" s="44">
        <v>242</v>
      </c>
      <c r="F5" s="44">
        <v>183</v>
      </c>
      <c r="G5" s="44">
        <v>165</v>
      </c>
      <c r="I5" s="43">
        <v>2010</v>
      </c>
      <c r="J5" s="44">
        <v>4.7</v>
      </c>
      <c r="K5" s="44">
        <v>5.4</v>
      </c>
      <c r="L5" s="44">
        <v>5.7</v>
      </c>
      <c r="M5" s="44">
        <v>4.8</v>
      </c>
      <c r="N5" s="44">
        <v>4.7</v>
      </c>
      <c r="P5" s="43">
        <v>2010</v>
      </c>
      <c r="Q5" s="44">
        <v>8.3000000000000007</v>
      </c>
      <c r="R5" s="44">
        <v>14.1</v>
      </c>
      <c r="S5" s="44">
        <v>11.7</v>
      </c>
      <c r="T5" s="44">
        <v>8.6</v>
      </c>
      <c r="U5" s="44">
        <v>8.8000000000000007</v>
      </c>
      <c r="W5" s="43"/>
      <c r="X5" s="44">
        <f>X4</f>
        <v>10217</v>
      </c>
      <c r="Z5" s="43">
        <v>2010</v>
      </c>
      <c r="AA5" s="44">
        <f t="shared" si="0"/>
        <v>8.7399000000000004</v>
      </c>
      <c r="AB5" s="44">
        <f t="shared" si="1"/>
        <v>14.847299999999999</v>
      </c>
      <c r="AC5" s="44">
        <f t="shared" si="2"/>
        <v>12.320099999999998</v>
      </c>
      <c r="AD5" s="44">
        <f t="shared" si="3"/>
        <v>9.0557999999999996</v>
      </c>
      <c r="AE5" s="44">
        <f t="shared" si="4"/>
        <v>9.2664000000000009</v>
      </c>
      <c r="AG5" s="43">
        <v>2010</v>
      </c>
      <c r="AH5" s="44">
        <f t="shared" si="5"/>
        <v>4.5590000000000002</v>
      </c>
      <c r="AI5" s="44">
        <f t="shared" si="6"/>
        <v>5.2380000000000004</v>
      </c>
      <c r="AJ5" s="44">
        <f t="shared" si="7"/>
        <v>5.5289999999999999</v>
      </c>
      <c r="AK5" s="44">
        <f t="shared" si="8"/>
        <v>4.6559999999999997</v>
      </c>
      <c r="AL5" s="44">
        <f t="shared" si="9"/>
        <v>4.5590000000000002</v>
      </c>
      <c r="AN5" s="43"/>
      <c r="AO5" s="44">
        <f>AO4</f>
        <v>1.88</v>
      </c>
    </row>
    <row r="6" spans="2:41" ht="15">
      <c r="B6" s="43">
        <v>2011</v>
      </c>
      <c r="C6" s="44">
        <v>149</v>
      </c>
      <c r="D6" s="44">
        <v>235</v>
      </c>
      <c r="E6" s="44">
        <v>242</v>
      </c>
      <c r="F6" s="44">
        <v>167</v>
      </c>
      <c r="G6" s="44">
        <v>157</v>
      </c>
      <c r="I6" s="43">
        <v>2011</v>
      </c>
      <c r="J6" s="44">
        <v>4.4000000000000004</v>
      </c>
      <c r="K6" s="44">
        <v>5.3</v>
      </c>
      <c r="L6" s="44">
        <v>5.7</v>
      </c>
      <c r="M6" s="44">
        <v>4.5</v>
      </c>
      <c r="N6" s="44">
        <v>4.5</v>
      </c>
      <c r="P6" s="43">
        <v>2011</v>
      </c>
      <c r="Q6" s="44">
        <v>7.7</v>
      </c>
      <c r="R6" s="44">
        <v>14</v>
      </c>
      <c r="S6" s="44">
        <v>11.7</v>
      </c>
      <c r="T6" s="44">
        <v>8.1</v>
      </c>
      <c r="U6" s="44">
        <v>8.1999999999999993</v>
      </c>
      <c r="W6" s="43"/>
      <c r="X6" s="44">
        <f t="shared" ref="X6:X34" si="10">X5</f>
        <v>10217</v>
      </c>
      <c r="Z6" s="43">
        <v>2011</v>
      </c>
      <c r="AA6" s="44">
        <f t="shared" si="0"/>
        <v>8.1081000000000003</v>
      </c>
      <c r="AB6" s="44">
        <f t="shared" si="1"/>
        <v>14.741999999999999</v>
      </c>
      <c r="AC6" s="44">
        <f t="shared" si="2"/>
        <v>12.320099999999998</v>
      </c>
      <c r="AD6" s="44">
        <f t="shared" si="3"/>
        <v>8.5292999999999992</v>
      </c>
      <c r="AE6" s="44">
        <f t="shared" si="4"/>
        <v>8.6345999999999989</v>
      </c>
      <c r="AG6" s="43">
        <v>2011</v>
      </c>
      <c r="AH6" s="44">
        <f t="shared" si="5"/>
        <v>4.2679999999999998</v>
      </c>
      <c r="AI6" s="44">
        <f t="shared" si="6"/>
        <v>5.141</v>
      </c>
      <c r="AJ6" s="44">
        <f t="shared" si="7"/>
        <v>5.5289999999999999</v>
      </c>
      <c r="AK6" s="44">
        <f t="shared" si="8"/>
        <v>4.3650000000000002</v>
      </c>
      <c r="AL6" s="44">
        <f t="shared" si="9"/>
        <v>4.3650000000000002</v>
      </c>
      <c r="AN6" s="43"/>
      <c r="AO6" s="44">
        <f t="shared" ref="AO6:AO34" si="11">AO5</f>
        <v>1.88</v>
      </c>
    </row>
    <row r="7" spans="2:41" ht="15">
      <c r="B7" s="43">
        <v>2012</v>
      </c>
      <c r="C7" s="44">
        <v>144</v>
      </c>
      <c r="D7" s="44">
        <v>227</v>
      </c>
      <c r="E7" s="44">
        <v>242</v>
      </c>
      <c r="F7" s="44">
        <v>157</v>
      </c>
      <c r="G7" s="44">
        <v>152</v>
      </c>
      <c r="I7" s="43">
        <v>2012</v>
      </c>
      <c r="J7" s="44">
        <v>4.0999999999999996</v>
      </c>
      <c r="K7" s="44">
        <v>5.0999999999999996</v>
      </c>
      <c r="L7" s="44">
        <v>5.7</v>
      </c>
      <c r="M7" s="44">
        <v>4.2</v>
      </c>
      <c r="N7" s="44">
        <v>4.2</v>
      </c>
      <c r="P7" s="43">
        <v>2012</v>
      </c>
      <c r="Q7" s="44">
        <v>7.1</v>
      </c>
      <c r="R7" s="44">
        <v>13.3</v>
      </c>
      <c r="S7" s="44">
        <v>11.7</v>
      </c>
      <c r="T7" s="44">
        <v>7.5</v>
      </c>
      <c r="U7" s="44">
        <v>7.6</v>
      </c>
      <c r="W7" s="43"/>
      <c r="X7" s="44">
        <f t="shared" si="10"/>
        <v>10217</v>
      </c>
      <c r="Z7" s="43">
        <v>2012</v>
      </c>
      <c r="AA7" s="44">
        <f t="shared" si="0"/>
        <v>7.4762999999999993</v>
      </c>
      <c r="AB7" s="44">
        <f t="shared" si="1"/>
        <v>14.004899999999999</v>
      </c>
      <c r="AC7" s="44">
        <f t="shared" si="2"/>
        <v>12.320099999999998</v>
      </c>
      <c r="AD7" s="44">
        <f t="shared" si="3"/>
        <v>7.8974999999999991</v>
      </c>
      <c r="AE7" s="44">
        <f t="shared" si="4"/>
        <v>8.0027999999999988</v>
      </c>
      <c r="AG7" s="43">
        <v>2012</v>
      </c>
      <c r="AH7" s="44">
        <f t="shared" si="5"/>
        <v>3.9769999999999994</v>
      </c>
      <c r="AI7" s="44">
        <f t="shared" si="6"/>
        <v>4.9469999999999992</v>
      </c>
      <c r="AJ7" s="44">
        <f t="shared" si="7"/>
        <v>5.5289999999999999</v>
      </c>
      <c r="AK7" s="44">
        <f t="shared" si="8"/>
        <v>4.0739999999999998</v>
      </c>
      <c r="AL7" s="44">
        <f t="shared" si="9"/>
        <v>4.0739999999999998</v>
      </c>
      <c r="AN7" s="43"/>
      <c r="AO7" s="44">
        <f t="shared" si="11"/>
        <v>1.88</v>
      </c>
    </row>
    <row r="8" spans="2:41" ht="15">
      <c r="B8" s="43">
        <v>2013</v>
      </c>
      <c r="C8" s="44">
        <v>139</v>
      </c>
      <c r="D8" s="44">
        <v>225</v>
      </c>
      <c r="E8" s="44">
        <v>242</v>
      </c>
      <c r="F8" s="44">
        <v>147</v>
      </c>
      <c r="G8" s="44">
        <v>147</v>
      </c>
      <c r="I8" s="43">
        <v>2013</v>
      </c>
      <c r="J8" s="44">
        <v>3.8</v>
      </c>
      <c r="K8" s="44">
        <v>5</v>
      </c>
      <c r="L8" s="44">
        <v>5.6</v>
      </c>
      <c r="M8" s="44">
        <v>3.9</v>
      </c>
      <c r="N8" s="44">
        <v>3.9</v>
      </c>
      <c r="P8" s="43">
        <v>2013</v>
      </c>
      <c r="Q8" s="44">
        <v>6.5</v>
      </c>
      <c r="R8" s="44">
        <v>13.3</v>
      </c>
      <c r="S8" s="44">
        <v>11.7</v>
      </c>
      <c r="T8" s="44">
        <v>6.9</v>
      </c>
      <c r="U8" s="44">
        <v>7.1</v>
      </c>
      <c r="W8" s="43"/>
      <c r="X8" s="44">
        <f t="shared" si="10"/>
        <v>10217</v>
      </c>
      <c r="Z8" s="43">
        <v>2013</v>
      </c>
      <c r="AA8" s="44">
        <f t="shared" si="0"/>
        <v>6.8445</v>
      </c>
      <c r="AB8" s="44">
        <f t="shared" si="1"/>
        <v>14.004899999999999</v>
      </c>
      <c r="AC8" s="44">
        <f t="shared" si="2"/>
        <v>12.320099999999998</v>
      </c>
      <c r="AD8" s="44">
        <f t="shared" si="3"/>
        <v>7.2656999999999998</v>
      </c>
      <c r="AE8" s="44">
        <f t="shared" si="4"/>
        <v>7.4762999999999993</v>
      </c>
      <c r="AG8" s="43">
        <v>2013</v>
      </c>
      <c r="AH8" s="44">
        <f t="shared" si="5"/>
        <v>3.6859999999999999</v>
      </c>
      <c r="AI8" s="44">
        <f t="shared" si="6"/>
        <v>4.8499999999999996</v>
      </c>
      <c r="AJ8" s="44">
        <f t="shared" si="7"/>
        <v>5.4319999999999995</v>
      </c>
      <c r="AK8" s="44">
        <f t="shared" si="8"/>
        <v>3.7829999999999999</v>
      </c>
      <c r="AL8" s="44">
        <f t="shared" si="9"/>
        <v>3.7829999999999999</v>
      </c>
      <c r="AN8" s="43"/>
      <c r="AO8" s="44">
        <f t="shared" si="11"/>
        <v>1.88</v>
      </c>
    </row>
    <row r="9" spans="2:41" ht="15">
      <c r="B9" s="43">
        <v>2014</v>
      </c>
      <c r="C9" s="44">
        <v>135</v>
      </c>
      <c r="D9" s="44">
        <v>217</v>
      </c>
      <c r="E9" s="44">
        <v>242</v>
      </c>
      <c r="F9" s="44">
        <v>138</v>
      </c>
      <c r="G9" s="44">
        <v>143</v>
      </c>
      <c r="I9" s="43">
        <v>2014</v>
      </c>
      <c r="J9" s="44">
        <v>3.6</v>
      </c>
      <c r="K9" s="44">
        <v>4.8</v>
      </c>
      <c r="L9" s="44">
        <v>5.6</v>
      </c>
      <c r="M9" s="44">
        <v>3.6</v>
      </c>
      <c r="N9" s="44">
        <v>3.7</v>
      </c>
      <c r="P9" s="43">
        <v>2014</v>
      </c>
      <c r="Q9" s="44">
        <v>6.1</v>
      </c>
      <c r="R9" s="44">
        <v>12.7</v>
      </c>
      <c r="S9" s="44">
        <v>11.7</v>
      </c>
      <c r="T9" s="44">
        <v>6.3</v>
      </c>
      <c r="U9" s="44">
        <v>6.7</v>
      </c>
      <c r="W9" s="43"/>
      <c r="X9" s="44">
        <f t="shared" si="10"/>
        <v>10217</v>
      </c>
      <c r="Z9" s="43">
        <v>2014</v>
      </c>
      <c r="AA9" s="44">
        <f t="shared" si="0"/>
        <v>6.4232999999999993</v>
      </c>
      <c r="AB9" s="44">
        <f t="shared" si="1"/>
        <v>13.373099999999999</v>
      </c>
      <c r="AC9" s="44">
        <f t="shared" si="2"/>
        <v>12.320099999999998</v>
      </c>
      <c r="AD9" s="44">
        <f t="shared" si="3"/>
        <v>6.6338999999999997</v>
      </c>
      <c r="AE9" s="44">
        <f t="shared" si="4"/>
        <v>7.0550999999999995</v>
      </c>
      <c r="AG9" s="43">
        <v>2014</v>
      </c>
      <c r="AH9" s="44">
        <f t="shared" si="5"/>
        <v>3.492</v>
      </c>
      <c r="AI9" s="44">
        <f t="shared" si="6"/>
        <v>4.6559999999999997</v>
      </c>
      <c r="AJ9" s="44">
        <f t="shared" si="7"/>
        <v>5.4319999999999995</v>
      </c>
      <c r="AK9" s="44">
        <f t="shared" si="8"/>
        <v>3.492</v>
      </c>
      <c r="AL9" s="44">
        <f t="shared" si="9"/>
        <v>3.589</v>
      </c>
      <c r="AN9" s="43"/>
      <c r="AO9" s="44">
        <f t="shared" si="11"/>
        <v>1.88</v>
      </c>
    </row>
    <row r="10" spans="2:41" ht="15">
      <c r="B10" s="43">
        <v>2015</v>
      </c>
      <c r="C10" s="44">
        <v>129</v>
      </c>
      <c r="D10" s="44">
        <v>215</v>
      </c>
      <c r="E10" s="44">
        <v>240</v>
      </c>
      <c r="F10" s="44">
        <v>131</v>
      </c>
      <c r="G10" s="44">
        <v>137</v>
      </c>
      <c r="I10" s="43">
        <v>2015</v>
      </c>
      <c r="J10" s="44">
        <v>3.4</v>
      </c>
      <c r="K10" s="44">
        <v>4.8</v>
      </c>
      <c r="L10" s="44">
        <v>5.5</v>
      </c>
      <c r="M10" s="44">
        <v>3.4</v>
      </c>
      <c r="N10" s="44">
        <v>3.5</v>
      </c>
      <c r="P10" s="43">
        <v>2015</v>
      </c>
      <c r="Q10" s="44">
        <v>5.7</v>
      </c>
      <c r="R10" s="44">
        <v>12.6</v>
      </c>
      <c r="S10" s="44">
        <v>11.7</v>
      </c>
      <c r="T10" s="44">
        <v>5.8</v>
      </c>
      <c r="U10" s="44">
        <v>6.3</v>
      </c>
      <c r="W10" s="43"/>
      <c r="X10" s="44">
        <f t="shared" si="10"/>
        <v>10217</v>
      </c>
      <c r="Z10" s="43">
        <v>2015</v>
      </c>
      <c r="AA10" s="44">
        <f t="shared" si="0"/>
        <v>6.0020999999999995</v>
      </c>
      <c r="AB10" s="44">
        <f t="shared" si="1"/>
        <v>13.267799999999999</v>
      </c>
      <c r="AC10" s="44">
        <f t="shared" si="2"/>
        <v>12.320099999999998</v>
      </c>
      <c r="AD10" s="44">
        <f t="shared" si="3"/>
        <v>6.1073999999999993</v>
      </c>
      <c r="AE10" s="44">
        <f t="shared" si="4"/>
        <v>6.6338999999999997</v>
      </c>
      <c r="AG10" s="43">
        <v>2015</v>
      </c>
      <c r="AH10" s="44">
        <f t="shared" si="5"/>
        <v>3.298</v>
      </c>
      <c r="AI10" s="44">
        <f t="shared" si="6"/>
        <v>4.6559999999999997</v>
      </c>
      <c r="AJ10" s="44">
        <f t="shared" si="7"/>
        <v>5.335</v>
      </c>
      <c r="AK10" s="44">
        <f t="shared" si="8"/>
        <v>3.298</v>
      </c>
      <c r="AL10" s="44">
        <f t="shared" si="9"/>
        <v>3.395</v>
      </c>
      <c r="AN10" s="43"/>
      <c r="AO10" s="44">
        <f t="shared" si="11"/>
        <v>1.88</v>
      </c>
    </row>
    <row r="11" spans="2:41" ht="15">
      <c r="B11" s="43">
        <v>2016</v>
      </c>
      <c r="C11" s="44">
        <v>121</v>
      </c>
      <c r="D11" s="44">
        <v>208</v>
      </c>
      <c r="E11" s="44">
        <v>239</v>
      </c>
      <c r="F11" s="44">
        <v>119</v>
      </c>
      <c r="G11" s="44">
        <v>129</v>
      </c>
      <c r="I11" s="43">
        <v>2016</v>
      </c>
      <c r="J11" s="44">
        <v>3.1</v>
      </c>
      <c r="K11" s="44">
        <v>4.5999999999999996</v>
      </c>
      <c r="L11" s="44">
        <v>5.5</v>
      </c>
      <c r="M11" s="44">
        <v>3.1</v>
      </c>
      <c r="N11" s="44">
        <v>3.3</v>
      </c>
      <c r="P11" s="43">
        <v>2016</v>
      </c>
      <c r="Q11" s="44">
        <v>5.0999999999999996</v>
      </c>
      <c r="R11" s="44">
        <v>12</v>
      </c>
      <c r="S11" s="44">
        <v>11.7</v>
      </c>
      <c r="T11" s="44">
        <v>5.2</v>
      </c>
      <c r="U11" s="44">
        <v>5.7</v>
      </c>
      <c r="W11" s="43"/>
      <c r="X11" s="44">
        <f t="shared" si="10"/>
        <v>10217</v>
      </c>
      <c r="Z11" s="43">
        <v>2016</v>
      </c>
      <c r="AA11" s="44">
        <f t="shared" si="0"/>
        <v>5.3702999999999994</v>
      </c>
      <c r="AB11" s="44">
        <f t="shared" si="1"/>
        <v>12.635999999999999</v>
      </c>
      <c r="AC11" s="44">
        <f t="shared" si="2"/>
        <v>12.320099999999998</v>
      </c>
      <c r="AD11" s="44">
        <f t="shared" si="3"/>
        <v>5.4756</v>
      </c>
      <c r="AE11" s="44">
        <f t="shared" si="4"/>
        <v>6.0020999999999995</v>
      </c>
      <c r="AG11" s="43">
        <v>2016</v>
      </c>
      <c r="AH11" s="44">
        <f t="shared" si="5"/>
        <v>3.0070000000000001</v>
      </c>
      <c r="AI11" s="44">
        <f t="shared" si="6"/>
        <v>4.4619999999999997</v>
      </c>
      <c r="AJ11" s="44">
        <f t="shared" si="7"/>
        <v>5.335</v>
      </c>
      <c r="AK11" s="44">
        <f t="shared" si="8"/>
        <v>3.0070000000000001</v>
      </c>
      <c r="AL11" s="44">
        <f t="shared" si="9"/>
        <v>3.2009999999999996</v>
      </c>
      <c r="AN11" s="43"/>
      <c r="AO11" s="44">
        <f t="shared" si="11"/>
        <v>1.88</v>
      </c>
    </row>
    <row r="12" spans="2:41" ht="15">
      <c r="B12" s="43">
        <v>2017</v>
      </c>
      <c r="C12" s="44">
        <v>114</v>
      </c>
      <c r="D12" s="44">
        <v>206</v>
      </c>
      <c r="E12" s="44">
        <v>237</v>
      </c>
      <c r="F12" s="44">
        <v>112</v>
      </c>
      <c r="G12" s="44">
        <v>122</v>
      </c>
      <c r="I12" s="43">
        <v>2017</v>
      </c>
      <c r="J12" s="44">
        <v>2.9</v>
      </c>
      <c r="K12" s="44">
        <v>4.5</v>
      </c>
      <c r="L12" s="44">
        <v>5.4</v>
      </c>
      <c r="M12" s="44">
        <v>2.8</v>
      </c>
      <c r="N12" s="44">
        <v>3</v>
      </c>
      <c r="P12" s="43">
        <v>2017</v>
      </c>
      <c r="Q12" s="44">
        <v>4.5999999999999996</v>
      </c>
      <c r="R12" s="44">
        <v>11.8</v>
      </c>
      <c r="S12" s="44">
        <v>11.7</v>
      </c>
      <c r="T12" s="44">
        <v>4.5999999999999996</v>
      </c>
      <c r="U12" s="44">
        <v>5.2</v>
      </c>
      <c r="W12" s="43"/>
      <c r="X12" s="44">
        <f t="shared" si="10"/>
        <v>10217</v>
      </c>
      <c r="Z12" s="43">
        <v>2017</v>
      </c>
      <c r="AA12" s="44">
        <f t="shared" si="0"/>
        <v>4.843799999999999</v>
      </c>
      <c r="AB12" s="44">
        <f t="shared" si="1"/>
        <v>12.4254</v>
      </c>
      <c r="AC12" s="44">
        <f t="shared" si="2"/>
        <v>12.320099999999998</v>
      </c>
      <c r="AD12" s="44">
        <f t="shared" si="3"/>
        <v>4.843799999999999</v>
      </c>
      <c r="AE12" s="44">
        <f t="shared" si="4"/>
        <v>5.4756</v>
      </c>
      <c r="AG12" s="43">
        <v>2017</v>
      </c>
      <c r="AH12" s="44">
        <f t="shared" si="5"/>
        <v>2.8129999999999997</v>
      </c>
      <c r="AI12" s="44">
        <f t="shared" si="6"/>
        <v>4.3650000000000002</v>
      </c>
      <c r="AJ12" s="44">
        <f t="shared" si="7"/>
        <v>5.2380000000000004</v>
      </c>
      <c r="AK12" s="44">
        <f t="shared" si="8"/>
        <v>2.7159999999999997</v>
      </c>
      <c r="AL12" s="44">
        <f t="shared" si="9"/>
        <v>2.91</v>
      </c>
      <c r="AN12" s="43"/>
      <c r="AO12" s="44">
        <f t="shared" si="11"/>
        <v>1.88</v>
      </c>
    </row>
    <row r="13" spans="2:41" ht="15">
      <c r="B13" s="43">
        <v>2018</v>
      </c>
      <c r="C13" s="44">
        <v>108</v>
      </c>
      <c r="D13" s="44">
        <v>202</v>
      </c>
      <c r="E13" s="44">
        <v>236</v>
      </c>
      <c r="F13" s="44">
        <v>105</v>
      </c>
      <c r="G13" s="44">
        <v>117</v>
      </c>
      <c r="I13" s="43">
        <v>2018</v>
      </c>
      <c r="J13" s="44">
        <v>2.7</v>
      </c>
      <c r="K13" s="44">
        <v>4.4000000000000004</v>
      </c>
      <c r="L13" s="44">
        <v>5.4</v>
      </c>
      <c r="M13" s="44">
        <v>2.6</v>
      </c>
      <c r="N13" s="44">
        <v>2.8</v>
      </c>
      <c r="P13" s="43">
        <v>2018</v>
      </c>
      <c r="Q13" s="44">
        <v>4.2</v>
      </c>
      <c r="R13" s="44">
        <v>11.5</v>
      </c>
      <c r="S13" s="44">
        <v>11.7</v>
      </c>
      <c r="T13" s="44">
        <v>4.0999999999999996</v>
      </c>
      <c r="U13" s="44">
        <v>4.8</v>
      </c>
      <c r="W13" s="43"/>
      <c r="X13" s="44">
        <f t="shared" si="10"/>
        <v>10217</v>
      </c>
      <c r="Z13" s="43">
        <v>2018</v>
      </c>
      <c r="AA13" s="44">
        <f t="shared" si="0"/>
        <v>4.4226000000000001</v>
      </c>
      <c r="AB13" s="44">
        <f t="shared" si="1"/>
        <v>12.109499999999999</v>
      </c>
      <c r="AC13" s="44">
        <f t="shared" si="2"/>
        <v>12.320099999999998</v>
      </c>
      <c r="AD13" s="44">
        <f t="shared" si="3"/>
        <v>4.3172999999999995</v>
      </c>
      <c r="AE13" s="44">
        <f t="shared" si="4"/>
        <v>5.0543999999999993</v>
      </c>
      <c r="AG13" s="43">
        <v>2018</v>
      </c>
      <c r="AH13" s="44">
        <f t="shared" si="5"/>
        <v>2.6190000000000002</v>
      </c>
      <c r="AI13" s="44">
        <f t="shared" si="6"/>
        <v>4.2679999999999998</v>
      </c>
      <c r="AJ13" s="44">
        <f t="shared" si="7"/>
        <v>5.2380000000000004</v>
      </c>
      <c r="AK13" s="44">
        <f t="shared" si="8"/>
        <v>2.5219999999999998</v>
      </c>
      <c r="AL13" s="44">
        <f t="shared" si="9"/>
        <v>2.7159999999999997</v>
      </c>
      <c r="AN13" s="43"/>
      <c r="AO13" s="44">
        <f t="shared" si="11"/>
        <v>1.88</v>
      </c>
    </row>
    <row r="14" spans="2:41" ht="15">
      <c r="B14" s="43">
        <v>2019</v>
      </c>
      <c r="C14" s="44">
        <v>103</v>
      </c>
      <c r="D14" s="44">
        <v>200</v>
      </c>
      <c r="E14" s="44">
        <v>233</v>
      </c>
      <c r="F14" s="44">
        <v>98</v>
      </c>
      <c r="G14" s="44">
        <v>112</v>
      </c>
      <c r="I14" s="43">
        <v>2019</v>
      </c>
      <c r="J14" s="44">
        <v>2.5</v>
      </c>
      <c r="K14" s="44">
        <v>4.4000000000000004</v>
      </c>
      <c r="L14" s="44">
        <v>5.4</v>
      </c>
      <c r="M14" s="44">
        <v>2.2999999999999998</v>
      </c>
      <c r="N14" s="44">
        <v>2.6</v>
      </c>
      <c r="P14" s="43">
        <v>2019</v>
      </c>
      <c r="Q14" s="44">
        <v>3.9</v>
      </c>
      <c r="R14" s="44">
        <v>11.4</v>
      </c>
      <c r="S14" s="44">
        <v>11.7</v>
      </c>
      <c r="T14" s="44">
        <v>3.5</v>
      </c>
      <c r="U14" s="44">
        <v>4.5</v>
      </c>
      <c r="W14" s="43"/>
      <c r="X14" s="44">
        <f t="shared" si="10"/>
        <v>10217</v>
      </c>
      <c r="Z14" s="43">
        <v>2019</v>
      </c>
      <c r="AA14" s="44">
        <f t="shared" si="0"/>
        <v>4.1067</v>
      </c>
      <c r="AB14" s="44">
        <f t="shared" si="1"/>
        <v>12.004199999999999</v>
      </c>
      <c r="AC14" s="44">
        <f t="shared" si="2"/>
        <v>12.320099999999998</v>
      </c>
      <c r="AD14" s="44">
        <f t="shared" si="3"/>
        <v>3.6854999999999998</v>
      </c>
      <c r="AE14" s="44">
        <f t="shared" si="4"/>
        <v>4.7385000000000002</v>
      </c>
      <c r="AG14" s="43">
        <v>2019</v>
      </c>
      <c r="AH14" s="44">
        <f t="shared" si="5"/>
        <v>2.4249999999999998</v>
      </c>
      <c r="AI14" s="44">
        <f t="shared" si="6"/>
        <v>4.2679999999999998</v>
      </c>
      <c r="AJ14" s="44">
        <f t="shared" si="7"/>
        <v>5.2380000000000004</v>
      </c>
      <c r="AK14" s="44">
        <f t="shared" si="8"/>
        <v>2.2309999999999999</v>
      </c>
      <c r="AL14" s="44">
        <f t="shared" si="9"/>
        <v>2.5219999999999998</v>
      </c>
      <c r="AN14" s="43"/>
      <c r="AO14" s="44">
        <f t="shared" si="11"/>
        <v>1.88</v>
      </c>
    </row>
    <row r="15" spans="2:41" ht="15">
      <c r="B15" s="43">
        <v>2020</v>
      </c>
      <c r="C15" s="44">
        <v>99</v>
      </c>
      <c r="D15" s="44">
        <v>187</v>
      </c>
      <c r="E15" s="44">
        <v>231</v>
      </c>
      <c r="F15" s="44">
        <v>93</v>
      </c>
      <c r="G15" s="44">
        <v>107</v>
      </c>
      <c r="I15" s="43">
        <v>2020</v>
      </c>
      <c r="J15" s="44">
        <v>2.2999999999999998</v>
      </c>
      <c r="K15" s="44">
        <v>4.0999999999999996</v>
      </c>
      <c r="L15" s="44">
        <v>5.3</v>
      </c>
      <c r="M15" s="44">
        <v>2.1</v>
      </c>
      <c r="N15" s="44">
        <v>2.5</v>
      </c>
      <c r="P15" s="43">
        <v>2020</v>
      </c>
      <c r="Q15" s="44">
        <v>3.6</v>
      </c>
      <c r="R15" s="44">
        <v>10.5</v>
      </c>
      <c r="S15" s="44">
        <v>11.7</v>
      </c>
      <c r="T15" s="44">
        <v>3.1</v>
      </c>
      <c r="U15" s="44">
        <v>4.2</v>
      </c>
      <c r="W15" s="43"/>
      <c r="X15" s="44">
        <f t="shared" si="10"/>
        <v>10217</v>
      </c>
      <c r="Z15" s="43">
        <v>2020</v>
      </c>
      <c r="AA15" s="44">
        <f t="shared" si="0"/>
        <v>3.7907999999999999</v>
      </c>
      <c r="AB15" s="44">
        <f t="shared" si="1"/>
        <v>11.0565</v>
      </c>
      <c r="AC15" s="44">
        <f t="shared" si="2"/>
        <v>12.320099999999998</v>
      </c>
      <c r="AD15" s="44">
        <f t="shared" si="3"/>
        <v>3.2643</v>
      </c>
      <c r="AE15" s="44">
        <f t="shared" si="4"/>
        <v>4.4226000000000001</v>
      </c>
      <c r="AG15" s="43">
        <v>2020</v>
      </c>
      <c r="AH15" s="44">
        <f t="shared" si="5"/>
        <v>2.2309999999999999</v>
      </c>
      <c r="AI15" s="44">
        <f t="shared" si="6"/>
        <v>3.9769999999999994</v>
      </c>
      <c r="AJ15" s="44">
        <f t="shared" si="7"/>
        <v>5.141</v>
      </c>
      <c r="AK15" s="44">
        <f t="shared" si="8"/>
        <v>2.0369999999999999</v>
      </c>
      <c r="AL15" s="44">
        <f t="shared" si="9"/>
        <v>2.4249999999999998</v>
      </c>
      <c r="AN15" s="43"/>
      <c r="AO15" s="44">
        <f t="shared" si="11"/>
        <v>1.88</v>
      </c>
    </row>
    <row r="16" spans="2:41" ht="15">
      <c r="B16" s="43">
        <v>2021</v>
      </c>
      <c r="C16" s="44">
        <v>94</v>
      </c>
      <c r="D16" s="44">
        <v>185</v>
      </c>
      <c r="E16" s="44">
        <v>228</v>
      </c>
      <c r="F16" s="44">
        <v>88</v>
      </c>
      <c r="G16" s="44">
        <v>102</v>
      </c>
      <c r="I16" s="43">
        <v>2021</v>
      </c>
      <c r="J16" s="44">
        <v>2.2000000000000002</v>
      </c>
      <c r="K16" s="44">
        <v>4</v>
      </c>
      <c r="L16" s="44">
        <v>5.3</v>
      </c>
      <c r="M16" s="44">
        <v>2</v>
      </c>
      <c r="N16" s="44">
        <v>2.4</v>
      </c>
      <c r="P16" s="43">
        <v>2021</v>
      </c>
      <c r="Q16" s="44">
        <v>3.4</v>
      </c>
      <c r="R16" s="44">
        <v>10.4</v>
      </c>
      <c r="S16" s="44">
        <v>11.7</v>
      </c>
      <c r="T16" s="44">
        <v>2.9</v>
      </c>
      <c r="U16" s="44">
        <v>4</v>
      </c>
      <c r="W16" s="43"/>
      <c r="X16" s="44">
        <f t="shared" si="10"/>
        <v>10217</v>
      </c>
      <c r="Z16" s="43">
        <v>2021</v>
      </c>
      <c r="AA16" s="44">
        <f t="shared" si="0"/>
        <v>3.5801999999999996</v>
      </c>
      <c r="AB16" s="44">
        <f t="shared" si="1"/>
        <v>10.9512</v>
      </c>
      <c r="AC16" s="44">
        <f t="shared" si="2"/>
        <v>12.320099999999998</v>
      </c>
      <c r="AD16" s="44">
        <f t="shared" si="3"/>
        <v>3.0536999999999996</v>
      </c>
      <c r="AE16" s="44">
        <f t="shared" si="4"/>
        <v>4.2119999999999997</v>
      </c>
      <c r="AG16" s="43">
        <v>2021</v>
      </c>
      <c r="AH16" s="44">
        <f t="shared" si="5"/>
        <v>2.1339999999999999</v>
      </c>
      <c r="AI16" s="44">
        <f t="shared" si="6"/>
        <v>3.88</v>
      </c>
      <c r="AJ16" s="44">
        <f t="shared" si="7"/>
        <v>5.141</v>
      </c>
      <c r="AK16" s="44">
        <f t="shared" si="8"/>
        <v>1.94</v>
      </c>
      <c r="AL16" s="44">
        <f t="shared" si="9"/>
        <v>2.3279999999999998</v>
      </c>
      <c r="AN16" s="43"/>
      <c r="AO16" s="44">
        <f t="shared" si="11"/>
        <v>1.88</v>
      </c>
    </row>
    <row r="17" spans="2:41" ht="15">
      <c r="B17" s="43">
        <v>2022</v>
      </c>
      <c r="C17" s="44">
        <v>89</v>
      </c>
      <c r="D17" s="44">
        <v>177</v>
      </c>
      <c r="E17" s="44">
        <v>225</v>
      </c>
      <c r="F17" s="44">
        <v>83</v>
      </c>
      <c r="G17" s="44">
        <v>97</v>
      </c>
      <c r="I17" s="43">
        <v>2022</v>
      </c>
      <c r="J17" s="44">
        <v>2</v>
      </c>
      <c r="K17" s="44">
        <v>3.9</v>
      </c>
      <c r="L17" s="44">
        <v>5.3</v>
      </c>
      <c r="M17" s="44">
        <v>1.8</v>
      </c>
      <c r="N17" s="44">
        <v>2.2000000000000002</v>
      </c>
      <c r="P17" s="43">
        <v>2022</v>
      </c>
      <c r="Q17" s="44">
        <v>3.2</v>
      </c>
      <c r="R17" s="44">
        <v>9.8000000000000007</v>
      </c>
      <c r="S17" s="44">
        <v>11.7</v>
      </c>
      <c r="T17" s="44">
        <v>2.7</v>
      </c>
      <c r="U17" s="44">
        <v>3.8</v>
      </c>
      <c r="W17" s="43"/>
      <c r="X17" s="44">
        <f t="shared" si="10"/>
        <v>10217</v>
      </c>
      <c r="Z17" s="43">
        <v>2022</v>
      </c>
      <c r="AA17" s="44">
        <f t="shared" si="0"/>
        <v>3.3696000000000002</v>
      </c>
      <c r="AB17" s="44">
        <f t="shared" si="1"/>
        <v>10.3194</v>
      </c>
      <c r="AC17" s="44">
        <f t="shared" si="2"/>
        <v>12.320099999999998</v>
      </c>
      <c r="AD17" s="44">
        <f t="shared" si="3"/>
        <v>2.8431000000000002</v>
      </c>
      <c r="AE17" s="44">
        <f t="shared" si="4"/>
        <v>4.0013999999999994</v>
      </c>
      <c r="AG17" s="43">
        <v>2022</v>
      </c>
      <c r="AH17" s="44">
        <f t="shared" si="5"/>
        <v>1.94</v>
      </c>
      <c r="AI17" s="44">
        <f t="shared" si="6"/>
        <v>3.7829999999999999</v>
      </c>
      <c r="AJ17" s="44">
        <f t="shared" si="7"/>
        <v>5.141</v>
      </c>
      <c r="AK17" s="44">
        <f t="shared" si="8"/>
        <v>1.746</v>
      </c>
      <c r="AL17" s="44">
        <f t="shared" si="9"/>
        <v>2.1339999999999999</v>
      </c>
      <c r="AN17" s="43"/>
      <c r="AO17" s="44">
        <f t="shared" si="11"/>
        <v>1.88</v>
      </c>
    </row>
    <row r="18" spans="2:41" ht="15">
      <c r="B18" s="43">
        <v>2023</v>
      </c>
      <c r="C18" s="44">
        <v>84</v>
      </c>
      <c r="D18" s="44">
        <v>172</v>
      </c>
      <c r="E18" s="44">
        <v>223</v>
      </c>
      <c r="F18" s="44">
        <v>78</v>
      </c>
      <c r="G18" s="44">
        <v>92</v>
      </c>
      <c r="I18" s="43">
        <v>2023</v>
      </c>
      <c r="J18" s="44">
        <v>1.9</v>
      </c>
      <c r="K18" s="44">
        <v>3.7</v>
      </c>
      <c r="L18" s="44">
        <v>5.2</v>
      </c>
      <c r="M18" s="44">
        <v>1.7</v>
      </c>
      <c r="N18" s="44">
        <v>2.1</v>
      </c>
      <c r="P18" s="43">
        <v>2023</v>
      </c>
      <c r="Q18" s="44">
        <v>3</v>
      </c>
      <c r="R18" s="44">
        <v>9.5</v>
      </c>
      <c r="S18" s="44">
        <v>11.7</v>
      </c>
      <c r="T18" s="44">
        <v>2.4</v>
      </c>
      <c r="U18" s="44">
        <v>3.6</v>
      </c>
      <c r="W18" s="43"/>
      <c r="X18" s="44">
        <f t="shared" si="10"/>
        <v>10217</v>
      </c>
      <c r="Z18" s="43">
        <v>2023</v>
      </c>
      <c r="AA18" s="44">
        <f t="shared" si="0"/>
        <v>3.1589999999999998</v>
      </c>
      <c r="AB18" s="44">
        <f t="shared" si="1"/>
        <v>10.003499999999999</v>
      </c>
      <c r="AC18" s="44">
        <f t="shared" si="2"/>
        <v>12.320099999999998</v>
      </c>
      <c r="AD18" s="44">
        <f t="shared" si="3"/>
        <v>2.5271999999999997</v>
      </c>
      <c r="AE18" s="44">
        <f t="shared" si="4"/>
        <v>3.7907999999999999</v>
      </c>
      <c r="AG18" s="43">
        <v>2023</v>
      </c>
      <c r="AH18" s="44">
        <f t="shared" si="5"/>
        <v>1.843</v>
      </c>
      <c r="AI18" s="44">
        <f t="shared" si="6"/>
        <v>3.589</v>
      </c>
      <c r="AJ18" s="44">
        <f t="shared" si="7"/>
        <v>5.0439999999999996</v>
      </c>
      <c r="AK18" s="44">
        <f t="shared" si="8"/>
        <v>1.649</v>
      </c>
      <c r="AL18" s="44">
        <f t="shared" si="9"/>
        <v>2.0369999999999999</v>
      </c>
      <c r="AN18" s="43"/>
      <c r="AO18" s="44">
        <f t="shared" si="11"/>
        <v>1.88</v>
      </c>
    </row>
    <row r="19" spans="2:41" ht="15">
      <c r="B19" s="43">
        <v>2024</v>
      </c>
      <c r="C19" s="44">
        <v>79</v>
      </c>
      <c r="D19" s="44">
        <v>162</v>
      </c>
      <c r="E19" s="44">
        <v>220</v>
      </c>
      <c r="F19" s="44">
        <v>73</v>
      </c>
      <c r="G19" s="44">
        <v>87</v>
      </c>
      <c r="I19" s="43">
        <v>2024</v>
      </c>
      <c r="J19" s="44">
        <v>1.7</v>
      </c>
      <c r="K19" s="44">
        <v>3.5</v>
      </c>
      <c r="L19" s="44">
        <v>5.2</v>
      </c>
      <c r="M19" s="44">
        <v>1.5</v>
      </c>
      <c r="N19" s="44">
        <v>1.9</v>
      </c>
      <c r="P19" s="43">
        <v>2024</v>
      </c>
      <c r="Q19" s="44">
        <v>2.8</v>
      </c>
      <c r="R19" s="44">
        <v>8.9</v>
      </c>
      <c r="S19" s="44">
        <v>11.7</v>
      </c>
      <c r="T19" s="44">
        <v>2.2000000000000002</v>
      </c>
      <c r="U19" s="44">
        <v>3.4</v>
      </c>
      <c r="W19" s="43"/>
      <c r="X19" s="44">
        <f t="shared" si="10"/>
        <v>10217</v>
      </c>
      <c r="Z19" s="43">
        <v>2024</v>
      </c>
      <c r="AA19" s="44">
        <f t="shared" si="0"/>
        <v>2.9483999999999995</v>
      </c>
      <c r="AB19" s="44">
        <f t="shared" si="1"/>
        <v>9.3717000000000006</v>
      </c>
      <c r="AC19" s="44">
        <f t="shared" si="2"/>
        <v>12.320099999999998</v>
      </c>
      <c r="AD19" s="44">
        <f t="shared" si="3"/>
        <v>2.3166000000000002</v>
      </c>
      <c r="AE19" s="44">
        <f t="shared" si="4"/>
        <v>3.5801999999999996</v>
      </c>
      <c r="AG19" s="43">
        <v>2024</v>
      </c>
      <c r="AH19" s="44">
        <f t="shared" si="5"/>
        <v>1.649</v>
      </c>
      <c r="AI19" s="44">
        <f t="shared" si="6"/>
        <v>3.395</v>
      </c>
      <c r="AJ19" s="44">
        <f t="shared" si="7"/>
        <v>5.0439999999999996</v>
      </c>
      <c r="AK19" s="44">
        <f t="shared" si="8"/>
        <v>1.4550000000000001</v>
      </c>
      <c r="AL19" s="44">
        <f t="shared" si="9"/>
        <v>1.843</v>
      </c>
      <c r="AN19" s="43"/>
      <c r="AO19" s="44">
        <f t="shared" si="11"/>
        <v>1.88</v>
      </c>
    </row>
    <row r="20" spans="2:41" ht="15">
      <c r="B20" s="43">
        <v>2025</v>
      </c>
      <c r="C20" s="44">
        <v>74</v>
      </c>
      <c r="D20" s="44">
        <v>150</v>
      </c>
      <c r="E20" s="44">
        <v>217</v>
      </c>
      <c r="F20" s="44">
        <v>68</v>
      </c>
      <c r="G20" s="44">
        <v>81</v>
      </c>
      <c r="I20" s="43">
        <v>2025</v>
      </c>
      <c r="J20" s="44">
        <v>1.6</v>
      </c>
      <c r="K20" s="44">
        <v>3.2</v>
      </c>
      <c r="L20" s="44">
        <v>5.0999999999999996</v>
      </c>
      <c r="M20" s="44">
        <v>1.4</v>
      </c>
      <c r="N20" s="44">
        <v>1.8</v>
      </c>
      <c r="P20" s="43">
        <v>2025</v>
      </c>
      <c r="Q20" s="44">
        <v>2.6</v>
      </c>
      <c r="R20" s="44">
        <v>8</v>
      </c>
      <c r="S20" s="44">
        <v>11.7</v>
      </c>
      <c r="T20" s="44">
        <v>2</v>
      </c>
      <c r="U20" s="44">
        <v>3.1</v>
      </c>
      <c r="W20" s="43"/>
      <c r="X20" s="44">
        <f t="shared" si="10"/>
        <v>10217</v>
      </c>
      <c r="Z20" s="43">
        <v>2025</v>
      </c>
      <c r="AA20" s="44">
        <f t="shared" si="0"/>
        <v>2.7378</v>
      </c>
      <c r="AB20" s="44">
        <f t="shared" si="1"/>
        <v>8.4239999999999995</v>
      </c>
      <c r="AC20" s="44">
        <f t="shared" si="2"/>
        <v>12.320099999999998</v>
      </c>
      <c r="AD20" s="44">
        <f t="shared" si="3"/>
        <v>2.1059999999999999</v>
      </c>
      <c r="AE20" s="44">
        <f t="shared" si="4"/>
        <v>3.2643</v>
      </c>
      <c r="AG20" s="43">
        <v>2025</v>
      </c>
      <c r="AH20" s="44">
        <f t="shared" si="5"/>
        <v>1.552</v>
      </c>
      <c r="AI20" s="44">
        <f t="shared" si="6"/>
        <v>3.1040000000000001</v>
      </c>
      <c r="AJ20" s="44">
        <f t="shared" si="7"/>
        <v>4.9469999999999992</v>
      </c>
      <c r="AK20" s="44">
        <f t="shared" si="8"/>
        <v>1.3579999999999999</v>
      </c>
      <c r="AL20" s="44">
        <f t="shared" si="9"/>
        <v>1.746</v>
      </c>
      <c r="AN20" s="43"/>
      <c r="AO20" s="44">
        <f t="shared" si="11"/>
        <v>1.88</v>
      </c>
    </row>
    <row r="21" spans="2:41" ht="15">
      <c r="B21" s="43">
        <v>2026</v>
      </c>
      <c r="C21" s="44">
        <v>69</v>
      </c>
      <c r="D21" s="44">
        <v>144</v>
      </c>
      <c r="E21" s="44">
        <v>215</v>
      </c>
      <c r="F21" s="44">
        <v>64</v>
      </c>
      <c r="G21" s="44">
        <v>77</v>
      </c>
      <c r="I21" s="43">
        <v>2026</v>
      </c>
      <c r="J21" s="44">
        <v>1.5</v>
      </c>
      <c r="K21" s="44">
        <v>3.1</v>
      </c>
      <c r="L21" s="44">
        <v>5.0999999999999996</v>
      </c>
      <c r="M21" s="44">
        <v>1.2</v>
      </c>
      <c r="N21" s="44">
        <v>1.6</v>
      </c>
      <c r="P21" s="43">
        <v>2026</v>
      </c>
      <c r="Q21" s="44">
        <v>2.5</v>
      </c>
      <c r="R21" s="44">
        <v>7.6</v>
      </c>
      <c r="S21" s="44">
        <v>11.7</v>
      </c>
      <c r="T21" s="44">
        <v>1.8</v>
      </c>
      <c r="U21" s="44">
        <v>2.9</v>
      </c>
      <c r="W21" s="43"/>
      <c r="X21" s="44">
        <f t="shared" si="10"/>
        <v>10217</v>
      </c>
      <c r="Z21" s="43">
        <v>2026</v>
      </c>
      <c r="AA21" s="44">
        <f t="shared" si="0"/>
        <v>2.6324999999999998</v>
      </c>
      <c r="AB21" s="44">
        <f t="shared" si="1"/>
        <v>8.0027999999999988</v>
      </c>
      <c r="AC21" s="44">
        <f t="shared" si="2"/>
        <v>12.320099999999998</v>
      </c>
      <c r="AD21" s="44">
        <f t="shared" si="3"/>
        <v>1.8954</v>
      </c>
      <c r="AE21" s="44">
        <f t="shared" si="4"/>
        <v>3.0536999999999996</v>
      </c>
      <c r="AG21" s="43">
        <v>2026</v>
      </c>
      <c r="AH21" s="44">
        <f t="shared" si="5"/>
        <v>1.4550000000000001</v>
      </c>
      <c r="AI21" s="44">
        <f t="shared" si="6"/>
        <v>3.0070000000000001</v>
      </c>
      <c r="AJ21" s="44">
        <f t="shared" si="7"/>
        <v>4.9469999999999992</v>
      </c>
      <c r="AK21" s="44">
        <f t="shared" si="8"/>
        <v>1.1639999999999999</v>
      </c>
      <c r="AL21" s="44">
        <f t="shared" si="9"/>
        <v>1.552</v>
      </c>
      <c r="AN21" s="43"/>
      <c r="AO21" s="44">
        <f t="shared" si="11"/>
        <v>1.88</v>
      </c>
    </row>
    <row r="22" spans="2:41" ht="15">
      <c r="B22" s="43">
        <v>2027</v>
      </c>
      <c r="C22" s="44">
        <v>65</v>
      </c>
      <c r="D22" s="44">
        <v>138</v>
      </c>
      <c r="E22" s="44">
        <v>212</v>
      </c>
      <c r="F22" s="44">
        <v>60</v>
      </c>
      <c r="G22" s="44">
        <v>72</v>
      </c>
      <c r="I22" s="43">
        <v>2027</v>
      </c>
      <c r="J22" s="44">
        <v>1.4</v>
      </c>
      <c r="K22" s="44">
        <v>3</v>
      </c>
      <c r="L22" s="44">
        <v>5.0999999999999996</v>
      </c>
      <c r="M22" s="44">
        <v>1.1000000000000001</v>
      </c>
      <c r="N22" s="44">
        <v>1.5</v>
      </c>
      <c r="P22" s="43">
        <v>2027</v>
      </c>
      <c r="Q22" s="44">
        <v>2.2999999999999998</v>
      </c>
      <c r="R22" s="44">
        <v>7.3</v>
      </c>
      <c r="S22" s="44">
        <v>11.7</v>
      </c>
      <c r="T22" s="44">
        <v>1.6</v>
      </c>
      <c r="U22" s="44">
        <v>2.8</v>
      </c>
      <c r="W22" s="43"/>
      <c r="X22" s="44">
        <f t="shared" si="10"/>
        <v>10217</v>
      </c>
      <c r="Z22" s="43">
        <v>2027</v>
      </c>
      <c r="AA22" s="44">
        <f t="shared" si="0"/>
        <v>2.4218999999999995</v>
      </c>
      <c r="AB22" s="44">
        <f t="shared" si="1"/>
        <v>7.6868999999999996</v>
      </c>
      <c r="AC22" s="44">
        <f t="shared" si="2"/>
        <v>12.320099999999998</v>
      </c>
      <c r="AD22" s="44">
        <f t="shared" si="3"/>
        <v>1.6848000000000001</v>
      </c>
      <c r="AE22" s="44">
        <f t="shared" si="4"/>
        <v>2.9483999999999995</v>
      </c>
      <c r="AG22" s="43">
        <v>2027</v>
      </c>
      <c r="AH22" s="44">
        <f t="shared" si="5"/>
        <v>1.3579999999999999</v>
      </c>
      <c r="AI22" s="44">
        <f t="shared" si="6"/>
        <v>2.91</v>
      </c>
      <c r="AJ22" s="44">
        <f t="shared" si="7"/>
        <v>4.9469999999999992</v>
      </c>
      <c r="AK22" s="44">
        <f t="shared" si="8"/>
        <v>1.0669999999999999</v>
      </c>
      <c r="AL22" s="44">
        <f t="shared" si="9"/>
        <v>1.4550000000000001</v>
      </c>
      <c r="AN22" s="43"/>
      <c r="AO22" s="44">
        <f t="shared" si="11"/>
        <v>1.88</v>
      </c>
    </row>
    <row r="23" spans="2:41" ht="15">
      <c r="B23" s="43">
        <v>2028</v>
      </c>
      <c r="C23" s="44">
        <v>61</v>
      </c>
      <c r="D23" s="44">
        <v>132</v>
      </c>
      <c r="E23" s="44">
        <v>209</v>
      </c>
      <c r="F23" s="44">
        <v>56</v>
      </c>
      <c r="G23" s="44">
        <v>68</v>
      </c>
      <c r="I23" s="43">
        <v>2028</v>
      </c>
      <c r="J23" s="44">
        <v>1.3</v>
      </c>
      <c r="K23" s="44">
        <v>2.8</v>
      </c>
      <c r="L23" s="44">
        <v>5</v>
      </c>
      <c r="M23" s="44">
        <v>1</v>
      </c>
      <c r="N23" s="44">
        <v>1.4</v>
      </c>
      <c r="P23" s="43">
        <v>2028</v>
      </c>
      <c r="Q23" s="44">
        <v>2.1</v>
      </c>
      <c r="R23" s="44">
        <v>6.9</v>
      </c>
      <c r="S23" s="44">
        <v>11.7</v>
      </c>
      <c r="T23" s="44">
        <v>1.5</v>
      </c>
      <c r="U23" s="44">
        <v>2.6</v>
      </c>
      <c r="W23" s="43"/>
      <c r="X23" s="44">
        <f t="shared" si="10"/>
        <v>10217</v>
      </c>
      <c r="Z23" s="43">
        <v>2028</v>
      </c>
      <c r="AA23" s="44">
        <f t="shared" si="0"/>
        <v>2.2113</v>
      </c>
      <c r="AB23" s="44">
        <f t="shared" si="1"/>
        <v>7.2656999999999998</v>
      </c>
      <c r="AC23" s="44">
        <f t="shared" si="2"/>
        <v>12.320099999999998</v>
      </c>
      <c r="AD23" s="44">
        <f t="shared" si="3"/>
        <v>1.5794999999999999</v>
      </c>
      <c r="AE23" s="44">
        <f t="shared" si="4"/>
        <v>2.7378</v>
      </c>
      <c r="AG23" s="43">
        <v>2028</v>
      </c>
      <c r="AH23" s="44">
        <f t="shared" si="5"/>
        <v>1.2609999999999999</v>
      </c>
      <c r="AI23" s="44">
        <f t="shared" si="6"/>
        <v>2.7159999999999997</v>
      </c>
      <c r="AJ23" s="44">
        <f t="shared" si="7"/>
        <v>4.8499999999999996</v>
      </c>
      <c r="AK23" s="44">
        <f t="shared" si="8"/>
        <v>0.97</v>
      </c>
      <c r="AL23" s="44">
        <f t="shared" si="9"/>
        <v>1.3579999999999999</v>
      </c>
      <c r="AN23" s="43"/>
      <c r="AO23" s="44">
        <f t="shared" si="11"/>
        <v>1.88</v>
      </c>
    </row>
    <row r="24" spans="2:41" ht="15">
      <c r="B24" s="43">
        <v>2029</v>
      </c>
      <c r="C24" s="44">
        <v>57</v>
      </c>
      <c r="D24" s="44">
        <v>126</v>
      </c>
      <c r="E24" s="44">
        <v>206</v>
      </c>
      <c r="F24" s="44">
        <v>52</v>
      </c>
      <c r="G24" s="44">
        <v>64</v>
      </c>
      <c r="I24" s="43">
        <v>2029</v>
      </c>
      <c r="J24" s="44">
        <v>1.1000000000000001</v>
      </c>
      <c r="K24" s="44">
        <v>2.7</v>
      </c>
      <c r="L24" s="44">
        <v>5</v>
      </c>
      <c r="M24" s="44">
        <v>0.9</v>
      </c>
      <c r="N24" s="44">
        <v>1.3</v>
      </c>
      <c r="P24" s="43">
        <v>2029</v>
      </c>
      <c r="Q24" s="44">
        <v>2</v>
      </c>
      <c r="R24" s="44">
        <v>6.5</v>
      </c>
      <c r="S24" s="44">
        <v>11.7</v>
      </c>
      <c r="T24" s="44">
        <v>1.3</v>
      </c>
      <c r="U24" s="44">
        <v>2.4</v>
      </c>
      <c r="W24" s="43"/>
      <c r="X24" s="44">
        <f t="shared" si="10"/>
        <v>10217</v>
      </c>
      <c r="Z24" s="43">
        <v>2029</v>
      </c>
      <c r="AA24" s="44">
        <f t="shared" si="0"/>
        <v>2.1059999999999999</v>
      </c>
      <c r="AB24" s="44">
        <f t="shared" si="1"/>
        <v>6.8445</v>
      </c>
      <c r="AC24" s="44">
        <f t="shared" si="2"/>
        <v>12.320099999999998</v>
      </c>
      <c r="AD24" s="44">
        <f t="shared" si="3"/>
        <v>1.3689</v>
      </c>
      <c r="AE24" s="44">
        <f t="shared" si="4"/>
        <v>2.5271999999999997</v>
      </c>
      <c r="AG24" s="43">
        <v>2029</v>
      </c>
      <c r="AH24" s="44">
        <f t="shared" si="5"/>
        <v>1.0669999999999999</v>
      </c>
      <c r="AI24" s="44">
        <f t="shared" si="6"/>
        <v>2.6190000000000002</v>
      </c>
      <c r="AJ24" s="44">
        <f t="shared" si="7"/>
        <v>4.8499999999999996</v>
      </c>
      <c r="AK24" s="44">
        <f t="shared" si="8"/>
        <v>0.873</v>
      </c>
      <c r="AL24" s="44">
        <f t="shared" si="9"/>
        <v>1.2609999999999999</v>
      </c>
      <c r="AN24" s="43"/>
      <c r="AO24" s="44">
        <f t="shared" si="11"/>
        <v>1.88</v>
      </c>
    </row>
    <row r="25" spans="2:41" ht="15">
      <c r="B25" s="43">
        <v>2030</v>
      </c>
      <c r="C25" s="44">
        <v>53</v>
      </c>
      <c r="D25" s="44">
        <v>119</v>
      </c>
      <c r="E25" s="44">
        <v>203</v>
      </c>
      <c r="F25" s="44">
        <v>49</v>
      </c>
      <c r="G25" s="44">
        <v>60</v>
      </c>
      <c r="I25" s="43">
        <v>2030</v>
      </c>
      <c r="J25" s="44">
        <v>1</v>
      </c>
      <c r="K25" s="44">
        <v>2.5</v>
      </c>
      <c r="L25" s="44">
        <v>4.9000000000000004</v>
      </c>
      <c r="M25" s="44">
        <v>0.8</v>
      </c>
      <c r="N25" s="44">
        <v>1.2</v>
      </c>
      <c r="P25" s="43">
        <v>2030</v>
      </c>
      <c r="Q25" s="44">
        <v>1.9</v>
      </c>
      <c r="R25" s="44">
        <v>6.2</v>
      </c>
      <c r="S25" s="44">
        <v>11.7</v>
      </c>
      <c r="T25" s="44">
        <v>1.2</v>
      </c>
      <c r="U25" s="44">
        <v>2.2999999999999998</v>
      </c>
      <c r="W25" s="43"/>
      <c r="X25" s="44">
        <f t="shared" si="10"/>
        <v>10217</v>
      </c>
      <c r="Z25" s="43">
        <v>2030</v>
      </c>
      <c r="AA25" s="44">
        <f t="shared" si="0"/>
        <v>2.0006999999999997</v>
      </c>
      <c r="AB25" s="44">
        <f t="shared" si="1"/>
        <v>6.5286</v>
      </c>
      <c r="AC25" s="44">
        <f t="shared" si="2"/>
        <v>12.320099999999998</v>
      </c>
      <c r="AD25" s="44">
        <f t="shared" si="3"/>
        <v>1.2635999999999998</v>
      </c>
      <c r="AE25" s="44">
        <f t="shared" si="4"/>
        <v>2.4218999999999995</v>
      </c>
      <c r="AG25" s="43">
        <v>2030</v>
      </c>
      <c r="AH25" s="44">
        <f t="shared" si="5"/>
        <v>0.97</v>
      </c>
      <c r="AI25" s="44">
        <f t="shared" si="6"/>
        <v>2.4249999999999998</v>
      </c>
      <c r="AJ25" s="44">
        <f t="shared" si="7"/>
        <v>4.7530000000000001</v>
      </c>
      <c r="AK25" s="44">
        <f t="shared" si="8"/>
        <v>0.77600000000000002</v>
      </c>
      <c r="AL25" s="44">
        <f t="shared" si="9"/>
        <v>1.1639999999999999</v>
      </c>
      <c r="AN25" s="43"/>
      <c r="AO25" s="44">
        <f t="shared" si="11"/>
        <v>1.88</v>
      </c>
    </row>
    <row r="26" spans="2:41" ht="15">
      <c r="B26" s="43">
        <v>2031</v>
      </c>
      <c r="C26" s="44">
        <v>49</v>
      </c>
      <c r="D26" s="44">
        <v>112</v>
      </c>
      <c r="E26" s="44">
        <v>200</v>
      </c>
      <c r="F26" s="44">
        <v>46</v>
      </c>
      <c r="G26" s="44">
        <v>56</v>
      </c>
      <c r="I26" s="43">
        <v>2031</v>
      </c>
      <c r="J26" s="44">
        <v>1</v>
      </c>
      <c r="K26" s="44">
        <v>2.4</v>
      </c>
      <c r="L26" s="44">
        <v>4.8</v>
      </c>
      <c r="M26" s="44">
        <v>0.7</v>
      </c>
      <c r="N26" s="44">
        <v>1.1000000000000001</v>
      </c>
      <c r="P26" s="43">
        <v>2031</v>
      </c>
      <c r="Q26" s="44">
        <v>1.7</v>
      </c>
      <c r="R26" s="44">
        <v>5.8</v>
      </c>
      <c r="S26" s="44">
        <v>11.7</v>
      </c>
      <c r="T26" s="44">
        <v>1.1000000000000001</v>
      </c>
      <c r="U26" s="44">
        <v>2.2000000000000002</v>
      </c>
      <c r="W26" s="43"/>
      <c r="X26" s="44">
        <f t="shared" si="10"/>
        <v>10217</v>
      </c>
      <c r="Z26" s="43">
        <v>2031</v>
      </c>
      <c r="AA26" s="44">
        <f t="shared" si="0"/>
        <v>1.7900999999999998</v>
      </c>
      <c r="AB26" s="44">
        <f t="shared" si="1"/>
        <v>6.1073999999999993</v>
      </c>
      <c r="AC26" s="44">
        <f t="shared" si="2"/>
        <v>12.320099999999998</v>
      </c>
      <c r="AD26" s="44">
        <f t="shared" si="3"/>
        <v>1.1583000000000001</v>
      </c>
      <c r="AE26" s="44">
        <f t="shared" si="4"/>
        <v>2.3166000000000002</v>
      </c>
      <c r="AG26" s="43">
        <v>2031</v>
      </c>
      <c r="AH26" s="44">
        <f t="shared" si="5"/>
        <v>0.97</v>
      </c>
      <c r="AI26" s="44">
        <f t="shared" si="6"/>
        <v>2.3279999999999998</v>
      </c>
      <c r="AJ26" s="44">
        <f t="shared" si="7"/>
        <v>4.6559999999999997</v>
      </c>
      <c r="AK26" s="44">
        <f t="shared" si="8"/>
        <v>0.67899999999999994</v>
      </c>
      <c r="AL26" s="44">
        <f t="shared" si="9"/>
        <v>1.0669999999999999</v>
      </c>
      <c r="AN26" s="43"/>
      <c r="AO26" s="44">
        <f t="shared" si="11"/>
        <v>1.88</v>
      </c>
    </row>
    <row r="27" spans="2:41" ht="15">
      <c r="B27" s="43">
        <v>2032</v>
      </c>
      <c r="C27" s="44">
        <v>46</v>
      </c>
      <c r="D27" s="44">
        <v>105</v>
      </c>
      <c r="E27" s="44">
        <v>197</v>
      </c>
      <c r="F27" s="44">
        <v>42</v>
      </c>
      <c r="G27" s="44">
        <v>52</v>
      </c>
      <c r="I27" s="43">
        <v>2032</v>
      </c>
      <c r="J27" s="44">
        <v>0.9</v>
      </c>
      <c r="K27" s="44">
        <v>2.2000000000000002</v>
      </c>
      <c r="L27" s="44">
        <v>4.8</v>
      </c>
      <c r="M27" s="44">
        <v>0.7</v>
      </c>
      <c r="N27" s="44">
        <v>1</v>
      </c>
      <c r="P27" s="43">
        <v>2032</v>
      </c>
      <c r="Q27" s="44">
        <v>1.6</v>
      </c>
      <c r="R27" s="44">
        <v>5.5</v>
      </c>
      <c r="S27" s="44">
        <v>11.7</v>
      </c>
      <c r="T27" s="44">
        <v>1</v>
      </c>
      <c r="U27" s="44">
        <v>2</v>
      </c>
      <c r="W27" s="43"/>
      <c r="X27" s="44">
        <f t="shared" si="10"/>
        <v>10217</v>
      </c>
      <c r="Z27" s="43">
        <v>2032</v>
      </c>
      <c r="AA27" s="44">
        <f t="shared" si="0"/>
        <v>1.6848000000000001</v>
      </c>
      <c r="AB27" s="44">
        <f t="shared" si="1"/>
        <v>5.7914999999999992</v>
      </c>
      <c r="AC27" s="44">
        <f t="shared" si="2"/>
        <v>12.320099999999998</v>
      </c>
      <c r="AD27" s="44">
        <f t="shared" si="3"/>
        <v>1.0529999999999999</v>
      </c>
      <c r="AE27" s="44">
        <f t="shared" si="4"/>
        <v>2.1059999999999999</v>
      </c>
      <c r="AG27" s="43">
        <v>2032</v>
      </c>
      <c r="AH27" s="44">
        <f t="shared" si="5"/>
        <v>0.873</v>
      </c>
      <c r="AI27" s="44">
        <f t="shared" si="6"/>
        <v>2.1339999999999999</v>
      </c>
      <c r="AJ27" s="44">
        <f t="shared" si="7"/>
        <v>4.6559999999999997</v>
      </c>
      <c r="AK27" s="44">
        <f t="shared" si="8"/>
        <v>0.67899999999999994</v>
      </c>
      <c r="AL27" s="44">
        <f t="shared" si="9"/>
        <v>0.97</v>
      </c>
      <c r="AN27" s="43"/>
      <c r="AO27" s="44">
        <f t="shared" si="11"/>
        <v>1.88</v>
      </c>
    </row>
    <row r="28" spans="2:41" ht="15">
      <c r="B28" s="43">
        <v>2033</v>
      </c>
      <c r="C28" s="44">
        <v>43</v>
      </c>
      <c r="D28" s="44">
        <v>98</v>
      </c>
      <c r="E28" s="44">
        <v>193</v>
      </c>
      <c r="F28" s="44">
        <v>39</v>
      </c>
      <c r="G28" s="44">
        <v>49</v>
      </c>
      <c r="I28" s="43">
        <v>2033</v>
      </c>
      <c r="J28" s="44">
        <v>0.8</v>
      </c>
      <c r="K28" s="44">
        <v>2.1</v>
      </c>
      <c r="L28" s="44">
        <v>4.7</v>
      </c>
      <c r="M28" s="44">
        <v>0.6</v>
      </c>
      <c r="N28" s="44">
        <v>0.9</v>
      </c>
      <c r="P28" s="43">
        <v>2033</v>
      </c>
      <c r="Q28" s="44">
        <v>1.5</v>
      </c>
      <c r="R28" s="44">
        <v>5.0999999999999996</v>
      </c>
      <c r="S28" s="44">
        <v>11.7</v>
      </c>
      <c r="T28" s="44">
        <v>0.9</v>
      </c>
      <c r="U28" s="44">
        <v>1.9</v>
      </c>
      <c r="W28" s="43"/>
      <c r="X28" s="44">
        <f t="shared" si="10"/>
        <v>10217</v>
      </c>
      <c r="Z28" s="43">
        <v>2033</v>
      </c>
      <c r="AA28" s="44">
        <f t="shared" si="0"/>
        <v>1.5794999999999999</v>
      </c>
      <c r="AB28" s="44">
        <f t="shared" si="1"/>
        <v>5.3702999999999994</v>
      </c>
      <c r="AC28" s="44">
        <f t="shared" si="2"/>
        <v>12.320099999999998</v>
      </c>
      <c r="AD28" s="44">
        <f t="shared" si="3"/>
        <v>0.94769999999999999</v>
      </c>
      <c r="AE28" s="44">
        <f t="shared" si="4"/>
        <v>2.0006999999999997</v>
      </c>
      <c r="AG28" s="43">
        <v>2033</v>
      </c>
      <c r="AH28" s="44">
        <f t="shared" si="5"/>
        <v>0.77600000000000002</v>
      </c>
      <c r="AI28" s="44">
        <f t="shared" si="6"/>
        <v>2.0369999999999999</v>
      </c>
      <c r="AJ28" s="44">
        <f t="shared" si="7"/>
        <v>4.5590000000000002</v>
      </c>
      <c r="AK28" s="44">
        <f t="shared" si="8"/>
        <v>0.58199999999999996</v>
      </c>
      <c r="AL28" s="44">
        <f t="shared" si="9"/>
        <v>0.873</v>
      </c>
      <c r="AN28" s="43"/>
      <c r="AO28" s="44">
        <f t="shared" si="11"/>
        <v>1.88</v>
      </c>
    </row>
    <row r="29" spans="2:41" ht="15">
      <c r="B29" s="43">
        <v>2034</v>
      </c>
      <c r="C29" s="44">
        <v>40</v>
      </c>
      <c r="D29" s="44">
        <v>91</v>
      </c>
      <c r="E29" s="44">
        <v>190</v>
      </c>
      <c r="F29" s="44">
        <v>36</v>
      </c>
      <c r="G29" s="44">
        <v>46</v>
      </c>
      <c r="I29" s="43">
        <v>2034</v>
      </c>
      <c r="J29" s="44">
        <v>0.7</v>
      </c>
      <c r="K29" s="44">
        <v>1.9</v>
      </c>
      <c r="L29" s="44">
        <v>4.5999999999999996</v>
      </c>
      <c r="M29" s="44">
        <v>0.6</v>
      </c>
      <c r="N29" s="44">
        <v>0.9</v>
      </c>
      <c r="P29" s="43">
        <v>2034</v>
      </c>
      <c r="Q29" s="44">
        <v>1.4</v>
      </c>
      <c r="R29" s="44">
        <v>4.7</v>
      </c>
      <c r="S29" s="44">
        <v>11.7</v>
      </c>
      <c r="T29" s="44">
        <v>0.8</v>
      </c>
      <c r="U29" s="44">
        <v>1.8</v>
      </c>
      <c r="W29" s="43"/>
      <c r="X29" s="44">
        <f t="shared" si="10"/>
        <v>10217</v>
      </c>
      <c r="Z29" s="43">
        <v>2034</v>
      </c>
      <c r="AA29" s="44">
        <f t="shared" si="0"/>
        <v>1.4741999999999997</v>
      </c>
      <c r="AB29" s="44">
        <f t="shared" si="1"/>
        <v>4.9490999999999996</v>
      </c>
      <c r="AC29" s="44">
        <f t="shared" si="2"/>
        <v>12.320099999999998</v>
      </c>
      <c r="AD29" s="44">
        <f t="shared" si="3"/>
        <v>0.84240000000000004</v>
      </c>
      <c r="AE29" s="44">
        <f t="shared" si="4"/>
        <v>1.8954</v>
      </c>
      <c r="AG29" s="43">
        <v>2034</v>
      </c>
      <c r="AH29" s="44">
        <f t="shared" si="5"/>
        <v>0.67899999999999994</v>
      </c>
      <c r="AI29" s="44">
        <f t="shared" si="6"/>
        <v>1.843</v>
      </c>
      <c r="AJ29" s="44">
        <f t="shared" si="7"/>
        <v>4.4619999999999997</v>
      </c>
      <c r="AK29" s="44">
        <f t="shared" si="8"/>
        <v>0.58199999999999996</v>
      </c>
      <c r="AL29" s="44">
        <f t="shared" si="9"/>
        <v>0.873</v>
      </c>
      <c r="AN29" s="43"/>
      <c r="AO29" s="44">
        <f t="shared" si="11"/>
        <v>1.88</v>
      </c>
    </row>
    <row r="30" spans="2:41" ht="15">
      <c r="B30" s="43">
        <v>2035</v>
      </c>
      <c r="C30" s="44">
        <v>37</v>
      </c>
      <c r="D30" s="44">
        <v>84</v>
      </c>
      <c r="E30" s="44">
        <v>187</v>
      </c>
      <c r="F30" s="44">
        <v>33</v>
      </c>
      <c r="G30" s="44">
        <v>43</v>
      </c>
      <c r="I30" s="43">
        <v>2035</v>
      </c>
      <c r="J30" s="44">
        <v>0.7</v>
      </c>
      <c r="K30" s="44">
        <v>1.7</v>
      </c>
      <c r="L30" s="44">
        <v>4.5999999999999996</v>
      </c>
      <c r="M30" s="44">
        <v>0.5</v>
      </c>
      <c r="N30" s="44">
        <v>0.8</v>
      </c>
      <c r="P30" s="43">
        <v>2035</v>
      </c>
      <c r="Q30" s="44">
        <v>1.3</v>
      </c>
      <c r="R30" s="44">
        <v>4.4000000000000004</v>
      </c>
      <c r="S30" s="44">
        <v>11.7</v>
      </c>
      <c r="T30" s="44">
        <v>0.7</v>
      </c>
      <c r="U30" s="44">
        <v>1.7</v>
      </c>
      <c r="W30" s="43"/>
      <c r="X30" s="44">
        <f t="shared" si="10"/>
        <v>10217</v>
      </c>
      <c r="Z30" s="43">
        <v>2035</v>
      </c>
      <c r="AA30" s="44">
        <f t="shared" si="0"/>
        <v>1.3689</v>
      </c>
      <c r="AB30" s="44">
        <f t="shared" si="1"/>
        <v>4.6332000000000004</v>
      </c>
      <c r="AC30" s="44">
        <f t="shared" si="2"/>
        <v>12.320099999999998</v>
      </c>
      <c r="AD30" s="44">
        <f t="shared" si="3"/>
        <v>0.73709999999999987</v>
      </c>
      <c r="AE30" s="44">
        <f t="shared" si="4"/>
        <v>1.7900999999999998</v>
      </c>
      <c r="AG30" s="43">
        <v>2035</v>
      </c>
      <c r="AH30" s="44">
        <f t="shared" si="5"/>
        <v>0.67899999999999994</v>
      </c>
      <c r="AI30" s="44">
        <f t="shared" si="6"/>
        <v>1.649</v>
      </c>
      <c r="AJ30" s="44">
        <f t="shared" si="7"/>
        <v>4.4619999999999997</v>
      </c>
      <c r="AK30" s="44">
        <f t="shared" si="8"/>
        <v>0.48499999999999999</v>
      </c>
      <c r="AL30" s="44">
        <f t="shared" si="9"/>
        <v>0.77600000000000002</v>
      </c>
      <c r="AN30" s="43"/>
      <c r="AO30" s="44">
        <f t="shared" si="11"/>
        <v>1.88</v>
      </c>
    </row>
    <row r="31" spans="2:41" ht="15">
      <c r="B31" s="43">
        <v>2036</v>
      </c>
      <c r="C31" s="44">
        <v>35</v>
      </c>
      <c r="D31" s="44">
        <v>77</v>
      </c>
      <c r="E31" s="44">
        <v>184</v>
      </c>
      <c r="F31" s="44">
        <v>30</v>
      </c>
      <c r="G31" s="44">
        <v>40</v>
      </c>
      <c r="I31" s="43">
        <v>2036</v>
      </c>
      <c r="J31" s="44">
        <v>0.6</v>
      </c>
      <c r="K31" s="44">
        <v>1.6</v>
      </c>
      <c r="L31" s="44">
        <v>4.5</v>
      </c>
      <c r="M31" s="44">
        <v>0.5</v>
      </c>
      <c r="N31" s="44">
        <v>0.7</v>
      </c>
      <c r="P31" s="43">
        <v>2036</v>
      </c>
      <c r="Q31" s="44">
        <v>1.2</v>
      </c>
      <c r="R31" s="44">
        <v>4</v>
      </c>
      <c r="S31" s="44">
        <v>11.7</v>
      </c>
      <c r="T31" s="44">
        <v>0.7</v>
      </c>
      <c r="U31" s="44">
        <v>1.6</v>
      </c>
      <c r="W31" s="43"/>
      <c r="X31" s="44">
        <f t="shared" si="10"/>
        <v>10217</v>
      </c>
      <c r="Z31" s="43">
        <v>2036</v>
      </c>
      <c r="AA31" s="44">
        <f t="shared" si="0"/>
        <v>1.2635999999999998</v>
      </c>
      <c r="AB31" s="44">
        <f t="shared" si="1"/>
        <v>4.2119999999999997</v>
      </c>
      <c r="AC31" s="44">
        <f t="shared" si="2"/>
        <v>12.320099999999998</v>
      </c>
      <c r="AD31" s="44">
        <f t="shared" si="3"/>
        <v>0.73709999999999987</v>
      </c>
      <c r="AE31" s="44">
        <f t="shared" si="4"/>
        <v>1.6848000000000001</v>
      </c>
      <c r="AG31" s="43">
        <v>2036</v>
      </c>
      <c r="AH31" s="44">
        <f t="shared" si="5"/>
        <v>0.58199999999999996</v>
      </c>
      <c r="AI31" s="44">
        <f t="shared" si="6"/>
        <v>1.552</v>
      </c>
      <c r="AJ31" s="44">
        <f t="shared" si="7"/>
        <v>4.3650000000000002</v>
      </c>
      <c r="AK31" s="44">
        <f t="shared" si="8"/>
        <v>0.48499999999999999</v>
      </c>
      <c r="AL31" s="44">
        <f t="shared" si="9"/>
        <v>0.67899999999999994</v>
      </c>
      <c r="AN31" s="43"/>
      <c r="AO31" s="44">
        <f t="shared" si="11"/>
        <v>1.88</v>
      </c>
    </row>
    <row r="32" spans="2:41" ht="15">
      <c r="B32" s="43">
        <v>2037</v>
      </c>
      <c r="C32" s="44">
        <v>33</v>
      </c>
      <c r="D32" s="44">
        <v>71</v>
      </c>
      <c r="E32" s="44">
        <v>180</v>
      </c>
      <c r="F32" s="44">
        <v>28</v>
      </c>
      <c r="G32" s="44">
        <v>38</v>
      </c>
      <c r="I32" s="43">
        <v>2037</v>
      </c>
      <c r="J32" s="44">
        <v>0.6</v>
      </c>
      <c r="K32" s="44">
        <v>1.5</v>
      </c>
      <c r="L32" s="44">
        <v>4.4000000000000004</v>
      </c>
      <c r="M32" s="44">
        <v>0.4</v>
      </c>
      <c r="N32" s="44">
        <v>0.7</v>
      </c>
      <c r="P32" s="43">
        <v>2037</v>
      </c>
      <c r="Q32" s="44">
        <v>1.2</v>
      </c>
      <c r="R32" s="44">
        <v>3.7</v>
      </c>
      <c r="S32" s="44">
        <v>11.7</v>
      </c>
      <c r="T32" s="44">
        <v>0.6</v>
      </c>
      <c r="U32" s="44">
        <v>1.5</v>
      </c>
      <c r="W32" s="43"/>
      <c r="X32" s="44">
        <f t="shared" si="10"/>
        <v>10217</v>
      </c>
      <c r="Z32" s="43">
        <v>2037</v>
      </c>
      <c r="AA32" s="44">
        <f t="shared" si="0"/>
        <v>1.2635999999999998</v>
      </c>
      <c r="AB32" s="44">
        <f t="shared" si="1"/>
        <v>3.8961000000000001</v>
      </c>
      <c r="AC32" s="44">
        <f t="shared" si="2"/>
        <v>12.320099999999998</v>
      </c>
      <c r="AD32" s="44">
        <f t="shared" si="3"/>
        <v>0.63179999999999992</v>
      </c>
      <c r="AE32" s="44">
        <f t="shared" si="4"/>
        <v>1.5794999999999999</v>
      </c>
      <c r="AG32" s="43">
        <v>2037</v>
      </c>
      <c r="AH32" s="44">
        <f t="shared" si="5"/>
        <v>0.58199999999999996</v>
      </c>
      <c r="AI32" s="44">
        <f t="shared" si="6"/>
        <v>1.4550000000000001</v>
      </c>
      <c r="AJ32" s="44">
        <f t="shared" si="7"/>
        <v>4.2679999999999998</v>
      </c>
      <c r="AK32" s="44">
        <f t="shared" si="8"/>
        <v>0.38800000000000001</v>
      </c>
      <c r="AL32" s="44">
        <f t="shared" si="9"/>
        <v>0.67899999999999994</v>
      </c>
      <c r="AN32" s="43"/>
      <c r="AO32" s="44">
        <f t="shared" si="11"/>
        <v>1.88</v>
      </c>
    </row>
    <row r="33" spans="1:41" ht="15">
      <c r="B33" s="43">
        <v>2038</v>
      </c>
      <c r="C33" s="44">
        <v>31</v>
      </c>
      <c r="D33" s="44">
        <v>67</v>
      </c>
      <c r="E33" s="44">
        <v>177</v>
      </c>
      <c r="F33" s="44">
        <v>26</v>
      </c>
      <c r="G33" s="44">
        <v>36</v>
      </c>
      <c r="I33" s="43">
        <v>2038</v>
      </c>
      <c r="J33" s="44">
        <v>0.5</v>
      </c>
      <c r="K33" s="44">
        <v>1.4</v>
      </c>
      <c r="L33" s="44">
        <v>4.4000000000000004</v>
      </c>
      <c r="M33" s="44">
        <v>0.4</v>
      </c>
      <c r="N33" s="44">
        <v>0.6</v>
      </c>
      <c r="P33" s="43">
        <v>2038</v>
      </c>
      <c r="Q33" s="44">
        <v>1.1000000000000001</v>
      </c>
      <c r="R33" s="44">
        <v>3.6</v>
      </c>
      <c r="S33" s="44">
        <v>11.7</v>
      </c>
      <c r="T33" s="44">
        <v>0.6</v>
      </c>
      <c r="U33" s="44">
        <v>1.4</v>
      </c>
      <c r="W33" s="43"/>
      <c r="X33" s="44">
        <f t="shared" si="10"/>
        <v>10217</v>
      </c>
      <c r="Z33" s="43">
        <v>2038</v>
      </c>
      <c r="AA33" s="44">
        <f t="shared" si="0"/>
        <v>1.1583000000000001</v>
      </c>
      <c r="AB33" s="44">
        <f t="shared" si="1"/>
        <v>3.7907999999999999</v>
      </c>
      <c r="AC33" s="44">
        <f t="shared" si="2"/>
        <v>12.320099999999998</v>
      </c>
      <c r="AD33" s="44">
        <f t="shared" si="3"/>
        <v>0.63179999999999992</v>
      </c>
      <c r="AE33" s="44">
        <f t="shared" si="4"/>
        <v>1.4741999999999997</v>
      </c>
      <c r="AG33" s="43">
        <v>2038</v>
      </c>
      <c r="AH33" s="44">
        <f t="shared" si="5"/>
        <v>0.48499999999999999</v>
      </c>
      <c r="AI33" s="44">
        <f t="shared" si="6"/>
        <v>1.3579999999999999</v>
      </c>
      <c r="AJ33" s="44">
        <f t="shared" si="7"/>
        <v>4.2679999999999998</v>
      </c>
      <c r="AK33" s="44">
        <f t="shared" si="8"/>
        <v>0.38800000000000001</v>
      </c>
      <c r="AL33" s="44">
        <f t="shared" si="9"/>
        <v>0.58199999999999996</v>
      </c>
      <c r="AN33" s="43"/>
      <c r="AO33" s="44">
        <f t="shared" si="11"/>
        <v>1.88</v>
      </c>
    </row>
    <row r="34" spans="1:41" ht="15">
      <c r="B34" s="43">
        <v>2039</v>
      </c>
      <c r="C34" s="44">
        <v>29</v>
      </c>
      <c r="D34" s="44">
        <v>63</v>
      </c>
      <c r="E34" s="44">
        <v>174</v>
      </c>
      <c r="F34" s="44">
        <v>24</v>
      </c>
      <c r="G34" s="44">
        <v>34</v>
      </c>
      <c r="I34" s="43">
        <v>2039</v>
      </c>
      <c r="J34" s="44">
        <v>0.5</v>
      </c>
      <c r="K34" s="44">
        <v>1.3</v>
      </c>
      <c r="L34" s="44">
        <v>4.3</v>
      </c>
      <c r="M34" s="44">
        <v>0.4</v>
      </c>
      <c r="N34" s="44">
        <v>0.6</v>
      </c>
      <c r="P34" s="43">
        <v>2039</v>
      </c>
      <c r="Q34" s="44">
        <v>1.1000000000000001</v>
      </c>
      <c r="R34" s="44">
        <v>3.4</v>
      </c>
      <c r="S34" s="44">
        <v>11.7</v>
      </c>
      <c r="T34" s="44">
        <v>0.5</v>
      </c>
      <c r="U34" s="44">
        <v>1.4</v>
      </c>
      <c r="W34" s="43"/>
      <c r="X34" s="44">
        <f t="shared" si="10"/>
        <v>10217</v>
      </c>
      <c r="Z34" s="43">
        <v>2039</v>
      </c>
      <c r="AA34" s="44">
        <f t="shared" si="0"/>
        <v>1.1583000000000001</v>
      </c>
      <c r="AB34" s="44">
        <f t="shared" si="1"/>
        <v>3.5801999999999996</v>
      </c>
      <c r="AC34" s="44">
        <f t="shared" si="2"/>
        <v>12.320099999999998</v>
      </c>
      <c r="AD34" s="44">
        <f t="shared" si="3"/>
        <v>0.52649999999999997</v>
      </c>
      <c r="AE34" s="44">
        <f t="shared" si="4"/>
        <v>1.4741999999999997</v>
      </c>
      <c r="AG34" s="43">
        <v>2039</v>
      </c>
      <c r="AH34" s="44">
        <f t="shared" si="5"/>
        <v>0.48499999999999999</v>
      </c>
      <c r="AI34" s="44">
        <f t="shared" si="6"/>
        <v>1.2609999999999999</v>
      </c>
      <c r="AJ34" s="44">
        <f t="shared" si="7"/>
        <v>4.1709999999999994</v>
      </c>
      <c r="AK34" s="44">
        <f t="shared" si="8"/>
        <v>0.38800000000000001</v>
      </c>
      <c r="AL34" s="44">
        <f t="shared" si="9"/>
        <v>0.58199999999999996</v>
      </c>
      <c r="AN34" s="43"/>
      <c r="AO34" s="44">
        <f t="shared" si="11"/>
        <v>1.88</v>
      </c>
    </row>
    <row r="35" spans="1:41" ht="15">
      <c r="B35" s="43">
        <v>2040</v>
      </c>
      <c r="C35" s="44">
        <v>28</v>
      </c>
      <c r="D35" s="44">
        <v>60</v>
      </c>
      <c r="E35" s="44">
        <v>171</v>
      </c>
      <c r="F35" s="44">
        <v>23</v>
      </c>
      <c r="G35" s="44">
        <v>32</v>
      </c>
      <c r="I35" s="43">
        <v>2040</v>
      </c>
      <c r="J35" s="44">
        <v>0.4</v>
      </c>
      <c r="K35" s="44">
        <v>1.2</v>
      </c>
      <c r="L35" s="44">
        <v>4.2</v>
      </c>
      <c r="M35" s="44">
        <v>0.3</v>
      </c>
      <c r="N35" s="44">
        <v>0.5</v>
      </c>
      <c r="P35" s="43">
        <v>2040</v>
      </c>
      <c r="Q35" s="44">
        <v>1</v>
      </c>
      <c r="R35" s="44">
        <v>3.2</v>
      </c>
      <c r="S35" s="44">
        <v>11.7</v>
      </c>
      <c r="T35" s="44">
        <v>0.5</v>
      </c>
      <c r="U35" s="44">
        <v>1.3</v>
      </c>
      <c r="W35" s="43"/>
      <c r="X35" s="44">
        <f>X34</f>
        <v>10217</v>
      </c>
      <c r="Z35" s="43">
        <v>2040</v>
      </c>
      <c r="AA35" s="44">
        <f t="shared" si="0"/>
        <v>1.0529999999999999</v>
      </c>
      <c r="AB35" s="44">
        <f t="shared" si="1"/>
        <v>3.3696000000000002</v>
      </c>
      <c r="AC35" s="44">
        <f t="shared" si="2"/>
        <v>12.320099999999998</v>
      </c>
      <c r="AD35" s="44">
        <f t="shared" si="3"/>
        <v>0.52649999999999997</v>
      </c>
      <c r="AE35" s="44">
        <f t="shared" si="4"/>
        <v>1.3689</v>
      </c>
      <c r="AG35" s="43">
        <v>2040</v>
      </c>
      <c r="AH35" s="44">
        <f t="shared" si="5"/>
        <v>0.38800000000000001</v>
      </c>
      <c r="AI35" s="44">
        <f t="shared" si="6"/>
        <v>1.1639999999999999</v>
      </c>
      <c r="AJ35" s="44">
        <f t="shared" si="7"/>
        <v>4.0739999999999998</v>
      </c>
      <c r="AK35" s="44">
        <f t="shared" si="8"/>
        <v>0.29099999999999998</v>
      </c>
      <c r="AL35" s="44">
        <f t="shared" si="9"/>
        <v>0.48499999999999999</v>
      </c>
      <c r="AN35" s="43"/>
      <c r="AO35" s="44">
        <f>AO34</f>
        <v>1.88</v>
      </c>
    </row>
    <row r="36" spans="1:41" ht="15" thickBot="1"/>
    <row r="37" spans="1:41" ht="75.75" thickBot="1">
      <c r="B37" s="50" t="s">
        <v>595</v>
      </c>
      <c r="C37" s="51" t="s">
        <v>427</v>
      </c>
      <c r="D37" s="52"/>
      <c r="E37" s="52"/>
      <c r="F37" s="52"/>
      <c r="G37" s="52"/>
      <c r="H37" s="52"/>
      <c r="I37" s="52"/>
      <c r="J37" s="52"/>
      <c r="K37" s="52"/>
      <c r="L37" s="52"/>
      <c r="M37" s="52"/>
      <c r="N37" s="52"/>
      <c r="O37" s="52"/>
      <c r="P37" s="52"/>
      <c r="Q37" s="52"/>
      <c r="R37" s="52"/>
      <c r="S37" s="52"/>
      <c r="T37" s="52"/>
      <c r="U37" s="53"/>
      <c r="Z37" s="49" t="s">
        <v>596</v>
      </c>
      <c r="AA37" s="48">
        <v>1.0529999999999999</v>
      </c>
      <c r="AG37" s="47" t="s">
        <v>597</v>
      </c>
      <c r="AH37" s="48">
        <v>0.97</v>
      </c>
    </row>
    <row r="38" spans="1:41" ht="15.75" thickBot="1">
      <c r="B38" s="54" t="s">
        <v>598</v>
      </c>
      <c r="C38" s="55" t="s">
        <v>599</v>
      </c>
      <c r="D38" s="56"/>
      <c r="E38" s="56"/>
      <c r="F38" s="56"/>
      <c r="G38" s="56"/>
      <c r="H38" s="56"/>
      <c r="I38" s="56"/>
      <c r="J38" s="56"/>
      <c r="K38" s="56"/>
      <c r="L38" s="56"/>
      <c r="M38" s="56"/>
      <c r="N38" s="56"/>
      <c r="O38" s="56"/>
      <c r="P38" s="56"/>
      <c r="Q38" s="56"/>
      <c r="R38" s="56"/>
      <c r="S38" s="56"/>
      <c r="T38" s="56"/>
      <c r="U38" s="57"/>
    </row>
    <row r="40" spans="1:41" ht="15.75" thickBot="1">
      <c r="B40" s="43" t="s">
        <v>600</v>
      </c>
      <c r="C40" s="44"/>
      <c r="D40" s="44"/>
      <c r="E40" s="44"/>
      <c r="F40" s="44"/>
      <c r="G40" s="44"/>
      <c r="I40" s="43" t="s">
        <v>601</v>
      </c>
      <c r="J40" s="44"/>
      <c r="K40" s="44"/>
      <c r="L40" s="44"/>
      <c r="M40" s="44"/>
      <c r="N40" s="44"/>
      <c r="P40" s="43" t="s">
        <v>602</v>
      </c>
      <c r="Q40" s="44"/>
      <c r="R40" s="44"/>
      <c r="S40" s="44"/>
      <c r="T40" s="44"/>
      <c r="U40" s="44"/>
      <c r="W40" s="43" t="s">
        <v>603</v>
      </c>
      <c r="X40" s="44"/>
      <c r="Z40" s="43" t="s">
        <v>604</v>
      </c>
      <c r="AA40" s="44"/>
      <c r="AB40" s="44"/>
      <c r="AC40" s="44"/>
      <c r="AD40" s="44"/>
      <c r="AE40" s="44"/>
      <c r="AG40" s="43" t="s">
        <v>605</v>
      </c>
      <c r="AH40" s="44"/>
      <c r="AI40" s="44"/>
      <c r="AJ40" s="44"/>
      <c r="AK40" s="44"/>
      <c r="AL40" s="44"/>
      <c r="AN40" s="43" t="s">
        <v>606</v>
      </c>
      <c r="AO40" s="44"/>
    </row>
    <row r="41" spans="1:41" s="1" customFormat="1" ht="15">
      <c r="A41" s="58" t="s">
        <v>607</v>
      </c>
      <c r="B41" s="43" t="s">
        <v>588</v>
      </c>
      <c r="C41" s="43" t="s">
        <v>589</v>
      </c>
      <c r="D41" s="43" t="s">
        <v>590</v>
      </c>
      <c r="E41" s="43" t="s">
        <v>591</v>
      </c>
      <c r="F41" s="43" t="s">
        <v>592</v>
      </c>
      <c r="G41" s="43" t="s">
        <v>593</v>
      </c>
      <c r="I41" s="43" t="s">
        <v>588</v>
      </c>
      <c r="J41" s="43" t="s">
        <v>589</v>
      </c>
      <c r="K41" s="43" t="s">
        <v>590</v>
      </c>
      <c r="L41" s="43" t="s">
        <v>591</v>
      </c>
      <c r="M41" s="43" t="s">
        <v>592</v>
      </c>
      <c r="N41" s="43" t="s">
        <v>593</v>
      </c>
      <c r="P41" s="43" t="s">
        <v>588</v>
      </c>
      <c r="Q41" s="43" t="s">
        <v>589</v>
      </c>
      <c r="R41" s="43" t="s">
        <v>590</v>
      </c>
      <c r="S41" s="43" t="s">
        <v>591</v>
      </c>
      <c r="T41" s="43" t="s">
        <v>592</v>
      </c>
      <c r="U41" s="43" t="s">
        <v>593</v>
      </c>
      <c r="W41" s="43" t="s">
        <v>588</v>
      </c>
      <c r="X41" s="43" t="s">
        <v>593</v>
      </c>
      <c r="Z41" s="43" t="s">
        <v>588</v>
      </c>
      <c r="AA41" s="43" t="s">
        <v>589</v>
      </c>
      <c r="AB41" s="43" t="s">
        <v>590</v>
      </c>
      <c r="AC41" s="43" t="s">
        <v>591</v>
      </c>
      <c r="AD41" s="43" t="s">
        <v>592</v>
      </c>
      <c r="AE41" s="43" t="s">
        <v>593</v>
      </c>
      <c r="AG41" s="43" t="s">
        <v>588</v>
      </c>
      <c r="AH41" s="43" t="s">
        <v>589</v>
      </c>
      <c r="AI41" s="43" t="s">
        <v>590</v>
      </c>
      <c r="AJ41" s="43" t="s">
        <v>591</v>
      </c>
      <c r="AK41" s="43" t="s">
        <v>592</v>
      </c>
      <c r="AL41" s="43" t="s">
        <v>593</v>
      </c>
      <c r="AN41" s="43" t="s">
        <v>588</v>
      </c>
      <c r="AO41" s="43"/>
    </row>
    <row r="42" spans="1:41" ht="15">
      <c r="A42" s="59">
        <v>1</v>
      </c>
      <c r="B42" s="43">
        <v>2009</v>
      </c>
      <c r="C42" s="45">
        <f t="shared" ref="C42:G51" si="12">C4/(400*$A42)</f>
        <v>0.41249999999999998</v>
      </c>
      <c r="D42" s="45">
        <f t="shared" si="12"/>
        <v>0.60250000000000004</v>
      </c>
      <c r="E42" s="45">
        <f t="shared" si="12"/>
        <v>0.60499999999999998</v>
      </c>
      <c r="F42" s="45">
        <f t="shared" si="12"/>
        <v>0.5</v>
      </c>
      <c r="G42" s="45">
        <f t="shared" si="12"/>
        <v>0.43</v>
      </c>
      <c r="I42" s="43">
        <v>2009</v>
      </c>
      <c r="J42" s="45">
        <f t="shared" ref="J42:N51" si="13">J4/(400*$A42)</f>
        <v>1.225E-2</v>
      </c>
      <c r="K42" s="45">
        <f t="shared" si="13"/>
        <v>1.375E-2</v>
      </c>
      <c r="L42" s="45">
        <f t="shared" si="13"/>
        <v>1.4250000000000001E-2</v>
      </c>
      <c r="M42" s="45">
        <f t="shared" si="13"/>
        <v>1.2500000000000001E-2</v>
      </c>
      <c r="N42" s="45">
        <f t="shared" si="13"/>
        <v>1.225E-2</v>
      </c>
      <c r="P42" s="43">
        <v>2009</v>
      </c>
      <c r="Q42" s="45">
        <f t="shared" ref="Q42:U51" si="14">Q4/(400*$A42)</f>
        <v>2.1749999999999999E-2</v>
      </c>
      <c r="R42" s="45">
        <f t="shared" si="14"/>
        <v>3.6249999999999998E-2</v>
      </c>
      <c r="S42" s="45">
        <f t="shared" si="14"/>
        <v>2.9249999999999998E-2</v>
      </c>
      <c r="T42" s="45">
        <f t="shared" si="14"/>
        <v>2.2749999999999999E-2</v>
      </c>
      <c r="U42" s="45">
        <f t="shared" si="14"/>
        <v>2.2749999999999999E-2</v>
      </c>
      <c r="W42" s="43">
        <v>2009</v>
      </c>
      <c r="X42" s="46">
        <f>X4/(400)</f>
        <v>25.5425</v>
      </c>
      <c r="Z42" s="43">
        <v>2009</v>
      </c>
      <c r="AA42" s="45">
        <f t="shared" ref="AA42:AE51" si="15">AA4/(400*$A42)</f>
        <v>2.2902749999999999E-2</v>
      </c>
      <c r="AB42" s="45">
        <f t="shared" si="15"/>
        <v>3.8171249999999997E-2</v>
      </c>
      <c r="AC42" s="45">
        <f t="shared" si="15"/>
        <v>3.0800249999999994E-2</v>
      </c>
      <c r="AD42" s="45">
        <f t="shared" si="15"/>
        <v>2.3955749999999994E-2</v>
      </c>
      <c r="AE42" s="45">
        <f t="shared" si="15"/>
        <v>2.3955749999999994E-2</v>
      </c>
      <c r="AG42" s="43">
        <v>2009</v>
      </c>
      <c r="AH42" s="45">
        <f t="shared" ref="AH42:AL51" si="16">AH4/(400*$A42)</f>
        <v>1.1882500000000001E-2</v>
      </c>
      <c r="AI42" s="45">
        <f t="shared" si="16"/>
        <v>1.33375E-2</v>
      </c>
      <c r="AJ42" s="45">
        <f t="shared" si="16"/>
        <v>1.38225E-2</v>
      </c>
      <c r="AK42" s="45">
        <f t="shared" si="16"/>
        <v>1.2124999999999999E-2</v>
      </c>
      <c r="AL42" s="45">
        <f t="shared" si="16"/>
        <v>1.1882500000000001E-2</v>
      </c>
      <c r="AN42" s="43">
        <v>2009</v>
      </c>
      <c r="AO42" s="46">
        <f>AO4/(400)</f>
        <v>4.6999999999999993E-3</v>
      </c>
    </row>
    <row r="43" spans="1:41" ht="15">
      <c r="A43" s="59">
        <f>A42*1.015</f>
        <v>1.0149999999999999</v>
      </c>
      <c r="B43" s="43">
        <v>2010</v>
      </c>
      <c r="C43" s="45">
        <f t="shared" si="12"/>
        <v>0.38669950738916259</v>
      </c>
      <c r="D43" s="45">
        <f t="shared" si="12"/>
        <v>0.58128078817733997</v>
      </c>
      <c r="E43" s="45">
        <f t="shared" si="12"/>
        <v>0.59605911330049266</v>
      </c>
      <c r="F43" s="45">
        <f t="shared" si="12"/>
        <v>0.4507389162561577</v>
      </c>
      <c r="G43" s="45">
        <f t="shared" si="12"/>
        <v>0.40640394088669957</v>
      </c>
      <c r="I43" s="43">
        <v>2010</v>
      </c>
      <c r="J43" s="45">
        <f t="shared" si="13"/>
        <v>1.1576354679802957E-2</v>
      </c>
      <c r="K43" s="45">
        <f t="shared" si="13"/>
        <v>1.3300492610837442E-2</v>
      </c>
      <c r="L43" s="45">
        <f t="shared" si="13"/>
        <v>1.4039408866995076E-2</v>
      </c>
      <c r="M43" s="45">
        <f t="shared" si="13"/>
        <v>1.1822660098522168E-2</v>
      </c>
      <c r="N43" s="45">
        <f t="shared" si="13"/>
        <v>1.1576354679802957E-2</v>
      </c>
      <c r="P43" s="43">
        <v>2010</v>
      </c>
      <c r="Q43" s="45">
        <f t="shared" si="14"/>
        <v>2.0443349753694585E-2</v>
      </c>
      <c r="R43" s="45">
        <f t="shared" si="14"/>
        <v>3.4729064039408869E-2</v>
      </c>
      <c r="S43" s="45">
        <f t="shared" si="14"/>
        <v>2.8817733990147785E-2</v>
      </c>
      <c r="T43" s="45">
        <f t="shared" si="14"/>
        <v>2.1182266009852218E-2</v>
      </c>
      <c r="U43" s="45">
        <f t="shared" si="14"/>
        <v>2.1674876847290647E-2</v>
      </c>
      <c r="W43" s="43">
        <v>2010</v>
      </c>
      <c r="X43" s="46">
        <f t="shared" ref="X43:X73" si="17">X5/(400)</f>
        <v>25.5425</v>
      </c>
      <c r="Z43" s="43">
        <v>2010</v>
      </c>
      <c r="AA43" s="45">
        <f t="shared" si="15"/>
        <v>2.1526847290640399E-2</v>
      </c>
      <c r="AB43" s="45">
        <f t="shared" si="15"/>
        <v>3.6569704433497538E-2</v>
      </c>
      <c r="AC43" s="45">
        <f t="shared" si="15"/>
        <v>3.0345073891625617E-2</v>
      </c>
      <c r="AD43" s="45">
        <f t="shared" si="15"/>
        <v>2.2304926108374385E-2</v>
      </c>
      <c r="AE43" s="45">
        <f t="shared" si="15"/>
        <v>2.2823645320197049E-2</v>
      </c>
      <c r="AG43" s="43">
        <v>2010</v>
      </c>
      <c r="AH43" s="45">
        <f t="shared" si="16"/>
        <v>1.1229064039408869E-2</v>
      </c>
      <c r="AI43" s="45">
        <f t="shared" si="16"/>
        <v>1.2901477832512318E-2</v>
      </c>
      <c r="AJ43" s="45">
        <f t="shared" si="16"/>
        <v>1.3618226600985224E-2</v>
      </c>
      <c r="AK43" s="45">
        <f t="shared" si="16"/>
        <v>1.1467980295566503E-2</v>
      </c>
      <c r="AL43" s="45">
        <f t="shared" si="16"/>
        <v>1.1229064039408869E-2</v>
      </c>
      <c r="AN43" s="43">
        <v>2010</v>
      </c>
      <c r="AO43" s="46">
        <f t="shared" ref="AO43:AO73" si="18">AO5/(400)</f>
        <v>4.6999999999999993E-3</v>
      </c>
    </row>
    <row r="44" spans="1:41" ht="15">
      <c r="A44" s="59">
        <f t="shared" ref="A44:A73" si="19">A43*1.015</f>
        <v>1.0302249999999997</v>
      </c>
      <c r="B44" s="43">
        <v>2011</v>
      </c>
      <c r="C44" s="45">
        <f t="shared" si="12"/>
        <v>0.36157150137105981</v>
      </c>
      <c r="D44" s="45">
        <f t="shared" si="12"/>
        <v>0.57026377733019495</v>
      </c>
      <c r="E44" s="45">
        <f t="shared" si="12"/>
        <v>0.58725035793151992</v>
      </c>
      <c r="F44" s="45">
        <f t="shared" si="12"/>
        <v>0.40525128006018113</v>
      </c>
      <c r="G44" s="45">
        <f t="shared" si="12"/>
        <v>0.38098473634400259</v>
      </c>
      <c r="I44" s="43">
        <v>2011</v>
      </c>
      <c r="J44" s="45">
        <f t="shared" si="13"/>
        <v>1.0677279235118546E-2</v>
      </c>
      <c r="K44" s="45">
        <f t="shared" si="13"/>
        <v>1.286126816957461E-2</v>
      </c>
      <c r="L44" s="45">
        <f t="shared" si="13"/>
        <v>1.383192991822175E-2</v>
      </c>
      <c r="M44" s="45">
        <f t="shared" si="13"/>
        <v>1.091994467228033E-2</v>
      </c>
      <c r="N44" s="45">
        <f t="shared" si="13"/>
        <v>1.091994467228033E-2</v>
      </c>
      <c r="P44" s="43">
        <v>2011</v>
      </c>
      <c r="Q44" s="45">
        <f t="shared" si="14"/>
        <v>1.8685238661457451E-2</v>
      </c>
      <c r="R44" s="45">
        <f t="shared" si="14"/>
        <v>3.3973161202649912E-2</v>
      </c>
      <c r="S44" s="45">
        <f t="shared" si="14"/>
        <v>2.8391856147928853E-2</v>
      </c>
      <c r="T44" s="45">
        <f t="shared" si="14"/>
        <v>1.9655900410104593E-2</v>
      </c>
      <c r="U44" s="45">
        <f t="shared" si="14"/>
        <v>1.9898565847266375E-2</v>
      </c>
      <c r="W44" s="43">
        <v>2011</v>
      </c>
      <c r="X44" s="46">
        <f t="shared" si="17"/>
        <v>25.5425</v>
      </c>
      <c r="Z44" s="43">
        <v>2011</v>
      </c>
      <c r="AA44" s="45">
        <f t="shared" si="15"/>
        <v>1.9675556310514698E-2</v>
      </c>
      <c r="AB44" s="45">
        <f t="shared" si="15"/>
        <v>3.5773738746390359E-2</v>
      </c>
      <c r="AC44" s="45">
        <f t="shared" si="15"/>
        <v>2.989662452376908E-2</v>
      </c>
      <c r="AD44" s="45">
        <f t="shared" si="15"/>
        <v>2.0697663131840134E-2</v>
      </c>
      <c r="AE44" s="45">
        <f t="shared" si="15"/>
        <v>2.0953189837171492E-2</v>
      </c>
      <c r="AG44" s="43">
        <v>2011</v>
      </c>
      <c r="AH44" s="45">
        <f t="shared" si="16"/>
        <v>1.0356960858064987E-2</v>
      </c>
      <c r="AI44" s="45">
        <f t="shared" si="16"/>
        <v>1.2475430124487371E-2</v>
      </c>
      <c r="AJ44" s="45">
        <f t="shared" si="16"/>
        <v>1.3416972020675098E-2</v>
      </c>
      <c r="AK44" s="45">
        <f t="shared" si="16"/>
        <v>1.059234633211192E-2</v>
      </c>
      <c r="AL44" s="45">
        <f t="shared" si="16"/>
        <v>1.059234633211192E-2</v>
      </c>
      <c r="AN44" s="43">
        <v>2011</v>
      </c>
      <c r="AO44" s="46">
        <f t="shared" si="18"/>
        <v>4.6999999999999993E-3</v>
      </c>
    </row>
    <row r="45" spans="1:41" ht="15">
      <c r="A45" s="59">
        <f t="shared" si="19"/>
        <v>1.0456783749999996</v>
      </c>
      <c r="B45" s="43">
        <v>2012</v>
      </c>
      <c r="C45" s="45">
        <f t="shared" si="12"/>
        <v>0.34427411774676903</v>
      </c>
      <c r="D45" s="45">
        <f t="shared" si="12"/>
        <v>0.54270989394803171</v>
      </c>
      <c r="E45" s="45">
        <f t="shared" si="12"/>
        <v>0.5785717812133202</v>
      </c>
      <c r="F45" s="45">
        <f t="shared" si="12"/>
        <v>0.37535442004335234</v>
      </c>
      <c r="G45" s="45">
        <f t="shared" si="12"/>
        <v>0.36340045762158957</v>
      </c>
      <c r="I45" s="43">
        <v>2012</v>
      </c>
      <c r="J45" s="45">
        <f t="shared" si="13"/>
        <v>9.8022491858455064E-3</v>
      </c>
      <c r="K45" s="45">
        <f t="shared" si="13"/>
        <v>1.2193041670198069E-2</v>
      </c>
      <c r="L45" s="45">
        <f t="shared" si="13"/>
        <v>1.3627517160809609E-2</v>
      </c>
      <c r="M45" s="45">
        <f t="shared" si="13"/>
        <v>1.0041328434280765E-2</v>
      </c>
      <c r="N45" s="45">
        <f t="shared" si="13"/>
        <v>1.0041328434280765E-2</v>
      </c>
      <c r="P45" s="43">
        <v>2012</v>
      </c>
      <c r="Q45" s="45">
        <f t="shared" si="14"/>
        <v>1.6974626638903194E-2</v>
      </c>
      <c r="R45" s="45">
        <f t="shared" si="14"/>
        <v>3.1797540041889089E-2</v>
      </c>
      <c r="S45" s="45">
        <f t="shared" si="14"/>
        <v>2.7972272066924982E-2</v>
      </c>
      <c r="T45" s="45">
        <f t="shared" si="14"/>
        <v>1.793094363264422E-2</v>
      </c>
      <c r="U45" s="45">
        <f t="shared" si="14"/>
        <v>1.8170022881079478E-2</v>
      </c>
      <c r="W45" s="43">
        <v>2012</v>
      </c>
      <c r="X45" s="46">
        <f t="shared" si="17"/>
        <v>25.5425</v>
      </c>
      <c r="Z45" s="43">
        <v>2012</v>
      </c>
      <c r="AA45" s="45">
        <f t="shared" si="15"/>
        <v>1.7874281850765065E-2</v>
      </c>
      <c r="AB45" s="45">
        <f t="shared" si="15"/>
        <v>3.3482809664109207E-2</v>
      </c>
      <c r="AC45" s="45">
        <f t="shared" si="15"/>
        <v>2.9454802486472004E-2</v>
      </c>
      <c r="AD45" s="45">
        <f t="shared" si="15"/>
        <v>1.8881283645174364E-2</v>
      </c>
      <c r="AE45" s="45">
        <f t="shared" si="15"/>
        <v>1.9133034093776688E-2</v>
      </c>
      <c r="AG45" s="43">
        <v>2012</v>
      </c>
      <c r="AH45" s="45">
        <f t="shared" si="16"/>
        <v>9.5081817102701405E-3</v>
      </c>
      <c r="AI45" s="45">
        <f t="shared" si="16"/>
        <v>1.1827250420092125E-2</v>
      </c>
      <c r="AJ45" s="45">
        <f t="shared" si="16"/>
        <v>1.321869164598532E-2</v>
      </c>
      <c r="AK45" s="45">
        <f t="shared" si="16"/>
        <v>9.7400885812523406E-3</v>
      </c>
      <c r="AL45" s="45">
        <f t="shared" si="16"/>
        <v>9.7400885812523406E-3</v>
      </c>
      <c r="AN45" s="43">
        <v>2012</v>
      </c>
      <c r="AO45" s="46">
        <f t="shared" si="18"/>
        <v>4.6999999999999993E-3</v>
      </c>
    </row>
    <row r="46" spans="1:41" ht="15">
      <c r="A46" s="59">
        <f t="shared" si="19"/>
        <v>1.0613635506249994</v>
      </c>
      <c r="B46" s="43">
        <v>2013</v>
      </c>
      <c r="C46" s="45">
        <f t="shared" si="12"/>
        <v>0.32740902002463673</v>
      </c>
      <c r="D46" s="45">
        <f t="shared" si="12"/>
        <v>0.5299786295362825</v>
      </c>
      <c r="E46" s="45">
        <f t="shared" si="12"/>
        <v>0.57002145932346826</v>
      </c>
      <c r="F46" s="45">
        <f t="shared" si="12"/>
        <v>0.34625270463037122</v>
      </c>
      <c r="G46" s="45">
        <f t="shared" si="12"/>
        <v>0.34625270463037122</v>
      </c>
      <c r="I46" s="43">
        <v>2013</v>
      </c>
      <c r="J46" s="45">
        <f t="shared" si="13"/>
        <v>8.950750187723882E-3</v>
      </c>
      <c r="K46" s="45">
        <f t="shared" si="13"/>
        <v>1.1777302878584056E-2</v>
      </c>
      <c r="L46" s="45">
        <f t="shared" si="13"/>
        <v>1.3190579224014141E-2</v>
      </c>
      <c r="M46" s="45">
        <f t="shared" si="13"/>
        <v>9.1862962452955634E-3</v>
      </c>
      <c r="N46" s="45">
        <f t="shared" si="13"/>
        <v>9.1862962452955634E-3</v>
      </c>
      <c r="P46" s="43">
        <v>2013</v>
      </c>
      <c r="Q46" s="45">
        <f t="shared" si="14"/>
        <v>1.5310493742159273E-2</v>
      </c>
      <c r="R46" s="45">
        <f t="shared" si="14"/>
        <v>3.1327625657033592E-2</v>
      </c>
      <c r="S46" s="45">
        <f t="shared" si="14"/>
        <v>2.7558888735886689E-2</v>
      </c>
      <c r="T46" s="45">
        <f t="shared" si="14"/>
        <v>1.6252677972445999E-2</v>
      </c>
      <c r="U46" s="45">
        <f t="shared" si="14"/>
        <v>1.6723770087589358E-2</v>
      </c>
      <c r="W46" s="43">
        <v>2013</v>
      </c>
      <c r="X46" s="46">
        <f t="shared" si="17"/>
        <v>25.5425</v>
      </c>
      <c r="Z46" s="43">
        <v>2013</v>
      </c>
      <c r="AA46" s="45">
        <f t="shared" si="15"/>
        <v>1.6121949910493715E-2</v>
      </c>
      <c r="AB46" s="45">
        <f t="shared" si="15"/>
        <v>3.298798981685637E-2</v>
      </c>
      <c r="AC46" s="45">
        <f t="shared" si="15"/>
        <v>2.901950983888868E-2</v>
      </c>
      <c r="AD46" s="45">
        <f t="shared" si="15"/>
        <v>1.7114069904985634E-2</v>
      </c>
      <c r="AE46" s="45">
        <f t="shared" si="15"/>
        <v>1.7610129902231594E-2</v>
      </c>
      <c r="AG46" s="43">
        <v>2013</v>
      </c>
      <c r="AH46" s="45">
        <f t="shared" si="16"/>
        <v>8.6822276820921664E-3</v>
      </c>
      <c r="AI46" s="45">
        <f t="shared" si="16"/>
        <v>1.1423983792226533E-2</v>
      </c>
      <c r="AJ46" s="45">
        <f t="shared" si="16"/>
        <v>1.2794861847293717E-2</v>
      </c>
      <c r="AK46" s="45">
        <f t="shared" si="16"/>
        <v>8.9107073579366963E-3</v>
      </c>
      <c r="AL46" s="45">
        <f t="shared" si="16"/>
        <v>8.9107073579366963E-3</v>
      </c>
      <c r="AN46" s="43">
        <v>2013</v>
      </c>
      <c r="AO46" s="46">
        <f t="shared" si="18"/>
        <v>4.6999999999999993E-3</v>
      </c>
    </row>
    <row r="47" spans="1:41" ht="15">
      <c r="A47" s="59">
        <f t="shared" si="19"/>
        <v>1.0772840038843743</v>
      </c>
      <c r="B47" s="43">
        <v>2014</v>
      </c>
      <c r="C47" s="45">
        <f t="shared" si="12"/>
        <v>0.31328785982440349</v>
      </c>
      <c r="D47" s="45">
        <f t="shared" si="12"/>
        <v>0.50358122653255977</v>
      </c>
      <c r="E47" s="45">
        <f t="shared" si="12"/>
        <v>0.56159749687041227</v>
      </c>
      <c r="F47" s="45">
        <f t="shared" si="12"/>
        <v>0.32024981226494581</v>
      </c>
      <c r="G47" s="45">
        <f t="shared" si="12"/>
        <v>0.33185306633251632</v>
      </c>
      <c r="I47" s="43">
        <v>2014</v>
      </c>
      <c r="J47" s="45">
        <f t="shared" si="13"/>
        <v>8.3543429286507612E-3</v>
      </c>
      <c r="K47" s="45">
        <f t="shared" si="13"/>
        <v>1.113912390486768E-2</v>
      </c>
      <c r="L47" s="45">
        <f t="shared" si="13"/>
        <v>1.299564455567896E-2</v>
      </c>
      <c r="M47" s="45">
        <f t="shared" si="13"/>
        <v>8.3543429286507612E-3</v>
      </c>
      <c r="N47" s="45">
        <f t="shared" si="13"/>
        <v>8.5864080100021712E-3</v>
      </c>
      <c r="P47" s="43">
        <v>2014</v>
      </c>
      <c r="Q47" s="45">
        <f t="shared" si="14"/>
        <v>1.415596996243601E-2</v>
      </c>
      <c r="R47" s="45">
        <f t="shared" si="14"/>
        <v>2.9472265331629069E-2</v>
      </c>
      <c r="S47" s="45">
        <f t="shared" si="14"/>
        <v>2.7151614518114969E-2</v>
      </c>
      <c r="T47" s="45">
        <f t="shared" si="14"/>
        <v>1.462010012513883E-2</v>
      </c>
      <c r="U47" s="45">
        <f t="shared" si="14"/>
        <v>1.554836045054447E-2</v>
      </c>
      <c r="W47" s="43">
        <v>2014</v>
      </c>
      <c r="X47" s="46">
        <f t="shared" si="17"/>
        <v>25.5425</v>
      </c>
      <c r="Z47" s="43">
        <v>2014</v>
      </c>
      <c r="AA47" s="45">
        <f t="shared" si="15"/>
        <v>1.4906236370445117E-2</v>
      </c>
      <c r="AB47" s="45">
        <f t="shared" si="15"/>
        <v>3.1034295394205411E-2</v>
      </c>
      <c r="AC47" s="45">
        <f t="shared" si="15"/>
        <v>2.859065008757506E-2</v>
      </c>
      <c r="AD47" s="45">
        <f t="shared" si="15"/>
        <v>1.5394965431771188E-2</v>
      </c>
      <c r="AE47" s="45">
        <f t="shared" si="15"/>
        <v>1.6372423554423327E-2</v>
      </c>
      <c r="AG47" s="43">
        <v>2014</v>
      </c>
      <c r="AH47" s="45">
        <f t="shared" si="16"/>
        <v>8.1037126407912368E-3</v>
      </c>
      <c r="AI47" s="45">
        <f t="shared" si="16"/>
        <v>1.080495018772165E-2</v>
      </c>
      <c r="AJ47" s="45">
        <f t="shared" si="16"/>
        <v>1.260577521900859E-2</v>
      </c>
      <c r="AK47" s="45">
        <f t="shared" si="16"/>
        <v>8.1037126407912368E-3</v>
      </c>
      <c r="AL47" s="45">
        <f t="shared" si="16"/>
        <v>8.3288157697021057E-3</v>
      </c>
      <c r="AN47" s="43">
        <v>2014</v>
      </c>
      <c r="AO47" s="46">
        <f t="shared" si="18"/>
        <v>4.6999999999999993E-3</v>
      </c>
    </row>
    <row r="48" spans="1:41" ht="15">
      <c r="A48" s="59">
        <f t="shared" si="19"/>
        <v>1.0934432639426397</v>
      </c>
      <c r="B48" s="43">
        <v>2015</v>
      </c>
      <c r="C48" s="45">
        <f t="shared" si="12"/>
        <v>0.29493985708701376</v>
      </c>
      <c r="D48" s="45">
        <f t="shared" si="12"/>
        <v>0.49156642847835624</v>
      </c>
      <c r="E48" s="45">
        <f t="shared" si="12"/>
        <v>0.54872531551072323</v>
      </c>
      <c r="F48" s="45">
        <f t="shared" si="12"/>
        <v>0.29951256804960308</v>
      </c>
      <c r="G48" s="45">
        <f t="shared" si="12"/>
        <v>0.31323070093737115</v>
      </c>
      <c r="I48" s="43">
        <v>2015</v>
      </c>
      <c r="J48" s="45">
        <f t="shared" si="13"/>
        <v>7.7736086364019125E-3</v>
      </c>
      <c r="K48" s="45">
        <f t="shared" si="13"/>
        <v>1.0974506310214464E-2</v>
      </c>
      <c r="L48" s="45">
        <f t="shared" si="13"/>
        <v>1.2574955147120741E-2</v>
      </c>
      <c r="M48" s="45">
        <f t="shared" si="13"/>
        <v>7.7736086364019125E-3</v>
      </c>
      <c r="N48" s="45">
        <f t="shared" si="13"/>
        <v>8.0022441845313801E-3</v>
      </c>
      <c r="P48" s="43">
        <v>2015</v>
      </c>
      <c r="Q48" s="45">
        <f t="shared" si="14"/>
        <v>1.3032226243379677E-2</v>
      </c>
      <c r="R48" s="45">
        <f t="shared" si="14"/>
        <v>2.8808079064312968E-2</v>
      </c>
      <c r="S48" s="45">
        <f t="shared" si="14"/>
        <v>2.6750359131147757E-2</v>
      </c>
      <c r="T48" s="45">
        <f t="shared" si="14"/>
        <v>1.3260861791509143E-2</v>
      </c>
      <c r="U48" s="45">
        <f t="shared" si="14"/>
        <v>1.4404039532156484E-2</v>
      </c>
      <c r="W48" s="43">
        <v>2015</v>
      </c>
      <c r="X48" s="46">
        <f t="shared" si="17"/>
        <v>25.5425</v>
      </c>
      <c r="Z48" s="43">
        <v>2015</v>
      </c>
      <c r="AA48" s="45">
        <f t="shared" si="15"/>
        <v>1.3722934234278799E-2</v>
      </c>
      <c r="AB48" s="45">
        <f t="shared" si="15"/>
        <v>3.0334907254721554E-2</v>
      </c>
      <c r="AC48" s="45">
        <f t="shared" si="15"/>
        <v>2.8168128165098585E-2</v>
      </c>
      <c r="AD48" s="45">
        <f t="shared" si="15"/>
        <v>1.3963687466459127E-2</v>
      </c>
      <c r="AE48" s="45">
        <f t="shared" si="15"/>
        <v>1.5167453627360777E-2</v>
      </c>
      <c r="AG48" s="43">
        <v>2015</v>
      </c>
      <c r="AH48" s="45">
        <f t="shared" si="16"/>
        <v>7.5404003773098553E-3</v>
      </c>
      <c r="AI48" s="45">
        <f t="shared" si="16"/>
        <v>1.064527112090803E-2</v>
      </c>
      <c r="AJ48" s="45">
        <f t="shared" si="16"/>
        <v>1.2197706492707119E-2</v>
      </c>
      <c r="AK48" s="45">
        <f t="shared" si="16"/>
        <v>7.5404003773098553E-3</v>
      </c>
      <c r="AL48" s="45">
        <f t="shared" si="16"/>
        <v>7.762176858995439E-3</v>
      </c>
      <c r="AN48" s="43">
        <v>2015</v>
      </c>
      <c r="AO48" s="46">
        <f t="shared" si="18"/>
        <v>4.6999999999999993E-3</v>
      </c>
    </row>
    <row r="49" spans="1:41" ht="15">
      <c r="A49" s="59">
        <f t="shared" si="19"/>
        <v>1.1098449129017791</v>
      </c>
      <c r="B49" s="43">
        <v>2016</v>
      </c>
      <c r="C49" s="45">
        <f t="shared" si="12"/>
        <v>0.27256060417404565</v>
      </c>
      <c r="D49" s="45">
        <f t="shared" si="12"/>
        <v>0.46853393114216113</v>
      </c>
      <c r="E49" s="45">
        <f t="shared" si="12"/>
        <v>0.53836350741815631</v>
      </c>
      <c r="F49" s="45">
        <f t="shared" si="12"/>
        <v>0.26805547022075565</v>
      </c>
      <c r="G49" s="45">
        <f t="shared" si="12"/>
        <v>0.29058113998720569</v>
      </c>
      <c r="I49" s="43">
        <v>2016</v>
      </c>
      <c r="J49" s="45">
        <f t="shared" si="13"/>
        <v>6.9829576275995172E-3</v>
      </c>
      <c r="K49" s="45">
        <f t="shared" si="13"/>
        <v>1.0361808092567024E-2</v>
      </c>
      <c r="L49" s="45">
        <f t="shared" si="13"/>
        <v>1.238911837154753E-2</v>
      </c>
      <c r="M49" s="45">
        <f t="shared" si="13"/>
        <v>6.9829576275995172E-3</v>
      </c>
      <c r="N49" s="45">
        <f t="shared" si="13"/>
        <v>7.4334710229285172E-3</v>
      </c>
      <c r="P49" s="43">
        <v>2016</v>
      </c>
      <c r="Q49" s="45">
        <f t="shared" si="14"/>
        <v>1.1488091580889526E-2</v>
      </c>
      <c r="R49" s="45">
        <f t="shared" si="14"/>
        <v>2.7030803719740065E-2</v>
      </c>
      <c r="S49" s="45">
        <f t="shared" si="14"/>
        <v>2.6355033626746561E-2</v>
      </c>
      <c r="T49" s="45">
        <f t="shared" si="14"/>
        <v>1.1713348278554029E-2</v>
      </c>
      <c r="U49" s="45">
        <f t="shared" si="14"/>
        <v>1.2839631766876532E-2</v>
      </c>
      <c r="W49" s="43">
        <v>2016</v>
      </c>
      <c r="X49" s="46">
        <f t="shared" si="17"/>
        <v>25.5425</v>
      </c>
      <c r="Z49" s="43">
        <v>2016</v>
      </c>
      <c r="AA49" s="45">
        <f t="shared" si="15"/>
        <v>1.2096960434676672E-2</v>
      </c>
      <c r="AB49" s="45">
        <f t="shared" si="15"/>
        <v>2.8463436316886286E-2</v>
      </c>
      <c r="AC49" s="45">
        <f t="shared" si="15"/>
        <v>2.7751850408964128E-2</v>
      </c>
      <c r="AD49" s="45">
        <f t="shared" si="15"/>
        <v>1.2334155737317392E-2</v>
      </c>
      <c r="AE49" s="45">
        <f t="shared" si="15"/>
        <v>1.3520132250520987E-2</v>
      </c>
      <c r="AG49" s="43">
        <v>2016</v>
      </c>
      <c r="AH49" s="45">
        <f t="shared" si="16"/>
        <v>6.7734688987715315E-3</v>
      </c>
      <c r="AI49" s="45">
        <f t="shared" si="16"/>
        <v>1.0050953849790014E-2</v>
      </c>
      <c r="AJ49" s="45">
        <f t="shared" si="16"/>
        <v>1.2017444820401103E-2</v>
      </c>
      <c r="AK49" s="45">
        <f t="shared" si="16"/>
        <v>6.7734688987715315E-3</v>
      </c>
      <c r="AL49" s="45">
        <f t="shared" si="16"/>
        <v>7.2104668922406611E-3</v>
      </c>
      <c r="AN49" s="43">
        <v>2016</v>
      </c>
      <c r="AO49" s="46">
        <f t="shared" si="18"/>
        <v>4.6999999999999993E-3</v>
      </c>
    </row>
    <row r="50" spans="1:41" ht="15">
      <c r="A50" s="59">
        <f t="shared" si="19"/>
        <v>1.1264925865953057</v>
      </c>
      <c r="B50" s="43">
        <v>2017</v>
      </c>
      <c r="C50" s="45">
        <f t="shared" si="12"/>
        <v>0.25299767028328141</v>
      </c>
      <c r="D50" s="45">
        <f t="shared" si="12"/>
        <v>0.45717122875750854</v>
      </c>
      <c r="E50" s="45">
        <f t="shared" si="12"/>
        <v>0.52596884085208506</v>
      </c>
      <c r="F50" s="45">
        <f t="shared" si="12"/>
        <v>0.24855911466427649</v>
      </c>
      <c r="G50" s="45">
        <f t="shared" si="12"/>
        <v>0.27075189275930117</v>
      </c>
      <c r="I50" s="43">
        <v>2017</v>
      </c>
      <c r="J50" s="45">
        <f t="shared" si="13"/>
        <v>6.4359056475571585E-3</v>
      </c>
      <c r="K50" s="45">
        <f t="shared" si="13"/>
        <v>9.9867501427611093E-3</v>
      </c>
      <c r="L50" s="45">
        <f t="shared" si="13"/>
        <v>1.1984100171313331E-2</v>
      </c>
      <c r="M50" s="45">
        <f t="shared" si="13"/>
        <v>6.213977866606912E-3</v>
      </c>
      <c r="N50" s="45">
        <f t="shared" si="13"/>
        <v>6.6578334285074059E-3</v>
      </c>
      <c r="P50" s="43">
        <v>2017</v>
      </c>
      <c r="Q50" s="45">
        <f t="shared" si="14"/>
        <v>1.0208677923711355E-2</v>
      </c>
      <c r="R50" s="45">
        <f t="shared" si="14"/>
        <v>2.6187478152129132E-2</v>
      </c>
      <c r="S50" s="45">
        <f t="shared" si="14"/>
        <v>2.596555037117888E-2</v>
      </c>
      <c r="T50" s="45">
        <f t="shared" si="14"/>
        <v>1.0208677923711355E-2</v>
      </c>
      <c r="U50" s="45">
        <f t="shared" si="14"/>
        <v>1.1540244609412838E-2</v>
      </c>
      <c r="W50" s="43">
        <v>2017</v>
      </c>
      <c r="X50" s="46">
        <f t="shared" si="17"/>
        <v>25.5425</v>
      </c>
      <c r="Z50" s="43">
        <v>2017</v>
      </c>
      <c r="AA50" s="45">
        <f t="shared" si="15"/>
        <v>1.0749737853668055E-2</v>
      </c>
      <c r="AB50" s="45">
        <f t="shared" si="15"/>
        <v>2.7575414494191972E-2</v>
      </c>
      <c r="AC50" s="45">
        <f t="shared" si="15"/>
        <v>2.7341724540851358E-2</v>
      </c>
      <c r="AD50" s="45">
        <f t="shared" si="15"/>
        <v>1.0749737853668055E-2</v>
      </c>
      <c r="AE50" s="45">
        <f t="shared" si="15"/>
        <v>1.2151877573711717E-2</v>
      </c>
      <c r="AG50" s="43">
        <v>2017</v>
      </c>
      <c r="AH50" s="45">
        <f t="shared" si="16"/>
        <v>6.2428284781304438E-3</v>
      </c>
      <c r="AI50" s="45">
        <f t="shared" si="16"/>
        <v>9.6871476384782756E-3</v>
      </c>
      <c r="AJ50" s="45">
        <f t="shared" si="16"/>
        <v>1.1624577166173931E-2</v>
      </c>
      <c r="AK50" s="45">
        <f t="shared" si="16"/>
        <v>6.0275585306087042E-3</v>
      </c>
      <c r="AL50" s="45">
        <f t="shared" si="16"/>
        <v>6.4580984256521834E-3</v>
      </c>
      <c r="AN50" s="43">
        <v>2017</v>
      </c>
      <c r="AO50" s="46">
        <f t="shared" si="18"/>
        <v>4.6999999999999993E-3</v>
      </c>
    </row>
    <row r="51" spans="1:41" ht="15">
      <c r="A51" s="59">
        <f t="shared" si="19"/>
        <v>1.1433899753942351</v>
      </c>
      <c r="B51" s="43">
        <v>2018</v>
      </c>
      <c r="C51" s="45">
        <f t="shared" si="12"/>
        <v>0.23613990485346467</v>
      </c>
      <c r="D51" s="45">
        <f t="shared" si="12"/>
        <v>0.44166908129999871</v>
      </c>
      <c r="E51" s="45">
        <f t="shared" si="12"/>
        <v>0.51600942171683017</v>
      </c>
      <c r="F51" s="45">
        <f t="shared" si="12"/>
        <v>0.22958046305197954</v>
      </c>
      <c r="G51" s="45">
        <f t="shared" si="12"/>
        <v>0.25581823025792005</v>
      </c>
      <c r="I51" s="43">
        <v>2018</v>
      </c>
      <c r="J51" s="45">
        <f t="shared" si="13"/>
        <v>5.9034976213366173E-3</v>
      </c>
      <c r="K51" s="45">
        <f t="shared" si="13"/>
        <v>9.620514642178191E-3</v>
      </c>
      <c r="L51" s="45">
        <f t="shared" si="13"/>
        <v>1.1806995242673235E-2</v>
      </c>
      <c r="M51" s="45">
        <f t="shared" si="13"/>
        <v>5.6848495612871128E-3</v>
      </c>
      <c r="N51" s="45">
        <f t="shared" si="13"/>
        <v>6.122145681386121E-3</v>
      </c>
      <c r="P51" s="43">
        <v>2018</v>
      </c>
      <c r="Q51" s="45">
        <f t="shared" si="14"/>
        <v>9.1832185220791819E-3</v>
      </c>
      <c r="R51" s="45">
        <f t="shared" si="14"/>
        <v>2.5144526905692997E-2</v>
      </c>
      <c r="S51" s="45">
        <f t="shared" si="14"/>
        <v>2.5581823025792004E-2</v>
      </c>
      <c r="T51" s="45">
        <f t="shared" si="14"/>
        <v>8.9645704620296765E-3</v>
      </c>
      <c r="U51" s="45">
        <f t="shared" si="14"/>
        <v>1.0495106882376207E-2</v>
      </c>
      <c r="W51" s="43">
        <v>2018</v>
      </c>
      <c r="X51" s="46">
        <f t="shared" si="17"/>
        <v>25.5425</v>
      </c>
      <c r="Z51" s="43">
        <v>2018</v>
      </c>
      <c r="AA51" s="45">
        <f t="shared" si="15"/>
        <v>9.6699291037493779E-3</v>
      </c>
      <c r="AB51" s="45">
        <f t="shared" si="15"/>
        <v>2.6477186831694723E-2</v>
      </c>
      <c r="AC51" s="45">
        <f t="shared" si="15"/>
        <v>2.693765964615898E-2</v>
      </c>
      <c r="AD51" s="45">
        <f t="shared" si="15"/>
        <v>9.4396926965172497E-3</v>
      </c>
      <c r="AE51" s="45">
        <f t="shared" si="15"/>
        <v>1.1051347547142145E-2</v>
      </c>
      <c r="AG51" s="43">
        <v>2018</v>
      </c>
      <c r="AH51" s="45">
        <f t="shared" si="16"/>
        <v>5.7263926926965185E-3</v>
      </c>
      <c r="AI51" s="45">
        <f t="shared" si="16"/>
        <v>9.3318992029128439E-3</v>
      </c>
      <c r="AJ51" s="45">
        <f t="shared" si="16"/>
        <v>1.1452785385393037E-2</v>
      </c>
      <c r="AK51" s="45">
        <f t="shared" si="16"/>
        <v>5.5143040744484988E-3</v>
      </c>
      <c r="AL51" s="45">
        <f t="shared" si="16"/>
        <v>5.9384813109445373E-3</v>
      </c>
      <c r="AN51" s="43">
        <v>2018</v>
      </c>
      <c r="AO51" s="46">
        <f t="shared" si="18"/>
        <v>4.6999999999999993E-3</v>
      </c>
    </row>
    <row r="52" spans="1:41" ht="15">
      <c r="A52" s="59">
        <f t="shared" si="19"/>
        <v>1.1605408250251485</v>
      </c>
      <c r="B52" s="43">
        <v>2019</v>
      </c>
      <c r="C52" s="45">
        <f t="shared" ref="C52:G61" si="20">C14/(400*$A52)</f>
        <v>0.22187931216846254</v>
      </c>
      <c r="D52" s="45">
        <f t="shared" si="20"/>
        <v>0.43083361586109231</v>
      </c>
      <c r="E52" s="45">
        <f t="shared" si="20"/>
        <v>0.50192116247817253</v>
      </c>
      <c r="F52" s="45">
        <f t="shared" si="20"/>
        <v>0.21110847177193523</v>
      </c>
      <c r="G52" s="45">
        <f t="shared" si="20"/>
        <v>0.24126682488221168</v>
      </c>
      <c r="I52" s="43">
        <v>2019</v>
      </c>
      <c r="J52" s="45">
        <f t="shared" ref="J52:N61" si="21">J14/(400*$A52)</f>
        <v>5.3854201982636539E-3</v>
      </c>
      <c r="K52" s="45">
        <f t="shared" si="21"/>
        <v>9.4783395489440314E-3</v>
      </c>
      <c r="L52" s="45">
        <f t="shared" si="21"/>
        <v>1.1632507628249493E-2</v>
      </c>
      <c r="M52" s="45">
        <f t="shared" si="21"/>
        <v>4.9545865824025606E-3</v>
      </c>
      <c r="N52" s="45">
        <f t="shared" si="21"/>
        <v>5.6008370061941997E-3</v>
      </c>
      <c r="P52" s="43">
        <v>2019</v>
      </c>
      <c r="Q52" s="45">
        <f t="shared" ref="Q52:U61" si="22">Q14/(400*$A52)</f>
        <v>8.4012555092912999E-3</v>
      </c>
      <c r="R52" s="45">
        <f t="shared" si="22"/>
        <v>2.4557516104082262E-2</v>
      </c>
      <c r="S52" s="45">
        <f t="shared" si="22"/>
        <v>2.5203766527873896E-2</v>
      </c>
      <c r="T52" s="45">
        <f t="shared" si="22"/>
        <v>7.5395882775691151E-3</v>
      </c>
      <c r="U52" s="45">
        <f t="shared" si="22"/>
        <v>9.6937563568745763E-3</v>
      </c>
      <c r="W52" s="43">
        <v>2019</v>
      </c>
      <c r="X52" s="46">
        <f t="shared" si="17"/>
        <v>25.5425</v>
      </c>
      <c r="Z52" s="43">
        <v>2019</v>
      </c>
      <c r="AA52" s="45">
        <f t="shared" ref="AA52:AE61" si="23">AA14/(400*$A52)</f>
        <v>8.8465220512837384E-3</v>
      </c>
      <c r="AB52" s="45">
        <f t="shared" si="23"/>
        <v>2.585906445759862E-2</v>
      </c>
      <c r="AC52" s="45">
        <f t="shared" si="23"/>
        <v>2.6539566153851214E-2</v>
      </c>
      <c r="AD52" s="45">
        <f t="shared" si="23"/>
        <v>7.9391864562802783E-3</v>
      </c>
      <c r="AE52" s="45">
        <f t="shared" si="23"/>
        <v>1.0207525443788929E-2</v>
      </c>
      <c r="AG52" s="43">
        <v>2019</v>
      </c>
      <c r="AH52" s="45">
        <f t="shared" ref="AH52:AL61" si="24">AH14/(400*$A52)</f>
        <v>5.2238575923157435E-3</v>
      </c>
      <c r="AI52" s="45">
        <f t="shared" si="24"/>
        <v>9.1939893624757088E-3</v>
      </c>
      <c r="AJ52" s="45">
        <f t="shared" si="24"/>
        <v>1.1283532399402009E-2</v>
      </c>
      <c r="AK52" s="45">
        <f t="shared" si="24"/>
        <v>4.8059489849304844E-3</v>
      </c>
      <c r="AL52" s="45">
        <f t="shared" si="24"/>
        <v>5.4328118960083735E-3</v>
      </c>
      <c r="AN52" s="43">
        <v>2019</v>
      </c>
      <c r="AO52" s="46">
        <f t="shared" si="18"/>
        <v>4.6999999999999993E-3</v>
      </c>
    </row>
    <row r="53" spans="1:41" ht="15">
      <c r="A53" s="59">
        <f t="shared" si="19"/>
        <v>1.1779489374005256</v>
      </c>
      <c r="B53" s="43">
        <v>2020</v>
      </c>
      <c r="C53" s="45">
        <f t="shared" si="20"/>
        <v>0.21011097522289726</v>
      </c>
      <c r="D53" s="45">
        <f t="shared" si="20"/>
        <v>0.3968762865321393</v>
      </c>
      <c r="E53" s="45">
        <f t="shared" si="20"/>
        <v>0.4902589421867603</v>
      </c>
      <c r="F53" s="45">
        <f t="shared" si="20"/>
        <v>0.19737697672453985</v>
      </c>
      <c r="G53" s="45">
        <f t="shared" si="20"/>
        <v>0.22708963988737382</v>
      </c>
      <c r="I53" s="43">
        <v>2020</v>
      </c>
      <c r="J53" s="45">
        <f t="shared" si="21"/>
        <v>4.8813660910370068E-3</v>
      </c>
      <c r="K53" s="45">
        <f t="shared" si="21"/>
        <v>8.7015656405442302E-3</v>
      </c>
      <c r="L53" s="45">
        <f t="shared" si="21"/>
        <v>1.1248365340215713E-2</v>
      </c>
      <c r="M53" s="45">
        <f t="shared" si="21"/>
        <v>4.4568994744250941E-3</v>
      </c>
      <c r="N53" s="45">
        <f t="shared" si="21"/>
        <v>5.3058327076489211E-3</v>
      </c>
      <c r="P53" s="43">
        <v>2020</v>
      </c>
      <c r="Q53" s="45">
        <f t="shared" si="22"/>
        <v>7.6403990990144468E-3</v>
      </c>
      <c r="R53" s="45">
        <f t="shared" si="22"/>
        <v>2.228449737212547E-2</v>
      </c>
      <c r="S53" s="45">
        <f t="shared" si="22"/>
        <v>2.4831297071796949E-2</v>
      </c>
      <c r="T53" s="45">
        <f t="shared" si="22"/>
        <v>6.5792325574846626E-3</v>
      </c>
      <c r="U53" s="45">
        <f t="shared" si="22"/>
        <v>8.9137989488501882E-3</v>
      </c>
      <c r="W53" s="43">
        <v>2020</v>
      </c>
      <c r="X53" s="46">
        <f t="shared" si="17"/>
        <v>25.5425</v>
      </c>
      <c r="Z53" s="43">
        <v>2020</v>
      </c>
      <c r="AA53" s="45">
        <f t="shared" si="23"/>
        <v>8.0453402512622122E-3</v>
      </c>
      <c r="AB53" s="45">
        <f t="shared" si="23"/>
        <v>2.3465575732848118E-2</v>
      </c>
      <c r="AC53" s="45">
        <f t="shared" si="23"/>
        <v>2.6147355816602186E-2</v>
      </c>
      <c r="AD53" s="45">
        <f t="shared" si="23"/>
        <v>6.9279318830313494E-3</v>
      </c>
      <c r="AE53" s="45">
        <f t="shared" si="23"/>
        <v>9.3862302931392479E-3</v>
      </c>
      <c r="AG53" s="43">
        <v>2020</v>
      </c>
      <c r="AH53" s="45">
        <f t="shared" si="24"/>
        <v>4.7349251083058964E-3</v>
      </c>
      <c r="AI53" s="45">
        <f t="shared" si="24"/>
        <v>8.4405186713279023E-3</v>
      </c>
      <c r="AJ53" s="45">
        <f t="shared" si="24"/>
        <v>1.0910914380009242E-2</v>
      </c>
      <c r="AK53" s="45">
        <f t="shared" si="24"/>
        <v>4.3231924901923407E-3</v>
      </c>
      <c r="AL53" s="45">
        <f t="shared" si="24"/>
        <v>5.146657726419453E-3</v>
      </c>
      <c r="AN53" s="43">
        <v>2020</v>
      </c>
      <c r="AO53" s="46">
        <f t="shared" si="18"/>
        <v>4.6999999999999993E-3</v>
      </c>
    </row>
    <row r="54" spans="1:41" ht="15">
      <c r="A54" s="59">
        <f t="shared" si="19"/>
        <v>1.1956181714615335</v>
      </c>
      <c r="B54" s="43">
        <v>2021</v>
      </c>
      <c r="C54" s="45">
        <f t="shared" si="20"/>
        <v>0.19655104414541816</v>
      </c>
      <c r="D54" s="45">
        <f t="shared" si="20"/>
        <v>0.38682918262662086</v>
      </c>
      <c r="E54" s="45">
        <f t="shared" si="20"/>
        <v>0.47674083048037597</v>
      </c>
      <c r="F54" s="45">
        <f t="shared" si="20"/>
        <v>0.18400523281698722</v>
      </c>
      <c r="G54" s="45">
        <f t="shared" si="20"/>
        <v>0.21327879258332608</v>
      </c>
      <c r="I54" s="43">
        <v>2021</v>
      </c>
      <c r="J54" s="45">
        <f t="shared" si="21"/>
        <v>4.6001308204246805E-3</v>
      </c>
      <c r="K54" s="45">
        <f t="shared" si="21"/>
        <v>8.3638742189539646E-3</v>
      </c>
      <c r="L54" s="45">
        <f t="shared" si="21"/>
        <v>1.1082133340114002E-2</v>
      </c>
      <c r="M54" s="45">
        <f t="shared" si="21"/>
        <v>4.1819371094769823E-3</v>
      </c>
      <c r="N54" s="45">
        <f t="shared" si="21"/>
        <v>5.0183245313723786E-3</v>
      </c>
      <c r="P54" s="43">
        <v>2021</v>
      </c>
      <c r="Q54" s="45">
        <f t="shared" si="22"/>
        <v>7.1092930861108693E-3</v>
      </c>
      <c r="R54" s="45">
        <f t="shared" si="22"/>
        <v>2.1746072969280307E-2</v>
      </c>
      <c r="S54" s="45">
        <f t="shared" si="22"/>
        <v>2.4464332090440345E-2</v>
      </c>
      <c r="T54" s="45">
        <f t="shared" si="22"/>
        <v>6.0638088087416235E-3</v>
      </c>
      <c r="U54" s="45">
        <f t="shared" si="22"/>
        <v>8.3638742189539646E-3</v>
      </c>
      <c r="W54" s="43">
        <v>2021</v>
      </c>
      <c r="X54" s="46">
        <f t="shared" si="17"/>
        <v>25.5425</v>
      </c>
      <c r="Z54" s="43">
        <v>2021</v>
      </c>
      <c r="AA54" s="45">
        <f t="shared" si="23"/>
        <v>7.4860856196747446E-3</v>
      </c>
      <c r="AB54" s="45">
        <f t="shared" si="23"/>
        <v>2.2898614836652162E-2</v>
      </c>
      <c r="AC54" s="45">
        <f t="shared" si="23"/>
        <v>2.576094169123368E-2</v>
      </c>
      <c r="AD54" s="45">
        <f t="shared" si="23"/>
        <v>6.3851906756049294E-3</v>
      </c>
      <c r="AE54" s="45">
        <f t="shared" si="23"/>
        <v>8.8071595525585234E-3</v>
      </c>
      <c r="AG54" s="43">
        <v>2021</v>
      </c>
      <c r="AH54" s="45">
        <f t="shared" si="24"/>
        <v>4.4621268958119397E-3</v>
      </c>
      <c r="AI54" s="45">
        <f t="shared" si="24"/>
        <v>8.1129579923853445E-3</v>
      </c>
      <c r="AJ54" s="45">
        <f t="shared" si="24"/>
        <v>1.0749669339910582E-2</v>
      </c>
      <c r="AK54" s="45">
        <f t="shared" si="24"/>
        <v>4.0564789961926723E-3</v>
      </c>
      <c r="AL54" s="45">
        <f t="shared" si="24"/>
        <v>4.8677747954312071E-3</v>
      </c>
      <c r="AN54" s="43">
        <v>2021</v>
      </c>
      <c r="AO54" s="46">
        <f t="shared" si="18"/>
        <v>4.6999999999999993E-3</v>
      </c>
    </row>
    <row r="55" spans="1:41" ht="15">
      <c r="A55" s="59">
        <f t="shared" si="19"/>
        <v>1.2135524440334564</v>
      </c>
      <c r="B55" s="43">
        <v>2022</v>
      </c>
      <c r="C55" s="45">
        <f t="shared" si="20"/>
        <v>0.18334601120367067</v>
      </c>
      <c r="D55" s="45">
        <f t="shared" si="20"/>
        <v>0.36463195486572703</v>
      </c>
      <c r="E55" s="45">
        <f t="shared" si="20"/>
        <v>0.46351519686321235</v>
      </c>
      <c r="F55" s="45">
        <f t="shared" si="20"/>
        <v>0.17098560595398499</v>
      </c>
      <c r="G55" s="45">
        <f t="shared" si="20"/>
        <v>0.19982655153658488</v>
      </c>
      <c r="I55" s="43">
        <v>2022</v>
      </c>
      <c r="J55" s="45">
        <f t="shared" si="21"/>
        <v>4.1201350832285539E-3</v>
      </c>
      <c r="K55" s="45">
        <f t="shared" si="21"/>
        <v>8.0342634122956801E-3</v>
      </c>
      <c r="L55" s="45">
        <f t="shared" si="21"/>
        <v>1.0918357970555667E-2</v>
      </c>
      <c r="M55" s="45">
        <f t="shared" si="21"/>
        <v>3.708121574905699E-3</v>
      </c>
      <c r="N55" s="45">
        <f t="shared" si="21"/>
        <v>4.53214859155141E-3</v>
      </c>
      <c r="P55" s="43">
        <v>2022</v>
      </c>
      <c r="Q55" s="45">
        <f t="shared" si="22"/>
        <v>6.5922161331656865E-3</v>
      </c>
      <c r="R55" s="45">
        <f t="shared" si="22"/>
        <v>2.0188661907819917E-2</v>
      </c>
      <c r="S55" s="45">
        <f t="shared" si="22"/>
        <v>2.410279023688704E-2</v>
      </c>
      <c r="T55" s="45">
        <f t="shared" si="22"/>
        <v>5.5621823623585483E-3</v>
      </c>
      <c r="U55" s="45">
        <f t="shared" si="22"/>
        <v>7.8282566581342524E-3</v>
      </c>
      <c r="W55" s="43">
        <v>2022</v>
      </c>
      <c r="X55" s="46">
        <f t="shared" si="17"/>
        <v>25.5425</v>
      </c>
      <c r="Z55" s="43">
        <v>2022</v>
      </c>
      <c r="AA55" s="45">
        <f t="shared" si="23"/>
        <v>6.9416035882234684E-3</v>
      </c>
      <c r="AB55" s="45">
        <f t="shared" si="23"/>
        <v>2.1258660988934371E-2</v>
      </c>
      <c r="AC55" s="45">
        <f t="shared" si="23"/>
        <v>2.5380238119442053E-2</v>
      </c>
      <c r="AD55" s="45">
        <f t="shared" si="23"/>
        <v>5.8569780275635518E-3</v>
      </c>
      <c r="AE55" s="45">
        <f t="shared" si="23"/>
        <v>8.2431542610153664E-3</v>
      </c>
      <c r="AG55" s="43">
        <v>2022</v>
      </c>
      <c r="AH55" s="45">
        <f t="shared" si="24"/>
        <v>3.9965310307316978E-3</v>
      </c>
      <c r="AI55" s="45">
        <f t="shared" si="24"/>
        <v>7.7932355099268099E-3</v>
      </c>
      <c r="AJ55" s="45">
        <f t="shared" si="24"/>
        <v>1.0590807231438999E-2</v>
      </c>
      <c r="AK55" s="45">
        <f t="shared" si="24"/>
        <v>3.5968779276585277E-3</v>
      </c>
      <c r="AL55" s="45">
        <f t="shared" si="24"/>
        <v>4.3961841338048674E-3</v>
      </c>
      <c r="AN55" s="43">
        <v>2022</v>
      </c>
      <c r="AO55" s="46">
        <f t="shared" si="18"/>
        <v>4.6999999999999993E-3</v>
      </c>
    </row>
    <row r="56" spans="1:41" ht="15">
      <c r="A56" s="59">
        <f t="shared" si="19"/>
        <v>1.2317557306939582</v>
      </c>
      <c r="B56" s="43">
        <v>2023</v>
      </c>
      <c r="C56" s="45">
        <f t="shared" si="20"/>
        <v>0.1704883482715264</v>
      </c>
      <c r="D56" s="45">
        <f t="shared" si="20"/>
        <v>0.34909518931788736</v>
      </c>
      <c r="E56" s="45">
        <f t="shared" si="20"/>
        <v>0.45260597219702842</v>
      </c>
      <c r="F56" s="45">
        <f t="shared" si="20"/>
        <v>0.1583106091092745</v>
      </c>
      <c r="G56" s="45">
        <f t="shared" si="20"/>
        <v>0.18672533382119558</v>
      </c>
      <c r="I56" s="43">
        <v>2023</v>
      </c>
      <c r="J56" s="45">
        <f t="shared" si="21"/>
        <v>3.8562840680464302E-3</v>
      </c>
      <c r="K56" s="45">
        <f t="shared" si="21"/>
        <v>7.5096058167219964E-3</v>
      </c>
      <c r="L56" s="45">
        <f t="shared" si="21"/>
        <v>1.0554040607284968E-2</v>
      </c>
      <c r="M56" s="45">
        <f t="shared" si="21"/>
        <v>3.4503594293047008E-3</v>
      </c>
      <c r="N56" s="45">
        <f t="shared" si="21"/>
        <v>4.2622087067881601E-3</v>
      </c>
      <c r="P56" s="43">
        <v>2023</v>
      </c>
      <c r="Q56" s="45">
        <f t="shared" si="22"/>
        <v>6.0888695811259427E-3</v>
      </c>
      <c r="R56" s="45">
        <f t="shared" si="22"/>
        <v>1.9281420340232152E-2</v>
      </c>
      <c r="S56" s="45">
        <f t="shared" si="22"/>
        <v>2.3746591366391175E-2</v>
      </c>
      <c r="T56" s="45">
        <f t="shared" si="22"/>
        <v>4.871095664900754E-3</v>
      </c>
      <c r="U56" s="45">
        <f t="shared" si="22"/>
        <v>7.3066434973511315E-3</v>
      </c>
      <c r="W56" s="43">
        <v>2023</v>
      </c>
      <c r="X56" s="46">
        <f t="shared" si="17"/>
        <v>25.5425</v>
      </c>
      <c r="Z56" s="43">
        <v>2023</v>
      </c>
      <c r="AA56" s="45">
        <f t="shared" si="23"/>
        <v>6.4115796689256169E-3</v>
      </c>
      <c r="AB56" s="45">
        <f t="shared" si="23"/>
        <v>2.0303335618264452E-2</v>
      </c>
      <c r="AC56" s="45">
        <f t="shared" si="23"/>
        <v>2.5005160708809905E-2</v>
      </c>
      <c r="AD56" s="45">
        <f t="shared" si="23"/>
        <v>5.129263735140493E-3</v>
      </c>
      <c r="AE56" s="45">
        <f t="shared" si="23"/>
        <v>7.6938956027107408E-3</v>
      </c>
      <c r="AG56" s="43">
        <v>2023</v>
      </c>
      <c r="AH56" s="45">
        <f t="shared" si="24"/>
        <v>3.7405955460050374E-3</v>
      </c>
      <c r="AI56" s="45">
        <f t="shared" si="24"/>
        <v>7.2843176422203362E-3</v>
      </c>
      <c r="AJ56" s="45">
        <f t="shared" si="24"/>
        <v>1.0237419389066417E-2</v>
      </c>
      <c r="AK56" s="45">
        <f t="shared" si="24"/>
        <v>3.3468486464255597E-3</v>
      </c>
      <c r="AL56" s="45">
        <f t="shared" si="24"/>
        <v>4.1343424455845146E-3</v>
      </c>
      <c r="AN56" s="43">
        <v>2023</v>
      </c>
      <c r="AO56" s="46">
        <f t="shared" si="18"/>
        <v>4.6999999999999993E-3</v>
      </c>
    </row>
    <row r="57" spans="1:41" ht="15">
      <c r="A57" s="59">
        <f t="shared" si="19"/>
        <v>1.2502320666543674</v>
      </c>
      <c r="B57" s="43">
        <v>2024</v>
      </c>
      <c r="C57" s="45">
        <f t="shared" si="20"/>
        <v>0.15797067221968786</v>
      </c>
      <c r="D57" s="45">
        <f t="shared" si="20"/>
        <v>0.32393985948847381</v>
      </c>
      <c r="E57" s="45">
        <f t="shared" si="20"/>
        <v>0.43991832770039657</v>
      </c>
      <c r="F57" s="45">
        <f t="shared" si="20"/>
        <v>0.14597289964604068</v>
      </c>
      <c r="G57" s="45">
        <f t="shared" si="20"/>
        <v>0.17396770231788408</v>
      </c>
      <c r="I57" s="43">
        <v>2024</v>
      </c>
      <c r="J57" s="45">
        <f t="shared" si="21"/>
        <v>3.3993688958667005E-3</v>
      </c>
      <c r="K57" s="45">
        <f t="shared" si="21"/>
        <v>6.9987006679608542E-3</v>
      </c>
      <c r="L57" s="45">
        <f t="shared" si="21"/>
        <v>1.0398069563827555E-2</v>
      </c>
      <c r="M57" s="45">
        <f t="shared" si="21"/>
        <v>2.9994431434117947E-3</v>
      </c>
      <c r="N57" s="45">
        <f t="shared" si="21"/>
        <v>3.7992946483216064E-3</v>
      </c>
      <c r="P57" s="43">
        <v>2024</v>
      </c>
      <c r="Q57" s="45">
        <f t="shared" si="22"/>
        <v>5.598960534368683E-3</v>
      </c>
      <c r="R57" s="45">
        <f t="shared" si="22"/>
        <v>1.7796695984243317E-2</v>
      </c>
      <c r="S57" s="45">
        <f t="shared" si="22"/>
        <v>2.3395656518611998E-2</v>
      </c>
      <c r="T57" s="45">
        <f t="shared" si="22"/>
        <v>4.3991832770039659E-3</v>
      </c>
      <c r="U57" s="45">
        <f t="shared" si="22"/>
        <v>6.7987377917334011E-3</v>
      </c>
      <c r="W57" s="43">
        <v>2024</v>
      </c>
      <c r="X57" s="46">
        <f t="shared" si="17"/>
        <v>25.5425</v>
      </c>
      <c r="Z57" s="43">
        <v>2024</v>
      </c>
      <c r="AA57" s="45">
        <f t="shared" si="23"/>
        <v>5.8957054426902224E-3</v>
      </c>
      <c r="AB57" s="45">
        <f t="shared" si="23"/>
        <v>1.8739920871408213E-2</v>
      </c>
      <c r="AC57" s="45">
        <f t="shared" si="23"/>
        <v>2.4635626314098432E-2</v>
      </c>
      <c r="AD57" s="45">
        <f t="shared" si="23"/>
        <v>4.6323399906851763E-3</v>
      </c>
      <c r="AE57" s="45">
        <f t="shared" si="23"/>
        <v>7.159070894695271E-3</v>
      </c>
      <c r="AG57" s="43">
        <v>2024</v>
      </c>
      <c r="AH57" s="45">
        <f t="shared" si="24"/>
        <v>3.2973878289906996E-3</v>
      </c>
      <c r="AI57" s="45">
        <f t="shared" si="24"/>
        <v>6.7887396479220288E-3</v>
      </c>
      <c r="AJ57" s="45">
        <f t="shared" si="24"/>
        <v>1.0086127476912728E-2</v>
      </c>
      <c r="AK57" s="45">
        <f t="shared" si="24"/>
        <v>2.9094598491094408E-3</v>
      </c>
      <c r="AL57" s="45">
        <f t="shared" si="24"/>
        <v>3.6853158088719583E-3</v>
      </c>
      <c r="AN57" s="43">
        <v>2024</v>
      </c>
      <c r="AO57" s="46">
        <f t="shared" si="18"/>
        <v>4.6999999999999993E-3</v>
      </c>
    </row>
    <row r="58" spans="1:41" ht="15">
      <c r="A58" s="59">
        <f t="shared" si="19"/>
        <v>1.2689855476541827</v>
      </c>
      <c r="B58" s="43">
        <v>2025</v>
      </c>
      <c r="C58" s="45">
        <f t="shared" si="20"/>
        <v>0.14578574227420218</v>
      </c>
      <c r="D58" s="45">
        <f t="shared" si="20"/>
        <v>0.29551163974500444</v>
      </c>
      <c r="E58" s="45">
        <f t="shared" si="20"/>
        <v>0.42750683883110641</v>
      </c>
      <c r="F58" s="45">
        <f t="shared" si="20"/>
        <v>0.133965276684402</v>
      </c>
      <c r="G58" s="45">
        <f t="shared" si="20"/>
        <v>0.1595762854623024</v>
      </c>
      <c r="I58" s="43">
        <v>2025</v>
      </c>
      <c r="J58" s="45">
        <f t="shared" si="21"/>
        <v>3.1521241572800476E-3</v>
      </c>
      <c r="K58" s="45">
        <f t="shared" si="21"/>
        <v>6.3042483145600951E-3</v>
      </c>
      <c r="L58" s="45">
        <f t="shared" si="21"/>
        <v>1.004739575133015E-2</v>
      </c>
      <c r="M58" s="45">
        <f t="shared" si="21"/>
        <v>2.7581086376200414E-3</v>
      </c>
      <c r="N58" s="45">
        <f t="shared" si="21"/>
        <v>3.5461396769400533E-3</v>
      </c>
      <c r="P58" s="43">
        <v>2025</v>
      </c>
      <c r="Q58" s="45">
        <f t="shared" si="22"/>
        <v>5.1222017555800775E-3</v>
      </c>
      <c r="R58" s="45">
        <f t="shared" si="22"/>
        <v>1.5760620786400236E-2</v>
      </c>
      <c r="S58" s="45">
        <f t="shared" si="22"/>
        <v>2.3049907900110345E-2</v>
      </c>
      <c r="T58" s="45">
        <f t="shared" si="22"/>
        <v>3.940155196600059E-3</v>
      </c>
      <c r="U58" s="45">
        <f t="shared" si="22"/>
        <v>6.1072405547300916E-3</v>
      </c>
      <c r="W58" s="43">
        <v>2025</v>
      </c>
      <c r="X58" s="46">
        <f t="shared" si="17"/>
        <v>25.5425</v>
      </c>
      <c r="Z58" s="43">
        <v>2025</v>
      </c>
      <c r="AA58" s="45">
        <f t="shared" si="23"/>
        <v>5.3936784486258212E-3</v>
      </c>
      <c r="AB58" s="45">
        <f t="shared" si="23"/>
        <v>1.6595933688079448E-2</v>
      </c>
      <c r="AC58" s="45">
        <f t="shared" si="23"/>
        <v>2.4271553018816193E-2</v>
      </c>
      <c r="AD58" s="45">
        <f t="shared" si="23"/>
        <v>4.1489834220198619E-3</v>
      </c>
      <c r="AE58" s="45">
        <f t="shared" si="23"/>
        <v>6.4309243041307867E-3</v>
      </c>
      <c r="AG58" s="43">
        <v>2025</v>
      </c>
      <c r="AH58" s="45">
        <f t="shared" si="24"/>
        <v>3.0575604325616462E-3</v>
      </c>
      <c r="AI58" s="45">
        <f t="shared" si="24"/>
        <v>6.1151208651232924E-3</v>
      </c>
      <c r="AJ58" s="45">
        <f t="shared" si="24"/>
        <v>9.7459738787902452E-3</v>
      </c>
      <c r="AK58" s="45">
        <f t="shared" si="24"/>
        <v>2.6753653784914399E-3</v>
      </c>
      <c r="AL58" s="45">
        <f t="shared" si="24"/>
        <v>3.4397554866318516E-3</v>
      </c>
      <c r="AN58" s="43">
        <v>2025</v>
      </c>
      <c r="AO58" s="46">
        <f t="shared" si="18"/>
        <v>4.6999999999999993E-3</v>
      </c>
    </row>
    <row r="59" spans="1:41" ht="15">
      <c r="A59" s="59">
        <f t="shared" si="19"/>
        <v>1.2880203308689953</v>
      </c>
      <c r="B59" s="43">
        <v>2026</v>
      </c>
      <c r="C59" s="45">
        <f t="shared" si="20"/>
        <v>0.13392645742138135</v>
      </c>
      <c r="D59" s="45">
        <f t="shared" si="20"/>
        <v>0.2794986937489698</v>
      </c>
      <c r="E59" s="45">
        <f t="shared" si="20"/>
        <v>0.41730707747242018</v>
      </c>
      <c r="F59" s="45">
        <f t="shared" si="20"/>
        <v>0.12422164166620879</v>
      </c>
      <c r="G59" s="45">
        <f t="shared" si="20"/>
        <v>0.14945416262965747</v>
      </c>
      <c r="I59" s="43">
        <v>2026</v>
      </c>
      <c r="J59" s="45">
        <f t="shared" si="21"/>
        <v>2.9114447265517684E-3</v>
      </c>
      <c r="K59" s="45">
        <f t="shared" si="21"/>
        <v>6.0169857682069883E-3</v>
      </c>
      <c r="L59" s="45">
        <f t="shared" si="21"/>
        <v>9.8989120702760117E-3</v>
      </c>
      <c r="M59" s="45">
        <f t="shared" si="21"/>
        <v>2.3291557812414147E-3</v>
      </c>
      <c r="N59" s="45">
        <f t="shared" si="21"/>
        <v>3.1055410416552199E-3</v>
      </c>
      <c r="P59" s="43">
        <v>2026</v>
      </c>
      <c r="Q59" s="45">
        <f t="shared" si="22"/>
        <v>4.852407877586281E-3</v>
      </c>
      <c r="R59" s="45">
        <f t="shared" si="22"/>
        <v>1.4751319947862293E-2</v>
      </c>
      <c r="S59" s="45">
        <f t="shared" si="22"/>
        <v>2.2709268867103793E-2</v>
      </c>
      <c r="T59" s="45">
        <f t="shared" si="22"/>
        <v>3.4937336718621225E-3</v>
      </c>
      <c r="U59" s="45">
        <f t="shared" si="22"/>
        <v>5.6287931380000853E-3</v>
      </c>
      <c r="W59" s="43">
        <v>2026</v>
      </c>
      <c r="X59" s="46">
        <f t="shared" si="17"/>
        <v>25.5425</v>
      </c>
      <c r="Z59" s="43">
        <v>2026</v>
      </c>
      <c r="AA59" s="45">
        <f t="shared" si="23"/>
        <v>5.1095854950983536E-3</v>
      </c>
      <c r="AB59" s="45">
        <f t="shared" si="23"/>
        <v>1.5533139905098994E-2</v>
      </c>
      <c r="AC59" s="45">
        <f t="shared" si="23"/>
        <v>2.3912860117060293E-2</v>
      </c>
      <c r="AD59" s="45">
        <f t="shared" si="23"/>
        <v>3.6789015564708148E-3</v>
      </c>
      <c r="AE59" s="45">
        <f t="shared" si="23"/>
        <v>5.9271191743140899E-3</v>
      </c>
      <c r="AG59" s="43">
        <v>2026</v>
      </c>
      <c r="AH59" s="45">
        <f t="shared" si="24"/>
        <v>2.8241013847552158E-3</v>
      </c>
      <c r="AI59" s="45">
        <f t="shared" si="24"/>
        <v>5.8364761951607792E-3</v>
      </c>
      <c r="AJ59" s="45">
        <f t="shared" si="24"/>
        <v>9.6019447081677305E-3</v>
      </c>
      <c r="AK59" s="45">
        <f t="shared" si="24"/>
        <v>2.2592811078041724E-3</v>
      </c>
      <c r="AL59" s="45">
        <f t="shared" si="24"/>
        <v>3.0123748104055634E-3</v>
      </c>
      <c r="AN59" s="43">
        <v>2026</v>
      </c>
      <c r="AO59" s="46">
        <f t="shared" si="18"/>
        <v>4.6999999999999993E-3</v>
      </c>
    </row>
    <row r="60" spans="1:41" ht="15">
      <c r="A60" s="59">
        <f t="shared" si="19"/>
        <v>1.3073406358320301</v>
      </c>
      <c r="B60" s="43">
        <v>2027</v>
      </c>
      <c r="C60" s="45">
        <f t="shared" si="20"/>
        <v>0.12429813282487025</v>
      </c>
      <c r="D60" s="45">
        <f t="shared" si="20"/>
        <v>0.26389449738203219</v>
      </c>
      <c r="E60" s="45">
        <f t="shared" si="20"/>
        <v>0.40540314090573065</v>
      </c>
      <c r="F60" s="45">
        <f t="shared" si="20"/>
        <v>0.11473673799218792</v>
      </c>
      <c r="G60" s="45">
        <f t="shared" si="20"/>
        <v>0.1376840855906255</v>
      </c>
      <c r="I60" s="43">
        <v>2027</v>
      </c>
      <c r="J60" s="45">
        <f t="shared" si="21"/>
        <v>2.6771905531510513E-3</v>
      </c>
      <c r="K60" s="45">
        <f t="shared" si="21"/>
        <v>5.736836899609396E-3</v>
      </c>
      <c r="L60" s="45">
        <f t="shared" si="21"/>
        <v>9.7526227293359725E-3</v>
      </c>
      <c r="M60" s="45">
        <f t="shared" si="21"/>
        <v>2.103506863190112E-3</v>
      </c>
      <c r="N60" s="45">
        <f t="shared" si="21"/>
        <v>2.868418449804698E-3</v>
      </c>
      <c r="P60" s="43">
        <v>2027</v>
      </c>
      <c r="Q60" s="45">
        <f t="shared" si="22"/>
        <v>4.3982416230338699E-3</v>
      </c>
      <c r="R60" s="45">
        <f t="shared" si="22"/>
        <v>1.3959636455716197E-2</v>
      </c>
      <c r="S60" s="45">
        <f t="shared" si="22"/>
        <v>2.2373663908476643E-2</v>
      </c>
      <c r="T60" s="45">
        <f t="shared" si="22"/>
        <v>3.0596463464583447E-3</v>
      </c>
      <c r="U60" s="45">
        <f t="shared" si="22"/>
        <v>5.3543811063021026E-3</v>
      </c>
      <c r="W60" s="43">
        <v>2027</v>
      </c>
      <c r="X60" s="46">
        <f t="shared" si="17"/>
        <v>25.5425</v>
      </c>
      <c r="Z60" s="43">
        <v>2027</v>
      </c>
      <c r="AA60" s="45">
        <f t="shared" si="23"/>
        <v>4.6313484290546646E-3</v>
      </c>
      <c r="AB60" s="45">
        <f t="shared" si="23"/>
        <v>1.4699497187869155E-2</v>
      </c>
      <c r="AC60" s="45">
        <f t="shared" si="23"/>
        <v>2.3559468095625903E-2</v>
      </c>
      <c r="AD60" s="45">
        <f t="shared" si="23"/>
        <v>3.2218076028206369E-3</v>
      </c>
      <c r="AE60" s="45">
        <f t="shared" si="23"/>
        <v>5.6381633049361135E-3</v>
      </c>
      <c r="AG60" s="43">
        <v>2027</v>
      </c>
      <c r="AH60" s="45">
        <f t="shared" si="24"/>
        <v>2.5968748365565197E-3</v>
      </c>
      <c r="AI60" s="45">
        <f t="shared" si="24"/>
        <v>5.5647317926211144E-3</v>
      </c>
      <c r="AJ60" s="45">
        <f t="shared" si="24"/>
        <v>9.4600440474558924E-3</v>
      </c>
      <c r="AK60" s="45">
        <f t="shared" si="24"/>
        <v>2.0404016572944084E-3</v>
      </c>
      <c r="AL60" s="45">
        <f t="shared" si="24"/>
        <v>2.7823658963105572E-3</v>
      </c>
      <c r="AN60" s="43">
        <v>2027</v>
      </c>
      <c r="AO60" s="46">
        <f t="shared" si="18"/>
        <v>4.6999999999999993E-3</v>
      </c>
    </row>
    <row r="61" spans="1:41" ht="15">
      <c r="A61" s="59">
        <f t="shared" si="19"/>
        <v>1.3269507453695104</v>
      </c>
      <c r="B61" s="43">
        <v>2028</v>
      </c>
      <c r="C61" s="45">
        <f t="shared" si="20"/>
        <v>0.11492513986081221</v>
      </c>
      <c r="D61" s="45">
        <f t="shared" si="20"/>
        <v>0.24869046658405267</v>
      </c>
      <c r="E61" s="45">
        <f t="shared" si="20"/>
        <v>0.39375990542475003</v>
      </c>
      <c r="F61" s="45">
        <f t="shared" si="20"/>
        <v>0.1055050464295981</v>
      </c>
      <c r="G61" s="45">
        <f t="shared" si="20"/>
        <v>0.12811327066451197</v>
      </c>
      <c r="I61" s="43">
        <v>2028</v>
      </c>
      <c r="J61" s="45">
        <f t="shared" si="21"/>
        <v>2.44922429211567E-3</v>
      </c>
      <c r="K61" s="45">
        <f t="shared" si="21"/>
        <v>5.2752523214799046E-3</v>
      </c>
      <c r="L61" s="45">
        <f t="shared" si="21"/>
        <v>9.4200934312141157E-3</v>
      </c>
      <c r="M61" s="45">
        <f t="shared" si="21"/>
        <v>1.8840186862428233E-3</v>
      </c>
      <c r="N61" s="45">
        <f t="shared" si="21"/>
        <v>2.6376261607399523E-3</v>
      </c>
      <c r="P61" s="43">
        <v>2028</v>
      </c>
      <c r="Q61" s="45">
        <f t="shared" si="22"/>
        <v>3.9564392411099289E-3</v>
      </c>
      <c r="R61" s="45">
        <f t="shared" si="22"/>
        <v>1.2999728935075481E-2</v>
      </c>
      <c r="S61" s="45">
        <f t="shared" si="22"/>
        <v>2.2043018629041029E-2</v>
      </c>
      <c r="T61" s="45">
        <f t="shared" si="22"/>
        <v>2.826028029364235E-3</v>
      </c>
      <c r="U61" s="45">
        <f t="shared" si="22"/>
        <v>4.8984485842313401E-3</v>
      </c>
      <c r="W61" s="43">
        <v>2028</v>
      </c>
      <c r="X61" s="46">
        <f t="shared" si="17"/>
        <v>25.5425</v>
      </c>
      <c r="Z61" s="43">
        <v>2028</v>
      </c>
      <c r="AA61" s="45">
        <f t="shared" si="23"/>
        <v>4.1661305208887554E-3</v>
      </c>
      <c r="AB61" s="45">
        <f t="shared" si="23"/>
        <v>1.3688714568634481E-2</v>
      </c>
      <c r="AC61" s="45">
        <f t="shared" si="23"/>
        <v>2.3211298616380202E-2</v>
      </c>
      <c r="AD61" s="45">
        <f t="shared" si="23"/>
        <v>2.975807514920539E-3</v>
      </c>
      <c r="AE61" s="45">
        <f t="shared" si="23"/>
        <v>5.1580663591956014E-3</v>
      </c>
      <c r="AG61" s="43">
        <v>2028</v>
      </c>
      <c r="AH61" s="45">
        <f t="shared" si="24"/>
        <v>2.3757475633522001E-3</v>
      </c>
      <c r="AI61" s="45">
        <f t="shared" si="24"/>
        <v>5.1169947518355076E-3</v>
      </c>
      <c r="AJ61" s="45">
        <f t="shared" si="24"/>
        <v>9.1374906282776919E-3</v>
      </c>
      <c r="AK61" s="45">
        <f t="shared" si="24"/>
        <v>1.8274981256555384E-3</v>
      </c>
      <c r="AL61" s="45">
        <f t="shared" si="24"/>
        <v>2.5584973759177538E-3</v>
      </c>
      <c r="AN61" s="43">
        <v>2028</v>
      </c>
      <c r="AO61" s="46">
        <f t="shared" si="18"/>
        <v>4.6999999999999993E-3</v>
      </c>
    </row>
    <row r="62" spans="1:41" ht="15">
      <c r="A62" s="59">
        <f t="shared" si="19"/>
        <v>1.3468550065500529</v>
      </c>
      <c r="B62" s="43">
        <v>2029</v>
      </c>
      <c r="C62" s="45">
        <f t="shared" ref="C62:G71" si="25">C24/(400*$A62)</f>
        <v>0.10580203459688763</v>
      </c>
      <c r="D62" s="45">
        <f t="shared" si="25"/>
        <v>0.23387818174048844</v>
      </c>
      <c r="E62" s="45">
        <f t="shared" si="25"/>
        <v>0.38237226538524299</v>
      </c>
      <c r="F62" s="45">
        <f t="shared" si="25"/>
        <v>9.6521154369090464E-2</v>
      </c>
      <c r="G62" s="45">
        <f t="shared" si="25"/>
        <v>0.11879526691580365</v>
      </c>
      <c r="I62" s="43">
        <v>2029</v>
      </c>
      <c r="J62" s="45">
        <f t="shared" ref="J62:N71" si="26">J24/(400*$A62)</f>
        <v>2.0417936501153752E-3</v>
      </c>
      <c r="K62" s="45">
        <f t="shared" si="26"/>
        <v>5.0116753230104666E-3</v>
      </c>
      <c r="L62" s="45">
        <f t="shared" si="26"/>
        <v>9.2808802277971596E-3</v>
      </c>
      <c r="M62" s="45">
        <f t="shared" si="26"/>
        <v>1.6705584410034889E-3</v>
      </c>
      <c r="N62" s="45">
        <f t="shared" si="26"/>
        <v>2.4130288592272616E-3</v>
      </c>
      <c r="P62" s="43">
        <v>2029</v>
      </c>
      <c r="Q62" s="45">
        <f t="shared" ref="Q62:U71" si="27">Q24/(400*$A62)</f>
        <v>3.7123520911188641E-3</v>
      </c>
      <c r="R62" s="45">
        <f t="shared" si="27"/>
        <v>1.2065144296136308E-2</v>
      </c>
      <c r="S62" s="45">
        <f t="shared" si="27"/>
        <v>2.1717259733045353E-2</v>
      </c>
      <c r="T62" s="45">
        <f t="shared" si="27"/>
        <v>2.4130288592272616E-3</v>
      </c>
      <c r="U62" s="45">
        <f t="shared" si="27"/>
        <v>4.4548225093426364E-3</v>
      </c>
      <c r="W62" s="43">
        <v>2029</v>
      </c>
      <c r="X62" s="46">
        <f t="shared" si="17"/>
        <v>25.5425</v>
      </c>
      <c r="Z62" s="43">
        <v>2029</v>
      </c>
      <c r="AA62" s="45">
        <f t="shared" ref="AA62:AE71" si="28">AA24/(400*$A62)</f>
        <v>3.9091067519481633E-3</v>
      </c>
      <c r="AB62" s="45">
        <f t="shared" si="28"/>
        <v>1.2704596943831532E-2</v>
      </c>
      <c r="AC62" s="45">
        <f t="shared" si="28"/>
        <v>2.2868274498896755E-2</v>
      </c>
      <c r="AD62" s="45">
        <f t="shared" si="28"/>
        <v>2.5409193887663065E-3</v>
      </c>
      <c r="AE62" s="45">
        <f t="shared" si="28"/>
        <v>4.6909281023377958E-3</v>
      </c>
      <c r="AG62" s="43">
        <v>2029</v>
      </c>
      <c r="AH62" s="45">
        <f t="shared" ref="AH62:AL71" si="29">AH24/(400*$A62)</f>
        <v>1.9805398406119138E-3</v>
      </c>
      <c r="AI62" s="45">
        <f t="shared" si="29"/>
        <v>4.8613250633201526E-3</v>
      </c>
      <c r="AJ62" s="45">
        <f t="shared" si="29"/>
        <v>9.0024538209632441E-3</v>
      </c>
      <c r="AK62" s="45">
        <f t="shared" si="29"/>
        <v>1.6204416877733841E-3</v>
      </c>
      <c r="AL62" s="45">
        <f t="shared" si="29"/>
        <v>2.3406379934504434E-3</v>
      </c>
      <c r="AN62" s="43">
        <v>2029</v>
      </c>
      <c r="AO62" s="46">
        <f t="shared" si="18"/>
        <v>4.6999999999999993E-3</v>
      </c>
    </row>
    <row r="63" spans="1:41" ht="15">
      <c r="A63" s="59">
        <f t="shared" si="19"/>
        <v>1.3670578316483035</v>
      </c>
      <c r="B63" s="43">
        <v>2030</v>
      </c>
      <c r="C63" s="45">
        <f t="shared" si="25"/>
        <v>9.692347824103438E-2</v>
      </c>
      <c r="D63" s="45">
        <f t="shared" si="25"/>
        <v>0.21762063982420926</v>
      </c>
      <c r="E63" s="45">
        <f t="shared" si="25"/>
        <v>0.3712352091118864</v>
      </c>
      <c r="F63" s="45">
        <f t="shared" si="25"/>
        <v>8.9608498751144988E-2</v>
      </c>
      <c r="G63" s="45">
        <f t="shared" si="25"/>
        <v>0.10972469234834081</v>
      </c>
      <c r="I63" s="43">
        <v>2030</v>
      </c>
      <c r="J63" s="45">
        <f t="shared" si="26"/>
        <v>1.8287448724723467E-3</v>
      </c>
      <c r="K63" s="45">
        <f t="shared" si="26"/>
        <v>4.5718621811808666E-3</v>
      </c>
      <c r="L63" s="45">
        <f t="shared" si="26"/>
        <v>8.9608498751144999E-3</v>
      </c>
      <c r="M63" s="45">
        <f t="shared" si="26"/>
        <v>1.4629958979778775E-3</v>
      </c>
      <c r="N63" s="45">
        <f t="shared" si="26"/>
        <v>2.1944938469668162E-3</v>
      </c>
      <c r="P63" s="43">
        <v>2030</v>
      </c>
      <c r="Q63" s="45">
        <f t="shared" si="27"/>
        <v>3.4746152576974588E-3</v>
      </c>
      <c r="R63" s="45">
        <f t="shared" si="27"/>
        <v>1.133821820932855E-2</v>
      </c>
      <c r="S63" s="45">
        <f t="shared" si="27"/>
        <v>2.1396315007926457E-2</v>
      </c>
      <c r="T63" s="45">
        <f t="shared" si="27"/>
        <v>2.1944938469668162E-3</v>
      </c>
      <c r="U63" s="45">
        <f t="shared" si="27"/>
        <v>4.2061132066863972E-3</v>
      </c>
      <c r="W63" s="43">
        <v>2030</v>
      </c>
      <c r="X63" s="46">
        <f t="shared" si="17"/>
        <v>25.5425</v>
      </c>
      <c r="Z63" s="43">
        <v>2030</v>
      </c>
      <c r="AA63" s="45">
        <f t="shared" si="28"/>
        <v>3.6587698663554237E-3</v>
      </c>
      <c r="AB63" s="45">
        <f t="shared" si="28"/>
        <v>1.1939143774422963E-2</v>
      </c>
      <c r="AC63" s="45">
        <f t="shared" si="28"/>
        <v>2.2530319703346558E-2</v>
      </c>
      <c r="AD63" s="45">
        <f t="shared" si="28"/>
        <v>2.3108020208560572E-3</v>
      </c>
      <c r="AE63" s="45">
        <f t="shared" si="28"/>
        <v>4.4290372066407759E-3</v>
      </c>
      <c r="AG63" s="43">
        <v>2030</v>
      </c>
      <c r="AH63" s="45">
        <f t="shared" si="29"/>
        <v>1.7738825262981763E-3</v>
      </c>
      <c r="AI63" s="45">
        <f t="shared" si="29"/>
        <v>4.4347063157454403E-3</v>
      </c>
      <c r="AJ63" s="45">
        <f t="shared" si="29"/>
        <v>8.6920243788610654E-3</v>
      </c>
      <c r="AK63" s="45">
        <f t="shared" si="29"/>
        <v>1.4191060210385412E-3</v>
      </c>
      <c r="AL63" s="45">
        <f t="shared" si="29"/>
        <v>2.1286590315578117E-3</v>
      </c>
      <c r="AN63" s="43">
        <v>2030</v>
      </c>
      <c r="AO63" s="46">
        <f t="shared" si="18"/>
        <v>4.6999999999999993E-3</v>
      </c>
    </row>
    <row r="64" spans="1:41" ht="15">
      <c r="A64" s="59">
        <f t="shared" si="19"/>
        <v>1.387563699123028</v>
      </c>
      <c r="B64" s="43">
        <v>2031</v>
      </c>
      <c r="C64" s="45">
        <f t="shared" si="25"/>
        <v>8.8284235222802959E-2</v>
      </c>
      <c r="D64" s="45">
        <f t="shared" si="25"/>
        <v>0.20179253765212105</v>
      </c>
      <c r="E64" s="45">
        <f t="shared" si="25"/>
        <v>0.36034381723593045</v>
      </c>
      <c r="F64" s="45">
        <f t="shared" si="25"/>
        <v>8.2879077964263997E-2</v>
      </c>
      <c r="G64" s="45">
        <f t="shared" si="25"/>
        <v>0.10089626882606052</v>
      </c>
      <c r="I64" s="43">
        <v>2031</v>
      </c>
      <c r="J64" s="45">
        <f t="shared" si="26"/>
        <v>1.8017190861796522E-3</v>
      </c>
      <c r="K64" s="45">
        <f t="shared" si="26"/>
        <v>4.3241258068311651E-3</v>
      </c>
      <c r="L64" s="45">
        <f t="shared" si="26"/>
        <v>8.6482516136623302E-3</v>
      </c>
      <c r="M64" s="45">
        <f t="shared" si="26"/>
        <v>1.2612033603257564E-3</v>
      </c>
      <c r="N64" s="45">
        <f t="shared" si="26"/>
        <v>1.9818909947976176E-3</v>
      </c>
      <c r="P64" s="43">
        <v>2031</v>
      </c>
      <c r="Q64" s="45">
        <f t="shared" si="27"/>
        <v>3.0629224465054086E-3</v>
      </c>
      <c r="R64" s="45">
        <f t="shared" si="27"/>
        <v>1.0449970699841982E-2</v>
      </c>
      <c r="S64" s="45">
        <f t="shared" si="27"/>
        <v>2.108011330830193E-2</v>
      </c>
      <c r="T64" s="45">
        <f t="shared" si="27"/>
        <v>1.9818909947976176E-3</v>
      </c>
      <c r="U64" s="45">
        <f t="shared" si="27"/>
        <v>3.9637819895952352E-3</v>
      </c>
      <c r="W64" s="43">
        <v>2031</v>
      </c>
      <c r="X64" s="46">
        <f t="shared" si="17"/>
        <v>25.5425</v>
      </c>
      <c r="Z64" s="43">
        <v>2031</v>
      </c>
      <c r="AA64" s="45">
        <f t="shared" si="28"/>
        <v>3.225257336170195E-3</v>
      </c>
      <c r="AB64" s="45">
        <f t="shared" si="28"/>
        <v>1.1003819146933607E-2</v>
      </c>
      <c r="AC64" s="45">
        <f t="shared" si="28"/>
        <v>2.2197359313641932E-2</v>
      </c>
      <c r="AD64" s="45">
        <f t="shared" si="28"/>
        <v>2.0869312175218913E-3</v>
      </c>
      <c r="AE64" s="45">
        <f t="shared" si="28"/>
        <v>4.1738624350437827E-3</v>
      </c>
      <c r="AG64" s="43">
        <v>2031</v>
      </c>
      <c r="AH64" s="45">
        <f t="shared" si="29"/>
        <v>1.7476675135942627E-3</v>
      </c>
      <c r="AI64" s="45">
        <f t="shared" si="29"/>
        <v>4.1944020326262306E-3</v>
      </c>
      <c r="AJ64" s="45">
        <f t="shared" si="29"/>
        <v>8.3888040652524611E-3</v>
      </c>
      <c r="AK64" s="45">
        <f t="shared" si="29"/>
        <v>1.2233672595159837E-3</v>
      </c>
      <c r="AL64" s="45">
        <f t="shared" si="29"/>
        <v>1.922434264953689E-3</v>
      </c>
      <c r="AN64" s="43">
        <v>2031</v>
      </c>
      <c r="AO64" s="46">
        <f t="shared" si="18"/>
        <v>4.6999999999999993E-3</v>
      </c>
    </row>
    <row r="65" spans="1:41" ht="15">
      <c r="A65" s="59">
        <f t="shared" si="19"/>
        <v>1.4083771546098733</v>
      </c>
      <c r="B65" s="43">
        <v>2032</v>
      </c>
      <c r="C65" s="45">
        <f t="shared" si="25"/>
        <v>8.1654264004200991E-2</v>
      </c>
      <c r="D65" s="45">
        <f t="shared" si="25"/>
        <v>0.18638473305306749</v>
      </c>
      <c r="E65" s="45">
        <f t="shared" si="25"/>
        <v>0.34969326106146947</v>
      </c>
      <c r="F65" s="45">
        <f t="shared" si="25"/>
        <v>7.4553893221226991E-2</v>
      </c>
      <c r="G65" s="45">
        <f t="shared" si="25"/>
        <v>9.2304820178661984E-2</v>
      </c>
      <c r="I65" s="43">
        <v>2032</v>
      </c>
      <c r="J65" s="45">
        <f t="shared" si="26"/>
        <v>1.59758342616915E-3</v>
      </c>
      <c r="K65" s="45">
        <f t="shared" si="26"/>
        <v>3.9052039306356999E-3</v>
      </c>
      <c r="L65" s="45">
        <f t="shared" si="26"/>
        <v>8.520444939568798E-3</v>
      </c>
      <c r="M65" s="45">
        <f t="shared" si="26"/>
        <v>1.2425648870204498E-3</v>
      </c>
      <c r="N65" s="45">
        <f t="shared" si="26"/>
        <v>1.7750926957434997E-3</v>
      </c>
      <c r="P65" s="43">
        <v>2032</v>
      </c>
      <c r="Q65" s="45">
        <f t="shared" si="27"/>
        <v>2.8401483131895999E-3</v>
      </c>
      <c r="R65" s="45">
        <f t="shared" si="27"/>
        <v>9.7630098265892497E-3</v>
      </c>
      <c r="S65" s="45">
        <f t="shared" si="27"/>
        <v>2.0768584540198948E-2</v>
      </c>
      <c r="T65" s="45">
        <f t="shared" si="27"/>
        <v>1.7750926957434997E-3</v>
      </c>
      <c r="U65" s="45">
        <f t="shared" si="27"/>
        <v>3.5501853914869995E-3</v>
      </c>
      <c r="W65" s="43">
        <v>2032</v>
      </c>
      <c r="X65" s="46">
        <f t="shared" si="17"/>
        <v>25.5425</v>
      </c>
      <c r="Z65" s="43">
        <v>2032</v>
      </c>
      <c r="AA65" s="45">
        <f t="shared" si="28"/>
        <v>2.9906761737886487E-3</v>
      </c>
      <c r="AB65" s="45">
        <f t="shared" si="28"/>
        <v>1.0280449347398479E-2</v>
      </c>
      <c r="AC65" s="45">
        <f t="shared" si="28"/>
        <v>2.1869319520829489E-2</v>
      </c>
      <c r="AD65" s="45">
        <f t="shared" si="28"/>
        <v>1.8691726086179051E-3</v>
      </c>
      <c r="AE65" s="45">
        <f t="shared" si="28"/>
        <v>3.7383452172358102E-3</v>
      </c>
      <c r="AG65" s="43">
        <v>2032</v>
      </c>
      <c r="AH65" s="45">
        <f t="shared" si="29"/>
        <v>1.5496559233840754E-3</v>
      </c>
      <c r="AI65" s="45">
        <f t="shared" si="29"/>
        <v>3.7880478127166285E-3</v>
      </c>
      <c r="AJ65" s="45">
        <f t="shared" si="29"/>
        <v>8.2648315913817338E-3</v>
      </c>
      <c r="AK65" s="45">
        <f t="shared" si="29"/>
        <v>1.2052879404098364E-3</v>
      </c>
      <c r="AL65" s="45">
        <f t="shared" si="29"/>
        <v>1.7218399148711948E-3</v>
      </c>
      <c r="AN65" s="43">
        <v>2032</v>
      </c>
      <c r="AO65" s="46">
        <f t="shared" si="18"/>
        <v>4.6999999999999993E-3</v>
      </c>
    </row>
    <row r="66" spans="1:41" ht="15">
      <c r="A66" s="59">
        <f t="shared" si="19"/>
        <v>1.4295028119290214</v>
      </c>
      <c r="B66" s="43">
        <v>2033</v>
      </c>
      <c r="C66" s="45">
        <f t="shared" si="25"/>
        <v>7.5200971346768966E-2</v>
      </c>
      <c r="D66" s="45">
        <f t="shared" si="25"/>
        <v>0.17138826027868276</v>
      </c>
      <c r="E66" s="45">
        <f t="shared" si="25"/>
        <v>0.33752994116107932</v>
      </c>
      <c r="F66" s="45">
        <f t="shared" si="25"/>
        <v>6.8205532151720691E-2</v>
      </c>
      <c r="G66" s="45">
        <f t="shared" si="25"/>
        <v>8.5694130139341379E-2</v>
      </c>
      <c r="I66" s="43">
        <v>2033</v>
      </c>
      <c r="J66" s="45">
        <f t="shared" si="26"/>
        <v>1.3990878390096552E-3</v>
      </c>
      <c r="K66" s="45">
        <f t="shared" si="26"/>
        <v>3.6726055774003448E-3</v>
      </c>
      <c r="L66" s="45">
        <f t="shared" si="26"/>
        <v>8.2196410541817248E-3</v>
      </c>
      <c r="M66" s="45">
        <f t="shared" si="26"/>
        <v>1.0493158792572413E-3</v>
      </c>
      <c r="N66" s="45">
        <f t="shared" si="26"/>
        <v>1.5739738188858621E-3</v>
      </c>
      <c r="P66" s="43">
        <v>2033</v>
      </c>
      <c r="Q66" s="45">
        <f t="shared" si="27"/>
        <v>2.6232896981431032E-3</v>
      </c>
      <c r="R66" s="45">
        <f t="shared" si="27"/>
        <v>8.9191849736865517E-3</v>
      </c>
      <c r="S66" s="45">
        <f t="shared" si="27"/>
        <v>2.0461659645516207E-2</v>
      </c>
      <c r="T66" s="45">
        <f t="shared" si="27"/>
        <v>1.5739738188858621E-3</v>
      </c>
      <c r="U66" s="45">
        <f t="shared" si="27"/>
        <v>3.3228336176479309E-3</v>
      </c>
      <c r="W66" s="43">
        <v>2033</v>
      </c>
      <c r="X66" s="46">
        <f t="shared" si="17"/>
        <v>25.5425</v>
      </c>
      <c r="Z66" s="43">
        <v>2033</v>
      </c>
      <c r="AA66" s="45">
        <f t="shared" si="28"/>
        <v>2.7623240521446879E-3</v>
      </c>
      <c r="AB66" s="45">
        <f t="shared" si="28"/>
        <v>9.3919017772919385E-3</v>
      </c>
      <c r="AC66" s="45">
        <f t="shared" si="28"/>
        <v>2.1546127606728561E-2</v>
      </c>
      <c r="AD66" s="45">
        <f t="shared" si="28"/>
        <v>1.6573944312868127E-3</v>
      </c>
      <c r="AE66" s="45">
        <f t="shared" si="28"/>
        <v>3.498943799383271E-3</v>
      </c>
      <c r="AG66" s="43">
        <v>2033</v>
      </c>
      <c r="AH66" s="45">
        <f t="shared" si="29"/>
        <v>1.3571152038393656E-3</v>
      </c>
      <c r="AI66" s="45">
        <f t="shared" si="29"/>
        <v>3.5624274100783341E-3</v>
      </c>
      <c r="AJ66" s="45">
        <f t="shared" si="29"/>
        <v>7.9730518225562732E-3</v>
      </c>
      <c r="AK66" s="45">
        <f t="shared" si="29"/>
        <v>1.0178364028795241E-3</v>
      </c>
      <c r="AL66" s="45">
        <f t="shared" si="29"/>
        <v>1.5267546043192862E-3</v>
      </c>
      <c r="AN66" s="43">
        <v>2033</v>
      </c>
      <c r="AO66" s="46">
        <f t="shared" si="18"/>
        <v>4.6999999999999993E-3</v>
      </c>
    </row>
    <row r="67" spans="1:41" ht="15">
      <c r="A67" s="59">
        <f t="shared" si="19"/>
        <v>1.4509453541079567</v>
      </c>
      <c r="B67" s="43">
        <v>2034</v>
      </c>
      <c r="C67" s="45">
        <f t="shared" si="25"/>
        <v>6.8920583202446067E-2</v>
      </c>
      <c r="D67" s="45">
        <f t="shared" si="25"/>
        <v>0.15679432678556482</v>
      </c>
      <c r="E67" s="45">
        <f t="shared" si="25"/>
        <v>0.32737277021161887</v>
      </c>
      <c r="F67" s="45">
        <f t="shared" si="25"/>
        <v>6.2028524882201466E-2</v>
      </c>
      <c r="G67" s="45">
        <f t="shared" si="25"/>
        <v>7.9258670682812976E-2</v>
      </c>
      <c r="I67" s="43">
        <v>2034</v>
      </c>
      <c r="J67" s="45">
        <f t="shared" si="26"/>
        <v>1.2061102060428061E-3</v>
      </c>
      <c r="K67" s="45">
        <f t="shared" si="26"/>
        <v>3.2737277021161883E-3</v>
      </c>
      <c r="L67" s="45">
        <f t="shared" si="26"/>
        <v>7.9258670682812969E-3</v>
      </c>
      <c r="M67" s="45">
        <f t="shared" si="26"/>
        <v>1.033808748036691E-3</v>
      </c>
      <c r="N67" s="45">
        <f t="shared" si="26"/>
        <v>1.5507131220550367E-3</v>
      </c>
      <c r="P67" s="43">
        <v>2034</v>
      </c>
      <c r="Q67" s="45">
        <f t="shared" si="27"/>
        <v>2.4122204120856122E-3</v>
      </c>
      <c r="R67" s="45">
        <f t="shared" si="27"/>
        <v>8.098168526287414E-3</v>
      </c>
      <c r="S67" s="45">
        <f t="shared" si="27"/>
        <v>2.0159270586715475E-2</v>
      </c>
      <c r="T67" s="45">
        <f t="shared" si="27"/>
        <v>1.3784116640489215E-3</v>
      </c>
      <c r="U67" s="45">
        <f t="shared" si="27"/>
        <v>3.1014262441100733E-3</v>
      </c>
      <c r="W67" s="43">
        <v>2034</v>
      </c>
      <c r="X67" s="46">
        <f t="shared" si="17"/>
        <v>25.5425</v>
      </c>
      <c r="Z67" s="43">
        <v>2034</v>
      </c>
      <c r="AA67" s="45">
        <f t="shared" si="28"/>
        <v>2.5400680939261493E-3</v>
      </c>
      <c r="AB67" s="45">
        <f t="shared" si="28"/>
        <v>8.5273714581806451E-3</v>
      </c>
      <c r="AC67" s="45">
        <f t="shared" si="28"/>
        <v>2.1227711927811393E-2</v>
      </c>
      <c r="AD67" s="45">
        <f t="shared" si="28"/>
        <v>1.4514674822435143E-3</v>
      </c>
      <c r="AE67" s="45">
        <f t="shared" si="28"/>
        <v>3.2658018350479072E-3</v>
      </c>
      <c r="AG67" s="43">
        <v>2034</v>
      </c>
      <c r="AH67" s="45">
        <f t="shared" si="29"/>
        <v>1.1699268998615221E-3</v>
      </c>
      <c r="AI67" s="45">
        <f t="shared" si="29"/>
        <v>3.1755158710527029E-3</v>
      </c>
      <c r="AJ67" s="45">
        <f t="shared" si="29"/>
        <v>7.6880910562328588E-3</v>
      </c>
      <c r="AK67" s="45">
        <f t="shared" si="29"/>
        <v>1.0027944855955902E-3</v>
      </c>
      <c r="AL67" s="45">
        <f t="shared" si="29"/>
        <v>1.5041917283933855E-3</v>
      </c>
      <c r="AN67" s="43">
        <v>2034</v>
      </c>
      <c r="AO67" s="46">
        <f t="shared" si="18"/>
        <v>4.6999999999999993E-3</v>
      </c>
    </row>
    <row r="68" spans="1:41" ht="15">
      <c r="A68" s="59">
        <f t="shared" si="19"/>
        <v>1.472709534419576</v>
      </c>
      <c r="B68" s="43">
        <v>2035</v>
      </c>
      <c r="C68" s="45">
        <f t="shared" si="25"/>
        <v>6.2809398484987802E-2</v>
      </c>
      <c r="D68" s="45">
        <f t="shared" si="25"/>
        <v>0.14259431007402634</v>
      </c>
      <c r="E68" s="45">
        <f t="shared" si="25"/>
        <v>0.31744209504574911</v>
      </c>
      <c r="F68" s="45">
        <f t="shared" si="25"/>
        <v>5.6019193243367495E-2</v>
      </c>
      <c r="G68" s="45">
        <f t="shared" si="25"/>
        <v>7.2994706347418253E-2</v>
      </c>
      <c r="I68" s="43">
        <v>2035</v>
      </c>
      <c r="J68" s="45">
        <f t="shared" si="26"/>
        <v>1.1882859172835528E-3</v>
      </c>
      <c r="K68" s="45">
        <f t="shared" si="26"/>
        <v>2.8858372276886284E-3</v>
      </c>
      <c r="L68" s="45">
        <f t="shared" si="26"/>
        <v>7.8087360278633472E-3</v>
      </c>
      <c r="M68" s="45">
        <f t="shared" si="26"/>
        <v>8.487756552025378E-4</v>
      </c>
      <c r="N68" s="45">
        <f t="shared" si="26"/>
        <v>1.3580410483240606E-3</v>
      </c>
      <c r="P68" s="43">
        <v>2035</v>
      </c>
      <c r="Q68" s="45">
        <f t="shared" si="27"/>
        <v>2.2068167035265984E-3</v>
      </c>
      <c r="R68" s="45">
        <f t="shared" si="27"/>
        <v>7.4692257657823329E-3</v>
      </c>
      <c r="S68" s="45">
        <f t="shared" si="27"/>
        <v>1.9861350331739382E-2</v>
      </c>
      <c r="T68" s="45">
        <f t="shared" si="27"/>
        <v>1.1882859172835528E-3</v>
      </c>
      <c r="U68" s="45">
        <f t="shared" si="27"/>
        <v>2.8858372276886284E-3</v>
      </c>
      <c r="W68" s="43">
        <v>2035</v>
      </c>
      <c r="X68" s="46">
        <f t="shared" si="17"/>
        <v>25.5425</v>
      </c>
      <c r="Z68" s="43">
        <v>2035</v>
      </c>
      <c r="AA68" s="45">
        <f t="shared" si="28"/>
        <v>2.323777988813508E-3</v>
      </c>
      <c r="AB68" s="45">
        <f t="shared" si="28"/>
        <v>7.8650947313687967E-3</v>
      </c>
      <c r="AC68" s="45">
        <f t="shared" si="28"/>
        <v>2.091400189932157E-2</v>
      </c>
      <c r="AD68" s="45">
        <f t="shared" si="28"/>
        <v>1.251265070899581E-3</v>
      </c>
      <c r="AE68" s="45">
        <f t="shared" si="28"/>
        <v>3.0387866007561253E-3</v>
      </c>
      <c r="AG68" s="43">
        <v>2035</v>
      </c>
      <c r="AH68" s="45">
        <f t="shared" si="29"/>
        <v>1.1526373397650462E-3</v>
      </c>
      <c r="AI68" s="45">
        <f t="shared" si="29"/>
        <v>2.7992621108579698E-3</v>
      </c>
      <c r="AJ68" s="45">
        <f t="shared" si="29"/>
        <v>7.5744739470274469E-3</v>
      </c>
      <c r="AK68" s="45">
        <f t="shared" si="29"/>
        <v>8.233123855464616E-4</v>
      </c>
      <c r="AL68" s="45">
        <f t="shared" si="29"/>
        <v>1.3172998168743386E-3</v>
      </c>
      <c r="AN68" s="43">
        <v>2035</v>
      </c>
      <c r="AO68" s="46">
        <f t="shared" si="18"/>
        <v>4.6999999999999993E-3</v>
      </c>
    </row>
    <row r="69" spans="1:41" ht="15">
      <c r="A69" s="59">
        <f t="shared" si="19"/>
        <v>1.4948001774358695</v>
      </c>
      <c r="B69" s="43">
        <v>2036</v>
      </c>
      <c r="C69" s="45">
        <f t="shared" si="25"/>
        <v>5.8536252082933643E-2</v>
      </c>
      <c r="D69" s="45">
        <f t="shared" si="25"/>
        <v>0.12877975458245403</v>
      </c>
      <c r="E69" s="45">
        <f t="shared" si="25"/>
        <v>0.30773343952170829</v>
      </c>
      <c r="F69" s="45">
        <f t="shared" si="25"/>
        <v>5.0173930356800268E-2</v>
      </c>
      <c r="G69" s="45">
        <f t="shared" si="25"/>
        <v>6.6898573809067025E-2</v>
      </c>
      <c r="I69" s="43">
        <v>2036</v>
      </c>
      <c r="J69" s="45">
        <f t="shared" si="26"/>
        <v>1.0034786071360052E-3</v>
      </c>
      <c r="K69" s="45">
        <f t="shared" si="26"/>
        <v>2.6759429523626811E-3</v>
      </c>
      <c r="L69" s="45">
        <f t="shared" si="26"/>
        <v>7.5260895535200403E-3</v>
      </c>
      <c r="M69" s="45">
        <f t="shared" si="26"/>
        <v>8.3623217261333781E-4</v>
      </c>
      <c r="N69" s="45">
        <f t="shared" si="26"/>
        <v>1.1707250416586729E-3</v>
      </c>
      <c r="P69" s="43">
        <v>2036</v>
      </c>
      <c r="Q69" s="45">
        <f t="shared" si="27"/>
        <v>2.0069572142720105E-3</v>
      </c>
      <c r="R69" s="45">
        <f t="shared" si="27"/>
        <v>6.6898573809067025E-3</v>
      </c>
      <c r="S69" s="45">
        <f t="shared" si="27"/>
        <v>1.9567832839152102E-2</v>
      </c>
      <c r="T69" s="45">
        <f t="shared" si="27"/>
        <v>1.1707250416586729E-3</v>
      </c>
      <c r="U69" s="45">
        <f t="shared" si="27"/>
        <v>2.6759429523626811E-3</v>
      </c>
      <c r="W69" s="43">
        <v>2036</v>
      </c>
      <c r="X69" s="46">
        <f t="shared" si="17"/>
        <v>25.5425</v>
      </c>
      <c r="Z69" s="43">
        <v>2036</v>
      </c>
      <c r="AA69" s="45">
        <f t="shared" si="28"/>
        <v>2.1133259466284268E-3</v>
      </c>
      <c r="AB69" s="45">
        <f t="shared" si="28"/>
        <v>7.0444198220947565E-3</v>
      </c>
      <c r="AC69" s="45">
        <f t="shared" si="28"/>
        <v>2.0604927979627163E-2</v>
      </c>
      <c r="AD69" s="45">
        <f t="shared" si="28"/>
        <v>1.2327734688665822E-3</v>
      </c>
      <c r="AE69" s="45">
        <f t="shared" si="28"/>
        <v>2.817767928837903E-3</v>
      </c>
      <c r="AG69" s="43">
        <v>2036</v>
      </c>
      <c r="AH69" s="45">
        <f t="shared" si="29"/>
        <v>9.7337424892192511E-4</v>
      </c>
      <c r="AI69" s="45">
        <f t="shared" si="29"/>
        <v>2.5956646637918007E-3</v>
      </c>
      <c r="AJ69" s="45">
        <f t="shared" si="29"/>
        <v>7.300306866914439E-3</v>
      </c>
      <c r="AK69" s="45">
        <f t="shared" si="29"/>
        <v>8.1114520743493759E-4</v>
      </c>
      <c r="AL69" s="45">
        <f t="shared" si="29"/>
        <v>1.1356032904089126E-3</v>
      </c>
      <c r="AN69" s="43">
        <v>2036</v>
      </c>
      <c r="AO69" s="46">
        <f t="shared" si="18"/>
        <v>4.6999999999999993E-3</v>
      </c>
    </row>
    <row r="70" spans="1:41" ht="15">
      <c r="A70" s="59">
        <f t="shared" si="19"/>
        <v>1.5172221800974073</v>
      </c>
      <c r="B70" s="43">
        <v>2037</v>
      </c>
      <c r="C70" s="45">
        <f t="shared" si="25"/>
        <v>5.4375688071409169E-2</v>
      </c>
      <c r="D70" s="45">
        <f t="shared" si="25"/>
        <v>0.11699011675969852</v>
      </c>
      <c r="E70" s="45">
        <f t="shared" si="25"/>
        <v>0.29659466220768638</v>
      </c>
      <c r="F70" s="45">
        <f t="shared" si="25"/>
        <v>4.6136947454528995E-2</v>
      </c>
      <c r="G70" s="45">
        <f t="shared" si="25"/>
        <v>6.2614428688289356E-2</v>
      </c>
      <c r="I70" s="43">
        <v>2037</v>
      </c>
      <c r="J70" s="45">
        <f t="shared" si="26"/>
        <v>9.8864887402562137E-4</v>
      </c>
      <c r="K70" s="45">
        <f t="shared" si="26"/>
        <v>2.4716221850640532E-3</v>
      </c>
      <c r="L70" s="45">
        <f t="shared" si="26"/>
        <v>7.2500917428545567E-3</v>
      </c>
      <c r="M70" s="45">
        <f t="shared" si="26"/>
        <v>6.5909924935041424E-4</v>
      </c>
      <c r="N70" s="45">
        <f t="shared" si="26"/>
        <v>1.1534236863632247E-3</v>
      </c>
      <c r="P70" s="43">
        <v>2037</v>
      </c>
      <c r="Q70" s="45">
        <f t="shared" si="27"/>
        <v>1.9772977480512427E-3</v>
      </c>
      <c r="R70" s="45">
        <f t="shared" si="27"/>
        <v>6.096668056491332E-3</v>
      </c>
      <c r="S70" s="45">
        <f t="shared" si="27"/>
        <v>1.9278653043499613E-2</v>
      </c>
      <c r="T70" s="45">
        <f t="shared" si="27"/>
        <v>9.8864887402562137E-4</v>
      </c>
      <c r="U70" s="45">
        <f t="shared" si="27"/>
        <v>2.4716221850640532E-3</v>
      </c>
      <c r="W70" s="43">
        <v>2037</v>
      </c>
      <c r="X70" s="46">
        <f t="shared" si="17"/>
        <v>25.5425</v>
      </c>
      <c r="Z70" s="43">
        <v>2037</v>
      </c>
      <c r="AA70" s="45">
        <f t="shared" si="28"/>
        <v>2.0820945286979583E-3</v>
      </c>
      <c r="AB70" s="45">
        <f t="shared" si="28"/>
        <v>6.4197914634853718E-3</v>
      </c>
      <c r="AC70" s="45">
        <f t="shared" si="28"/>
        <v>2.0300421654805091E-2</v>
      </c>
      <c r="AD70" s="45">
        <f t="shared" si="28"/>
        <v>1.0410472643489791E-3</v>
      </c>
      <c r="AE70" s="45">
        <f t="shared" si="28"/>
        <v>2.6026181608724479E-3</v>
      </c>
      <c r="AG70" s="43">
        <v>2037</v>
      </c>
      <c r="AH70" s="45">
        <f t="shared" si="29"/>
        <v>9.5898940780485265E-4</v>
      </c>
      <c r="AI70" s="45">
        <f t="shared" si="29"/>
        <v>2.3974735195121319E-3</v>
      </c>
      <c r="AJ70" s="45">
        <f t="shared" si="29"/>
        <v>7.0325889905689196E-3</v>
      </c>
      <c r="AK70" s="45">
        <f t="shared" si="29"/>
        <v>6.3932627186990177E-4</v>
      </c>
      <c r="AL70" s="45">
        <f t="shared" si="29"/>
        <v>1.1188209757723279E-3</v>
      </c>
      <c r="AN70" s="43">
        <v>2037</v>
      </c>
      <c r="AO70" s="46">
        <f t="shared" si="18"/>
        <v>4.6999999999999993E-3</v>
      </c>
    </row>
    <row r="71" spans="1:41" ht="15">
      <c r="A71" s="59">
        <f t="shared" si="19"/>
        <v>1.5399805127988682</v>
      </c>
      <c r="B71" s="43">
        <v>2038</v>
      </c>
      <c r="C71" s="45">
        <f t="shared" si="25"/>
        <v>5.0325312142519313E-2</v>
      </c>
      <c r="D71" s="45">
        <f t="shared" si="25"/>
        <v>0.10876761011447722</v>
      </c>
      <c r="E71" s="45">
        <f t="shared" si="25"/>
        <v>0.28734129836212641</v>
      </c>
      <c r="F71" s="45">
        <f t="shared" si="25"/>
        <v>4.2208326313080712E-2</v>
      </c>
      <c r="G71" s="45">
        <f t="shared" si="25"/>
        <v>5.8442297971957907E-2</v>
      </c>
      <c r="I71" s="43">
        <v>2038</v>
      </c>
      <c r="J71" s="45">
        <f t="shared" si="26"/>
        <v>8.1169858294385987E-4</v>
      </c>
      <c r="K71" s="45">
        <f t="shared" si="26"/>
        <v>2.2727560322428073E-3</v>
      </c>
      <c r="L71" s="45">
        <f t="shared" si="26"/>
        <v>7.1429475299059674E-3</v>
      </c>
      <c r="M71" s="45">
        <f t="shared" si="26"/>
        <v>6.4935886635508798E-4</v>
      </c>
      <c r="N71" s="45">
        <f t="shared" si="26"/>
        <v>9.7403829953263176E-4</v>
      </c>
      <c r="P71" s="43">
        <v>2038</v>
      </c>
      <c r="Q71" s="45">
        <f t="shared" si="27"/>
        <v>1.7857368824764918E-3</v>
      </c>
      <c r="R71" s="45">
        <f t="shared" si="27"/>
        <v>5.8442297971957914E-3</v>
      </c>
      <c r="S71" s="45">
        <f t="shared" si="27"/>
        <v>1.8993746840886321E-2</v>
      </c>
      <c r="T71" s="45">
        <f t="shared" si="27"/>
        <v>9.7403829953263176E-4</v>
      </c>
      <c r="U71" s="45">
        <f t="shared" si="27"/>
        <v>2.2727560322428073E-3</v>
      </c>
      <c r="W71" s="43">
        <v>2038</v>
      </c>
      <c r="X71" s="46">
        <f t="shared" si="17"/>
        <v>25.5425</v>
      </c>
      <c r="Z71" s="43">
        <v>2038</v>
      </c>
      <c r="AA71" s="45">
        <f t="shared" si="28"/>
        <v>1.8803809372477458E-3</v>
      </c>
      <c r="AB71" s="45">
        <f t="shared" si="28"/>
        <v>6.153973976447168E-3</v>
      </c>
      <c r="AC71" s="45">
        <f t="shared" si="28"/>
        <v>2.0000415423453294E-2</v>
      </c>
      <c r="AD71" s="45">
        <f t="shared" si="28"/>
        <v>1.0256623294078611E-3</v>
      </c>
      <c r="AE71" s="45">
        <f t="shared" si="28"/>
        <v>2.3932121019516759E-3</v>
      </c>
      <c r="AG71" s="43">
        <v>2038</v>
      </c>
      <c r="AH71" s="45">
        <f t="shared" si="29"/>
        <v>7.87347625455544E-4</v>
      </c>
      <c r="AI71" s="45">
        <f t="shared" si="29"/>
        <v>2.204573351275523E-3</v>
      </c>
      <c r="AJ71" s="45">
        <f t="shared" si="29"/>
        <v>6.9286591040087879E-3</v>
      </c>
      <c r="AK71" s="45">
        <f t="shared" si="29"/>
        <v>6.2987810036443524E-4</v>
      </c>
      <c r="AL71" s="45">
        <f t="shared" si="29"/>
        <v>9.4481715054665287E-4</v>
      </c>
      <c r="AN71" s="43">
        <v>2038</v>
      </c>
      <c r="AO71" s="46">
        <f t="shared" si="18"/>
        <v>4.6999999999999993E-3</v>
      </c>
    </row>
    <row r="72" spans="1:41" ht="15">
      <c r="A72" s="59">
        <f t="shared" si="19"/>
        <v>1.5630802204908509</v>
      </c>
      <c r="B72" s="43">
        <v>2039</v>
      </c>
      <c r="C72" s="45">
        <f t="shared" ref="C72:G73" si="30">C34/(400*$A72)</f>
        <v>4.6382776168220577E-2</v>
      </c>
      <c r="D72" s="45">
        <f t="shared" si="30"/>
        <v>0.10076258271027229</v>
      </c>
      <c r="E72" s="45">
        <f t="shared" si="30"/>
        <v>0.27829665700932343</v>
      </c>
      <c r="F72" s="45">
        <f t="shared" si="30"/>
        <v>3.8385745794389442E-2</v>
      </c>
      <c r="G72" s="45">
        <f t="shared" si="30"/>
        <v>5.4379806542051712E-2</v>
      </c>
      <c r="I72" s="43">
        <v>2039</v>
      </c>
      <c r="J72" s="45">
        <f t="shared" ref="J72:N73" si="31">J34/(400*$A72)</f>
        <v>7.9970303738311345E-4</v>
      </c>
      <c r="K72" s="45">
        <f t="shared" si="31"/>
        <v>2.0792278971960951E-3</v>
      </c>
      <c r="L72" s="45">
        <f t="shared" si="31"/>
        <v>6.8774461214947749E-3</v>
      </c>
      <c r="M72" s="45">
        <f t="shared" si="31"/>
        <v>6.3976242990649071E-4</v>
      </c>
      <c r="N72" s="45">
        <f t="shared" si="31"/>
        <v>9.5964364485973607E-4</v>
      </c>
      <c r="P72" s="43">
        <v>2039</v>
      </c>
      <c r="Q72" s="45">
        <f t="shared" ref="Q72:U73" si="32">Q34/(400*$A72)</f>
        <v>1.7593466822428496E-3</v>
      </c>
      <c r="R72" s="45">
        <f t="shared" si="32"/>
        <v>5.4379806542051712E-3</v>
      </c>
      <c r="S72" s="45">
        <f t="shared" si="32"/>
        <v>1.8713051074764852E-2</v>
      </c>
      <c r="T72" s="45">
        <f t="shared" si="32"/>
        <v>7.9970303738311345E-4</v>
      </c>
      <c r="U72" s="45">
        <f t="shared" si="32"/>
        <v>2.2391685046727174E-3</v>
      </c>
      <c r="W72" s="43">
        <v>2039</v>
      </c>
      <c r="X72" s="46">
        <f t="shared" si="17"/>
        <v>25.5425</v>
      </c>
      <c r="Z72" s="43">
        <v>2039</v>
      </c>
      <c r="AA72" s="45">
        <f t="shared" ref="AA72:AE73" si="33">AA34/(400*$A72)</f>
        <v>1.8525920564017207E-3</v>
      </c>
      <c r="AB72" s="45">
        <f t="shared" si="33"/>
        <v>5.7261936288780443E-3</v>
      </c>
      <c r="AC72" s="45">
        <f t="shared" si="33"/>
        <v>1.9704842781727388E-2</v>
      </c>
      <c r="AD72" s="45">
        <f t="shared" si="33"/>
        <v>8.4208729836441839E-4</v>
      </c>
      <c r="AE72" s="45">
        <f t="shared" si="33"/>
        <v>2.3578444354203712E-3</v>
      </c>
      <c r="AG72" s="43">
        <v>2039</v>
      </c>
      <c r="AH72" s="45">
        <f t="shared" ref="AH72:AL73" si="34">AH34/(400*$A72)</f>
        <v>7.7571194626161995E-4</v>
      </c>
      <c r="AI72" s="45">
        <f t="shared" si="34"/>
        <v>2.0168510602802119E-3</v>
      </c>
      <c r="AJ72" s="45">
        <f t="shared" si="34"/>
        <v>6.6711227378499311E-3</v>
      </c>
      <c r="AK72" s="45">
        <f t="shared" si="34"/>
        <v>6.2056955700929596E-4</v>
      </c>
      <c r="AL72" s="45">
        <f t="shared" si="34"/>
        <v>9.3085433551394394E-4</v>
      </c>
      <c r="AN72" s="43">
        <v>2039</v>
      </c>
      <c r="AO72" s="46">
        <f t="shared" si="18"/>
        <v>4.6999999999999993E-3</v>
      </c>
    </row>
    <row r="73" spans="1:41" ht="15.75" thickBot="1">
      <c r="A73" s="60">
        <f t="shared" si="19"/>
        <v>1.5865264237982135</v>
      </c>
      <c r="B73" s="43">
        <v>2040</v>
      </c>
      <c r="C73" s="45">
        <f t="shared" si="30"/>
        <v>4.4121546890102809E-2</v>
      </c>
      <c r="D73" s="45">
        <f t="shared" si="30"/>
        <v>9.4546171907363169E-2</v>
      </c>
      <c r="E73" s="45">
        <f t="shared" si="30"/>
        <v>0.26945658993598504</v>
      </c>
      <c r="F73" s="45">
        <f t="shared" si="30"/>
        <v>3.6242699231155882E-2</v>
      </c>
      <c r="G73" s="45">
        <f t="shared" si="30"/>
        <v>5.0424625017260354E-2</v>
      </c>
      <c r="I73" s="43">
        <v>2040</v>
      </c>
      <c r="J73" s="45">
        <f t="shared" si="31"/>
        <v>6.3030781271575448E-4</v>
      </c>
      <c r="K73" s="45">
        <f t="shared" si="31"/>
        <v>1.8909234381472633E-3</v>
      </c>
      <c r="L73" s="45">
        <f t="shared" si="31"/>
        <v>6.6182320335154221E-3</v>
      </c>
      <c r="M73" s="45">
        <f t="shared" si="31"/>
        <v>4.7273085953681584E-4</v>
      </c>
      <c r="N73" s="45">
        <f t="shared" si="31"/>
        <v>7.8788476589469302E-4</v>
      </c>
      <c r="P73" s="43">
        <v>2040</v>
      </c>
      <c r="Q73" s="45">
        <f t="shared" si="32"/>
        <v>1.575769531789386E-3</v>
      </c>
      <c r="R73" s="45">
        <f t="shared" si="32"/>
        <v>5.0424625017260359E-3</v>
      </c>
      <c r="S73" s="45">
        <f t="shared" si="32"/>
        <v>1.8436503521935817E-2</v>
      </c>
      <c r="T73" s="45">
        <f t="shared" si="32"/>
        <v>7.8788476589469302E-4</v>
      </c>
      <c r="U73" s="45">
        <f t="shared" si="32"/>
        <v>2.0485003913262019E-3</v>
      </c>
      <c r="W73" s="43">
        <v>2040</v>
      </c>
      <c r="X73" s="46">
        <f t="shared" si="17"/>
        <v>25.5425</v>
      </c>
      <c r="Z73" s="43">
        <v>2040</v>
      </c>
      <c r="AA73" s="45">
        <f t="shared" si="33"/>
        <v>1.6592853169742235E-3</v>
      </c>
      <c r="AB73" s="45">
        <f t="shared" si="33"/>
        <v>5.3097130143175157E-3</v>
      </c>
      <c r="AC73" s="45">
        <f t="shared" si="33"/>
        <v>1.9413638208598413E-2</v>
      </c>
      <c r="AD73" s="45">
        <f t="shared" si="33"/>
        <v>8.2964265848711174E-4</v>
      </c>
      <c r="AE73" s="45">
        <f t="shared" si="33"/>
        <v>2.1570709120664906E-3</v>
      </c>
      <c r="AG73" s="43">
        <v>2040</v>
      </c>
      <c r="AH73" s="45">
        <f t="shared" si="34"/>
        <v>6.1139857833428181E-4</v>
      </c>
      <c r="AI73" s="45">
        <f t="shared" si="34"/>
        <v>1.8341957350028453E-3</v>
      </c>
      <c r="AJ73" s="45">
        <f t="shared" si="34"/>
        <v>6.4196850725099586E-3</v>
      </c>
      <c r="AK73" s="45">
        <f t="shared" si="34"/>
        <v>4.5854893375071133E-4</v>
      </c>
      <c r="AL73" s="45">
        <f t="shared" si="34"/>
        <v>7.6424822291785229E-4</v>
      </c>
      <c r="AN73" s="43">
        <v>2040</v>
      </c>
      <c r="AO73" s="46">
        <f t="shared" si="18"/>
        <v>4.6999999999999993E-3</v>
      </c>
    </row>
    <row r="78" spans="1:41" ht="12.75" customHeight="1"/>
    <row r="200" spans="3:7">
      <c r="C200" s="42"/>
      <c r="D200" s="42"/>
      <c r="E200" s="42"/>
      <c r="F200" s="42"/>
      <c r="G200" s="42"/>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theme="9" tint="0.59999389629810485"/>
    <pageSetUpPr fitToPage="1"/>
  </sheetPr>
  <dimension ref="A1:Q142"/>
  <sheetViews>
    <sheetView showGridLines="0" zoomScaleNormal="100" zoomScaleSheetLayoutView="100" workbookViewId="0">
      <pane ySplit="1" topLeftCell="A47" activePane="bottomLeft" state="frozen"/>
      <selection pane="bottomLeft" activeCell="D48" sqref="D48"/>
    </sheetView>
  </sheetViews>
  <sheetFormatPr defaultColWidth="9.875" defaultRowHeight="12"/>
  <cols>
    <col min="1" max="1" width="1" style="322" customWidth="1"/>
    <col min="2" max="2" width="33.5" style="322" customWidth="1"/>
    <col min="3" max="3" width="19.75" style="322" customWidth="1"/>
    <col min="4" max="7" width="18.375" style="322" customWidth="1"/>
    <col min="8" max="8" width="25.5" style="322" customWidth="1"/>
    <col min="9" max="9" width="20.5" style="322" customWidth="1"/>
    <col min="10" max="10" width="9.875" style="322" customWidth="1"/>
    <col min="11" max="11" width="11.5" style="325" customWidth="1"/>
    <col min="12" max="12" width="11.25" style="325" customWidth="1"/>
    <col min="13" max="13" width="11.25" style="322" customWidth="1"/>
    <col min="14" max="14" width="9.875" style="322" customWidth="1"/>
    <col min="15" max="16384" width="9.875" style="322"/>
  </cols>
  <sheetData>
    <row r="1" spans="1:14" s="320" customFormat="1">
      <c r="A1" s="316" t="s">
        <v>38</v>
      </c>
      <c r="B1" s="316"/>
      <c r="C1" s="317"/>
      <c r="D1" s="317"/>
      <c r="E1" s="317"/>
      <c r="F1" s="317"/>
      <c r="G1" s="317"/>
      <c r="H1" s="318"/>
      <c r="I1" s="318"/>
      <c r="J1" s="318"/>
      <c r="K1" s="319"/>
      <c r="L1" s="319"/>
    </row>
    <row r="2" spans="1:14">
      <c r="A2" s="321"/>
      <c r="C2" s="323"/>
      <c r="D2" s="323"/>
      <c r="E2" s="323"/>
      <c r="F2" s="323"/>
      <c r="G2" s="323"/>
      <c r="H2" s="324"/>
      <c r="I2" s="324"/>
      <c r="J2" s="324"/>
    </row>
    <row r="3" spans="1:14">
      <c r="A3" s="321"/>
      <c r="C3" s="323" t="s">
        <v>90</v>
      </c>
      <c r="D3" s="323" t="s">
        <v>608</v>
      </c>
      <c r="E3" s="323" t="s">
        <v>609</v>
      </c>
      <c r="F3" s="323" t="s">
        <v>610</v>
      </c>
      <c r="G3" s="323" t="s">
        <v>611</v>
      </c>
      <c r="H3" s="324" t="s">
        <v>595</v>
      </c>
      <c r="I3" s="324" t="s">
        <v>612</v>
      </c>
      <c r="J3" s="324"/>
    </row>
    <row r="4" spans="1:14">
      <c r="A4" s="321"/>
      <c r="C4" s="323"/>
      <c r="D4" s="323"/>
      <c r="E4" s="103"/>
      <c r="F4" s="465"/>
      <c r="G4" s="323"/>
      <c r="H4" s="324"/>
      <c r="I4" s="324"/>
      <c r="J4" s="324"/>
      <c r="K4" s="322"/>
    </row>
    <row r="5" spans="1:14" ht="12" customHeight="1">
      <c r="A5" s="321"/>
      <c r="B5" s="321" t="s">
        <v>499</v>
      </c>
      <c r="C5" s="326" t="s">
        <v>613</v>
      </c>
      <c r="D5" s="1190">
        <v>11600000</v>
      </c>
      <c r="E5" s="1191">
        <f>D5*0.56</f>
        <v>6496000.0000000009</v>
      </c>
      <c r="F5" s="1191">
        <f>D5*1.4</f>
        <v>16239999.999999998</v>
      </c>
      <c r="G5" s="451">
        <v>2020</v>
      </c>
      <c r="H5" s="1291" t="s">
        <v>614</v>
      </c>
      <c r="I5" s="1286" t="s">
        <v>615</v>
      </c>
      <c r="L5" s="327"/>
      <c r="M5" s="327"/>
      <c r="N5" s="328"/>
    </row>
    <row r="6" spans="1:14" ht="11.45" customHeight="1">
      <c r="A6" s="321"/>
      <c r="B6" s="321"/>
      <c r="C6" s="326"/>
      <c r="D6" s="326"/>
      <c r="E6" s="329"/>
      <c r="F6" s="329"/>
      <c r="G6" s="326"/>
      <c r="H6" s="1291"/>
      <c r="I6" s="1286"/>
      <c r="L6" s="330"/>
      <c r="M6" s="330"/>
    </row>
    <row r="7" spans="1:14" ht="11.45" customHeight="1">
      <c r="A7" s="321"/>
      <c r="B7" s="321" t="s">
        <v>616</v>
      </c>
      <c r="C7" s="326"/>
      <c r="D7" s="326"/>
      <c r="E7" s="329"/>
      <c r="F7" s="326"/>
      <c r="G7" s="326"/>
      <c r="H7" s="1291"/>
      <c r="I7" s="1286"/>
      <c r="J7" s="331"/>
      <c r="K7" s="322"/>
    </row>
    <row r="8" spans="1:14" ht="11.45" customHeight="1">
      <c r="A8" s="321"/>
      <c r="B8" s="332" t="s">
        <v>617</v>
      </c>
      <c r="C8" s="326" t="s">
        <v>618</v>
      </c>
      <c r="D8" s="1192">
        <v>3.0000000000000001E-3</v>
      </c>
      <c r="E8" s="329"/>
      <c r="F8" s="333"/>
      <c r="G8" s="326"/>
      <c r="H8" s="1291"/>
      <c r="I8" s="1286"/>
      <c r="J8" s="331"/>
    </row>
    <row r="9" spans="1:14" ht="11.45" customHeight="1">
      <c r="A9" s="321"/>
      <c r="B9" s="332" t="s">
        <v>619</v>
      </c>
      <c r="C9" s="326" t="s">
        <v>618</v>
      </c>
      <c r="D9" s="1192">
        <v>4.7E-2</v>
      </c>
      <c r="E9" s="329"/>
      <c r="F9" s="333"/>
      <c r="G9" s="326"/>
      <c r="H9" s="1291"/>
      <c r="I9" s="1286"/>
      <c r="J9" s="331"/>
    </row>
    <row r="10" spans="1:14" ht="11.45" customHeight="1">
      <c r="A10" s="321"/>
      <c r="B10" s="332" t="s">
        <v>620</v>
      </c>
      <c r="C10" s="326" t="s">
        <v>618</v>
      </c>
      <c r="D10" s="1192">
        <v>0.105</v>
      </c>
      <c r="E10" s="329"/>
      <c r="F10" s="333"/>
      <c r="G10" s="326"/>
      <c r="H10" s="1291"/>
      <c r="I10" s="1286"/>
      <c r="J10" s="331"/>
    </row>
    <row r="11" spans="1:14" ht="11.45" customHeight="1">
      <c r="A11" s="321"/>
      <c r="B11" s="332" t="s">
        <v>621</v>
      </c>
      <c r="C11" s="326" t="s">
        <v>618</v>
      </c>
      <c r="D11" s="1192">
        <v>0.26600000000000001</v>
      </c>
      <c r="E11" s="329"/>
      <c r="F11" s="333"/>
      <c r="G11" s="326"/>
      <c r="H11" s="1291"/>
      <c r="I11" s="1286"/>
      <c r="J11" s="331"/>
    </row>
    <row r="12" spans="1:14" ht="11.45" customHeight="1">
      <c r="A12" s="321"/>
      <c r="B12" s="332" t="s">
        <v>622</v>
      </c>
      <c r="C12" s="326" t="s">
        <v>618</v>
      </c>
      <c r="D12" s="1192">
        <v>0.59299999999999997</v>
      </c>
      <c r="E12" s="329"/>
      <c r="F12" s="333"/>
      <c r="G12" s="326"/>
      <c r="H12" s="1291"/>
      <c r="I12" s="1286"/>
      <c r="J12" s="331"/>
    </row>
    <row r="13" spans="1:14" ht="11.45" customHeight="1">
      <c r="A13" s="321"/>
      <c r="B13" s="332" t="s">
        <v>623</v>
      </c>
      <c r="C13" s="326" t="s">
        <v>618</v>
      </c>
      <c r="D13" s="1192">
        <v>1</v>
      </c>
      <c r="E13" s="329"/>
      <c r="F13" s="326"/>
      <c r="G13" s="326"/>
      <c r="H13" s="1291"/>
      <c r="I13" s="454"/>
      <c r="J13" s="331"/>
    </row>
    <row r="14" spans="1:14">
      <c r="A14" s="321"/>
      <c r="B14" s="334"/>
      <c r="C14" s="326"/>
      <c r="D14" s="335"/>
      <c r="E14" s="329"/>
      <c r="F14" s="326"/>
      <c r="G14" s="326"/>
      <c r="H14" s="466"/>
      <c r="I14" s="467"/>
      <c r="J14" s="468"/>
    </row>
    <row r="15" spans="1:14">
      <c r="A15" s="321"/>
      <c r="B15" s="334"/>
      <c r="C15" s="326"/>
      <c r="D15" s="335"/>
      <c r="E15" s="329"/>
      <c r="F15" s="326"/>
      <c r="G15" s="326"/>
      <c r="H15" s="466"/>
      <c r="I15" s="467"/>
      <c r="J15" s="468"/>
    </row>
    <row r="16" spans="1:14">
      <c r="A16" s="321"/>
      <c r="B16" s="321" t="s">
        <v>624</v>
      </c>
      <c r="H16" s="469"/>
      <c r="I16" s="469"/>
      <c r="J16" s="469"/>
    </row>
    <row r="17" spans="1:17" ht="86.1" customHeight="1">
      <c r="A17" s="321"/>
      <c r="B17" s="336" t="s">
        <v>625</v>
      </c>
      <c r="C17" s="326" t="s">
        <v>626</v>
      </c>
      <c r="D17" s="1193">
        <v>4600</v>
      </c>
      <c r="E17" s="337"/>
      <c r="F17" s="337"/>
      <c r="G17" s="451">
        <v>2020</v>
      </c>
      <c r="H17" s="453" t="s">
        <v>627</v>
      </c>
      <c r="I17" s="454" t="s">
        <v>628</v>
      </c>
      <c r="J17" s="338"/>
      <c r="K17" s="339"/>
    </row>
    <row r="18" spans="1:17">
      <c r="M18" s="103"/>
      <c r="N18" s="103"/>
    </row>
    <row r="19" spans="1:17">
      <c r="M19" s="103"/>
      <c r="N19" s="103"/>
    </row>
    <row r="20" spans="1:17">
      <c r="B20" s="340" t="s">
        <v>629</v>
      </c>
      <c r="C20" s="341"/>
      <c r="D20" s="341"/>
      <c r="E20" s="342"/>
      <c r="F20" s="342"/>
      <c r="G20" s="342"/>
      <c r="H20" s="342"/>
      <c r="I20" s="342"/>
      <c r="J20" s="323"/>
      <c r="M20" s="103"/>
      <c r="N20" s="103"/>
    </row>
    <row r="21" spans="1:17">
      <c r="B21" s="1194"/>
      <c r="C21" s="1195" t="s">
        <v>630</v>
      </c>
      <c r="D21" s="1196" t="s">
        <v>631</v>
      </c>
      <c r="E21" s="1196" t="s">
        <v>632</v>
      </c>
      <c r="F21" s="1196" t="s">
        <v>633</v>
      </c>
      <c r="G21" s="1195" t="s">
        <v>634</v>
      </c>
      <c r="H21" s="1195" t="s">
        <v>635</v>
      </c>
      <c r="I21" s="1195" t="s">
        <v>636</v>
      </c>
      <c r="J21" s="323"/>
    </row>
    <row r="22" spans="1:17">
      <c r="B22" s="1194"/>
      <c r="C22" s="1195" t="s">
        <v>637</v>
      </c>
      <c r="D22" s="1196" t="s">
        <v>638</v>
      </c>
      <c r="E22" s="1196" t="s">
        <v>639</v>
      </c>
      <c r="F22" s="1196" t="s">
        <v>640</v>
      </c>
      <c r="G22" s="1195" t="s">
        <v>641</v>
      </c>
      <c r="H22" s="1195" t="s">
        <v>642</v>
      </c>
      <c r="I22" s="1195" t="s">
        <v>643</v>
      </c>
      <c r="J22" s="323"/>
    </row>
    <row r="23" spans="1:17">
      <c r="B23" s="1197" t="s">
        <v>644</v>
      </c>
      <c r="C23" s="1198">
        <v>0.92534000000000005</v>
      </c>
      <c r="D23" s="1198">
        <v>0.23436999999999999</v>
      </c>
      <c r="E23" s="1198">
        <v>8.3470000000000003E-2</v>
      </c>
      <c r="F23" s="1198">
        <v>3.4369999999999998E-2</v>
      </c>
      <c r="G23" s="1198">
        <v>0</v>
      </c>
      <c r="H23" s="1198">
        <v>0.21537999999999999</v>
      </c>
      <c r="I23" s="1198">
        <v>0.43675999999999998</v>
      </c>
      <c r="J23" s="323"/>
    </row>
    <row r="24" spans="1:17">
      <c r="B24" s="1197" t="s">
        <v>645</v>
      </c>
      <c r="C24" s="1198">
        <v>7.2569999999999996E-2</v>
      </c>
      <c r="D24" s="1198">
        <v>0.68945999999999996</v>
      </c>
      <c r="E24" s="1198">
        <v>0.76842999999999995</v>
      </c>
      <c r="F24" s="1198">
        <v>0.55449000000000004</v>
      </c>
      <c r="G24" s="1198">
        <v>0</v>
      </c>
      <c r="H24" s="1198">
        <v>0.62727999999999995</v>
      </c>
      <c r="I24" s="1198">
        <v>0.41738999999999998</v>
      </c>
      <c r="J24" s="323"/>
    </row>
    <row r="25" spans="1:17">
      <c r="B25" s="1197" t="s">
        <v>646</v>
      </c>
      <c r="C25" s="1198">
        <v>1.98E-3</v>
      </c>
      <c r="D25" s="1198">
        <v>6.3909999999999995E-2</v>
      </c>
      <c r="E25" s="1198">
        <v>0.10897999999999999</v>
      </c>
      <c r="F25" s="1198">
        <v>0.20907999999999999</v>
      </c>
      <c r="G25" s="1198">
        <v>0</v>
      </c>
      <c r="H25" s="1198">
        <v>0.104</v>
      </c>
      <c r="I25" s="1198">
        <v>8.8719999999999993E-2</v>
      </c>
      <c r="J25" s="323"/>
    </row>
    <row r="26" spans="1:17">
      <c r="B26" s="1197" t="s">
        <v>647</v>
      </c>
      <c r="C26" s="1198">
        <v>8.0000000000000007E-5</v>
      </c>
      <c r="D26" s="1198">
        <v>1.0710000000000001E-2</v>
      </c>
      <c r="E26" s="1198">
        <v>3.1910000000000001E-2</v>
      </c>
      <c r="F26" s="1198">
        <v>0.14437</v>
      </c>
      <c r="G26" s="1198">
        <v>0</v>
      </c>
      <c r="H26" s="1198">
        <v>3.8580000000000003E-2</v>
      </c>
      <c r="I26" s="1198">
        <v>4.8169999999999998E-2</v>
      </c>
      <c r="J26" s="323"/>
    </row>
    <row r="27" spans="1:17">
      <c r="B27" s="1197" t="s">
        <v>648</v>
      </c>
      <c r="C27" s="1198">
        <v>0</v>
      </c>
      <c r="D27" s="1198">
        <v>1.42E-3</v>
      </c>
      <c r="E27" s="1198">
        <v>6.1999999999999998E-3</v>
      </c>
      <c r="F27" s="1198">
        <v>3.986E-2</v>
      </c>
      <c r="G27" s="1198">
        <v>0</v>
      </c>
      <c r="H27" s="1198">
        <v>4.4200000000000003E-3</v>
      </c>
      <c r="I27" s="1198">
        <v>6.1700000000000001E-3</v>
      </c>
      <c r="J27" s="323"/>
    </row>
    <row r="28" spans="1:17">
      <c r="B28" s="1197" t="s">
        <v>649</v>
      </c>
      <c r="C28" s="1198">
        <v>3.0000000000000001E-5</v>
      </c>
      <c r="D28" s="1198">
        <v>1.2999999999999999E-4</v>
      </c>
      <c r="E28" s="1198">
        <v>1.01E-3</v>
      </c>
      <c r="F28" s="1198">
        <v>1.7829999999999999E-2</v>
      </c>
      <c r="G28" s="1198">
        <v>0</v>
      </c>
      <c r="H28" s="1198">
        <v>1.034E-2</v>
      </c>
      <c r="I28" s="1198">
        <v>2.7899999999999999E-3</v>
      </c>
      <c r="J28" s="323"/>
    </row>
    <row r="29" spans="1:17">
      <c r="B29" s="1197" t="s">
        <v>650</v>
      </c>
      <c r="C29" s="1198">
        <v>0</v>
      </c>
      <c r="D29" s="1198">
        <v>0</v>
      </c>
      <c r="E29" s="1198">
        <v>0</v>
      </c>
      <c r="F29" s="1198">
        <v>0</v>
      </c>
      <c r="G29" s="1198">
        <v>1</v>
      </c>
      <c r="H29" s="1198">
        <v>0</v>
      </c>
      <c r="I29" s="1198">
        <v>0</v>
      </c>
      <c r="J29" s="323"/>
    </row>
    <row r="30" spans="1:17">
      <c r="B30" s="343" t="s">
        <v>651</v>
      </c>
      <c r="J30" s="323"/>
    </row>
    <row r="31" spans="1:17">
      <c r="B31" s="343" t="s">
        <v>652</v>
      </c>
      <c r="J31" s="323"/>
    </row>
    <row r="32" spans="1:17">
      <c r="B32" s="343" t="s">
        <v>653</v>
      </c>
      <c r="P32" s="322" t="s">
        <v>212</v>
      </c>
      <c r="Q32" s="322" t="s">
        <v>654</v>
      </c>
    </row>
    <row r="33" spans="2:17">
      <c r="P33" s="344" t="s">
        <v>655</v>
      </c>
    </row>
    <row r="34" spans="2:17">
      <c r="B34" s="345" t="s">
        <v>656</v>
      </c>
      <c r="C34" s="342"/>
      <c r="D34" s="342"/>
      <c r="E34" s="342"/>
      <c r="F34" s="342"/>
      <c r="G34" s="342"/>
      <c r="P34" s="322" t="s">
        <v>657</v>
      </c>
    </row>
    <row r="35" spans="2:17">
      <c r="B35" s="1195"/>
      <c r="C35" s="1196" t="s">
        <v>640</v>
      </c>
      <c r="D35" s="1196" t="s">
        <v>658</v>
      </c>
      <c r="E35" s="1196" t="s">
        <v>659</v>
      </c>
      <c r="F35" s="1196" t="s">
        <v>660</v>
      </c>
      <c r="G35" s="342"/>
      <c r="P35" s="346" t="s">
        <v>661</v>
      </c>
      <c r="Q35" s="325"/>
    </row>
    <row r="36" spans="2:17">
      <c r="B36" s="1199" t="s">
        <v>662</v>
      </c>
      <c r="C36" s="1200">
        <v>180000</v>
      </c>
      <c r="D36" s="1200">
        <v>719000</v>
      </c>
      <c r="E36" s="1200">
        <v>1544000</v>
      </c>
      <c r="F36" s="1201">
        <f>SUM(C36:E36)</f>
        <v>2443000</v>
      </c>
      <c r="G36" s="342"/>
    </row>
    <row r="37" spans="2:17">
      <c r="B37" s="1199" t="s">
        <v>663</v>
      </c>
      <c r="C37" s="1202">
        <f>C36/$F$36</f>
        <v>7.3679901760130992E-2</v>
      </c>
      <c r="D37" s="1202">
        <f>D36/$F$36</f>
        <v>0.29431027425296769</v>
      </c>
      <c r="E37" s="1202">
        <f>E36/$F$36</f>
        <v>0.63200982398690131</v>
      </c>
      <c r="F37" s="1202">
        <f>F36/$F$36</f>
        <v>1</v>
      </c>
      <c r="G37" s="342"/>
    </row>
    <row r="38" spans="2:17">
      <c r="B38" s="322" t="s">
        <v>664</v>
      </c>
      <c r="C38" s="342"/>
      <c r="D38" s="342"/>
      <c r="E38" s="342"/>
      <c r="F38" s="342"/>
      <c r="G38" s="342"/>
    </row>
    <row r="39" spans="2:17">
      <c r="B39" s="347" t="s">
        <v>665</v>
      </c>
      <c r="C39" s="342"/>
      <c r="D39" s="342"/>
      <c r="E39" s="342"/>
      <c r="F39" s="342"/>
      <c r="G39" s="342"/>
    </row>
    <row r="40" spans="2:17">
      <c r="B40" s="346" t="s">
        <v>666</v>
      </c>
      <c r="C40" s="342"/>
      <c r="D40" s="342"/>
      <c r="E40" s="342"/>
      <c r="F40" s="342"/>
      <c r="G40" s="342"/>
    </row>
    <row r="42" spans="2:17" s="349" customFormat="1">
      <c r="B42" s="348" t="s">
        <v>667</v>
      </c>
      <c r="K42" s="350"/>
      <c r="L42" s="350"/>
    </row>
    <row r="43" spans="2:17" s="349" customFormat="1">
      <c r="B43" s="348"/>
      <c r="K43" s="350"/>
      <c r="L43" s="350"/>
    </row>
    <row r="45" spans="2:17">
      <c r="B45" s="344" t="s">
        <v>668</v>
      </c>
    </row>
    <row r="46" spans="2:17">
      <c r="B46" s="344"/>
      <c r="D46" s="351" t="s">
        <v>669</v>
      </c>
      <c r="E46" s="352" t="s">
        <v>670</v>
      </c>
      <c r="F46" s="352" t="s">
        <v>671</v>
      </c>
      <c r="K46" s="353"/>
      <c r="L46" s="354"/>
      <c r="M46" s="354"/>
    </row>
    <row r="47" spans="2:17">
      <c r="B47" s="355" t="s">
        <v>672</v>
      </c>
      <c r="C47" s="326" t="s">
        <v>673</v>
      </c>
      <c r="D47" s="700">
        <f t="shared" ref="D47:D52" si="0">D$5*$D8*$K$76</f>
        <v>34800</v>
      </c>
      <c r="E47" s="356">
        <f>$E$5*D8</f>
        <v>19488.000000000004</v>
      </c>
      <c r="F47" s="356">
        <f>$F$5*D8</f>
        <v>48719.999999999993</v>
      </c>
      <c r="G47" s="452">
        <v>2020</v>
      </c>
      <c r="K47" s="330"/>
      <c r="L47" s="330"/>
      <c r="M47" s="357"/>
      <c r="N47" s="357"/>
    </row>
    <row r="48" spans="2:17">
      <c r="B48" s="355" t="s">
        <v>674</v>
      </c>
      <c r="C48" s="326" t="s">
        <v>673</v>
      </c>
      <c r="D48" s="701">
        <f t="shared" si="0"/>
        <v>545200</v>
      </c>
      <c r="E48" s="356">
        <f t="shared" ref="E48:E52" si="1">$E$5*D9</f>
        <v>305312.00000000006</v>
      </c>
      <c r="F48" s="356">
        <f t="shared" ref="F48:F52" si="2">$F$5*D9</f>
        <v>763279.99999999988</v>
      </c>
      <c r="G48" s="451">
        <v>2020</v>
      </c>
      <c r="K48" s="330"/>
      <c r="L48" s="330"/>
      <c r="M48" s="357"/>
      <c r="N48" s="357"/>
    </row>
    <row r="49" spans="2:14">
      <c r="B49" s="355" t="s">
        <v>675</v>
      </c>
      <c r="C49" s="326" t="s">
        <v>673</v>
      </c>
      <c r="D49" s="701">
        <f t="shared" si="0"/>
        <v>1218000</v>
      </c>
      <c r="E49" s="356">
        <f t="shared" si="1"/>
        <v>682080.00000000012</v>
      </c>
      <c r="F49" s="356">
        <f t="shared" si="2"/>
        <v>1705199.9999999998</v>
      </c>
      <c r="G49" s="451">
        <v>2020</v>
      </c>
      <c r="K49" s="330"/>
      <c r="L49" s="330"/>
      <c r="M49" s="357"/>
      <c r="N49" s="357"/>
    </row>
    <row r="50" spans="2:14">
      <c r="B50" s="355" t="s">
        <v>676</v>
      </c>
      <c r="C50" s="326" t="s">
        <v>673</v>
      </c>
      <c r="D50" s="701">
        <f t="shared" si="0"/>
        <v>3085600</v>
      </c>
      <c r="E50" s="356">
        <f t="shared" si="1"/>
        <v>1727936.0000000002</v>
      </c>
      <c r="F50" s="356">
        <f t="shared" si="2"/>
        <v>4319840</v>
      </c>
      <c r="G50" s="451">
        <v>2020</v>
      </c>
      <c r="K50" s="330"/>
      <c r="L50" s="330"/>
      <c r="M50" s="357"/>
      <c r="N50" s="357"/>
    </row>
    <row r="51" spans="2:14">
      <c r="B51" s="355" t="s">
        <v>677</v>
      </c>
      <c r="C51" s="326" t="s">
        <v>673</v>
      </c>
      <c r="D51" s="701">
        <f t="shared" si="0"/>
        <v>6878800</v>
      </c>
      <c r="E51" s="356">
        <f t="shared" si="1"/>
        <v>3852128.0000000005</v>
      </c>
      <c r="F51" s="356">
        <f t="shared" si="2"/>
        <v>9630319.9999999981</v>
      </c>
      <c r="G51" s="451">
        <v>2020</v>
      </c>
      <c r="K51" s="330"/>
      <c r="L51" s="330"/>
      <c r="M51" s="357"/>
      <c r="N51" s="357"/>
    </row>
    <row r="52" spans="2:14">
      <c r="B52" s="355" t="s">
        <v>650</v>
      </c>
      <c r="C52" s="326" t="s">
        <v>678</v>
      </c>
      <c r="D52" s="702">
        <f t="shared" si="0"/>
        <v>11600000</v>
      </c>
      <c r="E52" s="356">
        <f t="shared" si="1"/>
        <v>6496000.0000000009</v>
      </c>
      <c r="F52" s="356">
        <f t="shared" si="2"/>
        <v>16239999.999999998</v>
      </c>
      <c r="G52" s="451">
        <v>2020</v>
      </c>
      <c r="K52" s="330"/>
      <c r="L52" s="330"/>
      <c r="M52" s="357"/>
      <c r="N52" s="357"/>
    </row>
    <row r="53" spans="2:14">
      <c r="B53" s="334"/>
      <c r="C53" s="326"/>
      <c r="D53" s="460"/>
      <c r="E53" s="356"/>
      <c r="F53" s="356"/>
      <c r="G53" s="451"/>
      <c r="K53" s="330"/>
      <c r="L53" s="330"/>
      <c r="M53" s="357"/>
      <c r="N53" s="357"/>
    </row>
    <row r="54" spans="2:14">
      <c r="B54" s="334" t="s">
        <v>679</v>
      </c>
      <c r="C54" s="326" t="s">
        <v>673</v>
      </c>
      <c r="D54" s="457">
        <f>ROUND(SUMPRODUCT($C$24:$C$29,D$47:D$52),-2)</f>
        <v>3900</v>
      </c>
      <c r="E54" s="356">
        <f>SUMPRODUCT($C$24:$C$29,E$47:E$52)</f>
        <v>2188.8921600000003</v>
      </c>
      <c r="F54" s="356">
        <f>SUMPRODUCT($C$24:$C$29,F$47:F$52)</f>
        <v>5472.2303999999986</v>
      </c>
      <c r="G54" s="451">
        <v>2020</v>
      </c>
      <c r="J54" s="328"/>
      <c r="K54" s="328"/>
      <c r="L54" s="328"/>
    </row>
    <row r="55" spans="2:14">
      <c r="B55" s="334" t="s">
        <v>680</v>
      </c>
      <c r="C55" s="326" t="s">
        <v>673</v>
      </c>
      <c r="D55" s="458">
        <f>ROUND(SUMPRODUCT($D$24:$D$29,D$47:D$52),-2)</f>
        <v>77200</v>
      </c>
      <c r="E55" s="356">
        <f>SUMPRODUCT($D$24:$D$29,E$47:E$52)</f>
        <v>43208.208960000004</v>
      </c>
      <c r="F55" s="356">
        <f>SUMPRODUCT($D$24:$D$29,F$47:F$52)</f>
        <v>108020.52239999999</v>
      </c>
      <c r="G55" s="451">
        <v>2020</v>
      </c>
      <c r="H55" s="358"/>
    </row>
    <row r="56" spans="2:14">
      <c r="B56" s="334" t="s">
        <v>681</v>
      </c>
      <c r="C56" s="326" t="s">
        <v>673</v>
      </c>
      <c r="D56" s="458">
        <f>ROUND(SUMPRODUCT($E$24:$E$29,D$47:D$52),-2)</f>
        <v>151100</v>
      </c>
      <c r="E56" s="356">
        <f>SUMPRODUCT($E$24:$E$29,E$47:E$52)</f>
        <v>84617.090880000018</v>
      </c>
      <c r="F56" s="356">
        <f>SUMPRODUCT($E$24:$E$29,F$47:F$52)</f>
        <v>211542.72719999996</v>
      </c>
      <c r="G56" s="451">
        <v>2020</v>
      </c>
      <c r="H56" s="359"/>
    </row>
    <row r="57" spans="2:14">
      <c r="B57" s="334" t="s">
        <v>682</v>
      </c>
      <c r="C57" s="326" t="s">
        <v>673</v>
      </c>
      <c r="D57" s="458">
        <f>ROUND(SUMPRODUCT($F$24:$F$29,D$47:D$52),-2)</f>
        <v>554800</v>
      </c>
      <c r="E57" s="356">
        <f>SUMPRODUCT($F$24:$F$29,E$47:E$52)</f>
        <v>310671.39488000004</v>
      </c>
      <c r="F57" s="356">
        <f>SUMPRODUCT($F$24:$F$29,F$47:F$52)</f>
        <v>776678.48719999986</v>
      </c>
      <c r="G57" s="451">
        <v>2020</v>
      </c>
    </row>
    <row r="58" spans="2:14">
      <c r="B58" s="334" t="s">
        <v>683</v>
      </c>
      <c r="C58" s="326" t="s">
        <v>673</v>
      </c>
      <c r="D58" s="701">
        <f>ROUND(SUMPRODUCT($G$24:$G$29,D$47:D$52),-2)</f>
        <v>11600000</v>
      </c>
      <c r="E58" s="356">
        <f>SUMPRODUCT($G$24:$G$29,E$47:E$52)</f>
        <v>6496000.0000000009</v>
      </c>
      <c r="F58" s="356">
        <f>SUMPRODUCT($G$24:$G$29,F$47:F$52)</f>
        <v>16239999.999999998</v>
      </c>
      <c r="G58" s="451">
        <v>2020</v>
      </c>
    </row>
    <row r="59" spans="2:14">
      <c r="B59" s="334" t="s">
        <v>684</v>
      </c>
      <c r="C59" s="326" t="s">
        <v>673</v>
      </c>
      <c r="D59" s="458">
        <f>ROUND(SUMPRODUCT($H$24:$H$29,D$47:D$52),-2)</f>
        <v>210300</v>
      </c>
      <c r="E59" s="356">
        <f>SUMPRODUCT($H$24:$H$29,E$47:E$52)</f>
        <v>117760.00768000001</v>
      </c>
      <c r="F59" s="356">
        <f>SUMPRODUCT($H$24:$H$29,F$47:F$52)</f>
        <v>294400.01919999992</v>
      </c>
      <c r="G59" s="451">
        <v>2020</v>
      </c>
    </row>
    <row r="60" spans="2:14">
      <c r="B60" s="334" t="s">
        <v>685</v>
      </c>
      <c r="C60" s="326" t="s">
        <v>673</v>
      </c>
      <c r="D60" s="459">
        <f>ROUND(SUMPRODUCT($I$24:$I$29,D$47:D$52),-2)</f>
        <v>159800</v>
      </c>
      <c r="E60" s="356">
        <f>SUMPRODUCT($I$24:$I$29,E$47:E$52)</f>
        <v>89485.972800000018</v>
      </c>
      <c r="F60" s="356">
        <f>SUMPRODUCT($I$24:$I$29,F$47:F$52)</f>
        <v>223714.93199999994</v>
      </c>
      <c r="G60" s="451">
        <v>2020</v>
      </c>
      <c r="K60" s="322"/>
      <c r="L60" s="322"/>
    </row>
    <row r="61" spans="2:14">
      <c r="B61" s="334"/>
      <c r="C61" s="334"/>
      <c r="D61" s="360"/>
      <c r="E61" s="356"/>
      <c r="F61" s="356"/>
      <c r="G61" s="326"/>
      <c r="K61" s="361"/>
      <c r="L61" s="361"/>
    </row>
    <row r="62" spans="2:14">
      <c r="B62" s="322" t="s">
        <v>686</v>
      </c>
      <c r="C62" s="326"/>
      <c r="D62" s="360"/>
      <c r="E62" s="356"/>
      <c r="F62" s="356"/>
      <c r="G62" s="326"/>
    </row>
    <row r="63" spans="2:14">
      <c r="B63" s="322" t="s">
        <v>687</v>
      </c>
      <c r="C63" s="326"/>
      <c r="D63" s="360"/>
      <c r="E63" s="356"/>
      <c r="F63" s="356"/>
      <c r="G63" s="326"/>
    </row>
    <row r="64" spans="2:14">
      <c r="C64" s="326"/>
      <c r="D64" s="360"/>
      <c r="E64" s="356"/>
      <c r="F64" s="356"/>
      <c r="G64" s="326"/>
    </row>
    <row r="65" spans="2:14">
      <c r="B65" s="344" t="s">
        <v>688</v>
      </c>
      <c r="C65" s="326"/>
      <c r="E65" s="356"/>
      <c r="F65" s="356"/>
      <c r="G65" s="326"/>
    </row>
    <row r="66" spans="2:14">
      <c r="B66" s="334" t="s">
        <v>625</v>
      </c>
      <c r="C66" s="326" t="s">
        <v>626</v>
      </c>
      <c r="D66" s="461">
        <f>D17*K76</f>
        <v>4600</v>
      </c>
      <c r="E66" s="451">
        <v>2020</v>
      </c>
      <c r="J66" s="362"/>
      <c r="K66" s="363"/>
    </row>
    <row r="67" spans="2:14">
      <c r="D67" s="364"/>
      <c r="G67" s="326"/>
      <c r="K67" s="322"/>
      <c r="L67" s="322"/>
    </row>
    <row r="68" spans="2:14">
      <c r="B68" s="344" t="s">
        <v>689</v>
      </c>
      <c r="D68" s="364"/>
      <c r="G68" s="326"/>
      <c r="I68" s="103"/>
      <c r="J68" s="103"/>
      <c r="K68" s="103"/>
      <c r="L68" s="103"/>
      <c r="M68" s="103"/>
    </row>
    <row r="69" spans="2:14">
      <c r="B69" s="1292" t="s">
        <v>689</v>
      </c>
      <c r="C69" s="1196" t="s">
        <v>631</v>
      </c>
      <c r="D69" s="1196" t="s">
        <v>632</v>
      </c>
      <c r="E69" s="1196" t="s">
        <v>633</v>
      </c>
      <c r="F69" s="1289" t="s">
        <v>690</v>
      </c>
      <c r="G69" s="342"/>
      <c r="H69" s="342"/>
      <c r="I69" s="103"/>
      <c r="J69" s="103"/>
      <c r="K69" s="103"/>
      <c r="L69" s="103"/>
      <c r="M69" s="103"/>
      <c r="N69" s="103"/>
    </row>
    <row r="70" spans="2:14">
      <c r="B70" s="1293"/>
      <c r="C70" s="1196" t="s">
        <v>638</v>
      </c>
      <c r="D70" s="1196" t="s">
        <v>658</v>
      </c>
      <c r="E70" s="1196" t="s">
        <v>640</v>
      </c>
      <c r="F70" s="1290"/>
      <c r="G70" s="342"/>
      <c r="H70" s="342"/>
      <c r="I70" s="103"/>
      <c r="J70" s="103"/>
      <c r="K70" s="103"/>
      <c r="L70" s="103"/>
      <c r="M70" s="103"/>
      <c r="N70" s="103"/>
    </row>
    <row r="71" spans="2:14">
      <c r="B71" s="1203" t="s">
        <v>673</v>
      </c>
      <c r="C71" s="1204">
        <v>72500</v>
      </c>
      <c r="D71" s="1204">
        <v>142000</v>
      </c>
      <c r="E71" s="1204">
        <v>521300</v>
      </c>
      <c r="F71" s="1205">
        <f>E71*$C$37+D71*$D$37+C71*$E$37</f>
        <v>126022.10397052803</v>
      </c>
      <c r="G71" s="365"/>
      <c r="H71" s="366"/>
      <c r="I71" s="366"/>
      <c r="M71" s="325"/>
    </row>
    <row r="72" spans="2:14">
      <c r="B72" s="347"/>
      <c r="C72" s="367"/>
      <c r="D72" s="347"/>
      <c r="E72" s="347"/>
      <c r="F72" s="347"/>
      <c r="G72" s="342"/>
      <c r="H72" s="368"/>
      <c r="I72" s="368"/>
    </row>
    <row r="73" spans="2:14">
      <c r="B73" s="1287" t="s">
        <v>691</v>
      </c>
      <c r="C73" s="1196" t="s">
        <v>631</v>
      </c>
      <c r="D73" s="1196" t="s">
        <v>632</v>
      </c>
      <c r="E73" s="1196" t="s">
        <v>633</v>
      </c>
      <c r="F73" s="1289" t="s">
        <v>690</v>
      </c>
      <c r="G73" s="342"/>
      <c r="H73" s="368"/>
      <c r="I73" s="368"/>
    </row>
    <row r="74" spans="2:14">
      <c r="B74" s="1288"/>
      <c r="C74" s="1196" t="s">
        <v>638</v>
      </c>
      <c r="D74" s="1196" t="s">
        <v>658</v>
      </c>
      <c r="E74" s="1196" t="s">
        <v>640</v>
      </c>
      <c r="F74" s="1290"/>
      <c r="G74" s="342"/>
      <c r="H74" s="368"/>
      <c r="I74" s="368"/>
    </row>
    <row r="75" spans="2:14">
      <c r="B75" s="1203" t="s">
        <v>673</v>
      </c>
      <c r="C75" s="1206">
        <f>SUMPRODUCT(D$24:D$28,$E$47:$E$51)</f>
        <v>43208.208960000004</v>
      </c>
      <c r="D75" s="1206">
        <f>SUMPRODUCT(E$24:E$28,$E$47:$E$51)</f>
        <v>84617.090880000018</v>
      </c>
      <c r="E75" s="1206">
        <f>SUMPRODUCT(F$24:F$28,$E$47:$E$51)</f>
        <v>310671.39488000004</v>
      </c>
      <c r="F75" s="1205">
        <f>E75*$C$37+D75*$D$37+C75*$E$37</f>
        <v>75101.929617421221</v>
      </c>
      <c r="G75" s="342"/>
      <c r="H75" s="366"/>
      <c r="I75" s="366"/>
    </row>
    <row r="76" spans="2:14">
      <c r="B76" s="347"/>
      <c r="C76" s="347"/>
      <c r="D76" s="347"/>
      <c r="E76" s="347"/>
      <c r="F76" s="347"/>
      <c r="G76" s="342"/>
      <c r="H76" s="368"/>
      <c r="I76" s="368"/>
      <c r="J76" s="462" t="s">
        <v>692</v>
      </c>
      <c r="K76" s="464">
        <v>1</v>
      </c>
      <c r="L76" s="463"/>
    </row>
    <row r="77" spans="2:14">
      <c r="B77" s="1287" t="s">
        <v>693</v>
      </c>
      <c r="C77" s="1196" t="s">
        <v>631</v>
      </c>
      <c r="D77" s="1196" t="s">
        <v>632</v>
      </c>
      <c r="E77" s="1196" t="s">
        <v>633</v>
      </c>
      <c r="F77" s="1289" t="s">
        <v>690</v>
      </c>
      <c r="G77" s="342"/>
      <c r="H77" s="368"/>
      <c r="I77" s="368"/>
    </row>
    <row r="78" spans="2:14">
      <c r="B78" s="1288"/>
      <c r="C78" s="1196" t="s">
        <v>638</v>
      </c>
      <c r="D78" s="1196" t="s">
        <v>658</v>
      </c>
      <c r="E78" s="1196" t="s">
        <v>640</v>
      </c>
      <c r="F78" s="1290"/>
      <c r="G78" s="342"/>
      <c r="H78" s="368"/>
      <c r="I78" s="368"/>
    </row>
    <row r="79" spans="2:14">
      <c r="B79" s="1203" t="s">
        <v>673</v>
      </c>
      <c r="C79" s="1206">
        <f>SUMPRODUCT(D$24:D$28,$F$47:$F$51)</f>
        <v>108020.52239999999</v>
      </c>
      <c r="D79" s="1206">
        <f>SUMPRODUCT(E$24:E$28,$F$47:$F$51)</f>
        <v>211542.72719999996</v>
      </c>
      <c r="E79" s="1206">
        <f>SUMPRODUCT(F$24:F$28,$F$47:$F$51)</f>
        <v>776678.48719999986</v>
      </c>
      <c r="F79" s="1205">
        <f>E79*$C$37+D79*$D$37+C79*$E$37</f>
        <v>187754.82404355297</v>
      </c>
      <c r="G79" s="342"/>
      <c r="H79" s="366"/>
      <c r="I79" s="366"/>
    </row>
    <row r="80" spans="2:14">
      <c r="B80" s="342" t="s">
        <v>694</v>
      </c>
      <c r="C80" s="342"/>
      <c r="D80" s="342"/>
      <c r="E80" s="342"/>
      <c r="F80" s="342"/>
      <c r="G80" s="342"/>
      <c r="H80" s="342"/>
      <c r="I80" s="342"/>
    </row>
    <row r="81" spans="2:12">
      <c r="B81" s="322" t="s">
        <v>695</v>
      </c>
      <c r="D81" s="364"/>
      <c r="G81" s="326"/>
    </row>
    <row r="82" spans="2:12">
      <c r="B82" s="369" t="s">
        <v>696</v>
      </c>
      <c r="D82" s="364"/>
      <c r="G82" s="326"/>
    </row>
    <row r="83" spans="2:12">
      <c r="B83" s="369"/>
      <c r="D83" s="364"/>
      <c r="G83" s="326"/>
    </row>
    <row r="84" spans="2:12" s="320" customFormat="1">
      <c r="B84" s="370" t="s">
        <v>598</v>
      </c>
      <c r="C84" s="317"/>
      <c r="D84" s="317"/>
      <c r="E84" s="317"/>
      <c r="F84" s="317"/>
      <c r="G84" s="371"/>
      <c r="K84" s="319"/>
      <c r="L84" s="319"/>
    </row>
    <row r="86" spans="2:12">
      <c r="B86" s="321" t="s">
        <v>697</v>
      </c>
    </row>
    <row r="87" spans="2:12">
      <c r="B87" s="334" t="s">
        <v>698</v>
      </c>
    </row>
    <row r="88" spans="2:12">
      <c r="B88" s="334" t="s">
        <v>699</v>
      </c>
    </row>
    <row r="89" spans="2:12">
      <c r="B89" s="334" t="s">
        <v>700</v>
      </c>
    </row>
    <row r="90" spans="2:12">
      <c r="B90" s="334" t="s">
        <v>701</v>
      </c>
    </row>
    <row r="91" spans="2:12">
      <c r="B91" s="334"/>
    </row>
    <row r="92" spans="2:12">
      <c r="B92" s="321" t="s">
        <v>702</v>
      </c>
    </row>
    <row r="94" spans="2:12">
      <c r="B94" s="334" t="s">
        <v>703</v>
      </c>
    </row>
    <row r="95" spans="2:12">
      <c r="B95" s="334"/>
    </row>
    <row r="96" spans="2:12">
      <c r="B96" s="321" t="s">
        <v>704</v>
      </c>
    </row>
    <row r="97" spans="2:5">
      <c r="B97" s="322" t="s">
        <v>617</v>
      </c>
      <c r="C97" s="322" t="s">
        <v>705</v>
      </c>
    </row>
    <row r="98" spans="2:5">
      <c r="B98" s="322" t="s">
        <v>619</v>
      </c>
      <c r="C98" s="322" t="s">
        <v>706</v>
      </c>
    </row>
    <row r="99" spans="2:5">
      <c r="B99" s="322" t="s">
        <v>620</v>
      </c>
      <c r="C99" s="322" t="s">
        <v>707</v>
      </c>
    </row>
    <row r="100" spans="2:5">
      <c r="B100" s="322" t="s">
        <v>621</v>
      </c>
      <c r="C100" s="322" t="s">
        <v>708</v>
      </c>
    </row>
    <row r="101" spans="2:5">
      <c r="B101" s="322" t="s">
        <v>622</v>
      </c>
      <c r="C101" s="322" t="s">
        <v>709</v>
      </c>
    </row>
    <row r="102" spans="2:5">
      <c r="B102" s="322" t="s">
        <v>710</v>
      </c>
    </row>
    <row r="103" spans="2:5">
      <c r="B103" s="346" t="s">
        <v>711</v>
      </c>
    </row>
    <row r="105" spans="2:5">
      <c r="B105" s="322" t="s">
        <v>712</v>
      </c>
    </row>
    <row r="106" spans="2:5">
      <c r="B106" s="321" t="s">
        <v>713</v>
      </c>
    </row>
    <row r="107" spans="2:5" ht="36">
      <c r="B107" s="1207"/>
      <c r="C107" s="1208" t="s">
        <v>714</v>
      </c>
      <c r="D107" s="1208" t="s">
        <v>715</v>
      </c>
      <c r="E107" s="1208" t="s">
        <v>716</v>
      </c>
    </row>
    <row r="108" spans="2:5">
      <c r="B108" s="1209" t="s">
        <v>717</v>
      </c>
      <c r="C108" s="1210">
        <v>1</v>
      </c>
      <c r="D108" s="1210">
        <v>1</v>
      </c>
      <c r="E108" s="1210">
        <v>1</v>
      </c>
    </row>
    <row r="109" spans="2:5">
      <c r="B109" s="1209" t="s">
        <v>718</v>
      </c>
      <c r="C109" s="1210">
        <v>2.3779999999999999E-2</v>
      </c>
      <c r="D109" s="1210">
        <v>1.5259999999999999E-2</v>
      </c>
      <c r="E109" s="1210">
        <v>1.0059999999999999E-2</v>
      </c>
    </row>
    <row r="110" spans="2:5">
      <c r="B110" s="1209" t="s">
        <v>719</v>
      </c>
      <c r="C110" s="1210">
        <v>6.8599999999999998E-3</v>
      </c>
      <c r="D110" s="1210">
        <v>4.4200000000000003E-3</v>
      </c>
      <c r="E110" s="1210">
        <v>3.2599999999999999E-3</v>
      </c>
    </row>
    <row r="111" spans="2:5">
      <c r="B111" s="1209" t="s">
        <v>720</v>
      </c>
      <c r="C111" s="1210">
        <v>5.0299999999999997E-3</v>
      </c>
      <c r="D111" s="1210">
        <v>3.79E-3</v>
      </c>
      <c r="E111" s="1210">
        <v>1.82E-3</v>
      </c>
    </row>
    <row r="112" spans="2:5">
      <c r="B112" s="1209" t="s">
        <v>721</v>
      </c>
      <c r="C112" s="1210">
        <v>1.9599999999999999E-3</v>
      </c>
      <c r="D112" s="1210">
        <v>2.3999999999999998E-3</v>
      </c>
      <c r="E112" s="1210">
        <v>6.4000000000000005E-4</v>
      </c>
    </row>
    <row r="113" spans="2:6">
      <c r="B113" s="1209" t="s">
        <v>722</v>
      </c>
      <c r="C113" s="1210">
        <v>5.77E-3</v>
      </c>
      <c r="D113" s="1210">
        <v>1.048E-2</v>
      </c>
      <c r="E113" s="1210">
        <v>2.8999999999999998E-3</v>
      </c>
    </row>
    <row r="114" spans="2:6">
      <c r="B114" s="322" t="s">
        <v>723</v>
      </c>
    </row>
    <row r="117" spans="2:6" s="373" customFormat="1">
      <c r="B117" s="372" t="s">
        <v>724</v>
      </c>
    </row>
    <row r="118" spans="2:6">
      <c r="B118" s="322" t="s">
        <v>725</v>
      </c>
    </row>
    <row r="119" spans="2:6">
      <c r="B119" s="322" t="s">
        <v>726</v>
      </c>
    </row>
    <row r="120" spans="2:6">
      <c r="B120" s="322" t="s">
        <v>727</v>
      </c>
    </row>
    <row r="122" spans="2:6">
      <c r="B122" s="321" t="s">
        <v>728</v>
      </c>
    </row>
    <row r="123" spans="2:6">
      <c r="B123" s="321" t="s">
        <v>729</v>
      </c>
    </row>
    <row r="124" spans="2:6">
      <c r="B124" s="1207" t="s">
        <v>730</v>
      </c>
      <c r="C124" s="1211" t="s">
        <v>731</v>
      </c>
      <c r="D124" s="1211" t="s">
        <v>732</v>
      </c>
      <c r="E124" s="1211" t="s">
        <v>733</v>
      </c>
      <c r="F124" s="1211" t="s">
        <v>734</v>
      </c>
    </row>
    <row r="125" spans="2:6">
      <c r="B125" s="1209" t="s">
        <v>735</v>
      </c>
      <c r="C125" s="1212">
        <v>1.0900000000000001</v>
      </c>
      <c r="D125" s="1212">
        <v>1.08</v>
      </c>
      <c r="E125" s="1212">
        <v>1.1399999999999999</v>
      </c>
      <c r="F125" s="1212">
        <v>1.1100000000000001</v>
      </c>
    </row>
    <row r="126" spans="2:6">
      <c r="F126" s="321"/>
    </row>
    <row r="127" spans="2:6">
      <c r="B127" s="321" t="s">
        <v>736</v>
      </c>
      <c r="F127" s="321"/>
    </row>
    <row r="128" spans="2:6">
      <c r="B128" s="321" t="s">
        <v>729</v>
      </c>
      <c r="F128" s="321"/>
    </row>
    <row r="129" spans="2:6">
      <c r="B129" s="1207" t="s">
        <v>730</v>
      </c>
      <c r="C129" s="1211" t="s">
        <v>731</v>
      </c>
      <c r="D129" s="1211" t="s">
        <v>732</v>
      </c>
      <c r="E129" s="1211" t="s">
        <v>733</v>
      </c>
      <c r="F129" s="1211" t="s">
        <v>734</v>
      </c>
    </row>
    <row r="130" spans="2:6">
      <c r="B130" s="1209" t="s">
        <v>735</v>
      </c>
      <c r="C130" s="1212">
        <v>0.81</v>
      </c>
      <c r="D130" s="1212">
        <v>0.82</v>
      </c>
      <c r="E130" s="1212">
        <v>1.1200000000000001</v>
      </c>
      <c r="F130" s="1212">
        <v>0.95</v>
      </c>
    </row>
    <row r="131" spans="2:6">
      <c r="B131" s="1209" t="s">
        <v>737</v>
      </c>
      <c r="C131" s="1212">
        <v>1.44</v>
      </c>
      <c r="D131" s="1212">
        <v>1.43</v>
      </c>
      <c r="E131" s="1213">
        <v>1.5</v>
      </c>
      <c r="F131" s="1212">
        <v>1.44</v>
      </c>
    </row>
    <row r="132" spans="2:6">
      <c r="F132" s="321"/>
    </row>
    <row r="133" spans="2:6">
      <c r="B133" s="321" t="s">
        <v>738</v>
      </c>
      <c r="F133" s="321"/>
    </row>
    <row r="134" spans="2:6">
      <c r="B134" s="321" t="s">
        <v>729</v>
      </c>
      <c r="F134" s="321"/>
    </row>
    <row r="135" spans="2:6">
      <c r="B135" s="1207" t="s">
        <v>730</v>
      </c>
      <c r="C135" s="1211" t="s">
        <v>731</v>
      </c>
      <c r="D135" s="1211" t="s">
        <v>732</v>
      </c>
      <c r="E135" s="1211" t="s">
        <v>733</v>
      </c>
      <c r="F135" s="1211" t="s">
        <v>734</v>
      </c>
    </row>
    <row r="136" spans="2:6">
      <c r="B136" s="1209" t="s">
        <v>735</v>
      </c>
      <c r="C136" s="1213">
        <v>1.51</v>
      </c>
      <c r="D136" s="1213">
        <v>1.69</v>
      </c>
      <c r="E136" s="1213">
        <v>1.58</v>
      </c>
      <c r="F136" s="1213">
        <v>1.63</v>
      </c>
    </row>
    <row r="137" spans="2:6">
      <c r="B137" s="1209" t="s">
        <v>737</v>
      </c>
      <c r="C137" s="1213">
        <v>1.82</v>
      </c>
      <c r="D137" s="1213">
        <v>2.1</v>
      </c>
      <c r="E137" s="1213">
        <v>1.59</v>
      </c>
      <c r="F137" s="1213">
        <v>1.99</v>
      </c>
    </row>
    <row r="138" spans="2:6">
      <c r="B138" s="1209" t="s">
        <v>739</v>
      </c>
      <c r="C138" s="1213">
        <v>1.8</v>
      </c>
      <c r="D138" s="1213">
        <v>2.0299999999999998</v>
      </c>
      <c r="E138" s="1213">
        <v>1.59</v>
      </c>
      <c r="F138" s="1213">
        <v>1.96</v>
      </c>
    </row>
    <row r="139" spans="2:6">
      <c r="F139" s="321"/>
    </row>
    <row r="140" spans="2:6">
      <c r="B140" s="374" t="s">
        <v>740</v>
      </c>
    </row>
    <row r="142" spans="2:6">
      <c r="B142" s="369"/>
    </row>
  </sheetData>
  <mergeCells count="8">
    <mergeCell ref="I5:I12"/>
    <mergeCell ref="B77:B78"/>
    <mergeCell ref="F77:F78"/>
    <mergeCell ref="H5:H13"/>
    <mergeCell ref="B69:B70"/>
    <mergeCell ref="F69:F70"/>
    <mergeCell ref="B73:B74"/>
    <mergeCell ref="F73:F74"/>
  </mergeCells>
  <hyperlinks>
    <hyperlink ref="B103" r:id="rId1" xr:uid="{00000000-0004-0000-1A00-000001000000}"/>
    <hyperlink ref="P35" r:id="rId2" xr:uid="{00000000-0004-0000-1A00-000002000000}"/>
    <hyperlink ref="I17" r:id="rId3" xr:uid="{5BE77FDF-18DD-410D-AC17-5CDC1DDA5346}"/>
    <hyperlink ref="I5" r:id="rId4" xr:uid="{C90D6437-34AE-42CF-B8C0-2A55ACD06C8B}"/>
  </hyperlinks>
  <pageMargins left="0.7" right="0.7" top="0.75" bottom="0.75" header="0.3" footer="0.3"/>
  <pageSetup scale="60" fitToHeight="2" orientation="landscape" r:id="rId5"/>
  <headerFooter>
    <oddHeader>&amp;L&amp;F&amp;R&amp;A</oddHeader>
    <oddFooter>&amp;LHDR inc.&amp;C&amp;P of &amp;N&amp;R&amp;D</oddFooter>
  </headerFooter>
  <drawing r:id="rId6"/>
  <legacyDrawing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tabColor theme="9" tint="0.59999389629810485"/>
  </sheetPr>
  <dimension ref="B2:AA41"/>
  <sheetViews>
    <sheetView showGridLines="0" zoomScaleNormal="100" workbookViewId="0">
      <selection activeCell="C18" sqref="C18"/>
    </sheetView>
  </sheetViews>
  <sheetFormatPr defaultColWidth="8.625" defaultRowHeight="14.25"/>
  <cols>
    <col min="1" max="1" width="2.625" customWidth="1"/>
    <col min="2" max="2" width="21.125" customWidth="1"/>
    <col min="3" max="3" width="11.75" customWidth="1"/>
    <col min="9" max="9" width="10.375" customWidth="1"/>
  </cols>
  <sheetData>
    <row r="2" spans="2:27" ht="15">
      <c r="B2" s="1" t="s">
        <v>741</v>
      </c>
    </row>
    <row r="3" spans="2:27">
      <c r="B3" t="s">
        <v>742</v>
      </c>
    </row>
    <row r="5" spans="2:27" ht="15">
      <c r="C5" s="295" t="s">
        <v>743</v>
      </c>
      <c r="D5" s="296"/>
      <c r="E5" s="296"/>
      <c r="F5" s="296"/>
      <c r="G5" s="295" t="s">
        <v>744</v>
      </c>
      <c r="H5" s="297"/>
      <c r="I5" s="297"/>
      <c r="K5" s="298"/>
      <c r="L5" s="299"/>
      <c r="M5" s="299"/>
      <c r="N5" s="299"/>
      <c r="O5" s="299"/>
      <c r="P5" s="299"/>
      <c r="Q5" s="299"/>
      <c r="R5" s="299"/>
      <c r="S5" s="299"/>
      <c r="T5" s="299"/>
      <c r="U5" s="299"/>
      <c r="V5" s="299"/>
      <c r="W5" s="299"/>
      <c r="X5" s="299"/>
      <c r="Y5" s="299"/>
      <c r="Z5" s="299"/>
      <c r="AA5" s="300"/>
    </row>
    <row r="6" spans="2:27" ht="15">
      <c r="B6" s="150"/>
      <c r="C6" s="301" t="s">
        <v>745</v>
      </c>
      <c r="D6" s="301" t="s">
        <v>746</v>
      </c>
      <c r="E6" s="302" t="s">
        <v>78</v>
      </c>
      <c r="F6" s="296"/>
      <c r="G6" s="301" t="s">
        <v>745</v>
      </c>
      <c r="H6" s="301" t="s">
        <v>746</v>
      </c>
      <c r="I6" s="302" t="s">
        <v>78</v>
      </c>
      <c r="K6" s="664"/>
      <c r="AA6" s="303"/>
    </row>
    <row r="7" spans="2:27" ht="15">
      <c r="B7" t="s">
        <v>637</v>
      </c>
      <c r="C7" s="304">
        <v>60</v>
      </c>
      <c r="D7" s="304">
        <v>505</v>
      </c>
      <c r="E7" s="305">
        <f>C7+D7</f>
        <v>565</v>
      </c>
      <c r="F7" s="296"/>
      <c r="G7" s="306">
        <f>C7/$E$13</f>
        <v>5.3050397877984087E-2</v>
      </c>
      <c r="H7" s="306">
        <f t="shared" ref="H7:I13" si="0">D7/$E$13</f>
        <v>0.44650751547303269</v>
      </c>
      <c r="I7" s="307">
        <f>E7/$E$13</f>
        <v>0.49955791335101679</v>
      </c>
      <c r="K7" s="664"/>
      <c r="AA7" s="303"/>
    </row>
    <row r="8" spans="2:27" ht="15">
      <c r="B8" t="s">
        <v>747</v>
      </c>
      <c r="C8" s="304">
        <v>315</v>
      </c>
      <c r="D8" s="304">
        <v>56</v>
      </c>
      <c r="E8" s="305">
        <f>C8+D8</f>
        <v>371</v>
      </c>
      <c r="F8" s="296"/>
      <c r="G8" s="306">
        <f>C8/$E$13</f>
        <v>0.27851458885941643</v>
      </c>
      <c r="H8" s="306">
        <f t="shared" si="0"/>
        <v>4.951370468611848E-2</v>
      </c>
      <c r="I8" s="307">
        <f>E8/$E$13</f>
        <v>0.32802829354553492</v>
      </c>
      <c r="K8" s="664"/>
      <c r="AA8" s="303"/>
    </row>
    <row r="9" spans="2:27" ht="15">
      <c r="B9" t="s">
        <v>748</v>
      </c>
      <c r="C9" s="304">
        <v>79</v>
      </c>
      <c r="D9" s="304">
        <v>11</v>
      </c>
      <c r="E9" s="305">
        <f t="shared" ref="E9:E12" si="1">C9+D9</f>
        <v>90</v>
      </c>
      <c r="F9" s="296"/>
      <c r="G9" s="306">
        <f t="shared" ref="G9:G12" si="2">C9/$E$13</f>
        <v>6.9849690539345713E-2</v>
      </c>
      <c r="H9" s="306">
        <f t="shared" si="0"/>
        <v>9.7259062776304164E-3</v>
      </c>
      <c r="I9" s="307">
        <f t="shared" si="0"/>
        <v>7.9575596816976124E-2</v>
      </c>
      <c r="K9" s="664"/>
      <c r="AA9" s="303"/>
    </row>
    <row r="10" spans="2:27" ht="15">
      <c r="B10" t="s">
        <v>749</v>
      </c>
      <c r="C10" s="304">
        <v>30</v>
      </c>
      <c r="D10" s="304">
        <v>4</v>
      </c>
      <c r="E10" s="305">
        <f t="shared" si="1"/>
        <v>34</v>
      </c>
      <c r="F10" s="296"/>
      <c r="G10" s="306">
        <f t="shared" si="2"/>
        <v>2.6525198938992044E-2</v>
      </c>
      <c r="H10" s="306">
        <f t="shared" si="0"/>
        <v>3.5366931918656055E-3</v>
      </c>
      <c r="I10" s="307">
        <f t="shared" si="0"/>
        <v>3.0061892130857647E-2</v>
      </c>
      <c r="K10" s="664"/>
      <c r="AA10" s="303"/>
    </row>
    <row r="11" spans="2:27" ht="15">
      <c r="B11" t="s">
        <v>750</v>
      </c>
      <c r="C11" s="304">
        <v>9</v>
      </c>
      <c r="D11" s="304">
        <v>1</v>
      </c>
      <c r="E11" s="305">
        <f t="shared" si="1"/>
        <v>10</v>
      </c>
      <c r="F11" s="296"/>
      <c r="G11" s="306">
        <f t="shared" si="2"/>
        <v>7.9575596816976128E-3</v>
      </c>
      <c r="H11" s="306">
        <f t="shared" si="0"/>
        <v>8.8417329796640137E-4</v>
      </c>
      <c r="I11" s="307">
        <f t="shared" si="0"/>
        <v>8.8417329796640146E-3</v>
      </c>
      <c r="K11" s="664"/>
      <c r="AA11" s="303"/>
    </row>
    <row r="12" spans="2:27" ht="15">
      <c r="B12" t="s">
        <v>751</v>
      </c>
      <c r="C12" s="304">
        <f>13+4+39</f>
        <v>56</v>
      </c>
      <c r="D12" s="304">
        <f>2+3</f>
        <v>5</v>
      </c>
      <c r="E12" s="305">
        <f t="shared" si="1"/>
        <v>61</v>
      </c>
      <c r="F12" s="296"/>
      <c r="G12" s="306">
        <f t="shared" si="2"/>
        <v>4.951370468611848E-2</v>
      </c>
      <c r="H12" s="306">
        <f t="shared" si="0"/>
        <v>4.4208664898320073E-3</v>
      </c>
      <c r="I12" s="307">
        <f t="shared" si="0"/>
        <v>5.3934571175950484E-2</v>
      </c>
      <c r="K12" s="664"/>
      <c r="AA12" s="303"/>
    </row>
    <row r="13" spans="2:27" ht="15">
      <c r="B13" s="719" t="s">
        <v>78</v>
      </c>
      <c r="C13" s="1214">
        <f t="shared" ref="C13:D13" si="3">SUM(C7:C12)</f>
        <v>549</v>
      </c>
      <c r="D13" s="1214">
        <f t="shared" si="3"/>
        <v>582</v>
      </c>
      <c r="E13" s="1214">
        <f>SUM(E7:E12)</f>
        <v>1131</v>
      </c>
      <c r="F13" s="296"/>
      <c r="G13" s="1215">
        <f>C13/$E$13</f>
        <v>0.48541114058355439</v>
      </c>
      <c r="H13" s="1215">
        <f t="shared" si="0"/>
        <v>0.51458885941644561</v>
      </c>
      <c r="I13" s="1215">
        <f t="shared" si="0"/>
        <v>1</v>
      </c>
      <c r="K13" s="664"/>
      <c r="AA13" s="303"/>
    </row>
    <row r="14" spans="2:27">
      <c r="K14" s="664"/>
      <c r="AA14" s="303"/>
    </row>
    <row r="15" spans="2:27">
      <c r="B15" s="150"/>
      <c r="C15" s="308" t="s">
        <v>752</v>
      </c>
      <c r="D15" s="308" t="s">
        <v>753</v>
      </c>
      <c r="K15" s="664"/>
      <c r="AA15" s="303"/>
    </row>
    <row r="16" spans="2:27">
      <c r="B16" t="s">
        <v>747</v>
      </c>
      <c r="C16" s="455">
        <f>'Accident Costs'!D47</f>
        <v>34800</v>
      </c>
      <c r="D16" s="456">
        <f>I8</f>
        <v>0.32802829354553492</v>
      </c>
      <c r="K16" s="664"/>
      <c r="AA16" s="303"/>
    </row>
    <row r="17" spans="2:27">
      <c r="B17" t="s">
        <v>748</v>
      </c>
      <c r="C17" s="455">
        <f>'Accident Costs'!D48</f>
        <v>545200</v>
      </c>
      <c r="D17" s="456">
        <f t="shared" ref="D17:D20" si="4">I9</f>
        <v>7.9575596816976124E-2</v>
      </c>
      <c r="K17" s="664"/>
      <c r="AA17" s="303"/>
    </row>
    <row r="18" spans="2:27">
      <c r="B18" t="s">
        <v>749</v>
      </c>
      <c r="C18" s="455">
        <f>'Accident Costs'!D49</f>
        <v>1218000</v>
      </c>
      <c r="D18" s="456">
        <f t="shared" si="4"/>
        <v>3.0061892130857647E-2</v>
      </c>
      <c r="K18" s="664"/>
      <c r="AA18" s="303"/>
    </row>
    <row r="19" spans="2:27">
      <c r="B19" t="s">
        <v>750</v>
      </c>
      <c r="C19" s="455">
        <f>'Accident Costs'!D50</f>
        <v>3085600</v>
      </c>
      <c r="D19" s="456">
        <f t="shared" si="4"/>
        <v>8.8417329796640146E-3</v>
      </c>
      <c r="K19" s="664"/>
      <c r="AA19" s="303"/>
    </row>
    <row r="20" spans="2:27">
      <c r="B20" t="s">
        <v>751</v>
      </c>
      <c r="C20" s="455">
        <f>'Accident Costs'!D51</f>
        <v>6878800</v>
      </c>
      <c r="D20" s="456">
        <f t="shared" si="4"/>
        <v>5.3934571175950484E-2</v>
      </c>
      <c r="K20" s="664"/>
      <c r="AA20" s="303"/>
    </row>
    <row r="21" spans="2:27" ht="15">
      <c r="B21" s="719" t="s">
        <v>642</v>
      </c>
      <c r="C21" s="1216">
        <f>(SUMPRODUCT(C16:C20,D16:D20))*C23</f>
        <v>489702.56410256412</v>
      </c>
      <c r="D21" s="1217"/>
      <c r="K21" s="664"/>
      <c r="AA21" s="303"/>
    </row>
    <row r="22" spans="2:27">
      <c r="K22" s="664"/>
      <c r="AA22" s="303"/>
    </row>
    <row r="23" spans="2:27">
      <c r="B23" s="594" t="s">
        <v>337</v>
      </c>
      <c r="C23" s="595">
        <v>1</v>
      </c>
      <c r="D23" s="596" t="s">
        <v>754</v>
      </c>
      <c r="K23" s="664"/>
      <c r="AA23" s="303"/>
    </row>
    <row r="24" spans="2:27">
      <c r="K24" s="664"/>
      <c r="AA24" s="303"/>
    </row>
    <row r="25" spans="2:27">
      <c r="K25" s="664"/>
      <c r="AA25" s="303"/>
    </row>
    <row r="26" spans="2:27">
      <c r="K26" s="664"/>
      <c r="AA26" s="303"/>
    </row>
    <row r="27" spans="2:27">
      <c r="B27" s="565"/>
      <c r="K27" s="664"/>
      <c r="AA27" s="303"/>
    </row>
    <row r="28" spans="2:27">
      <c r="K28" s="664"/>
      <c r="AA28" s="303"/>
    </row>
    <row r="29" spans="2:27">
      <c r="C29" s="597"/>
      <c r="K29" s="664"/>
      <c r="AA29" s="303"/>
    </row>
    <row r="30" spans="2:27">
      <c r="K30" s="664"/>
      <c r="AA30" s="303"/>
    </row>
    <row r="31" spans="2:27">
      <c r="K31" s="664"/>
      <c r="AA31" s="303"/>
    </row>
    <row r="32" spans="2:27">
      <c r="K32" s="664"/>
      <c r="AA32" s="303"/>
    </row>
    <row r="33" spans="11:27">
      <c r="K33" s="664"/>
      <c r="AA33" s="303"/>
    </row>
    <row r="34" spans="11:27">
      <c r="K34" s="664"/>
      <c r="AA34" s="303"/>
    </row>
    <row r="35" spans="11:27">
      <c r="K35" s="664"/>
      <c r="AA35" s="303"/>
    </row>
    <row r="36" spans="11:27">
      <c r="K36" s="664"/>
      <c r="AA36" s="303"/>
    </row>
    <row r="37" spans="11:27">
      <c r="K37" s="664"/>
      <c r="AA37" s="303"/>
    </row>
    <row r="38" spans="11:27">
      <c r="K38" s="664"/>
      <c r="AA38" s="303"/>
    </row>
    <row r="39" spans="11:27">
      <c r="K39" s="664"/>
      <c r="AA39" s="303"/>
    </row>
    <row r="40" spans="11:27">
      <c r="K40" s="664"/>
      <c r="AA40" s="303"/>
    </row>
    <row r="41" spans="11:27">
      <c r="K41" s="309"/>
      <c r="L41" s="150"/>
      <c r="M41" s="150"/>
      <c r="N41" s="150"/>
      <c r="O41" s="150"/>
      <c r="P41" s="150"/>
      <c r="Q41" s="150"/>
      <c r="R41" s="150"/>
      <c r="S41" s="150"/>
      <c r="T41" s="150"/>
      <c r="U41" s="150"/>
      <c r="V41" s="150"/>
      <c r="W41" s="150"/>
      <c r="X41" s="150"/>
      <c r="Y41" s="150"/>
      <c r="Z41" s="150"/>
      <c r="AA41" s="310"/>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9" tint="0.59999389629810485"/>
    <pageSetUpPr fitToPage="1"/>
  </sheetPr>
  <dimension ref="A1:O57"/>
  <sheetViews>
    <sheetView showGridLines="0" zoomScale="70" zoomScaleNormal="70" workbookViewId="0">
      <pane ySplit="1" topLeftCell="A2" activePane="bottomLeft" state="frozen"/>
      <selection pane="bottomLeft" activeCell="S29" sqref="S29"/>
    </sheetView>
  </sheetViews>
  <sheetFormatPr defaultColWidth="9.875" defaultRowHeight="15"/>
  <cols>
    <col min="1" max="1" width="1" style="497" customWidth="1"/>
    <col min="2" max="2" width="36.75" style="497" customWidth="1"/>
    <col min="3" max="3" width="16.75" style="497" customWidth="1"/>
    <col min="4" max="4" width="14.375" style="497" customWidth="1"/>
    <col min="5" max="5" width="12.75" style="497" customWidth="1"/>
    <col min="6" max="6" width="11.125" style="497" customWidth="1"/>
    <col min="7" max="7" width="10.5" style="497" customWidth="1"/>
    <col min="8" max="8" width="8.625" style="497" customWidth="1"/>
    <col min="9" max="9" width="8.125" style="497" customWidth="1"/>
    <col min="10" max="10" width="10.75" style="497" customWidth="1"/>
    <col min="11" max="11" width="10.5" style="497" customWidth="1"/>
    <col min="12" max="12" width="8.125" style="497" customWidth="1"/>
    <col min="13" max="13" width="10.375" style="497" customWidth="1"/>
    <col min="14" max="16384" width="9.875" style="497"/>
  </cols>
  <sheetData>
    <row r="1" spans="1:15" s="493" customFormat="1">
      <c r="A1" s="492" t="s">
        <v>42</v>
      </c>
      <c r="B1" s="492"/>
      <c r="F1" s="494"/>
      <c r="G1" s="494"/>
      <c r="I1" s="495"/>
      <c r="J1" s="495"/>
      <c r="K1" s="496"/>
    </row>
    <row r="2" spans="1:15">
      <c r="B2" s="497" t="s">
        <v>1027</v>
      </c>
    </row>
    <row r="4" spans="1:15">
      <c r="B4" s="498"/>
    </row>
    <row r="5" spans="1:15">
      <c r="C5" s="472" t="s">
        <v>755</v>
      </c>
      <c r="D5" s="65"/>
      <c r="E5" s="65"/>
      <c r="F5" s="473"/>
      <c r="G5" s="65"/>
      <c r="H5" s="65"/>
      <c r="I5" s="65" t="s">
        <v>756</v>
      </c>
      <c r="J5" s="65"/>
      <c r="K5" s="65"/>
      <c r="L5" s="65"/>
      <c r="M5" s="65"/>
      <c r="N5" s="65"/>
      <c r="O5" s="65"/>
    </row>
    <row r="6" spans="1:15">
      <c r="C6" s="474" t="s">
        <v>757</v>
      </c>
      <c r="D6" s="65"/>
      <c r="E6" s="65"/>
      <c r="F6" s="473"/>
      <c r="G6" s="65"/>
      <c r="H6" s="65"/>
      <c r="I6" s="65"/>
      <c r="J6" s="65"/>
      <c r="K6" s="65"/>
      <c r="L6" s="65"/>
      <c r="M6" s="65"/>
      <c r="N6" s="65"/>
      <c r="O6" s="65"/>
    </row>
    <row r="7" spans="1:15" ht="15.75" thickBot="1">
      <c r="B7" s="65"/>
      <c r="C7" s="475" t="s">
        <v>85</v>
      </c>
      <c r="D7" s="475" t="s">
        <v>758</v>
      </c>
      <c r="E7" s="475" t="s">
        <v>759</v>
      </c>
      <c r="F7" s="476" t="s">
        <v>760</v>
      </c>
      <c r="G7" s="475" t="s">
        <v>761</v>
      </c>
      <c r="H7" s="65"/>
      <c r="I7" s="65"/>
      <c r="J7" s="65"/>
      <c r="K7" s="65"/>
      <c r="L7" s="65"/>
      <c r="M7" s="65"/>
      <c r="N7" s="65"/>
      <c r="O7" s="65"/>
    </row>
    <row r="8" spans="1:15">
      <c r="B8" s="65"/>
      <c r="C8" s="477" t="s">
        <v>762</v>
      </c>
      <c r="D8" s="478" t="s">
        <v>758</v>
      </c>
      <c r="E8" s="478" t="s">
        <v>759</v>
      </c>
      <c r="F8" s="478" t="s">
        <v>763</v>
      </c>
      <c r="G8" s="479" t="s">
        <v>761</v>
      </c>
      <c r="H8" s="65"/>
      <c r="I8" s="478" t="s">
        <v>758</v>
      </c>
      <c r="J8" s="478" t="s">
        <v>759</v>
      </c>
      <c r="K8" s="478" t="s">
        <v>763</v>
      </c>
      <c r="L8" s="479" t="s">
        <v>761</v>
      </c>
      <c r="M8" s="65"/>
      <c r="N8" s="65"/>
      <c r="O8" s="65"/>
    </row>
    <row r="9" spans="1:15">
      <c r="B9" s="65"/>
      <c r="C9" s="480">
        <v>2021</v>
      </c>
      <c r="D9" s="481">
        <f>D10</f>
        <v>19800</v>
      </c>
      <c r="E9" s="481">
        <f t="shared" ref="E9:G10" si="0">E10</f>
        <v>52900</v>
      </c>
      <c r="F9" s="481">
        <f t="shared" si="0"/>
        <v>951000</v>
      </c>
      <c r="G9" s="482">
        <f t="shared" si="0"/>
        <v>228</v>
      </c>
      <c r="H9" s="65"/>
      <c r="I9" s="483">
        <f t="shared" ref="I9:I38" si="1">D9/$C$41</f>
        <v>17975.487970948707</v>
      </c>
      <c r="J9" s="483">
        <f t="shared" ref="J9:J38" si="2">E9/$C$41</f>
        <v>48025.41988197912</v>
      </c>
      <c r="K9" s="483">
        <f t="shared" ref="K9:K38" si="3">F9/$C$41</f>
        <v>863368.13436223334</v>
      </c>
      <c r="L9" s="483">
        <f t="shared" ref="L9:L38" si="4">G9/$C$41</f>
        <v>206.99046754425785</v>
      </c>
      <c r="M9" s="65"/>
      <c r="N9" s="65"/>
      <c r="O9" s="65"/>
    </row>
    <row r="10" spans="1:15">
      <c r="B10" s="65"/>
      <c r="C10" s="480">
        <v>2022</v>
      </c>
      <c r="D10" s="481">
        <f>D11</f>
        <v>19800</v>
      </c>
      <c r="E10" s="481">
        <f t="shared" si="0"/>
        <v>52900</v>
      </c>
      <c r="F10" s="481">
        <f t="shared" si="0"/>
        <v>951000</v>
      </c>
      <c r="G10" s="482">
        <f t="shared" si="0"/>
        <v>228</v>
      </c>
      <c r="H10" s="65"/>
      <c r="I10" s="483">
        <f t="shared" si="1"/>
        <v>17975.487970948707</v>
      </c>
      <c r="J10" s="483">
        <f t="shared" si="2"/>
        <v>48025.41988197912</v>
      </c>
      <c r="K10" s="483">
        <f t="shared" si="3"/>
        <v>863368.13436223334</v>
      </c>
      <c r="L10" s="483">
        <f t="shared" si="4"/>
        <v>206.99046754425785</v>
      </c>
      <c r="M10" s="65"/>
      <c r="N10" s="65"/>
      <c r="O10" s="65"/>
    </row>
    <row r="11" spans="1:15">
      <c r="B11" s="65"/>
      <c r="C11" s="480">
        <v>2023</v>
      </c>
      <c r="D11" s="481">
        <v>19800</v>
      </c>
      <c r="E11" s="481">
        <v>52900</v>
      </c>
      <c r="F11" s="481">
        <v>951000</v>
      </c>
      <c r="G11" s="482">
        <v>228</v>
      </c>
      <c r="H11" s="65"/>
      <c r="I11" s="483">
        <f t="shared" si="1"/>
        <v>17975.487970948707</v>
      </c>
      <c r="J11" s="483">
        <f t="shared" si="2"/>
        <v>48025.41988197912</v>
      </c>
      <c r="K11" s="483">
        <f t="shared" si="3"/>
        <v>863368.13436223334</v>
      </c>
      <c r="L11" s="483">
        <f t="shared" si="4"/>
        <v>206.99046754425785</v>
      </c>
      <c r="M11" s="65"/>
      <c r="N11" s="65"/>
      <c r="O11" s="65"/>
    </row>
    <row r="12" spans="1:15">
      <c r="B12" s="65"/>
      <c r="C12" s="480">
        <v>2024</v>
      </c>
      <c r="D12" s="481">
        <v>20100</v>
      </c>
      <c r="E12" s="481">
        <v>53800</v>
      </c>
      <c r="F12" s="481">
        <v>963200</v>
      </c>
      <c r="G12" s="482">
        <v>233</v>
      </c>
      <c r="H12" s="65"/>
      <c r="I12" s="483">
        <f t="shared" si="1"/>
        <v>18247.843849296416</v>
      </c>
      <c r="J12" s="483">
        <f t="shared" si="2"/>
        <v>48842.487517022244</v>
      </c>
      <c r="K12" s="483">
        <f t="shared" si="3"/>
        <v>874443.94008170685</v>
      </c>
      <c r="L12" s="483">
        <f t="shared" si="4"/>
        <v>211.5297321833863</v>
      </c>
      <c r="M12" s="65"/>
      <c r="N12" s="65"/>
      <c r="O12" s="65"/>
    </row>
    <row r="13" spans="1:15">
      <c r="B13" s="65"/>
      <c r="C13" s="480">
        <v>2025</v>
      </c>
      <c r="D13" s="481">
        <v>20300</v>
      </c>
      <c r="E13" s="481">
        <v>54800</v>
      </c>
      <c r="F13" s="481">
        <v>975500</v>
      </c>
      <c r="G13" s="482">
        <v>237</v>
      </c>
      <c r="H13" s="65"/>
      <c r="I13" s="483">
        <f t="shared" si="1"/>
        <v>18429.414434861555</v>
      </c>
      <c r="J13" s="483">
        <f t="shared" si="2"/>
        <v>49750.340444847941</v>
      </c>
      <c r="K13" s="483">
        <f t="shared" si="3"/>
        <v>885610.53109396284</v>
      </c>
      <c r="L13" s="483">
        <f t="shared" si="4"/>
        <v>215.16114389468908</v>
      </c>
      <c r="M13" s="65"/>
      <c r="N13" s="65"/>
      <c r="O13" s="65"/>
    </row>
    <row r="14" spans="1:15">
      <c r="B14" s="65"/>
      <c r="C14" s="480">
        <v>2026</v>
      </c>
      <c r="D14" s="481">
        <v>20600</v>
      </c>
      <c r="E14" s="481">
        <v>56100</v>
      </c>
      <c r="F14" s="481">
        <v>993500</v>
      </c>
      <c r="G14" s="482">
        <v>241</v>
      </c>
      <c r="H14" s="65"/>
      <c r="I14" s="483">
        <f t="shared" si="1"/>
        <v>18701.770313209261</v>
      </c>
      <c r="J14" s="483">
        <f t="shared" si="2"/>
        <v>50930.549251021337</v>
      </c>
      <c r="K14" s="483">
        <f t="shared" si="3"/>
        <v>901951.88379482529</v>
      </c>
      <c r="L14" s="483">
        <f t="shared" si="4"/>
        <v>218.79255560599185</v>
      </c>
      <c r="M14" s="65"/>
      <c r="N14" s="65"/>
      <c r="O14" s="65"/>
    </row>
    <row r="15" spans="1:15">
      <c r="B15" s="65"/>
      <c r="C15" s="480">
        <v>2027</v>
      </c>
      <c r="D15" s="481">
        <v>21000</v>
      </c>
      <c r="E15" s="481">
        <v>57400</v>
      </c>
      <c r="F15" s="481">
        <v>1011900</v>
      </c>
      <c r="G15" s="482">
        <v>245</v>
      </c>
      <c r="H15" s="65"/>
      <c r="I15" s="483">
        <f t="shared" si="1"/>
        <v>19064.91148433954</v>
      </c>
      <c r="J15" s="483">
        <f t="shared" si="2"/>
        <v>52110.75805719474</v>
      </c>
      <c r="K15" s="483">
        <f t="shared" si="3"/>
        <v>918656.37766681809</v>
      </c>
      <c r="L15" s="483">
        <f t="shared" si="4"/>
        <v>222.42396731729463</v>
      </c>
      <c r="M15" s="65"/>
      <c r="N15" s="65"/>
      <c r="O15" s="65"/>
    </row>
    <row r="16" spans="1:15">
      <c r="B16" s="65"/>
      <c r="C16" s="480">
        <v>2028</v>
      </c>
      <c r="D16" s="481">
        <v>21300</v>
      </c>
      <c r="E16" s="481">
        <v>58700</v>
      </c>
      <c r="F16" s="481">
        <v>1030600</v>
      </c>
      <c r="G16" s="482">
        <v>250</v>
      </c>
      <c r="H16" s="65"/>
      <c r="I16" s="483">
        <f t="shared" si="1"/>
        <v>19337.267362687246</v>
      </c>
      <c r="J16" s="483">
        <f t="shared" si="2"/>
        <v>53290.966863368136</v>
      </c>
      <c r="K16" s="483">
        <f t="shared" si="3"/>
        <v>935633.22741715843</v>
      </c>
      <c r="L16" s="483">
        <f t="shared" si="4"/>
        <v>226.96323195642307</v>
      </c>
      <c r="M16" s="65"/>
      <c r="N16" s="65"/>
      <c r="O16" s="65"/>
    </row>
    <row r="17" spans="2:15">
      <c r="B17" s="65"/>
      <c r="C17" s="480">
        <v>2029</v>
      </c>
      <c r="D17" s="481">
        <v>21700</v>
      </c>
      <c r="E17" s="481">
        <v>60100</v>
      </c>
      <c r="F17" s="481">
        <v>1049600</v>
      </c>
      <c r="G17" s="482">
        <v>253</v>
      </c>
      <c r="H17" s="65"/>
      <c r="I17" s="483">
        <f t="shared" si="1"/>
        <v>19700.408533817525</v>
      </c>
      <c r="J17" s="483">
        <f t="shared" si="2"/>
        <v>54561.960962324105</v>
      </c>
      <c r="K17" s="483">
        <f t="shared" si="3"/>
        <v>952882.43304584664</v>
      </c>
      <c r="L17" s="483">
        <f t="shared" si="4"/>
        <v>229.68679073990015</v>
      </c>
      <c r="M17" s="65"/>
      <c r="N17" s="65"/>
      <c r="O17" s="65"/>
    </row>
    <row r="18" spans="2:15">
      <c r="B18" s="65"/>
      <c r="C18" s="480">
        <v>2030</v>
      </c>
      <c r="D18" s="481">
        <v>22000</v>
      </c>
      <c r="E18" s="481">
        <v>61500</v>
      </c>
      <c r="F18" s="481">
        <v>1069000</v>
      </c>
      <c r="G18" s="482">
        <v>257</v>
      </c>
      <c r="H18" s="65"/>
      <c r="I18" s="483">
        <f t="shared" si="1"/>
        <v>19972.76441216523</v>
      </c>
      <c r="J18" s="483">
        <f t="shared" si="2"/>
        <v>55832.955061280074</v>
      </c>
      <c r="K18" s="483">
        <f t="shared" si="3"/>
        <v>970494.77984566509</v>
      </c>
      <c r="L18" s="483">
        <f t="shared" si="4"/>
        <v>233.31820245120292</v>
      </c>
      <c r="M18" s="65"/>
      <c r="N18" s="65"/>
      <c r="O18" s="65"/>
    </row>
    <row r="19" spans="2:15">
      <c r="B19" s="65"/>
      <c r="C19" s="480">
        <v>2031</v>
      </c>
      <c r="D19" s="481">
        <v>22000</v>
      </c>
      <c r="E19" s="481">
        <v>61500</v>
      </c>
      <c r="F19" s="481">
        <v>1069000</v>
      </c>
      <c r="G19" s="482">
        <v>262</v>
      </c>
      <c r="H19" s="65"/>
      <c r="I19" s="483">
        <f t="shared" si="1"/>
        <v>19972.76441216523</v>
      </c>
      <c r="J19" s="483">
        <f t="shared" si="2"/>
        <v>55832.955061280074</v>
      </c>
      <c r="K19" s="483">
        <f t="shared" si="3"/>
        <v>970494.77984566509</v>
      </c>
      <c r="L19" s="483">
        <f t="shared" si="4"/>
        <v>237.85746709033137</v>
      </c>
      <c r="M19" s="65"/>
      <c r="N19" s="65"/>
      <c r="O19" s="65"/>
    </row>
    <row r="20" spans="2:15">
      <c r="B20" s="65"/>
      <c r="C20" s="480">
        <v>2032</v>
      </c>
      <c r="D20" s="481">
        <v>22000</v>
      </c>
      <c r="E20" s="481">
        <v>61500</v>
      </c>
      <c r="F20" s="481">
        <v>1069000</v>
      </c>
      <c r="G20" s="482">
        <v>265</v>
      </c>
      <c r="H20" s="65"/>
      <c r="I20" s="483">
        <f t="shared" si="1"/>
        <v>19972.76441216523</v>
      </c>
      <c r="J20" s="483">
        <f t="shared" si="2"/>
        <v>55832.955061280074</v>
      </c>
      <c r="K20" s="483">
        <f t="shared" si="3"/>
        <v>970494.77984566509</v>
      </c>
      <c r="L20" s="483">
        <f t="shared" si="4"/>
        <v>240.58102587380847</v>
      </c>
      <c r="M20" s="65"/>
      <c r="N20" s="65"/>
      <c r="O20" s="65"/>
    </row>
    <row r="21" spans="2:15">
      <c r="B21" s="65"/>
      <c r="C21" s="480">
        <v>2033</v>
      </c>
      <c r="D21" s="481">
        <v>22000</v>
      </c>
      <c r="E21" s="481">
        <v>61500</v>
      </c>
      <c r="F21" s="481">
        <v>1069000</v>
      </c>
      <c r="G21" s="482">
        <v>270</v>
      </c>
      <c r="H21" s="65"/>
      <c r="I21" s="483">
        <f t="shared" si="1"/>
        <v>19972.76441216523</v>
      </c>
      <c r="J21" s="483">
        <f t="shared" si="2"/>
        <v>55832.955061280074</v>
      </c>
      <c r="K21" s="483">
        <f t="shared" si="3"/>
        <v>970494.77984566509</v>
      </c>
      <c r="L21" s="483">
        <f t="shared" si="4"/>
        <v>245.12029051293692</v>
      </c>
      <c r="M21" s="65"/>
      <c r="N21" s="65"/>
      <c r="O21" s="65"/>
    </row>
    <row r="22" spans="2:15">
      <c r="B22" s="65"/>
      <c r="C22" s="480">
        <v>2034</v>
      </c>
      <c r="D22" s="481">
        <v>22000</v>
      </c>
      <c r="E22" s="481">
        <v>61500</v>
      </c>
      <c r="F22" s="481">
        <v>1069000</v>
      </c>
      <c r="G22" s="482">
        <v>274</v>
      </c>
      <c r="H22" s="65"/>
      <c r="I22" s="483">
        <f t="shared" si="1"/>
        <v>19972.76441216523</v>
      </c>
      <c r="J22" s="483">
        <f t="shared" si="2"/>
        <v>55832.955061280074</v>
      </c>
      <c r="K22" s="483">
        <f t="shared" si="3"/>
        <v>970494.77984566509</v>
      </c>
      <c r="L22" s="483">
        <f t="shared" si="4"/>
        <v>248.75170222423969</v>
      </c>
      <c r="M22" s="65"/>
      <c r="N22" s="65"/>
      <c r="O22" s="65"/>
    </row>
    <row r="23" spans="2:15">
      <c r="B23" s="65"/>
      <c r="C23" s="480">
        <v>2035</v>
      </c>
      <c r="D23" s="481">
        <v>22000</v>
      </c>
      <c r="E23" s="481">
        <v>61500</v>
      </c>
      <c r="F23" s="481">
        <v>1069000</v>
      </c>
      <c r="G23" s="482">
        <v>278</v>
      </c>
      <c r="H23" s="65"/>
      <c r="I23" s="483">
        <f t="shared" si="1"/>
        <v>19972.76441216523</v>
      </c>
      <c r="J23" s="483">
        <f t="shared" si="2"/>
        <v>55832.955061280074</v>
      </c>
      <c r="K23" s="483">
        <f t="shared" si="3"/>
        <v>970494.77984566509</v>
      </c>
      <c r="L23" s="483">
        <f t="shared" si="4"/>
        <v>252.38311393554247</v>
      </c>
      <c r="M23" s="65"/>
      <c r="N23" s="65"/>
      <c r="O23" s="65"/>
    </row>
    <row r="24" spans="2:15">
      <c r="B24" s="65"/>
      <c r="C24" s="480">
        <v>2036</v>
      </c>
      <c r="D24" s="481">
        <v>22000</v>
      </c>
      <c r="E24" s="481">
        <v>61500</v>
      </c>
      <c r="F24" s="481">
        <v>1069000</v>
      </c>
      <c r="G24" s="482">
        <v>282</v>
      </c>
      <c r="H24" s="65"/>
      <c r="I24" s="483">
        <f t="shared" si="1"/>
        <v>19972.76441216523</v>
      </c>
      <c r="J24" s="483">
        <f t="shared" si="2"/>
        <v>55832.955061280074</v>
      </c>
      <c r="K24" s="483">
        <f t="shared" si="3"/>
        <v>970494.77984566509</v>
      </c>
      <c r="L24" s="483">
        <f t="shared" si="4"/>
        <v>256.01452564684524</v>
      </c>
      <c r="M24" s="65"/>
      <c r="N24" s="65"/>
      <c r="O24" s="65"/>
    </row>
    <row r="25" spans="2:15">
      <c r="B25" s="65"/>
      <c r="C25" s="480">
        <v>2037</v>
      </c>
      <c r="D25" s="481">
        <v>22000</v>
      </c>
      <c r="E25" s="481">
        <v>61500</v>
      </c>
      <c r="F25" s="481">
        <v>1069000</v>
      </c>
      <c r="G25" s="482">
        <v>287</v>
      </c>
      <c r="H25" s="65"/>
      <c r="I25" s="483">
        <f t="shared" si="1"/>
        <v>19972.76441216523</v>
      </c>
      <c r="J25" s="483">
        <f t="shared" si="2"/>
        <v>55832.955061280074</v>
      </c>
      <c r="K25" s="483">
        <f t="shared" si="3"/>
        <v>970494.77984566509</v>
      </c>
      <c r="L25" s="483">
        <f t="shared" si="4"/>
        <v>260.55379028597372</v>
      </c>
      <c r="M25" s="65"/>
      <c r="N25" s="65"/>
      <c r="O25" s="65"/>
    </row>
    <row r="26" spans="2:15">
      <c r="B26" s="65"/>
      <c r="C26" s="480">
        <v>2038</v>
      </c>
      <c r="D26" s="481">
        <v>22000</v>
      </c>
      <c r="E26" s="481">
        <v>61500</v>
      </c>
      <c r="F26" s="481">
        <v>1069000</v>
      </c>
      <c r="G26" s="482">
        <v>290</v>
      </c>
      <c r="H26" s="65"/>
      <c r="I26" s="483">
        <f t="shared" si="1"/>
        <v>19972.76441216523</v>
      </c>
      <c r="J26" s="483">
        <f t="shared" si="2"/>
        <v>55832.955061280074</v>
      </c>
      <c r="K26" s="483">
        <f t="shared" si="3"/>
        <v>970494.77984566509</v>
      </c>
      <c r="L26" s="483">
        <f t="shared" si="4"/>
        <v>263.27734906945079</v>
      </c>
      <c r="M26" s="65"/>
      <c r="N26" s="65"/>
      <c r="O26" s="65"/>
    </row>
    <row r="27" spans="2:15">
      <c r="B27" s="65"/>
      <c r="C27" s="480">
        <v>2039</v>
      </c>
      <c r="D27" s="481">
        <v>22000</v>
      </c>
      <c r="E27" s="481">
        <v>61500</v>
      </c>
      <c r="F27" s="481">
        <v>1069000</v>
      </c>
      <c r="G27" s="482">
        <v>294</v>
      </c>
      <c r="H27" s="65"/>
      <c r="I27" s="483">
        <f t="shared" si="1"/>
        <v>19972.76441216523</v>
      </c>
      <c r="J27" s="483">
        <f t="shared" si="2"/>
        <v>55832.955061280074</v>
      </c>
      <c r="K27" s="483">
        <f t="shared" si="3"/>
        <v>970494.77984566509</v>
      </c>
      <c r="L27" s="483">
        <f t="shared" si="4"/>
        <v>266.90876078075354</v>
      </c>
      <c r="M27" s="65"/>
      <c r="N27" s="65"/>
      <c r="O27" s="65"/>
    </row>
    <row r="28" spans="2:15">
      <c r="B28" s="65"/>
      <c r="C28" s="480">
        <v>2040</v>
      </c>
      <c r="D28" s="481">
        <v>22000</v>
      </c>
      <c r="E28" s="481">
        <v>61500</v>
      </c>
      <c r="F28" s="481">
        <v>1069000</v>
      </c>
      <c r="G28" s="482">
        <v>299</v>
      </c>
      <c r="H28" s="65"/>
      <c r="I28" s="483">
        <f t="shared" si="1"/>
        <v>19972.76441216523</v>
      </c>
      <c r="J28" s="483">
        <f t="shared" si="2"/>
        <v>55832.955061280074</v>
      </c>
      <c r="K28" s="483">
        <f t="shared" si="3"/>
        <v>970494.77984566509</v>
      </c>
      <c r="L28" s="483">
        <f t="shared" si="4"/>
        <v>271.44802541988201</v>
      </c>
      <c r="M28" s="65"/>
      <c r="N28" s="65"/>
      <c r="O28" s="65"/>
    </row>
    <row r="29" spans="2:15">
      <c r="B29" s="65"/>
      <c r="C29" s="480">
        <v>2041</v>
      </c>
      <c r="D29" s="481">
        <v>22000</v>
      </c>
      <c r="E29" s="481">
        <v>61500</v>
      </c>
      <c r="F29" s="481">
        <v>1069000</v>
      </c>
      <c r="G29" s="482">
        <v>303</v>
      </c>
      <c r="H29" s="65"/>
      <c r="I29" s="483">
        <f t="shared" si="1"/>
        <v>19972.76441216523</v>
      </c>
      <c r="J29" s="483">
        <f t="shared" si="2"/>
        <v>55832.955061280074</v>
      </c>
      <c r="K29" s="483">
        <f t="shared" si="3"/>
        <v>970494.77984566509</v>
      </c>
      <c r="L29" s="483">
        <f t="shared" si="4"/>
        <v>275.07943713118476</v>
      </c>
      <c r="M29" s="65"/>
      <c r="N29" s="65"/>
      <c r="O29" s="65"/>
    </row>
    <row r="30" spans="2:15">
      <c r="B30" s="65"/>
      <c r="C30" s="480">
        <v>2042</v>
      </c>
      <c r="D30" s="481">
        <v>22000</v>
      </c>
      <c r="E30" s="481">
        <v>61500</v>
      </c>
      <c r="F30" s="481">
        <v>1069000</v>
      </c>
      <c r="G30" s="482">
        <v>308</v>
      </c>
      <c r="H30" s="65"/>
      <c r="I30" s="483">
        <f t="shared" si="1"/>
        <v>19972.76441216523</v>
      </c>
      <c r="J30" s="483">
        <f t="shared" si="2"/>
        <v>55832.955061280074</v>
      </c>
      <c r="K30" s="483">
        <f t="shared" si="3"/>
        <v>970494.77984566509</v>
      </c>
      <c r="L30" s="483">
        <f t="shared" si="4"/>
        <v>279.61870177031324</v>
      </c>
      <c r="M30" s="65"/>
      <c r="N30" s="65"/>
      <c r="O30" s="65"/>
    </row>
    <row r="31" spans="2:15">
      <c r="B31" s="65"/>
      <c r="C31" s="480">
        <v>2043</v>
      </c>
      <c r="D31" s="481">
        <v>22000</v>
      </c>
      <c r="E31" s="481">
        <v>61500</v>
      </c>
      <c r="F31" s="481">
        <v>1069000</v>
      </c>
      <c r="G31" s="482">
        <v>312</v>
      </c>
      <c r="H31" s="65"/>
      <c r="I31" s="483">
        <f t="shared" si="1"/>
        <v>19972.76441216523</v>
      </c>
      <c r="J31" s="483">
        <f t="shared" si="2"/>
        <v>55832.955061280074</v>
      </c>
      <c r="K31" s="483">
        <f t="shared" si="3"/>
        <v>970494.77984566509</v>
      </c>
      <c r="L31" s="483">
        <f t="shared" si="4"/>
        <v>283.25011348161598</v>
      </c>
      <c r="M31" s="65"/>
      <c r="N31" s="65"/>
      <c r="O31" s="65"/>
    </row>
    <row r="32" spans="2:15">
      <c r="B32" s="65"/>
      <c r="C32" s="480">
        <v>2044</v>
      </c>
      <c r="D32" s="481">
        <v>22000</v>
      </c>
      <c r="E32" s="481">
        <v>61500</v>
      </c>
      <c r="F32" s="481">
        <v>1069000</v>
      </c>
      <c r="G32" s="482">
        <v>317</v>
      </c>
      <c r="H32" s="65"/>
      <c r="I32" s="483">
        <f t="shared" si="1"/>
        <v>19972.76441216523</v>
      </c>
      <c r="J32" s="483">
        <f t="shared" si="2"/>
        <v>55832.955061280074</v>
      </c>
      <c r="K32" s="483">
        <f t="shared" si="3"/>
        <v>970494.77984566509</v>
      </c>
      <c r="L32" s="483">
        <f t="shared" si="4"/>
        <v>287.78937812074446</v>
      </c>
      <c r="M32" s="65"/>
      <c r="N32" s="65"/>
      <c r="O32" s="65"/>
    </row>
    <row r="33" spans="2:15">
      <c r="B33" s="65"/>
      <c r="C33" s="480">
        <v>2045</v>
      </c>
      <c r="D33" s="481">
        <v>22000</v>
      </c>
      <c r="E33" s="481">
        <v>61500</v>
      </c>
      <c r="F33" s="481">
        <v>1069000</v>
      </c>
      <c r="G33" s="482">
        <v>321</v>
      </c>
      <c r="H33" s="65"/>
      <c r="I33" s="483">
        <f t="shared" si="1"/>
        <v>19972.76441216523</v>
      </c>
      <c r="J33" s="483">
        <f t="shared" si="2"/>
        <v>55832.955061280074</v>
      </c>
      <c r="K33" s="483">
        <f t="shared" si="3"/>
        <v>970494.77984566509</v>
      </c>
      <c r="L33" s="483">
        <f t="shared" si="4"/>
        <v>291.42078983204721</v>
      </c>
      <c r="M33" s="65"/>
      <c r="N33" s="65"/>
      <c r="O33" s="65"/>
    </row>
    <row r="34" spans="2:15">
      <c r="B34" s="65"/>
      <c r="C34" s="480">
        <v>2046</v>
      </c>
      <c r="D34" s="481">
        <v>22000</v>
      </c>
      <c r="E34" s="481">
        <v>61500</v>
      </c>
      <c r="F34" s="481">
        <v>1069000</v>
      </c>
      <c r="G34" s="482">
        <v>326</v>
      </c>
      <c r="H34" s="65"/>
      <c r="I34" s="483">
        <f t="shared" si="1"/>
        <v>19972.76441216523</v>
      </c>
      <c r="J34" s="483">
        <f t="shared" si="2"/>
        <v>55832.955061280074</v>
      </c>
      <c r="K34" s="483">
        <f t="shared" si="3"/>
        <v>970494.77984566509</v>
      </c>
      <c r="L34" s="483">
        <f t="shared" si="4"/>
        <v>295.96005447117568</v>
      </c>
      <c r="M34" s="65"/>
      <c r="N34" s="65"/>
      <c r="O34" s="65"/>
    </row>
    <row r="35" spans="2:15">
      <c r="B35" s="65"/>
      <c r="C35" s="480">
        <v>2047</v>
      </c>
      <c r="D35" s="481">
        <v>22000</v>
      </c>
      <c r="E35" s="481">
        <v>61500</v>
      </c>
      <c r="F35" s="481">
        <v>1069000</v>
      </c>
      <c r="G35" s="482">
        <v>331</v>
      </c>
      <c r="H35" s="65"/>
      <c r="I35" s="483">
        <f t="shared" si="1"/>
        <v>19972.76441216523</v>
      </c>
      <c r="J35" s="483">
        <f t="shared" si="2"/>
        <v>55832.955061280074</v>
      </c>
      <c r="K35" s="483">
        <f t="shared" si="3"/>
        <v>970494.77984566509</v>
      </c>
      <c r="L35" s="483">
        <f t="shared" si="4"/>
        <v>300.49931911030416</v>
      </c>
      <c r="M35" s="65"/>
      <c r="N35" s="65"/>
      <c r="O35" s="65"/>
    </row>
    <row r="36" spans="2:15">
      <c r="B36" s="65"/>
      <c r="C36" s="480">
        <v>2048</v>
      </c>
      <c r="D36" s="481">
        <v>22000</v>
      </c>
      <c r="E36" s="481">
        <v>61500</v>
      </c>
      <c r="F36" s="481">
        <v>1069000</v>
      </c>
      <c r="G36" s="482">
        <v>336</v>
      </c>
      <c r="H36" s="65"/>
      <c r="I36" s="483">
        <f t="shared" si="1"/>
        <v>19972.76441216523</v>
      </c>
      <c r="J36" s="483">
        <f t="shared" si="2"/>
        <v>55832.955061280074</v>
      </c>
      <c r="K36" s="483">
        <f t="shared" si="3"/>
        <v>970494.77984566509</v>
      </c>
      <c r="L36" s="483">
        <f t="shared" si="4"/>
        <v>305.03858374943263</v>
      </c>
      <c r="M36" s="65"/>
      <c r="N36" s="65"/>
      <c r="O36" s="65"/>
    </row>
    <row r="37" spans="2:15">
      <c r="B37" s="65"/>
      <c r="C37" s="480">
        <v>2049</v>
      </c>
      <c r="D37" s="481">
        <v>22000</v>
      </c>
      <c r="E37" s="481">
        <v>61500</v>
      </c>
      <c r="F37" s="481">
        <v>1069000</v>
      </c>
      <c r="G37" s="482">
        <v>340</v>
      </c>
      <c r="H37" s="65"/>
      <c r="I37" s="483">
        <f t="shared" si="1"/>
        <v>19972.76441216523</v>
      </c>
      <c r="J37" s="483">
        <f t="shared" si="2"/>
        <v>55832.955061280074</v>
      </c>
      <c r="K37" s="483">
        <f t="shared" si="3"/>
        <v>970494.77984566509</v>
      </c>
      <c r="L37" s="483">
        <f t="shared" si="4"/>
        <v>308.66999546073538</v>
      </c>
      <c r="M37" s="65"/>
      <c r="N37" s="65"/>
      <c r="O37" s="65"/>
    </row>
    <row r="38" spans="2:15" ht="15.75" thickBot="1">
      <c r="B38" s="65"/>
      <c r="C38" s="484">
        <v>2050</v>
      </c>
      <c r="D38" s="485">
        <v>22000</v>
      </c>
      <c r="E38" s="485">
        <v>61500</v>
      </c>
      <c r="F38" s="485">
        <v>1069000</v>
      </c>
      <c r="G38" s="486">
        <v>345</v>
      </c>
      <c r="H38" s="65"/>
      <c r="I38" s="483">
        <f t="shared" si="1"/>
        <v>19972.76441216523</v>
      </c>
      <c r="J38" s="483">
        <f t="shared" si="2"/>
        <v>55832.955061280074</v>
      </c>
      <c r="K38" s="483">
        <f t="shared" si="3"/>
        <v>970494.77984566509</v>
      </c>
      <c r="L38" s="483">
        <f t="shared" si="4"/>
        <v>313.20926009986385</v>
      </c>
      <c r="M38" s="65"/>
      <c r="N38" s="65"/>
      <c r="O38" s="65"/>
    </row>
    <row r="39" spans="2:15">
      <c r="B39" s="65"/>
      <c r="C39" s="487"/>
      <c r="D39" s="487"/>
      <c r="E39" s="65"/>
      <c r="F39" s="473"/>
      <c r="G39" s="65"/>
      <c r="H39" s="65"/>
      <c r="I39" s="65"/>
      <c r="J39" s="65"/>
      <c r="K39" s="65"/>
      <c r="L39" s="65"/>
      <c r="M39" s="65"/>
      <c r="N39" s="65"/>
      <c r="O39" s="65"/>
    </row>
    <row r="40" spans="2:15" ht="14.1" customHeight="1">
      <c r="B40" s="65"/>
      <c r="C40" s="488" t="s">
        <v>764</v>
      </c>
      <c r="D40" s="488"/>
      <c r="E40" s="488"/>
      <c r="F40" s="488"/>
      <c r="G40" s="488"/>
      <c r="H40" s="65"/>
      <c r="I40" s="65"/>
      <c r="J40" s="65"/>
      <c r="K40" s="65"/>
      <c r="L40" s="65"/>
      <c r="M40" s="65"/>
      <c r="N40" s="65"/>
      <c r="O40" s="65"/>
    </row>
    <row r="41" spans="2:15" ht="14.1" customHeight="1">
      <c r="B41" s="65"/>
      <c r="C41" s="489">
        <v>1.1014999999999999</v>
      </c>
      <c r="D41" s="488"/>
      <c r="E41" s="488"/>
      <c r="F41" s="488"/>
      <c r="G41" s="488"/>
      <c r="I41" s="65"/>
      <c r="J41" s="65"/>
      <c r="K41" s="65"/>
      <c r="L41" s="65"/>
      <c r="M41" s="65"/>
      <c r="N41" s="65"/>
      <c r="O41" s="65"/>
    </row>
    <row r="42" spans="2:15">
      <c r="B42" s="65"/>
      <c r="D42" s="490"/>
      <c r="E42" s="65"/>
      <c r="F42" s="473"/>
      <c r="G42" s="65"/>
      <c r="H42" s="65"/>
      <c r="I42" s="65"/>
      <c r="J42" s="65"/>
      <c r="K42" s="65"/>
      <c r="L42" s="65"/>
      <c r="M42" s="65"/>
      <c r="N42" s="65"/>
      <c r="O42" s="65"/>
    </row>
    <row r="43" spans="2:15" ht="14.45" customHeight="1">
      <c r="B43" s="65"/>
      <c r="C43" s="488" t="s">
        <v>765</v>
      </c>
      <c r="D43" s="488"/>
      <c r="E43" s="488"/>
      <c r="F43" s="488"/>
      <c r="G43" s="488"/>
      <c r="H43" s="65"/>
      <c r="I43" s="65"/>
      <c r="J43" s="65"/>
      <c r="K43" s="65"/>
      <c r="L43" s="65"/>
      <c r="M43" s="65"/>
      <c r="N43" s="65"/>
      <c r="O43" s="65"/>
    </row>
    <row r="44" spans="2:15">
      <c r="B44" s="65"/>
      <c r="D44" s="490"/>
      <c r="E44" s="65"/>
      <c r="F44" s="473"/>
      <c r="G44" s="65"/>
      <c r="H44" s="65"/>
      <c r="I44" s="65"/>
      <c r="J44" s="65"/>
      <c r="K44" s="65"/>
      <c r="L44" s="65"/>
      <c r="M44" s="65"/>
      <c r="N44" s="65"/>
      <c r="O44" s="65"/>
    </row>
    <row r="45" spans="2:15">
      <c r="C45" s="491"/>
    </row>
    <row r="46" spans="2:15">
      <c r="C46" s="668" t="s">
        <v>766</v>
      </c>
    </row>
    <row r="47" spans="2:15">
      <c r="C47" s="669" t="s">
        <v>767</v>
      </c>
    </row>
    <row r="48" spans="2:15">
      <c r="C48" s="669"/>
    </row>
    <row r="49" spans="3:3">
      <c r="C49" s="145" t="s">
        <v>768</v>
      </c>
    </row>
    <row r="50" spans="3:3">
      <c r="C50" s="670"/>
    </row>
    <row r="51" spans="3:3">
      <c r="C51" s="145" t="s">
        <v>769</v>
      </c>
    </row>
    <row r="52" spans="3:3">
      <c r="C52" s="670" t="s">
        <v>770</v>
      </c>
    </row>
    <row r="53" spans="3:3">
      <c r="C53" s="145"/>
    </row>
    <row r="54" spans="3:3">
      <c r="C54" s="671" t="s">
        <v>771</v>
      </c>
    </row>
    <row r="55" spans="3:3">
      <c r="C55" s="669" t="s">
        <v>772</v>
      </c>
    </row>
    <row r="56" spans="3:3">
      <c r="C56" s="145"/>
    </row>
    <row r="57" spans="3:3">
      <c r="C57" s="145" t="s">
        <v>773</v>
      </c>
    </row>
  </sheetData>
  <hyperlinks>
    <hyperlink ref="C47" r:id="rId1" xr:uid="{851A403F-CC02-48B0-97BE-4362F7BA9E63}"/>
    <hyperlink ref="C55" r:id="rId2" xr:uid="{572857E1-CCDB-4474-8E63-B580CA596C8E}"/>
    <hyperlink ref="C52" r:id="rId3" xr:uid="{920234E4-B48B-4666-A515-F33EE58ED82F}"/>
  </hyperlinks>
  <pageMargins left="0.7" right="0.7" top="0.75" bottom="0.75" header="0.3" footer="0.3"/>
  <pageSetup scale="45" fitToHeight="0" orientation="landscape" r:id="rId4"/>
  <headerFooter>
    <oddHeader>&amp;L&amp;F&amp;R&amp;A</oddHeader>
    <oddFooter>&amp;LHDR inc.&amp;C&amp;P of &amp;N&amp;R&amp;D</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8">
    <tabColor theme="9" tint="0.59999389629810485"/>
    <pageSetUpPr fitToPage="1"/>
  </sheetPr>
  <dimension ref="A1:M102"/>
  <sheetViews>
    <sheetView showGridLines="0" zoomScaleNormal="100" workbookViewId="0">
      <selection activeCell="G89" sqref="G89"/>
    </sheetView>
  </sheetViews>
  <sheetFormatPr defaultColWidth="16.5" defaultRowHeight="11.25"/>
  <cols>
    <col min="1" max="1" width="1" style="10" customWidth="1"/>
    <col min="2" max="2" width="23.875" style="11" customWidth="1"/>
    <col min="3" max="8" width="15.375" style="15" customWidth="1"/>
    <col min="9" max="9" width="15.375" style="16" customWidth="1"/>
    <col min="10" max="10" width="15.375" style="15" customWidth="1"/>
    <col min="11" max="11" width="15.375" style="26" customWidth="1"/>
    <col min="12" max="13" width="16.5" style="26"/>
    <col min="14" max="16384" width="16.5" style="11"/>
  </cols>
  <sheetData>
    <row r="1" spans="1:13" s="21" customFormat="1" ht="12.75">
      <c r="A1" s="273" t="s">
        <v>45</v>
      </c>
      <c r="B1" s="9"/>
      <c r="C1" s="19"/>
      <c r="D1" s="19"/>
      <c r="E1" s="19"/>
      <c r="F1" s="19"/>
      <c r="G1" s="19"/>
      <c r="H1" s="19"/>
      <c r="I1" s="20"/>
      <c r="J1" s="19"/>
      <c r="K1" s="68"/>
      <c r="L1" s="68"/>
      <c r="M1" s="68"/>
    </row>
    <row r="3" spans="1:13">
      <c r="B3" s="1297" t="s">
        <v>774</v>
      </c>
      <c r="C3" s="1298"/>
      <c r="D3" s="1298"/>
      <c r="E3" s="1298"/>
      <c r="F3" s="1298"/>
      <c r="G3" s="1298"/>
      <c r="H3" s="1298"/>
      <c r="I3" s="1298"/>
      <c r="J3" s="1298"/>
      <c r="K3" s="1299"/>
    </row>
    <row r="4" spans="1:13">
      <c r="B4" s="69"/>
      <c r="C4" s="1297" t="s">
        <v>775</v>
      </c>
      <c r="D4" s="1298"/>
      <c r="E4" s="1299"/>
      <c r="F4" s="1297" t="s">
        <v>776</v>
      </c>
      <c r="G4" s="1298"/>
      <c r="H4" s="1299"/>
      <c r="I4" s="1297" t="s">
        <v>777</v>
      </c>
      <c r="J4" s="1298"/>
      <c r="K4" s="1299"/>
    </row>
    <row r="5" spans="1:13">
      <c r="B5" s="69"/>
      <c r="C5" s="70" t="s">
        <v>610</v>
      </c>
      <c r="D5" s="70" t="s">
        <v>778</v>
      </c>
      <c r="E5" s="70" t="s">
        <v>609</v>
      </c>
      <c r="F5" s="70" t="s">
        <v>610</v>
      </c>
      <c r="G5" s="70" t="s">
        <v>778</v>
      </c>
      <c r="H5" s="70" t="s">
        <v>609</v>
      </c>
      <c r="I5" s="70" t="s">
        <v>610</v>
      </c>
      <c r="J5" s="70" t="s">
        <v>778</v>
      </c>
      <c r="K5" s="70" t="s">
        <v>609</v>
      </c>
    </row>
    <row r="6" spans="1:13">
      <c r="B6" s="69" t="s">
        <v>779</v>
      </c>
      <c r="C6" s="71">
        <v>0.03</v>
      </c>
      <c r="D6" s="71">
        <v>0.01</v>
      </c>
      <c r="E6" s="71">
        <v>0</v>
      </c>
      <c r="F6" s="71">
        <v>0.3</v>
      </c>
      <c r="G6" s="71">
        <v>0.11</v>
      </c>
      <c r="H6" s="71">
        <v>0.03</v>
      </c>
      <c r="I6" s="71">
        <v>0.2</v>
      </c>
      <c r="J6" s="71">
        <v>0.06</v>
      </c>
      <c r="K6" s="71">
        <v>0.02</v>
      </c>
    </row>
    <row r="7" spans="1:13">
      <c r="B7" s="69" t="s">
        <v>780</v>
      </c>
      <c r="C7" s="71">
        <v>0.03</v>
      </c>
      <c r="D7" s="71">
        <v>0.01</v>
      </c>
      <c r="E7" s="71">
        <v>0</v>
      </c>
      <c r="F7" s="71">
        <v>0.27</v>
      </c>
      <c r="G7" s="71">
        <v>0.1</v>
      </c>
      <c r="H7" s="71">
        <v>0.03</v>
      </c>
      <c r="I7" s="71">
        <v>0.17</v>
      </c>
      <c r="J7" s="71">
        <v>0.06</v>
      </c>
      <c r="K7" s="71">
        <v>0.02</v>
      </c>
    </row>
    <row r="8" spans="1:13">
      <c r="B8" s="69" t="s">
        <v>781</v>
      </c>
      <c r="C8" s="71">
        <v>0.35</v>
      </c>
      <c r="D8" s="71">
        <v>0.13</v>
      </c>
      <c r="E8" s="71">
        <v>0.04</v>
      </c>
      <c r="F8" s="71">
        <v>4.55</v>
      </c>
      <c r="G8" s="71">
        <v>1.72</v>
      </c>
      <c r="H8" s="71">
        <v>0.48</v>
      </c>
      <c r="I8" s="71">
        <v>2.79</v>
      </c>
      <c r="J8" s="71">
        <v>1.06</v>
      </c>
      <c r="K8" s="71">
        <v>0.3</v>
      </c>
    </row>
    <row r="9" spans="1:13">
      <c r="B9" s="69" t="s">
        <v>782</v>
      </c>
      <c r="C9" s="71">
        <v>0.27</v>
      </c>
      <c r="D9" s="71">
        <v>0.1</v>
      </c>
      <c r="E9" s="71">
        <v>0.03</v>
      </c>
      <c r="F9" s="71">
        <v>3.14</v>
      </c>
      <c r="G9" s="71">
        <v>1.19</v>
      </c>
      <c r="H9" s="71">
        <v>0.33</v>
      </c>
      <c r="I9" s="71">
        <v>1.85</v>
      </c>
      <c r="J9" s="71">
        <v>0.7</v>
      </c>
      <c r="K9" s="71">
        <v>0.2</v>
      </c>
    </row>
    <row r="10" spans="1:13">
      <c r="B10" s="69" t="s">
        <v>783</v>
      </c>
      <c r="C10" s="71">
        <v>0.68</v>
      </c>
      <c r="D10" s="71">
        <v>0.26</v>
      </c>
      <c r="E10" s="71">
        <v>7.0000000000000007E-2</v>
      </c>
      <c r="F10" s="71">
        <v>9.86</v>
      </c>
      <c r="G10" s="71">
        <v>3.73</v>
      </c>
      <c r="H10" s="71">
        <v>1.05</v>
      </c>
      <c r="I10" s="71">
        <v>4.24</v>
      </c>
      <c r="J10" s="71">
        <v>1.61</v>
      </c>
      <c r="K10" s="71">
        <v>0.45</v>
      </c>
    </row>
    <row r="11" spans="1:13">
      <c r="B11" s="72" t="s">
        <v>784</v>
      </c>
      <c r="C11" s="73">
        <v>0.08</v>
      </c>
      <c r="D11" s="73">
        <v>0.03</v>
      </c>
      <c r="E11" s="73">
        <v>0.01</v>
      </c>
      <c r="F11" s="73">
        <v>0.64</v>
      </c>
      <c r="G11" s="73">
        <v>0.24</v>
      </c>
      <c r="H11" s="73">
        <v>7.0000000000000007E-2</v>
      </c>
      <c r="I11" s="73">
        <v>0.42</v>
      </c>
      <c r="J11" s="73">
        <v>0.16</v>
      </c>
      <c r="K11" s="73">
        <v>0.05</v>
      </c>
    </row>
    <row r="13" spans="1:13">
      <c r="B13" s="1294" t="s">
        <v>785</v>
      </c>
      <c r="C13" s="1295"/>
      <c r="D13" s="1295"/>
      <c r="E13" s="1295"/>
      <c r="F13" s="1295"/>
      <c r="G13" s="1295"/>
      <c r="H13" s="1295"/>
      <c r="I13" s="1295"/>
      <c r="J13" s="1295"/>
      <c r="K13" s="1296"/>
    </row>
    <row r="14" spans="1:13">
      <c r="B14" s="74"/>
      <c r="C14" s="1294" t="s">
        <v>775</v>
      </c>
      <c r="D14" s="1295"/>
      <c r="E14" s="1296"/>
      <c r="F14" s="1294" t="s">
        <v>776</v>
      </c>
      <c r="G14" s="1295"/>
      <c r="H14" s="1296"/>
      <c r="I14" s="1294" t="s">
        <v>777</v>
      </c>
      <c r="J14" s="1295"/>
      <c r="K14" s="1296"/>
    </row>
    <row r="15" spans="1:13">
      <c r="B15" s="74"/>
      <c r="C15" s="75" t="s">
        <v>610</v>
      </c>
      <c r="D15" s="75" t="s">
        <v>778</v>
      </c>
      <c r="E15" s="75" t="s">
        <v>609</v>
      </c>
      <c r="F15" s="75" t="s">
        <v>610</v>
      </c>
      <c r="G15" s="75" t="s">
        <v>778</v>
      </c>
      <c r="H15" s="75" t="s">
        <v>609</v>
      </c>
      <c r="I15" s="75" t="s">
        <v>610</v>
      </c>
      <c r="J15" s="75" t="s">
        <v>778</v>
      </c>
      <c r="K15" s="75" t="s">
        <v>609</v>
      </c>
    </row>
    <row r="16" spans="1:13">
      <c r="B16" s="69" t="s">
        <v>779</v>
      </c>
      <c r="C16" s="71">
        <v>3.76</v>
      </c>
      <c r="D16" s="71">
        <v>1.28</v>
      </c>
      <c r="E16" s="71">
        <v>0.34</v>
      </c>
      <c r="F16" s="71">
        <v>18.27</v>
      </c>
      <c r="G16" s="71">
        <v>6.21</v>
      </c>
      <c r="H16" s="71">
        <v>1.64</v>
      </c>
      <c r="I16" s="71">
        <v>13.17</v>
      </c>
      <c r="J16" s="71">
        <v>4.4800000000000004</v>
      </c>
      <c r="K16" s="71">
        <v>1.19</v>
      </c>
    </row>
    <row r="17" spans="2:13">
      <c r="B17" s="69" t="s">
        <v>780</v>
      </c>
      <c r="C17" s="71">
        <v>3.8</v>
      </c>
      <c r="D17" s="71">
        <v>1.29</v>
      </c>
      <c r="E17" s="71">
        <v>0.34</v>
      </c>
      <c r="F17" s="71">
        <v>17.78</v>
      </c>
      <c r="G17" s="71">
        <v>6.04</v>
      </c>
      <c r="H17" s="71">
        <v>1.6</v>
      </c>
      <c r="I17" s="71">
        <v>11.75</v>
      </c>
      <c r="J17" s="71">
        <v>4</v>
      </c>
      <c r="K17" s="71">
        <v>1.06</v>
      </c>
    </row>
    <row r="18" spans="2:13">
      <c r="B18" s="69" t="s">
        <v>781</v>
      </c>
      <c r="C18" s="71">
        <v>6.96</v>
      </c>
      <c r="D18" s="71">
        <v>2.37</v>
      </c>
      <c r="E18" s="71">
        <v>0.63</v>
      </c>
      <c r="F18" s="71">
        <v>37.590000000000003</v>
      </c>
      <c r="G18" s="71">
        <v>12.78</v>
      </c>
      <c r="H18" s="71">
        <v>3.38</v>
      </c>
      <c r="I18" s="71">
        <v>24.79</v>
      </c>
      <c r="J18" s="71">
        <v>8.43</v>
      </c>
      <c r="K18" s="71">
        <v>2.23</v>
      </c>
    </row>
    <row r="19" spans="2:13">
      <c r="B19" s="69" t="s">
        <v>782</v>
      </c>
      <c r="C19" s="71">
        <v>7.43</v>
      </c>
      <c r="D19" s="71">
        <v>2.5299999999999998</v>
      </c>
      <c r="E19" s="71">
        <v>0.67</v>
      </c>
      <c r="F19" s="71">
        <v>42.65</v>
      </c>
      <c r="G19" s="71">
        <v>14.5</v>
      </c>
      <c r="H19" s="71">
        <v>3.84</v>
      </c>
      <c r="I19" s="71">
        <v>26.81</v>
      </c>
      <c r="J19" s="71">
        <v>9.11</v>
      </c>
      <c r="K19" s="71">
        <v>2.41</v>
      </c>
    </row>
    <row r="20" spans="2:13">
      <c r="B20" s="69" t="s">
        <v>783</v>
      </c>
      <c r="C20" s="71">
        <v>10.87</v>
      </c>
      <c r="D20" s="71">
        <v>3.7</v>
      </c>
      <c r="E20" s="71">
        <v>0.98</v>
      </c>
      <c r="F20" s="71">
        <v>49.34</v>
      </c>
      <c r="G20" s="71">
        <v>16.78</v>
      </c>
      <c r="H20" s="71">
        <v>4.4400000000000004</v>
      </c>
      <c r="I20" s="71">
        <v>25.81</v>
      </c>
      <c r="J20" s="71">
        <v>8.7799999999999994</v>
      </c>
      <c r="K20" s="71">
        <v>2.3199999999999998</v>
      </c>
    </row>
    <row r="21" spans="2:13">
      <c r="B21" s="72" t="s">
        <v>784</v>
      </c>
      <c r="C21" s="73">
        <v>4.4000000000000004</v>
      </c>
      <c r="D21" s="73">
        <v>1.5</v>
      </c>
      <c r="E21" s="73">
        <v>0.4</v>
      </c>
      <c r="F21" s="73">
        <v>19.72</v>
      </c>
      <c r="G21" s="73">
        <v>6.71</v>
      </c>
      <c r="H21" s="73">
        <v>1.78</v>
      </c>
      <c r="I21" s="73">
        <v>13.81</v>
      </c>
      <c r="J21" s="73">
        <v>4.7</v>
      </c>
      <c r="K21" s="73">
        <v>1.24</v>
      </c>
    </row>
    <row r="23" spans="2:13">
      <c r="B23" s="1294" t="s">
        <v>786</v>
      </c>
      <c r="C23" s="1295"/>
      <c r="D23" s="1295"/>
      <c r="E23" s="1295"/>
      <c r="F23" s="1295"/>
      <c r="G23" s="1295"/>
      <c r="H23" s="1295"/>
      <c r="I23" s="1295"/>
      <c r="J23" s="1295"/>
      <c r="K23" s="1296"/>
    </row>
    <row r="24" spans="2:13">
      <c r="B24" s="74"/>
      <c r="C24" s="1294" t="s">
        <v>775</v>
      </c>
      <c r="D24" s="1295"/>
      <c r="E24" s="1296"/>
      <c r="F24" s="1294" t="s">
        <v>776</v>
      </c>
      <c r="G24" s="1295"/>
      <c r="H24" s="1296"/>
      <c r="I24" s="1294" t="s">
        <v>777</v>
      </c>
      <c r="J24" s="1295"/>
      <c r="K24" s="1296"/>
    </row>
    <row r="25" spans="2:13">
      <c r="B25" s="74"/>
      <c r="C25" s="75" t="s">
        <v>610</v>
      </c>
      <c r="D25" s="75" t="s">
        <v>778</v>
      </c>
      <c r="E25" s="75" t="s">
        <v>609</v>
      </c>
      <c r="F25" s="75" t="s">
        <v>610</v>
      </c>
      <c r="G25" s="75" t="s">
        <v>778</v>
      </c>
      <c r="H25" s="75" t="s">
        <v>609</v>
      </c>
      <c r="I25" s="75" t="s">
        <v>610</v>
      </c>
      <c r="J25" s="75" t="s">
        <v>778</v>
      </c>
      <c r="K25" s="75" t="s">
        <v>609</v>
      </c>
    </row>
    <row r="26" spans="2:13">
      <c r="B26" s="69" t="s">
        <v>779</v>
      </c>
      <c r="C26" s="71">
        <v>9.68</v>
      </c>
      <c r="D26" s="71">
        <v>3.15</v>
      </c>
      <c r="E26" s="71">
        <v>1.76</v>
      </c>
      <c r="F26" s="71">
        <v>4.03</v>
      </c>
      <c r="G26" s="71">
        <v>1.28</v>
      </c>
      <c r="H26" s="71">
        <v>0.78</v>
      </c>
      <c r="I26" s="71">
        <v>6.02</v>
      </c>
      <c r="J26" s="71">
        <v>1.94</v>
      </c>
      <c r="K26" s="71">
        <v>1.1299999999999999</v>
      </c>
    </row>
    <row r="27" spans="2:13">
      <c r="B27" s="69" t="s">
        <v>780</v>
      </c>
      <c r="C27" s="71">
        <v>10.210000000000001</v>
      </c>
      <c r="D27" s="71">
        <v>3.31</v>
      </c>
      <c r="E27" s="71">
        <v>1.75</v>
      </c>
      <c r="F27" s="71">
        <v>4.05</v>
      </c>
      <c r="G27" s="71">
        <v>1.27</v>
      </c>
      <c r="H27" s="71">
        <v>0.74</v>
      </c>
      <c r="I27" s="71">
        <v>6.7</v>
      </c>
      <c r="J27" s="71">
        <v>2.15</v>
      </c>
      <c r="K27" s="71">
        <v>1.17</v>
      </c>
    </row>
    <row r="28" spans="2:13">
      <c r="B28" s="69" t="s">
        <v>781</v>
      </c>
      <c r="C28" s="71">
        <v>14.15</v>
      </c>
      <c r="D28" s="71">
        <v>4.4000000000000004</v>
      </c>
      <c r="E28" s="71">
        <v>2.36</v>
      </c>
      <c r="F28" s="71">
        <v>6.25</v>
      </c>
      <c r="G28" s="71">
        <v>1.89</v>
      </c>
      <c r="H28" s="71">
        <v>1.08</v>
      </c>
      <c r="I28" s="71">
        <v>9.5500000000000007</v>
      </c>
      <c r="J28" s="71">
        <v>2.94</v>
      </c>
      <c r="K28" s="71">
        <v>1.62</v>
      </c>
    </row>
    <row r="29" spans="2:13">
      <c r="B29" s="69" t="s">
        <v>782</v>
      </c>
      <c r="C29" s="71">
        <v>5.97</v>
      </c>
      <c r="D29" s="71">
        <v>2</v>
      </c>
      <c r="E29" s="71">
        <v>0.97</v>
      </c>
      <c r="F29" s="71">
        <v>2.21</v>
      </c>
      <c r="G29" s="71">
        <v>0.71</v>
      </c>
      <c r="H29" s="71">
        <v>0.4</v>
      </c>
      <c r="I29" s="71">
        <v>3.9</v>
      </c>
      <c r="J29" s="71">
        <v>1.29</v>
      </c>
      <c r="K29" s="71">
        <v>0.65</v>
      </c>
    </row>
    <row r="30" spans="2:13">
      <c r="B30" s="69" t="s">
        <v>783</v>
      </c>
      <c r="C30" s="71">
        <v>6.9</v>
      </c>
      <c r="D30" s="71">
        <v>2.2000000000000002</v>
      </c>
      <c r="E30" s="71">
        <v>1.02</v>
      </c>
      <c r="F30" s="71">
        <v>3.67</v>
      </c>
      <c r="G30" s="71">
        <v>1.1599999999999999</v>
      </c>
      <c r="H30" s="71">
        <v>0.56000000000000005</v>
      </c>
      <c r="I30" s="71">
        <v>5.65</v>
      </c>
      <c r="J30" s="71">
        <v>1.79</v>
      </c>
      <c r="K30" s="71">
        <v>0.84</v>
      </c>
    </row>
    <row r="31" spans="2:13">
      <c r="B31" s="72" t="s">
        <v>784</v>
      </c>
      <c r="C31" s="73">
        <v>9.52</v>
      </c>
      <c r="D31" s="73">
        <v>3.09</v>
      </c>
      <c r="E31" s="73">
        <v>1.68</v>
      </c>
      <c r="F31" s="73">
        <v>3.98</v>
      </c>
      <c r="G31" s="73">
        <v>1.26</v>
      </c>
      <c r="H31" s="73">
        <v>0.76</v>
      </c>
      <c r="I31" s="73">
        <v>6.12</v>
      </c>
      <c r="J31" s="73">
        <v>1.97</v>
      </c>
      <c r="K31" s="73">
        <v>1.1100000000000001</v>
      </c>
    </row>
    <row r="32" spans="2:13">
      <c r="B32" s="16" t="s">
        <v>787</v>
      </c>
      <c r="H32" s="16"/>
      <c r="I32" s="15"/>
      <c r="J32" s="26"/>
      <c r="M32" s="11"/>
    </row>
    <row r="33" spans="1:13" ht="12.75">
      <c r="B33" s="104" t="s">
        <v>788</v>
      </c>
      <c r="H33" s="16"/>
      <c r="I33" s="15"/>
      <c r="J33" s="26"/>
      <c r="M33" s="11"/>
    </row>
    <row r="34" spans="1:13">
      <c r="K34" s="76"/>
    </row>
    <row r="35" spans="1:13">
      <c r="K35" s="76"/>
    </row>
    <row r="36" spans="1:13">
      <c r="B36" s="1302" t="s">
        <v>789</v>
      </c>
      <c r="C36" s="1302"/>
      <c r="D36" s="1302"/>
      <c r="E36" s="1302"/>
      <c r="F36" s="1302"/>
      <c r="K36" s="76"/>
    </row>
    <row r="37" spans="1:13">
      <c r="B37" s="1218"/>
      <c r="C37" s="1218">
        <v>1990</v>
      </c>
      <c r="D37" s="1218">
        <v>1994</v>
      </c>
      <c r="E37" s="1218">
        <v>2000</v>
      </c>
      <c r="F37" s="1218" t="s">
        <v>790</v>
      </c>
    </row>
    <row r="38" spans="1:13">
      <c r="B38" s="77" t="s">
        <v>791</v>
      </c>
      <c r="C38" s="1303">
        <v>1997283</v>
      </c>
      <c r="D38" s="78">
        <v>1595869</v>
      </c>
      <c r="E38" s="79">
        <v>1818461</v>
      </c>
      <c r="F38" s="80">
        <f t="shared" ref="F38:F43" si="0">E38/$E$43</f>
        <v>0.67504292192015503</v>
      </c>
    </row>
    <row r="39" spans="1:13">
      <c r="B39" s="77" t="s">
        <v>780</v>
      </c>
      <c r="C39" s="1304"/>
      <c r="D39" s="78">
        <v>587284</v>
      </c>
      <c r="E39" s="79">
        <v>669198</v>
      </c>
      <c r="F39" s="80">
        <f t="shared" si="0"/>
        <v>0.2484174108012896</v>
      </c>
    </row>
    <row r="40" spans="1:13">
      <c r="B40" s="81" t="s">
        <v>782</v>
      </c>
      <c r="C40" s="82">
        <v>64114</v>
      </c>
      <c r="D40" s="82">
        <v>71239</v>
      </c>
      <c r="E40" s="83">
        <v>83150</v>
      </c>
      <c r="F40" s="1219">
        <f t="shared" si="0"/>
        <v>3.0866660850939826E-2</v>
      </c>
    </row>
    <row r="41" spans="1:13">
      <c r="B41" s="81" t="s">
        <v>783</v>
      </c>
      <c r="C41" s="82">
        <v>89257</v>
      </c>
      <c r="D41" s="82">
        <v>99176</v>
      </c>
      <c r="E41" s="83">
        <v>115639</v>
      </c>
      <c r="F41" s="1219">
        <f t="shared" si="0"/>
        <v>4.2927117187514498E-2</v>
      </c>
    </row>
    <row r="42" spans="1:13">
      <c r="B42" s="81" t="s">
        <v>781</v>
      </c>
      <c r="C42" s="82">
        <v>5822</v>
      </c>
      <c r="D42" s="82">
        <v>6416</v>
      </c>
      <c r="E42" s="83">
        <v>7397</v>
      </c>
      <c r="F42" s="1219">
        <f t="shared" si="0"/>
        <v>2.745889240101045E-3</v>
      </c>
    </row>
    <row r="43" spans="1:13">
      <c r="B43" s="84" t="s">
        <v>183</v>
      </c>
      <c r="C43" s="85">
        <f>SUM(C38:C42)</f>
        <v>2156476</v>
      </c>
      <c r="D43" s="85">
        <f>SUM(D38:D42)</f>
        <v>2359984</v>
      </c>
      <c r="E43" s="85">
        <f>SUM(E38:E42)</f>
        <v>2693845</v>
      </c>
      <c r="F43" s="1220">
        <f t="shared" si="0"/>
        <v>1</v>
      </c>
    </row>
    <row r="44" spans="1:13">
      <c r="B44" s="16" t="s">
        <v>792</v>
      </c>
    </row>
    <row r="46" spans="1:13" s="21" customFormat="1">
      <c r="A46" s="9"/>
      <c r="B46" s="9" t="s">
        <v>793</v>
      </c>
      <c r="C46" s="19"/>
      <c r="D46" s="19"/>
      <c r="E46" s="19"/>
      <c r="F46" s="19"/>
      <c r="G46" s="19"/>
      <c r="H46" s="19"/>
      <c r="I46" s="20"/>
      <c r="J46" s="19"/>
      <c r="K46" s="68"/>
      <c r="L46" s="68"/>
      <c r="M46" s="68"/>
    </row>
    <row r="48" spans="1:13" ht="12" customHeight="1">
      <c r="B48" s="86" t="s">
        <v>794</v>
      </c>
      <c r="C48" s="87"/>
      <c r="D48" s="87"/>
      <c r="E48" s="87"/>
      <c r="F48" s="87"/>
      <c r="G48" s="87"/>
      <c r="H48" s="87"/>
    </row>
    <row r="49" spans="2:8" ht="12" customHeight="1">
      <c r="B49" s="86"/>
      <c r="C49" s="87"/>
      <c r="D49" s="87"/>
      <c r="E49" s="87"/>
      <c r="F49" s="87"/>
      <c r="G49" s="87"/>
      <c r="H49" s="87"/>
    </row>
    <row r="50" spans="2:8">
      <c r="B50" s="1300" t="s">
        <v>795</v>
      </c>
      <c r="C50" s="1301" t="s">
        <v>796</v>
      </c>
      <c r="D50" s="1301"/>
      <c r="E50" s="1301"/>
      <c r="F50" s="1301"/>
      <c r="G50" s="1301"/>
      <c r="H50" s="1301"/>
    </row>
    <row r="51" spans="2:8">
      <c r="B51" s="1300"/>
      <c r="C51" s="1221" t="s">
        <v>797</v>
      </c>
      <c r="D51" s="1221" t="s">
        <v>798</v>
      </c>
      <c r="E51" s="1221" t="s">
        <v>799</v>
      </c>
      <c r="F51" s="1221" t="s">
        <v>800</v>
      </c>
      <c r="G51" s="1221" t="s">
        <v>801</v>
      </c>
      <c r="H51" s="1221" t="s">
        <v>78</v>
      </c>
    </row>
    <row r="52" spans="2:8">
      <c r="B52" s="1222" t="s">
        <v>802</v>
      </c>
      <c r="C52" s="1223">
        <v>0</v>
      </c>
      <c r="D52" s="1223">
        <v>0.78</v>
      </c>
      <c r="E52" s="1223">
        <v>0.98</v>
      </c>
      <c r="F52" s="1223">
        <v>1.1399999999999999</v>
      </c>
      <c r="G52" s="1223">
        <v>0.01</v>
      </c>
      <c r="H52" s="1223">
        <v>2.91</v>
      </c>
    </row>
    <row r="53" spans="2:8">
      <c r="B53" s="1222" t="s">
        <v>803</v>
      </c>
      <c r="C53" s="1223">
        <v>0.1</v>
      </c>
      <c r="D53" s="1223">
        <v>7.7</v>
      </c>
      <c r="E53" s="1223">
        <v>1.19</v>
      </c>
      <c r="F53" s="1223">
        <v>1.33</v>
      </c>
      <c r="G53" s="1223">
        <v>0.09</v>
      </c>
      <c r="H53" s="1223">
        <v>10.41</v>
      </c>
    </row>
    <row r="54" spans="2:8">
      <c r="B54" s="1222" t="s">
        <v>804</v>
      </c>
      <c r="C54" s="1223">
        <v>1</v>
      </c>
      <c r="D54" s="1223">
        <v>2.4500000000000002</v>
      </c>
      <c r="E54" s="1223">
        <v>0.47</v>
      </c>
      <c r="F54" s="1223">
        <v>3.85</v>
      </c>
      <c r="G54" s="1223">
        <v>0.09</v>
      </c>
      <c r="H54" s="1223">
        <v>7.86</v>
      </c>
    </row>
    <row r="55" spans="2:8">
      <c r="B55" s="1222" t="s">
        <v>805</v>
      </c>
      <c r="C55" s="1223">
        <v>3.1</v>
      </c>
      <c r="D55" s="1223">
        <v>24.48</v>
      </c>
      <c r="E55" s="1223">
        <v>0.86</v>
      </c>
      <c r="F55" s="1223">
        <v>4.49</v>
      </c>
      <c r="G55" s="1223">
        <v>1.5</v>
      </c>
      <c r="H55" s="1223">
        <v>34.43</v>
      </c>
    </row>
    <row r="56" spans="2:8">
      <c r="B56" s="1222" t="s">
        <v>806</v>
      </c>
      <c r="C56" s="1223">
        <v>5.6</v>
      </c>
      <c r="D56" s="1223">
        <v>3.27</v>
      </c>
      <c r="E56" s="1223">
        <v>0.47</v>
      </c>
      <c r="F56" s="1223">
        <v>3.85</v>
      </c>
      <c r="G56" s="1223">
        <v>0.11</v>
      </c>
      <c r="H56" s="1223">
        <v>13.3</v>
      </c>
    </row>
    <row r="57" spans="2:8">
      <c r="B57" s="1222" t="s">
        <v>807</v>
      </c>
      <c r="C57" s="1223">
        <v>18.100000000000001</v>
      </c>
      <c r="D57" s="1223">
        <v>32.64</v>
      </c>
      <c r="E57" s="1223">
        <v>0.86</v>
      </c>
      <c r="F57" s="1223">
        <v>4.49</v>
      </c>
      <c r="G57" s="1223">
        <v>1.68</v>
      </c>
      <c r="H57" s="1223">
        <v>57.77</v>
      </c>
    </row>
    <row r="58" spans="2:8">
      <c r="B58" s="1222" t="s">
        <v>808</v>
      </c>
      <c r="C58" s="1223">
        <v>3.3</v>
      </c>
      <c r="D58" s="1223">
        <v>1.88</v>
      </c>
      <c r="E58" s="1223">
        <v>0.88</v>
      </c>
      <c r="F58" s="1223">
        <v>3.85</v>
      </c>
      <c r="G58" s="1223">
        <v>0.17</v>
      </c>
      <c r="H58" s="1223">
        <v>10.08</v>
      </c>
    </row>
    <row r="59" spans="2:8">
      <c r="B59" s="1222" t="s">
        <v>809</v>
      </c>
      <c r="C59" s="1223">
        <v>10.5</v>
      </c>
      <c r="D59" s="1223">
        <v>18.39</v>
      </c>
      <c r="E59" s="1223">
        <v>1.1499999999999999</v>
      </c>
      <c r="F59" s="1223">
        <v>4.49</v>
      </c>
      <c r="G59" s="1223">
        <v>2.75</v>
      </c>
      <c r="H59" s="1223">
        <v>37.28</v>
      </c>
    </row>
    <row r="60" spans="2:8">
      <c r="B60" s="1222" t="s">
        <v>810</v>
      </c>
      <c r="C60" s="1223">
        <v>12.7</v>
      </c>
      <c r="D60" s="1223">
        <v>2.23</v>
      </c>
      <c r="E60" s="1223">
        <v>0.88</v>
      </c>
      <c r="F60" s="1223">
        <v>3.85</v>
      </c>
      <c r="G60" s="1223">
        <v>0.19</v>
      </c>
      <c r="H60" s="1223">
        <v>19.850000000000001</v>
      </c>
    </row>
    <row r="61" spans="2:8">
      <c r="B61" s="1222" t="s">
        <v>811</v>
      </c>
      <c r="C61" s="1223">
        <v>40.9</v>
      </c>
      <c r="D61" s="1223">
        <v>20.059999999999999</v>
      </c>
      <c r="E61" s="1223">
        <v>1.1499999999999999</v>
      </c>
      <c r="F61" s="1223">
        <v>4.49</v>
      </c>
      <c r="G61" s="1223">
        <v>3.04</v>
      </c>
      <c r="H61" s="1223">
        <v>69.64</v>
      </c>
    </row>
    <row r="62" spans="2:8">
      <c r="B62" s="11" t="s">
        <v>212</v>
      </c>
      <c r="C62" s="11" t="s">
        <v>812</v>
      </c>
      <c r="D62" s="88"/>
      <c r="E62" s="88"/>
      <c r="F62" s="88"/>
      <c r="G62" s="88"/>
      <c r="H62" s="88"/>
    </row>
    <row r="63" spans="2:8" ht="12.75">
      <c r="C63" s="104" t="s">
        <v>788</v>
      </c>
    </row>
    <row r="64" spans="2:8">
      <c r="B64" s="11" t="s">
        <v>813</v>
      </c>
      <c r="C64" s="11"/>
      <c r="D64" s="11"/>
      <c r="E64" s="11"/>
      <c r="F64" s="11"/>
      <c r="G64" s="11"/>
      <c r="H64" s="11"/>
    </row>
    <row r="65" spans="1:13">
      <c r="C65" s="11"/>
      <c r="D65" s="11"/>
      <c r="E65" s="11"/>
      <c r="F65" s="11"/>
      <c r="G65" s="11"/>
      <c r="H65" s="11"/>
    </row>
    <row r="66" spans="1:13" s="93" customFormat="1">
      <c r="A66" s="89"/>
      <c r="B66" s="89" t="s">
        <v>814</v>
      </c>
      <c r="C66" s="90"/>
      <c r="D66" s="90"/>
      <c r="E66" s="90"/>
      <c r="F66" s="90"/>
      <c r="G66" s="90"/>
      <c r="H66" s="90"/>
      <c r="I66" s="91"/>
      <c r="J66" s="90"/>
      <c r="K66" s="92"/>
      <c r="L66" s="92"/>
      <c r="M66" s="92"/>
    </row>
    <row r="67" spans="1:13" s="93" customFormat="1">
      <c r="A67" s="89"/>
      <c r="B67" s="89"/>
      <c r="C67" s="90"/>
      <c r="D67" s="90"/>
      <c r="E67" s="90"/>
      <c r="F67" s="90"/>
      <c r="G67" s="90"/>
      <c r="H67" s="90"/>
      <c r="I67" s="91"/>
      <c r="J67" s="90"/>
      <c r="K67" s="92"/>
      <c r="L67" s="92"/>
      <c r="M67" s="92"/>
    </row>
    <row r="69" spans="1:13">
      <c r="D69" s="12" t="s">
        <v>90</v>
      </c>
      <c r="E69" s="12" t="s">
        <v>608</v>
      </c>
      <c r="F69" s="12" t="s">
        <v>609</v>
      </c>
      <c r="G69" s="12" t="s">
        <v>610</v>
      </c>
      <c r="H69" s="12" t="s">
        <v>611</v>
      </c>
      <c r="I69" s="13"/>
      <c r="J69" s="13"/>
    </row>
    <row r="70" spans="1:13">
      <c r="B70" s="10" t="s">
        <v>815</v>
      </c>
    </row>
    <row r="71" spans="1:13" ht="14.25">
      <c r="C71" s="16" t="s">
        <v>798</v>
      </c>
      <c r="D71" s="15" t="s">
        <v>816</v>
      </c>
      <c r="E71" s="94">
        <f>$J$16*$K$74/100</f>
        <v>7.2676637056186585E-2</v>
      </c>
      <c r="F71" s="95">
        <f>$K$16*$K$74/100</f>
        <v>1.9304731718049559E-2</v>
      </c>
      <c r="G71" s="95">
        <f>$I$16*$K$74/100</f>
        <v>0.21364984598883421</v>
      </c>
      <c r="H71" s="96">
        <v>2020</v>
      </c>
      <c r="I71"/>
      <c r="J71"/>
      <c r="K71"/>
      <c r="L71"/>
    </row>
    <row r="72" spans="1:13" ht="14.25">
      <c r="C72" s="16" t="s">
        <v>817</v>
      </c>
      <c r="D72" s="15" t="s">
        <v>816</v>
      </c>
      <c r="E72" s="97">
        <f>$J$26*$K$74/100</f>
        <v>3.1471579439509366E-2</v>
      </c>
      <c r="F72" s="95">
        <f>$K$26*$K$74/100</f>
        <v>1.8331383900332773E-2</v>
      </c>
      <c r="G72" s="95">
        <f>$I$26*$K$74/100</f>
        <v>9.7659231044250699E-2</v>
      </c>
      <c r="H72" s="15">
        <f>$H$71</f>
        <v>2020</v>
      </c>
      <c r="I72"/>
      <c r="J72"/>
      <c r="K72"/>
      <c r="L72"/>
    </row>
    <row r="73" spans="1:13">
      <c r="C73" s="16" t="s">
        <v>801</v>
      </c>
      <c r="D73" s="15" t="s">
        <v>816</v>
      </c>
      <c r="E73" s="97">
        <f>$J$6*$K$74/100</f>
        <v>9.7334781771678453E-4</v>
      </c>
      <c r="F73" s="95">
        <f>$K$6*$K$74/100</f>
        <v>3.2444927257226151E-4</v>
      </c>
      <c r="G73" s="95">
        <f>$I$6*$K$74/100</f>
        <v>3.2444927257226151E-3</v>
      </c>
      <c r="H73" s="15">
        <f>$H$71</f>
        <v>2020</v>
      </c>
      <c r="J73" s="18"/>
    </row>
    <row r="74" spans="1:13">
      <c r="E74" s="98"/>
      <c r="J74" s="17" t="s">
        <v>1015</v>
      </c>
      <c r="K74" s="1224">
        <f>'Prices and ECI'!AI24/'Prices and ECI'!M24</f>
        <v>1.6222463628613075</v>
      </c>
      <c r="L74" s="499"/>
    </row>
    <row r="75" spans="1:13">
      <c r="B75" s="10" t="s">
        <v>818</v>
      </c>
      <c r="E75" s="98"/>
      <c r="J75" s="16"/>
    </row>
    <row r="76" spans="1:13">
      <c r="C76" s="16" t="s">
        <v>798</v>
      </c>
      <c r="D76" s="15" t="s">
        <v>816</v>
      </c>
      <c r="E76" s="97">
        <f>$J$17*$K$74/100</f>
        <v>6.4889854514452297E-2</v>
      </c>
      <c r="F76" s="95">
        <f>$K$17*$K$74/100</f>
        <v>1.719581144632986E-2</v>
      </c>
      <c r="G76" s="95">
        <f>$I$17*$K$74/100</f>
        <v>0.19061394763620362</v>
      </c>
      <c r="H76" s="15">
        <f t="shared" ref="H76:H78" si="1">$H$71</f>
        <v>2020</v>
      </c>
      <c r="J76" s="16"/>
    </row>
    <row r="77" spans="1:13">
      <c r="C77" s="16" t="s">
        <v>817</v>
      </c>
      <c r="D77" s="15" t="s">
        <v>816</v>
      </c>
      <c r="E77" s="97">
        <f>$J$27*$K$74/100</f>
        <v>3.4878296801518112E-2</v>
      </c>
      <c r="F77" s="95">
        <f>$K$27*$K$74/100</f>
        <v>1.8980282445477295E-2</v>
      </c>
      <c r="G77" s="95">
        <f>$I$27*$K$74/100</f>
        <v>0.10869050631170761</v>
      </c>
      <c r="H77" s="15">
        <f t="shared" si="1"/>
        <v>2020</v>
      </c>
    </row>
    <row r="78" spans="1:13">
      <c r="C78" s="16" t="s">
        <v>801</v>
      </c>
      <c r="D78" s="15" t="s">
        <v>816</v>
      </c>
      <c r="E78" s="97">
        <f>$J$7*$K$74/100</f>
        <v>9.7334781771678453E-4</v>
      </c>
      <c r="F78" s="95">
        <f>$K$7*$K$74/100</f>
        <v>3.2444927257226151E-4</v>
      </c>
      <c r="G78" s="95">
        <f>$I$7*$K$74/100</f>
        <v>2.757818816864223E-3</v>
      </c>
      <c r="H78" s="15">
        <f t="shared" si="1"/>
        <v>2020</v>
      </c>
    </row>
    <row r="79" spans="1:13">
      <c r="E79" s="98"/>
    </row>
    <row r="80" spans="1:13">
      <c r="B80" s="10" t="s">
        <v>819</v>
      </c>
      <c r="E80" s="98"/>
    </row>
    <row r="81" spans="1:13">
      <c r="C81" s="16" t="s">
        <v>798</v>
      </c>
      <c r="D81" s="15" t="s">
        <v>816</v>
      </c>
      <c r="E81" s="97">
        <f>$J$19*$K$74/100</f>
        <v>0.14778664365666511</v>
      </c>
      <c r="F81" s="95">
        <f>$K$19*$K$74/100</f>
        <v>3.9096137344957517E-2</v>
      </c>
      <c r="G81" s="95">
        <f>$I$19*$K$74/100</f>
        <v>0.43492424988311656</v>
      </c>
      <c r="H81" s="15">
        <f t="shared" ref="H81:H83" si="2">$H$71</f>
        <v>2020</v>
      </c>
    </row>
    <row r="82" spans="1:13">
      <c r="C82" s="16" t="s">
        <v>817</v>
      </c>
      <c r="D82" s="15" t="s">
        <v>816</v>
      </c>
      <c r="E82" s="97">
        <f>$J$29*$K$74/100</f>
        <v>2.0926978080910867E-2</v>
      </c>
      <c r="F82" s="95">
        <f>$K$29*$K$74/100</f>
        <v>1.0544601358598501E-2</v>
      </c>
      <c r="G82" s="95">
        <f>$I$29*$K$74/100</f>
        <v>6.3267608151590993E-2</v>
      </c>
      <c r="H82" s="15">
        <f t="shared" si="2"/>
        <v>2020</v>
      </c>
    </row>
    <row r="83" spans="1:13">
      <c r="C83" s="16" t="s">
        <v>801</v>
      </c>
      <c r="D83" s="15" t="s">
        <v>816</v>
      </c>
      <c r="E83" s="97">
        <f>$J$9*$K$74/100</f>
        <v>1.1355724540029153E-2</v>
      </c>
      <c r="F83" s="95">
        <f>$K$9*$K$74/100</f>
        <v>3.2444927257226151E-3</v>
      </c>
      <c r="G83" s="95">
        <f>$I$9*$K$74/100</f>
        <v>3.0011557712934192E-2</v>
      </c>
      <c r="H83" s="15">
        <f t="shared" si="2"/>
        <v>2020</v>
      </c>
    </row>
    <row r="84" spans="1:13">
      <c r="E84" s="98"/>
    </row>
    <row r="85" spans="1:13">
      <c r="B85" s="10" t="s">
        <v>820</v>
      </c>
      <c r="E85" s="98"/>
    </row>
    <row r="86" spans="1:13">
      <c r="C86" s="16" t="s">
        <v>798</v>
      </c>
      <c r="D86" s="15" t="s">
        <v>816</v>
      </c>
      <c r="E86" s="97">
        <f>$J$20*$K$74/100</f>
        <v>0.14243323065922278</v>
      </c>
      <c r="F86" s="95">
        <f>$K$20*$K$74/100</f>
        <v>3.7636115618382336E-2</v>
      </c>
      <c r="G86" s="95">
        <f>$I$20*$K$74/100</f>
        <v>0.41870178625450344</v>
      </c>
      <c r="H86" s="15">
        <f t="shared" ref="H86:H88" si="3">$H$71</f>
        <v>2020</v>
      </c>
    </row>
    <row r="87" spans="1:13">
      <c r="C87" s="16" t="s">
        <v>817</v>
      </c>
      <c r="D87" s="15" t="s">
        <v>816</v>
      </c>
      <c r="E87" s="97">
        <f>$J$30*$K$74/100</f>
        <v>2.9038209895217406E-2</v>
      </c>
      <c r="F87" s="95">
        <f>$K$30*$K$74/100</f>
        <v>1.3626869448034982E-2</v>
      </c>
      <c r="G87" s="95">
        <f>$I$30*$K$74/100</f>
        <v>9.1656919501663894E-2</v>
      </c>
      <c r="H87" s="15">
        <f t="shared" si="3"/>
        <v>2020</v>
      </c>
    </row>
    <row r="88" spans="1:13">
      <c r="C88" s="16" t="s">
        <v>801</v>
      </c>
      <c r="D88" s="15" t="s">
        <v>816</v>
      </c>
      <c r="E88" s="99">
        <f>$J$10*$K$74/100</f>
        <v>2.6118166442067055E-2</v>
      </c>
      <c r="F88" s="95">
        <f>$K$10*$K$74/100</f>
        <v>7.3001086328758832E-3</v>
      </c>
      <c r="G88" s="95">
        <f>$I$10*$K$74/100</f>
        <v>6.8783245785319441E-2</v>
      </c>
      <c r="H88" s="15">
        <f t="shared" si="3"/>
        <v>2020</v>
      </c>
    </row>
    <row r="90" spans="1:13" s="21" customFormat="1">
      <c r="A90" s="9"/>
      <c r="B90" s="9" t="s">
        <v>598</v>
      </c>
      <c r="C90" s="19"/>
      <c r="D90" s="19"/>
      <c r="E90" s="19"/>
      <c r="F90" s="19"/>
      <c r="G90" s="19"/>
      <c r="H90" s="19"/>
      <c r="I90" s="20"/>
      <c r="J90" s="19"/>
      <c r="K90" s="68"/>
      <c r="L90" s="68"/>
      <c r="M90" s="68"/>
    </row>
    <row r="92" spans="1:13" s="22" customFormat="1">
      <c r="B92" s="22" t="s">
        <v>821</v>
      </c>
      <c r="C92" s="24"/>
      <c r="D92" s="24"/>
      <c r="E92" s="24"/>
      <c r="F92" s="24"/>
      <c r="G92" s="24"/>
      <c r="H92" s="24"/>
      <c r="I92" s="100"/>
      <c r="J92" s="24"/>
      <c r="K92" s="101"/>
      <c r="L92" s="101"/>
      <c r="M92" s="101"/>
    </row>
    <row r="93" spans="1:13" s="22" customFormat="1">
      <c r="C93" s="24"/>
      <c r="D93" s="24"/>
      <c r="E93" s="24"/>
      <c r="F93" s="24"/>
      <c r="G93" s="24"/>
      <c r="H93" s="24"/>
      <c r="I93" s="100"/>
      <c r="J93" s="24"/>
      <c r="K93" s="101"/>
      <c r="L93" s="101"/>
      <c r="M93" s="101"/>
    </row>
    <row r="94" spans="1:13" s="22" customFormat="1">
      <c r="B94" s="22" t="s">
        <v>822</v>
      </c>
      <c r="C94" s="24"/>
      <c r="D94" s="24"/>
      <c r="E94" s="24"/>
      <c r="F94" s="24"/>
      <c r="G94" s="24"/>
      <c r="H94" s="24"/>
      <c r="I94" s="100"/>
      <c r="J94" s="24"/>
      <c r="K94" s="101"/>
      <c r="L94" s="101"/>
      <c r="M94" s="101"/>
    </row>
    <row r="95" spans="1:13" s="22" customFormat="1">
      <c r="C95" s="24"/>
      <c r="D95" s="24"/>
      <c r="E95" s="24"/>
      <c r="F95" s="24"/>
      <c r="G95" s="24"/>
      <c r="H95" s="24"/>
      <c r="I95" s="100"/>
      <c r="J95" s="24"/>
      <c r="K95" s="101"/>
      <c r="L95" s="101"/>
      <c r="M95" s="101"/>
    </row>
    <row r="96" spans="1:13" s="22" customFormat="1">
      <c r="B96" s="23" t="s">
        <v>823</v>
      </c>
      <c r="C96" s="24"/>
      <c r="D96" s="24"/>
      <c r="E96" s="24"/>
      <c r="F96" s="24"/>
      <c r="G96" s="24"/>
      <c r="H96" s="24"/>
      <c r="I96" s="100"/>
      <c r="J96" s="24"/>
      <c r="K96" s="101"/>
      <c r="L96" s="101"/>
      <c r="M96" s="101"/>
    </row>
    <row r="97" spans="2:13" s="22" customFormat="1">
      <c r="D97" s="24"/>
      <c r="E97" s="24"/>
      <c r="F97" s="24"/>
      <c r="G97" s="24"/>
      <c r="H97" s="24"/>
      <c r="I97" s="100"/>
      <c r="J97" s="24"/>
      <c r="K97" s="101"/>
      <c r="L97" s="101"/>
      <c r="M97" s="101"/>
    </row>
    <row r="98" spans="2:13">
      <c r="B98" s="100" t="s">
        <v>824</v>
      </c>
    </row>
    <row r="99" spans="2:13">
      <c r="B99" s="15"/>
    </row>
    <row r="100" spans="2:13">
      <c r="B100" s="16" t="s">
        <v>825</v>
      </c>
    </row>
    <row r="102" spans="2:13">
      <c r="B102" s="102" t="s">
        <v>696</v>
      </c>
    </row>
  </sheetData>
  <mergeCells count="16">
    <mergeCell ref="B50:B51"/>
    <mergeCell ref="C50:H50"/>
    <mergeCell ref="B23:K23"/>
    <mergeCell ref="C24:E24"/>
    <mergeCell ref="F24:H24"/>
    <mergeCell ref="I24:K24"/>
    <mergeCell ref="B36:F36"/>
    <mergeCell ref="C38:C39"/>
    <mergeCell ref="C14:E14"/>
    <mergeCell ref="F14:H14"/>
    <mergeCell ref="I14:K14"/>
    <mergeCell ref="B3:K3"/>
    <mergeCell ref="C4:E4"/>
    <mergeCell ref="F4:H4"/>
    <mergeCell ref="I4:K4"/>
    <mergeCell ref="B13:K13"/>
  </mergeCells>
  <hyperlinks>
    <hyperlink ref="B33" r:id="rId1" xr:uid="{00000000-0004-0000-1D00-000000000000}"/>
    <hyperlink ref="C63" r:id="rId2" xr:uid="{00000000-0004-0000-1D00-000001000000}"/>
  </hyperlinks>
  <pageMargins left="0.7" right="0.7" top="0.75" bottom="0.75" header="0.3" footer="0.3"/>
  <pageSetup scale="67" fitToHeight="2" orientation="landscape" r:id="rId3"/>
  <headerFooter>
    <oddHeader>&amp;L&amp;F&amp;R&amp;A</oddHeader>
    <oddFooter>&amp;LHDR inc.&amp;C&amp;P of &amp;N&amp;R&amp;D</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tabColor theme="9" tint="0.59999389629810485"/>
    <pageSetUpPr fitToPage="1"/>
  </sheetPr>
  <dimension ref="A1:P95"/>
  <sheetViews>
    <sheetView showGridLines="0" zoomScale="80" zoomScaleNormal="80" workbookViewId="0">
      <pane ySplit="2" topLeftCell="A3" activePane="bottomLeft" state="frozen"/>
      <selection pane="bottomLeft" activeCell="K34" sqref="K34"/>
    </sheetView>
  </sheetViews>
  <sheetFormatPr defaultColWidth="9.875" defaultRowHeight="11.25"/>
  <cols>
    <col min="1" max="1" width="1" style="201" customWidth="1"/>
    <col min="2" max="2" width="56.75" style="226" customWidth="1"/>
    <col min="3" max="5" width="11.75" style="172" customWidth="1"/>
    <col min="6" max="6" width="12.75" style="203" customWidth="1"/>
    <col min="7" max="7" width="13.75" style="204" customWidth="1"/>
    <col min="8" max="8" width="41.25" style="205" customWidth="1"/>
    <col min="9" max="9" width="25.875" style="205" customWidth="1"/>
    <col min="10" max="10" width="16.375" style="206" customWidth="1"/>
    <col min="11" max="11" width="9.875" style="207" customWidth="1"/>
    <col min="12" max="13" width="9.875" style="206"/>
    <col min="14" max="14" width="9.875" style="201"/>
    <col min="15" max="16" width="4.375" style="201" customWidth="1"/>
    <col min="17" max="16384" width="9.875" style="201"/>
  </cols>
  <sheetData>
    <row r="1" spans="1:16" s="181" customFormat="1" ht="12.75">
      <c r="A1" s="173" t="s">
        <v>46</v>
      </c>
      <c r="B1" s="174"/>
      <c r="C1" s="175"/>
      <c r="D1" s="175"/>
      <c r="E1" s="175"/>
      <c r="F1" s="176"/>
      <c r="G1" s="177"/>
      <c r="H1" s="178"/>
      <c r="I1" s="178"/>
      <c r="J1" s="179"/>
      <c r="K1" s="180"/>
      <c r="L1" s="179"/>
      <c r="M1" s="179"/>
    </row>
    <row r="2" spans="1:16" s="182" customFormat="1">
      <c r="B2" s="183"/>
      <c r="C2" s="184" t="s">
        <v>826</v>
      </c>
      <c r="D2" s="184" t="s">
        <v>609</v>
      </c>
      <c r="E2" s="184" t="s">
        <v>610</v>
      </c>
      <c r="F2" s="185" t="s">
        <v>611</v>
      </c>
      <c r="G2" s="186" t="s">
        <v>598</v>
      </c>
      <c r="H2" s="187" t="s">
        <v>595</v>
      </c>
      <c r="I2" s="188" t="s">
        <v>612</v>
      </c>
      <c r="K2" s="189"/>
    </row>
    <row r="3" spans="1:16" s="190" customFormat="1">
      <c r="B3" s="191"/>
      <c r="C3" s="192"/>
      <c r="D3" s="192"/>
      <c r="E3" s="192"/>
      <c r="F3" s="193"/>
      <c r="G3" s="194"/>
      <c r="H3" s="195"/>
      <c r="I3" s="196"/>
      <c r="K3" s="197"/>
    </row>
    <row r="4" spans="1:16" s="198" customFormat="1">
      <c r="B4" s="526" t="s">
        <v>827</v>
      </c>
      <c r="G4" s="199"/>
      <c r="H4" s="199"/>
      <c r="I4" s="199"/>
      <c r="J4" s="200"/>
    </row>
    <row r="5" spans="1:16" s="198" customFormat="1">
      <c r="B5" s="527" t="s">
        <v>828</v>
      </c>
      <c r="G5" s="199"/>
      <c r="H5" s="199"/>
      <c r="I5" s="199"/>
      <c r="J5" s="200"/>
    </row>
    <row r="6" spans="1:16">
      <c r="B6" s="202"/>
    </row>
    <row r="7" spans="1:16">
      <c r="B7" s="208" t="s">
        <v>829</v>
      </c>
    </row>
    <row r="8" spans="1:16">
      <c r="B8" s="209" t="s">
        <v>830</v>
      </c>
      <c r="D8" s="210"/>
      <c r="J8" s="201"/>
      <c r="K8" s="201"/>
    </row>
    <row r="9" spans="1:16" ht="10.5" customHeight="1">
      <c r="B9" s="211" t="s">
        <v>831</v>
      </c>
      <c r="C9" s="212">
        <v>16.2</v>
      </c>
      <c r="D9" s="213">
        <f>$C9*O9</f>
        <v>11.326829268292681</v>
      </c>
      <c r="E9" s="213">
        <f t="shared" ref="D9:E11" si="0">$C9*P9</f>
        <v>19.360975609756096</v>
      </c>
      <c r="F9" s="214">
        <v>2020</v>
      </c>
      <c r="H9" s="1309" t="s">
        <v>832</v>
      </c>
      <c r="I9" s="1305" t="s">
        <v>833</v>
      </c>
      <c r="J9" s="201"/>
      <c r="K9" s="201"/>
      <c r="L9" s="215">
        <v>12.3</v>
      </c>
      <c r="M9" s="215">
        <v>8.6</v>
      </c>
      <c r="N9" s="215">
        <v>14.7</v>
      </c>
      <c r="O9" s="216">
        <f t="shared" ref="O9:P11" si="1">M9/$L9</f>
        <v>0.69918699186991862</v>
      </c>
      <c r="P9" s="216">
        <f t="shared" si="1"/>
        <v>1.1951219512195121</v>
      </c>
    </row>
    <row r="10" spans="1:16">
      <c r="B10" s="211" t="s">
        <v>834</v>
      </c>
      <c r="C10" s="212">
        <v>29.4</v>
      </c>
      <c r="D10" s="213">
        <f t="shared" si="0"/>
        <v>23.544398340248961</v>
      </c>
      <c r="E10" s="213">
        <f>$C10*P10</f>
        <v>35.377593360995846</v>
      </c>
      <c r="F10" s="217">
        <f>$F$9</f>
        <v>2020</v>
      </c>
      <c r="H10" s="1309"/>
      <c r="I10" s="1305"/>
      <c r="L10" s="215">
        <v>24.1</v>
      </c>
      <c r="M10" s="215">
        <v>19.3</v>
      </c>
      <c r="N10" s="215">
        <v>29</v>
      </c>
      <c r="O10" s="216">
        <f t="shared" si="1"/>
        <v>0.80082987551867213</v>
      </c>
      <c r="P10" s="216">
        <f t="shared" si="1"/>
        <v>1.2033195020746887</v>
      </c>
    </row>
    <row r="11" spans="1:16">
      <c r="B11" s="211" t="s">
        <v>835</v>
      </c>
      <c r="C11" s="212">
        <v>17.8</v>
      </c>
      <c r="D11" s="213">
        <f t="shared" si="0"/>
        <v>12.654687499999998</v>
      </c>
      <c r="E11" s="213">
        <f t="shared" si="0"/>
        <v>21.415625000000002</v>
      </c>
      <c r="F11" s="217">
        <f>$F$9</f>
        <v>2020</v>
      </c>
      <c r="H11" s="1309"/>
      <c r="I11" s="1305"/>
      <c r="L11" s="215">
        <v>12.8</v>
      </c>
      <c r="M11" s="215">
        <v>9.1</v>
      </c>
      <c r="N11" s="215">
        <v>15.4</v>
      </c>
      <c r="O11" s="216">
        <f t="shared" si="1"/>
        <v>0.71093749999999989</v>
      </c>
      <c r="P11" s="216">
        <f t="shared" si="1"/>
        <v>1.203125</v>
      </c>
    </row>
    <row r="12" spans="1:16">
      <c r="B12" s="218" t="s">
        <v>836</v>
      </c>
      <c r="C12" s="219"/>
      <c r="D12" s="219"/>
      <c r="E12" s="219"/>
      <c r="H12" s="1309"/>
      <c r="I12" s="1305"/>
      <c r="L12" s="220"/>
      <c r="M12" s="220"/>
      <c r="N12" s="220"/>
    </row>
    <row r="13" spans="1:16">
      <c r="B13" s="211" t="s">
        <v>831</v>
      </c>
      <c r="C13" s="219"/>
      <c r="D13" s="219"/>
      <c r="E13" s="219"/>
      <c r="H13" s="1309"/>
      <c r="I13" s="1305"/>
      <c r="L13" s="220"/>
      <c r="M13" s="220"/>
      <c r="N13" s="220"/>
    </row>
    <row r="14" spans="1:16">
      <c r="B14" s="221" t="s">
        <v>837</v>
      </c>
      <c r="C14" s="212">
        <v>22.7</v>
      </c>
      <c r="D14" s="213">
        <f>$C14*O14</f>
        <v>19.400581395348837</v>
      </c>
      <c r="E14" s="213">
        <f>$C14*P14</f>
        <v>29.166860465116279</v>
      </c>
      <c r="F14" s="217">
        <f>$F$9</f>
        <v>2020</v>
      </c>
      <c r="H14" s="1309"/>
      <c r="I14" s="1305"/>
      <c r="L14" s="215">
        <v>17.2</v>
      </c>
      <c r="M14" s="215">
        <v>14.7</v>
      </c>
      <c r="N14" s="215">
        <v>22.1</v>
      </c>
      <c r="O14" s="216">
        <f>M14/$L14</f>
        <v>0.85465116279069764</v>
      </c>
      <c r="P14" s="216">
        <f>N14/$L14</f>
        <v>1.2848837209302326</v>
      </c>
    </row>
    <row r="15" spans="1:16">
      <c r="B15" s="221" t="s">
        <v>838</v>
      </c>
      <c r="C15" s="212">
        <v>43.2</v>
      </c>
      <c r="D15" s="213">
        <f>$C15*O15</f>
        <v>37.104294478527606</v>
      </c>
      <c r="E15" s="213">
        <f>$C15*P15</f>
        <v>55.523926380368096</v>
      </c>
      <c r="F15" s="217">
        <f>$F$9</f>
        <v>2020</v>
      </c>
      <c r="H15" s="1309"/>
      <c r="I15" s="1305"/>
      <c r="L15" s="215">
        <v>32.6</v>
      </c>
      <c r="M15" s="215">
        <v>28</v>
      </c>
      <c r="N15" s="215">
        <v>41.9</v>
      </c>
      <c r="O15" s="216">
        <f>M15/$L15</f>
        <v>0.85889570552147232</v>
      </c>
      <c r="P15" s="216">
        <f>N15/$L15</f>
        <v>1.2852760736196318</v>
      </c>
    </row>
    <row r="16" spans="1:16">
      <c r="B16" s="211" t="s">
        <v>834</v>
      </c>
      <c r="C16" s="219"/>
      <c r="D16" s="219"/>
      <c r="E16" s="219"/>
      <c r="G16" s="222"/>
      <c r="H16" s="1309"/>
      <c r="I16" s="1305"/>
      <c r="L16" s="220"/>
      <c r="M16" s="220"/>
      <c r="N16" s="220"/>
    </row>
    <row r="17" spans="1:16">
      <c r="B17" s="221" t="s">
        <v>837</v>
      </c>
      <c r="C17" s="212">
        <v>29.4</v>
      </c>
      <c r="D17" s="213">
        <f>$C17*O17</f>
        <v>23.544398340248961</v>
      </c>
      <c r="E17" s="213">
        <f>$C17*P17</f>
        <v>35.377593360995846</v>
      </c>
      <c r="F17" s="217">
        <f>$F$9</f>
        <v>2020</v>
      </c>
      <c r="H17" s="1309"/>
      <c r="I17" s="1305"/>
      <c r="L17" s="215">
        <v>24.1</v>
      </c>
      <c r="M17" s="215">
        <v>19.3</v>
      </c>
      <c r="N17" s="215">
        <v>29</v>
      </c>
      <c r="O17" s="216">
        <f>M17/$L17</f>
        <v>0.80082987551867213</v>
      </c>
      <c r="P17" s="216">
        <f>N17/$L17</f>
        <v>1.2033195020746887</v>
      </c>
    </row>
    <row r="18" spans="1:16">
      <c r="B18" s="221" t="s">
        <v>838</v>
      </c>
      <c r="C18" s="212">
        <v>73.2</v>
      </c>
      <c r="D18" s="213">
        <f>$C18*O18</f>
        <v>58.56</v>
      </c>
      <c r="E18" s="213">
        <f>$C18*P18</f>
        <v>87.84</v>
      </c>
      <c r="F18" s="217">
        <f>$F$9</f>
        <v>2020</v>
      </c>
      <c r="H18" s="1309"/>
      <c r="I18" s="1305"/>
      <c r="L18" s="215">
        <v>60</v>
      </c>
      <c r="M18" s="215">
        <v>48</v>
      </c>
      <c r="N18" s="215">
        <v>72</v>
      </c>
      <c r="O18" s="216">
        <f>M18/$L18</f>
        <v>0.8</v>
      </c>
      <c r="P18" s="216">
        <f>N18/$L18</f>
        <v>1.2</v>
      </c>
    </row>
    <row r="19" spans="1:16">
      <c r="B19" s="211" t="s">
        <v>835</v>
      </c>
      <c r="C19" s="219"/>
      <c r="D19" s="219"/>
      <c r="E19" s="219"/>
      <c r="F19" s="217"/>
      <c r="H19" s="1309"/>
      <c r="I19" s="1305"/>
      <c r="L19" s="220"/>
      <c r="M19" s="223"/>
      <c r="N19" s="223"/>
    </row>
    <row r="20" spans="1:16">
      <c r="B20" s="221" t="s">
        <v>837</v>
      </c>
      <c r="C20" s="212">
        <f>C14*0.786+C17*0.214</f>
        <v>24.133800000000001</v>
      </c>
      <c r="D20" s="213">
        <f>$C20*O20</f>
        <v>20.262067379679145</v>
      </c>
      <c r="E20" s="213">
        <f>$C20*P20</f>
        <v>30.457629946524069</v>
      </c>
      <c r="F20" s="217">
        <f>$F$9</f>
        <v>2020</v>
      </c>
      <c r="G20" s="510" t="s">
        <v>839</v>
      </c>
      <c r="H20" s="1309"/>
      <c r="I20" s="1305"/>
      <c r="L20" s="215">
        <v>18.7</v>
      </c>
      <c r="M20" s="215">
        <v>15.7</v>
      </c>
      <c r="N20" s="215">
        <v>23.6</v>
      </c>
      <c r="O20" s="216">
        <f>M20/$L20</f>
        <v>0.83957219251336901</v>
      </c>
      <c r="P20" s="216">
        <f>N20/$L20</f>
        <v>1.2620320855614975</v>
      </c>
    </row>
    <row r="21" spans="1:16">
      <c r="B21" s="221" t="s">
        <v>838</v>
      </c>
      <c r="C21" s="212">
        <f>C15*0.596+C18*0.404</f>
        <v>55.320000000000007</v>
      </c>
      <c r="D21" s="213">
        <f>$C21*O21</f>
        <v>45.699130434782617</v>
      </c>
      <c r="E21" s="213">
        <f>$C21*P21</f>
        <v>68.485400457665904</v>
      </c>
      <c r="F21" s="217">
        <f>$F$9</f>
        <v>2020</v>
      </c>
      <c r="G21" s="510" t="s">
        <v>840</v>
      </c>
      <c r="H21" s="1309"/>
      <c r="I21" s="1305"/>
      <c r="J21" s="207"/>
      <c r="K21" s="206"/>
      <c r="L21" s="215">
        <v>43.7</v>
      </c>
      <c r="M21" s="215">
        <v>36.1</v>
      </c>
      <c r="N21" s="215">
        <v>54.1</v>
      </c>
      <c r="O21" s="216">
        <f>M21/$L21</f>
        <v>0.82608695652173914</v>
      </c>
      <c r="P21" s="216">
        <f>N21/$L21</f>
        <v>1.2379862700228832</v>
      </c>
    </row>
    <row r="22" spans="1:16">
      <c r="B22" s="218" t="s">
        <v>841</v>
      </c>
      <c r="C22" s="224"/>
      <c r="D22" s="224"/>
      <c r="E22" s="224"/>
      <c r="H22" s="1309"/>
      <c r="I22" s="1305"/>
      <c r="J22" s="207"/>
      <c r="K22" s="206"/>
      <c r="L22" s="225"/>
      <c r="M22" s="223"/>
      <c r="N22" s="223"/>
    </row>
    <row r="23" spans="1:16">
      <c r="B23" s="211" t="s">
        <v>842</v>
      </c>
      <c r="C23" s="212">
        <v>32</v>
      </c>
      <c r="D23" s="213">
        <f t="shared" ref="D23:E27" si="2">$C23*O23</f>
        <v>25.5748031496063</v>
      </c>
      <c r="E23" s="213">
        <f t="shared" si="2"/>
        <v>38.425196850393704</v>
      </c>
      <c r="F23" s="217">
        <f>$F$9</f>
        <v>2020</v>
      </c>
      <c r="H23" s="1309"/>
      <c r="I23" s="1305"/>
      <c r="L23" s="215">
        <v>25.4</v>
      </c>
      <c r="M23" s="215">
        <v>20.3</v>
      </c>
      <c r="N23" s="215">
        <v>30.5</v>
      </c>
      <c r="O23" s="216">
        <f t="shared" ref="O23:P27" si="3">M23/$L23</f>
        <v>0.79921259842519687</v>
      </c>
      <c r="P23" s="216">
        <f t="shared" si="3"/>
        <v>1.2007874015748032</v>
      </c>
    </row>
    <row r="24" spans="1:16">
      <c r="B24" s="211" t="s">
        <v>843</v>
      </c>
      <c r="C24" s="212">
        <v>33.6</v>
      </c>
      <c r="D24" s="213">
        <f t="shared" si="2"/>
        <v>26.854545454545459</v>
      </c>
      <c r="E24" s="213">
        <f t="shared" si="2"/>
        <v>40.218181818181819</v>
      </c>
      <c r="F24" s="217">
        <f t="shared" ref="F24:F26" si="4">$F$9</f>
        <v>2020</v>
      </c>
      <c r="H24" s="1309"/>
      <c r="I24" s="1305"/>
      <c r="L24" s="215">
        <v>26.4</v>
      </c>
      <c r="M24" s="215">
        <v>21.1</v>
      </c>
      <c r="N24" s="215">
        <v>31.6</v>
      </c>
      <c r="O24" s="216">
        <f t="shared" si="3"/>
        <v>0.79924242424242431</v>
      </c>
      <c r="P24" s="216">
        <f t="shared" si="3"/>
        <v>1.196969696969697</v>
      </c>
    </row>
    <row r="25" spans="1:16">
      <c r="B25" s="211" t="s">
        <v>844</v>
      </c>
      <c r="C25" s="212">
        <v>50.7</v>
      </c>
      <c r="D25" s="213">
        <f t="shared" si="2"/>
        <v>40.604867256637171</v>
      </c>
      <c r="E25" s="213">
        <f t="shared" si="2"/>
        <v>60.795132743362835</v>
      </c>
      <c r="F25" s="217">
        <f t="shared" si="4"/>
        <v>2020</v>
      </c>
      <c r="H25" s="672"/>
      <c r="I25" s="1305"/>
      <c r="L25" s="215">
        <v>45.2</v>
      </c>
      <c r="M25" s="215">
        <v>36.200000000000003</v>
      </c>
      <c r="N25" s="215">
        <v>54.2</v>
      </c>
      <c r="O25" s="216">
        <f t="shared" si="3"/>
        <v>0.80088495575221241</v>
      </c>
      <c r="P25" s="216">
        <f t="shared" si="3"/>
        <v>1.1991150442477876</v>
      </c>
    </row>
    <row r="26" spans="1:16">
      <c r="B26" s="211" t="s">
        <v>845</v>
      </c>
      <c r="C26" s="212">
        <v>52.5</v>
      </c>
      <c r="D26" s="213">
        <f t="shared" si="2"/>
        <v>41.916445623342177</v>
      </c>
      <c r="E26" s="213">
        <f t="shared" si="2"/>
        <v>62.944297082228111</v>
      </c>
      <c r="F26" s="217">
        <f t="shared" si="4"/>
        <v>2020</v>
      </c>
      <c r="H26" s="672"/>
      <c r="I26" s="1305"/>
      <c r="L26" s="215">
        <v>37.700000000000003</v>
      </c>
      <c r="M26" s="215">
        <v>30.1</v>
      </c>
      <c r="N26" s="215">
        <v>45.2</v>
      </c>
      <c r="O26" s="216">
        <f t="shared" si="3"/>
        <v>0.79840848806366049</v>
      </c>
      <c r="P26" s="216">
        <f t="shared" si="3"/>
        <v>1.1989389920424403</v>
      </c>
    </row>
    <row r="27" spans="1:16">
      <c r="B27" s="211" t="s">
        <v>846</v>
      </c>
      <c r="C27" s="212">
        <v>94.35</v>
      </c>
      <c r="D27" s="213">
        <f t="shared" si="2"/>
        <v>75.434143377885775</v>
      </c>
      <c r="E27" s="213">
        <f t="shared" si="2"/>
        <v>113.15121506682867</v>
      </c>
      <c r="F27" s="217">
        <v>2017</v>
      </c>
      <c r="H27" s="672"/>
      <c r="I27" s="1305"/>
      <c r="L27" s="215">
        <v>82.3</v>
      </c>
      <c r="M27" s="215">
        <v>65.8</v>
      </c>
      <c r="N27" s="215">
        <v>98.7</v>
      </c>
      <c r="O27" s="216">
        <f t="shared" si="3"/>
        <v>0.7995139732685298</v>
      </c>
      <c r="P27" s="216">
        <f t="shared" si="3"/>
        <v>1.1992709599027946</v>
      </c>
    </row>
    <row r="29" spans="1:16">
      <c r="B29" s="500" t="s">
        <v>847</v>
      </c>
    </row>
    <row r="30" spans="1:16" s="231" customFormat="1">
      <c r="A30" s="227"/>
      <c r="B30" s="501" t="s">
        <v>667</v>
      </c>
      <c r="C30" s="227"/>
      <c r="D30" s="227"/>
      <c r="E30" s="227"/>
      <c r="F30" s="227"/>
      <c r="G30" s="229"/>
      <c r="H30" s="229"/>
      <c r="I30" s="229"/>
      <c r="J30" s="227"/>
      <c r="K30" s="227"/>
      <c r="L30" s="227"/>
      <c r="M30" s="230"/>
    </row>
    <row r="31" spans="1:16" s="231" customFormat="1">
      <c r="A31" s="227"/>
      <c r="B31" s="228"/>
      <c r="C31" s="227"/>
      <c r="D31" s="227"/>
      <c r="E31" s="227"/>
      <c r="F31" s="227"/>
      <c r="G31" s="229"/>
      <c r="H31" s="229"/>
      <c r="I31" s="229"/>
      <c r="J31" s="227"/>
      <c r="K31" s="227"/>
      <c r="L31" s="227"/>
      <c r="M31" s="230"/>
    </row>
    <row r="32" spans="1:16">
      <c r="B32" s="208" t="s">
        <v>829</v>
      </c>
      <c r="H32" s="232"/>
      <c r="I32" s="233"/>
      <c r="J32" s="234"/>
    </row>
    <row r="33" spans="2:13">
      <c r="B33" s="209" t="s">
        <v>830</v>
      </c>
      <c r="D33" s="210"/>
      <c r="H33" s="233"/>
      <c r="I33" s="235"/>
      <c r="J33" s="236" t="s">
        <v>848</v>
      </c>
      <c r="K33" s="238">
        <f>'Prices and ECI'!AG24/'Prices and ECI'!AC24</f>
        <v>1.0726784132897671</v>
      </c>
      <c r="M33" s="504">
        <f>K33-1</f>
        <v>7.2678413289767096E-2</v>
      </c>
    </row>
    <row r="34" spans="2:13">
      <c r="B34" s="211" t="s">
        <v>831</v>
      </c>
      <c r="C34" s="237">
        <f>C9</f>
        <v>16.2</v>
      </c>
      <c r="D34" s="237">
        <f>C34*O9</f>
        <v>11.326829268292681</v>
      </c>
      <c r="E34" s="237">
        <f>C34*P9</f>
        <v>19.360975609756096</v>
      </c>
      <c r="F34" s="502">
        <v>2020</v>
      </c>
      <c r="H34" s="205" t="s">
        <v>849</v>
      </c>
      <c r="I34" s="201"/>
      <c r="J34" s="505" t="s">
        <v>850</v>
      </c>
      <c r="K34" s="238">
        <f>'Prices and ECI'!AG24/'Prices and ECI'!AD24</f>
        <v>1.0538099999999999</v>
      </c>
      <c r="L34" s="201"/>
      <c r="M34" s="504">
        <f>K34-1</f>
        <v>5.3809999999999913E-2</v>
      </c>
    </row>
    <row r="35" spans="2:13">
      <c r="B35" s="211" t="s">
        <v>834</v>
      </c>
      <c r="C35" s="237">
        <f>C10</f>
        <v>29.4</v>
      </c>
      <c r="D35" s="237">
        <f t="shared" ref="D35" si="5">C35*O10</f>
        <v>23.544398340248961</v>
      </c>
      <c r="E35" s="237">
        <f>C35*P10</f>
        <v>35.377593360995846</v>
      </c>
      <c r="F35" s="503">
        <f>$F$34</f>
        <v>2020</v>
      </c>
      <c r="H35" s="205" t="s">
        <v>849</v>
      </c>
    </row>
    <row r="36" spans="2:13">
      <c r="B36" s="211" t="s">
        <v>835</v>
      </c>
      <c r="C36" s="237">
        <f>C11</f>
        <v>17.8</v>
      </c>
      <c r="D36" s="237">
        <f>C36*O11</f>
        <v>12.654687499999998</v>
      </c>
      <c r="E36" s="237">
        <f>C36*P11</f>
        <v>21.415625000000002</v>
      </c>
      <c r="F36" s="503">
        <f>$F$34</f>
        <v>2020</v>
      </c>
      <c r="H36" s="205" t="s">
        <v>849</v>
      </c>
      <c r="I36" s="206"/>
      <c r="K36" s="238"/>
      <c r="M36" s="239"/>
    </row>
    <row r="37" spans="2:13">
      <c r="B37" s="218" t="s">
        <v>836</v>
      </c>
      <c r="C37" s="237"/>
      <c r="D37" s="237"/>
      <c r="E37" s="237"/>
      <c r="F37" s="503"/>
      <c r="I37" s="201"/>
      <c r="K37" s="240"/>
      <c r="M37" s="241"/>
    </row>
    <row r="38" spans="2:13">
      <c r="B38" s="211" t="s">
        <v>831</v>
      </c>
      <c r="C38" s="237"/>
      <c r="D38" s="237"/>
      <c r="E38" s="237"/>
      <c r="F38" s="503"/>
      <c r="I38" s="206"/>
      <c r="K38" s="242"/>
      <c r="M38" s="239"/>
    </row>
    <row r="39" spans="2:13">
      <c r="B39" s="221" t="s">
        <v>837</v>
      </c>
      <c r="C39" s="237">
        <f>C14</f>
        <v>22.7</v>
      </c>
      <c r="D39" s="237">
        <f>C39*O14</f>
        <v>19.400581395348837</v>
      </c>
      <c r="E39" s="237">
        <f>C39*P14</f>
        <v>29.166860465116279</v>
      </c>
      <c r="F39" s="503">
        <f>$F$34</f>
        <v>2020</v>
      </c>
      <c r="H39" s="205" t="s">
        <v>849</v>
      </c>
      <c r="M39" s="241"/>
    </row>
    <row r="40" spans="2:13">
      <c r="B40" s="221" t="s">
        <v>838</v>
      </c>
      <c r="C40" s="237">
        <f>C15</f>
        <v>43.2</v>
      </c>
      <c r="D40" s="237">
        <f>C40*O15</f>
        <v>37.104294478527606</v>
      </c>
      <c r="E40" s="237">
        <f>C40*P15</f>
        <v>55.523926380368096</v>
      </c>
      <c r="F40" s="503">
        <f>$F$34</f>
        <v>2020</v>
      </c>
      <c r="H40" s="205" t="s">
        <v>849</v>
      </c>
      <c r="I40" s="201"/>
      <c r="J40" s="201"/>
      <c r="K40" s="201"/>
      <c r="L40" s="201"/>
      <c r="M40" s="201"/>
    </row>
    <row r="41" spans="2:13">
      <c r="B41" s="211" t="s">
        <v>834</v>
      </c>
      <c r="C41" s="237"/>
      <c r="D41" s="237"/>
      <c r="E41" s="237"/>
      <c r="F41" s="503"/>
      <c r="I41" s="201"/>
      <c r="J41" s="201"/>
      <c r="K41" s="201"/>
    </row>
    <row r="42" spans="2:13">
      <c r="B42" s="221" t="s">
        <v>837</v>
      </c>
      <c r="C42" s="237">
        <f>C17</f>
        <v>29.4</v>
      </c>
      <c r="D42" s="237">
        <f>C42*O17</f>
        <v>23.544398340248961</v>
      </c>
      <c r="E42" s="237">
        <f>C42*P17</f>
        <v>35.377593360995846</v>
      </c>
      <c r="F42" s="503">
        <f>$F$34</f>
        <v>2020</v>
      </c>
      <c r="H42" s="205" t="s">
        <v>849</v>
      </c>
      <c r="I42" s="201"/>
      <c r="J42" s="201"/>
      <c r="K42" s="201"/>
    </row>
    <row r="43" spans="2:13">
      <c r="B43" s="221" t="s">
        <v>838</v>
      </c>
      <c r="C43" s="237">
        <f>C18</f>
        <v>73.2</v>
      </c>
      <c r="D43" s="237">
        <f>C43*O18</f>
        <v>58.56</v>
      </c>
      <c r="E43" s="237">
        <f>C43*P18</f>
        <v>87.84</v>
      </c>
      <c r="F43" s="503">
        <f>$F$34</f>
        <v>2020</v>
      </c>
      <c r="H43" s="205" t="s">
        <v>849</v>
      </c>
      <c r="I43" s="243"/>
      <c r="J43" s="201"/>
      <c r="K43" s="201"/>
    </row>
    <row r="44" spans="2:13">
      <c r="B44" s="211" t="s">
        <v>835</v>
      </c>
      <c r="C44" s="237"/>
      <c r="D44" s="237"/>
      <c r="E44" s="237"/>
      <c r="F44" s="503"/>
      <c r="I44" s="244"/>
    </row>
    <row r="45" spans="2:13">
      <c r="B45" s="221" t="s">
        <v>837</v>
      </c>
      <c r="C45" s="237">
        <f>C20</f>
        <v>24.133800000000001</v>
      </c>
      <c r="D45" s="237">
        <f>C45*O20</f>
        <v>20.262067379679145</v>
      </c>
      <c r="E45" s="237">
        <f>C45*P20</f>
        <v>30.457629946524069</v>
      </c>
      <c r="F45" s="503">
        <f>$F$34</f>
        <v>2020</v>
      </c>
      <c r="H45" s="205" t="s">
        <v>851</v>
      </c>
    </row>
    <row r="46" spans="2:13">
      <c r="B46" s="221" t="s">
        <v>838</v>
      </c>
      <c r="C46" s="237">
        <f>C21</f>
        <v>55.320000000000007</v>
      </c>
      <c r="D46" s="237">
        <f>C46*O21</f>
        <v>45.699130434782617</v>
      </c>
      <c r="E46" s="237">
        <f>C46*P21</f>
        <v>68.485400457665904</v>
      </c>
      <c r="F46" s="503">
        <f>$F$34</f>
        <v>2020</v>
      </c>
      <c r="H46" s="205" t="s">
        <v>851</v>
      </c>
    </row>
    <row r="47" spans="2:13">
      <c r="B47" s="218" t="s">
        <v>841</v>
      </c>
      <c r="C47" s="237"/>
      <c r="D47" s="237"/>
      <c r="E47" s="237"/>
      <c r="F47" s="503"/>
    </row>
    <row r="48" spans="2:13">
      <c r="B48" s="211" t="s">
        <v>842</v>
      </c>
      <c r="C48" s="237">
        <f>C23</f>
        <v>32</v>
      </c>
      <c r="D48" s="237">
        <f>C48*O23</f>
        <v>25.5748031496063</v>
      </c>
      <c r="E48" s="237">
        <f>C48*P23</f>
        <v>38.425196850393704</v>
      </c>
      <c r="F48" s="503">
        <f>$F$34</f>
        <v>2020</v>
      </c>
      <c r="H48" s="205" t="s">
        <v>849</v>
      </c>
    </row>
    <row r="49" spans="2:13">
      <c r="B49" s="211" t="s">
        <v>843</v>
      </c>
      <c r="C49" s="237">
        <f>C24</f>
        <v>33.6</v>
      </c>
      <c r="D49" s="237">
        <f t="shared" ref="D49:D52" si="6">C49*O24</f>
        <v>26.854545454545459</v>
      </c>
      <c r="E49" s="237">
        <f>C49*P24</f>
        <v>40.218181818181819</v>
      </c>
      <c r="F49" s="503">
        <f>$F$34</f>
        <v>2020</v>
      </c>
      <c r="H49" s="205" t="s">
        <v>849</v>
      </c>
    </row>
    <row r="50" spans="2:13">
      <c r="B50" s="211" t="s">
        <v>844</v>
      </c>
      <c r="C50" s="237">
        <f>C25</f>
        <v>50.7</v>
      </c>
      <c r="D50" s="237">
        <f t="shared" si="6"/>
        <v>40.604867256637171</v>
      </c>
      <c r="E50" s="237">
        <f>C50*P25</f>
        <v>60.795132743362835</v>
      </c>
      <c r="F50" s="503">
        <f>$F$34</f>
        <v>2020</v>
      </c>
      <c r="H50" s="205" t="s">
        <v>849</v>
      </c>
    </row>
    <row r="51" spans="2:13">
      <c r="B51" s="211" t="s">
        <v>845</v>
      </c>
      <c r="C51" s="237">
        <f>C26</f>
        <v>52.5</v>
      </c>
      <c r="D51" s="237">
        <f t="shared" si="6"/>
        <v>41.916445623342177</v>
      </c>
      <c r="E51" s="237">
        <f>C51*P26</f>
        <v>62.944297082228111</v>
      </c>
      <c r="F51" s="503">
        <f>$F$34</f>
        <v>2020</v>
      </c>
      <c r="H51" s="205" t="s">
        <v>849</v>
      </c>
    </row>
    <row r="52" spans="2:13">
      <c r="B52" s="211" t="s">
        <v>846</v>
      </c>
      <c r="C52" s="237">
        <f>C27*K34</f>
        <v>99.426973499999988</v>
      </c>
      <c r="D52" s="237">
        <f t="shared" si="6"/>
        <v>79.493254633049816</v>
      </c>
      <c r="E52" s="237">
        <f>C52*P27</f>
        <v>119.23988194957471</v>
      </c>
      <c r="F52" s="503">
        <f>$F$34</f>
        <v>2020</v>
      </c>
      <c r="H52" s="205" t="s">
        <v>852</v>
      </c>
    </row>
    <row r="54" spans="2:13" ht="24.75" customHeight="1">
      <c r="B54" s="1306"/>
      <c r="C54" s="1307"/>
      <c r="D54" s="1307"/>
      <c r="E54" s="1307"/>
      <c r="F54" s="1307"/>
      <c r="G54" s="1307"/>
      <c r="H54" s="1307"/>
      <c r="I54" s="1308"/>
    </row>
    <row r="56" spans="2:13" s="245" customFormat="1">
      <c r="B56" s="246" t="s">
        <v>598</v>
      </c>
      <c r="C56" s="247"/>
      <c r="D56" s="247"/>
      <c r="E56" s="247"/>
      <c r="F56" s="248"/>
      <c r="G56" s="249"/>
      <c r="H56" s="250"/>
      <c r="I56" s="250"/>
      <c r="J56" s="251"/>
      <c r="K56" s="180"/>
      <c r="L56" s="251"/>
      <c r="M56" s="251"/>
    </row>
    <row r="57" spans="2:13" s="252" customFormat="1">
      <c r="B57" s="253"/>
      <c r="C57" s="254"/>
      <c r="D57" s="254"/>
      <c r="E57" s="254"/>
      <c r="F57" s="255"/>
      <c r="G57" s="256"/>
      <c r="H57" s="257"/>
      <c r="I57" s="257"/>
      <c r="J57" s="258"/>
      <c r="K57" s="207"/>
      <c r="L57" s="258"/>
      <c r="M57" s="258"/>
    </row>
    <row r="58" spans="2:13" s="252" customFormat="1">
      <c r="B58" s="259" t="s">
        <v>853</v>
      </c>
      <c r="C58" s="254"/>
      <c r="D58" s="254"/>
      <c r="E58" s="254"/>
      <c r="F58" s="255"/>
      <c r="G58" s="256"/>
      <c r="H58" s="257"/>
      <c r="I58" s="257"/>
      <c r="J58" s="258"/>
      <c r="K58" s="207"/>
      <c r="L58" s="258"/>
      <c r="M58" s="258"/>
    </row>
    <row r="59" spans="2:13" s="252" customFormat="1">
      <c r="C59" s="254"/>
      <c r="D59" s="254"/>
      <c r="E59" s="254"/>
      <c r="F59" s="255"/>
      <c r="G59" s="256"/>
      <c r="H59" s="257"/>
      <c r="I59" s="257"/>
      <c r="J59" s="258"/>
      <c r="K59" s="207"/>
      <c r="L59" s="258"/>
      <c r="M59" s="258"/>
    </row>
    <row r="60" spans="2:13">
      <c r="B60" s="260" t="str">
        <f>"Surface figures apply to all combinations of in-vehicle and other transit time. Walk access, waiting, transfer and standing time should be valued at $28.40 (in 2017$) when actions affect only those elements of travel time."</f>
        <v>Surface figures apply to all combinations of in-vehicle and other transit time. Walk access, waiting, transfer and standing time should be valued at $28.40 (in 2017$) when actions affect only those elements of travel time.</v>
      </c>
      <c r="J60" s="205"/>
      <c r="K60" s="261"/>
    </row>
    <row r="61" spans="2:13">
      <c r="B61" s="259"/>
      <c r="C61" s="262"/>
      <c r="D61" s="262"/>
      <c r="E61" s="262"/>
    </row>
    <row r="62" spans="2:13">
      <c r="B62" s="263" t="s">
        <v>854</v>
      </c>
    </row>
    <row r="63" spans="2:13">
      <c r="B63" s="263"/>
    </row>
    <row r="64" spans="2:13">
      <c r="B64" s="263" t="s">
        <v>855</v>
      </c>
    </row>
    <row r="65" spans="2:13">
      <c r="B65" s="263"/>
    </row>
    <row r="66" spans="2:13">
      <c r="B66" s="263" t="s">
        <v>856</v>
      </c>
    </row>
    <row r="67" spans="2:13">
      <c r="B67" s="263"/>
    </row>
    <row r="68" spans="2:13">
      <c r="B68" s="263" t="s">
        <v>857</v>
      </c>
    </row>
    <row r="69" spans="2:13">
      <c r="B69" s="263"/>
    </row>
    <row r="70" spans="2:13">
      <c r="B70" s="263" t="s">
        <v>858</v>
      </c>
    </row>
    <row r="71" spans="2:13">
      <c r="B71" s="201"/>
    </row>
    <row r="72" spans="2:13">
      <c r="B72" s="263" t="s">
        <v>859</v>
      </c>
    </row>
    <row r="73" spans="2:13">
      <c r="B73" s="264" t="s">
        <v>860</v>
      </c>
    </row>
    <row r="74" spans="2:13" ht="33.75">
      <c r="B74" s="265" t="s">
        <v>861</v>
      </c>
      <c r="C74" s="266">
        <v>1.67</v>
      </c>
      <c r="H74" s="267" t="s">
        <v>862</v>
      </c>
    </row>
    <row r="75" spans="2:13" ht="22.5">
      <c r="B75" s="265" t="s">
        <v>863</v>
      </c>
      <c r="C75" s="268">
        <v>1.48</v>
      </c>
      <c r="H75" s="269" t="s">
        <v>864</v>
      </c>
      <c r="I75" s="206"/>
    </row>
    <row r="76" spans="2:13">
      <c r="B76" s="270"/>
      <c r="C76" s="201"/>
      <c r="H76" s="269"/>
      <c r="I76" s="271"/>
    </row>
    <row r="77" spans="2:13" s="506" customFormat="1">
      <c r="B77" s="507" t="s">
        <v>865</v>
      </c>
      <c r="D77" s="508"/>
      <c r="E77" s="508"/>
      <c r="F77" s="509"/>
      <c r="G77" s="510"/>
      <c r="H77" s="500" t="s">
        <v>866</v>
      </c>
      <c r="I77" s="511"/>
      <c r="J77" s="512"/>
      <c r="K77" s="513"/>
      <c r="L77" s="512"/>
      <c r="M77" s="512"/>
    </row>
    <row r="78" spans="2:13" s="506" customFormat="1">
      <c r="B78" s="514" t="s">
        <v>867</v>
      </c>
      <c r="C78" s="515" t="s">
        <v>868</v>
      </c>
      <c r="D78" s="508"/>
      <c r="F78" s="509"/>
      <c r="G78" s="510"/>
      <c r="H78" s="511" t="s">
        <v>869</v>
      </c>
      <c r="I78" s="511"/>
      <c r="J78" s="512"/>
      <c r="K78" s="513"/>
      <c r="L78" s="512"/>
      <c r="M78" s="512"/>
    </row>
    <row r="79" spans="2:13" s="506" customFormat="1">
      <c r="B79" s="516" t="s">
        <v>870</v>
      </c>
      <c r="C79" s="517">
        <v>1.67</v>
      </c>
      <c r="D79" s="500" t="s">
        <v>871</v>
      </c>
      <c r="F79" s="509"/>
      <c r="G79" s="510"/>
      <c r="H79" s="511"/>
      <c r="I79" s="511"/>
      <c r="J79" s="512"/>
      <c r="K79" s="513"/>
      <c r="L79" s="512"/>
      <c r="M79" s="512"/>
    </row>
    <row r="80" spans="2:13" s="506" customFormat="1">
      <c r="B80" s="516" t="s">
        <v>872</v>
      </c>
      <c r="C80" s="517">
        <v>1.48</v>
      </c>
      <c r="D80" s="500" t="s">
        <v>871</v>
      </c>
      <c r="F80" s="509"/>
      <c r="G80" s="510"/>
      <c r="H80" s="511"/>
      <c r="I80" s="511"/>
      <c r="J80" s="512"/>
      <c r="K80" s="513"/>
      <c r="L80" s="512"/>
      <c r="M80" s="512"/>
    </row>
    <row r="81" spans="2:13" s="506" customFormat="1">
      <c r="B81" s="516" t="s">
        <v>873</v>
      </c>
      <c r="C81" s="517">
        <v>1.58</v>
      </c>
      <c r="D81" s="500" t="s">
        <v>871</v>
      </c>
      <c r="F81" s="509"/>
      <c r="G81" s="510"/>
      <c r="H81" s="511"/>
      <c r="I81" s="511"/>
      <c r="J81" s="512"/>
      <c r="K81" s="513"/>
      <c r="L81" s="512"/>
      <c r="M81" s="512"/>
    </row>
    <row r="82" spans="2:13" s="506" customFormat="1">
      <c r="B82" s="516" t="s">
        <v>874</v>
      </c>
      <c r="C82" s="517">
        <v>2.02</v>
      </c>
      <c r="D82" s="500" t="s">
        <v>871</v>
      </c>
      <c r="F82" s="509"/>
      <c r="G82" s="510"/>
      <c r="H82" s="511"/>
      <c r="I82" s="511"/>
      <c r="J82" s="512"/>
      <c r="K82" s="513"/>
      <c r="L82" s="512"/>
      <c r="M82" s="512"/>
    </row>
    <row r="83" spans="2:13" s="506" customFormat="1">
      <c r="B83" s="518" t="s">
        <v>167</v>
      </c>
      <c r="C83" s="519">
        <v>1</v>
      </c>
      <c r="D83" s="520" t="s">
        <v>875</v>
      </c>
      <c r="E83" s="521"/>
      <c r="F83" s="521"/>
      <c r="G83" s="510"/>
      <c r="H83" s="272"/>
      <c r="I83" s="511"/>
      <c r="J83" s="512"/>
      <c r="K83" s="513"/>
      <c r="L83" s="512"/>
      <c r="M83" s="512"/>
    </row>
    <row r="84" spans="2:13" s="506" customFormat="1">
      <c r="B84" s="522"/>
      <c r="D84" s="508"/>
      <c r="E84" s="508"/>
      <c r="F84" s="509"/>
      <c r="G84" s="510"/>
      <c r="H84" s="272"/>
      <c r="I84" s="511"/>
      <c r="J84" s="512"/>
      <c r="K84" s="513"/>
      <c r="L84" s="512"/>
      <c r="M84" s="512"/>
    </row>
    <row r="85" spans="2:13" s="506" customFormat="1">
      <c r="B85" s="522" t="s">
        <v>876</v>
      </c>
      <c r="D85" s="508"/>
      <c r="E85" s="508"/>
      <c r="F85" s="509"/>
      <c r="G85" s="510"/>
      <c r="H85" s="272"/>
      <c r="I85" s="511"/>
      <c r="J85" s="512"/>
      <c r="K85" s="513"/>
      <c r="L85" s="512"/>
      <c r="M85" s="512"/>
    </row>
    <row r="86" spans="2:13" s="506" customFormat="1">
      <c r="C86" s="508"/>
      <c r="D86" s="508"/>
      <c r="E86" s="508"/>
      <c r="F86" s="509"/>
      <c r="G86" s="510"/>
      <c r="H86" s="523"/>
      <c r="I86" s="511"/>
      <c r="J86" s="512"/>
      <c r="K86" s="513"/>
      <c r="L86" s="512"/>
      <c r="M86" s="512"/>
    </row>
    <row r="87" spans="2:13" s="506" customFormat="1">
      <c r="B87" s="506" t="s">
        <v>877</v>
      </c>
      <c r="C87" s="508"/>
      <c r="D87" s="508"/>
      <c r="E87" s="508"/>
      <c r="F87" s="509"/>
      <c r="G87" s="510"/>
      <c r="H87" s="523"/>
      <c r="I87" s="511"/>
      <c r="J87" s="512"/>
      <c r="K87" s="513"/>
      <c r="L87" s="512"/>
      <c r="M87" s="512"/>
    </row>
    <row r="88" spans="2:13" s="506" customFormat="1">
      <c r="B88" s="506" t="s">
        <v>878</v>
      </c>
      <c r="C88" s="508"/>
      <c r="D88" s="508"/>
      <c r="E88" s="508"/>
      <c r="F88" s="509"/>
      <c r="G88" s="510"/>
      <c r="H88" s="523"/>
      <c r="I88" s="511"/>
      <c r="J88" s="512"/>
      <c r="K88" s="513"/>
      <c r="L88" s="512"/>
      <c r="M88" s="512"/>
    </row>
    <row r="89" spans="2:13" s="506" customFormat="1">
      <c r="C89" s="508"/>
      <c r="D89" s="508"/>
      <c r="E89" s="508"/>
      <c r="F89" s="509"/>
      <c r="G89" s="510"/>
      <c r="H89" s="523"/>
      <c r="I89" s="511"/>
      <c r="J89" s="512"/>
      <c r="K89" s="513"/>
      <c r="L89" s="512"/>
      <c r="M89" s="512"/>
    </row>
    <row r="90" spans="2:13" s="506" customFormat="1">
      <c r="B90" s="506" t="s">
        <v>879</v>
      </c>
      <c r="C90" s="508"/>
      <c r="D90" s="508"/>
      <c r="E90" s="508"/>
      <c r="F90" s="509"/>
      <c r="G90" s="510"/>
      <c r="H90" s="523"/>
      <c r="I90" s="511"/>
      <c r="J90" s="512"/>
      <c r="K90" s="513"/>
      <c r="L90" s="512"/>
      <c r="M90" s="512"/>
    </row>
    <row r="91" spans="2:13" s="506" customFormat="1">
      <c r="C91" s="508"/>
      <c r="D91" s="508"/>
      <c r="E91" s="508"/>
      <c r="F91" s="509"/>
      <c r="G91" s="510"/>
      <c r="H91" s="523"/>
      <c r="I91" s="511"/>
      <c r="J91" s="512"/>
      <c r="K91" s="513"/>
      <c r="L91" s="512"/>
      <c r="M91" s="512"/>
    </row>
    <row r="92" spans="2:13" s="506" customFormat="1">
      <c r="B92" s="506" t="s">
        <v>880</v>
      </c>
      <c r="C92" s="508"/>
      <c r="D92" s="508"/>
      <c r="E92" s="508"/>
      <c r="F92" s="509"/>
      <c r="G92" s="510"/>
      <c r="H92" s="523"/>
      <c r="I92" s="511"/>
      <c r="J92" s="512"/>
      <c r="K92" s="513"/>
      <c r="L92" s="512"/>
      <c r="M92" s="512"/>
    </row>
    <row r="93" spans="2:13" s="506" customFormat="1">
      <c r="B93" s="524"/>
      <c r="C93" s="508"/>
      <c r="D93" s="508"/>
      <c r="E93" s="508"/>
      <c r="F93" s="509"/>
      <c r="G93" s="510"/>
      <c r="H93" s="523"/>
      <c r="I93" s="511"/>
      <c r="J93" s="512"/>
      <c r="K93" s="513"/>
      <c r="L93" s="512"/>
      <c r="M93" s="512"/>
    </row>
    <row r="94" spans="2:13" s="506" customFormat="1">
      <c r="B94" s="525" t="s">
        <v>881</v>
      </c>
      <c r="C94" s="508"/>
      <c r="D94" s="508"/>
      <c r="E94" s="508"/>
      <c r="F94" s="509"/>
      <c r="G94" s="510"/>
      <c r="H94" s="511"/>
      <c r="I94" s="511"/>
      <c r="J94" s="512"/>
      <c r="K94" s="513"/>
      <c r="L94" s="512"/>
      <c r="M94" s="512"/>
    </row>
    <row r="95" spans="2:13" s="506" customFormat="1">
      <c r="B95" s="524"/>
      <c r="C95" s="508"/>
      <c r="D95" s="508"/>
      <c r="E95" s="508"/>
      <c r="F95" s="509"/>
      <c r="G95" s="510"/>
      <c r="H95" s="511"/>
      <c r="I95" s="511"/>
      <c r="J95" s="512"/>
      <c r="K95" s="513"/>
      <c r="L95" s="512"/>
      <c r="M95" s="512"/>
    </row>
  </sheetData>
  <mergeCells count="3">
    <mergeCell ref="I9:I27"/>
    <mergeCell ref="B54:I54"/>
    <mergeCell ref="H9:H24"/>
  </mergeCells>
  <hyperlinks>
    <hyperlink ref="H75" r:id="rId1" xr:uid="{00000000-0004-0000-1E00-000001000000}"/>
    <hyperlink ref="I9" r:id="rId2" xr:uid="{BDEC1961-9FED-4720-979C-53E66A80C5E2}"/>
  </hyperlinks>
  <pageMargins left="0.7" right="0.7" top="0.75" bottom="0.75" header="0.3" footer="0.3"/>
  <pageSetup scale="34" orientation="landscape" r:id="rId3"/>
  <headerFooter>
    <oddHeader>&amp;L&amp;F&amp;R&amp;A</oddHeader>
    <oddFooter>&amp;LHDR inc.&amp;C&amp;P of &amp;N&amp;R&amp;D</oddFooter>
  </headerFooter>
  <drawing r:id="rId4"/>
  <legacyDrawing r:id="rId5"/>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1">
    <tabColor theme="9" tint="0.59999389629810485"/>
    <pageSetUpPr fitToPage="1"/>
  </sheetPr>
  <dimension ref="A1:AK53"/>
  <sheetViews>
    <sheetView showGridLines="0" zoomScale="90" zoomScaleNormal="90" workbookViewId="0">
      <pane xSplit="2" ySplit="3" topLeftCell="U4" activePane="bottomRight" state="frozen"/>
      <selection pane="topRight"/>
      <selection pane="bottomLeft"/>
      <selection pane="bottomRight" activeCell="AJ24" sqref="AJ24"/>
    </sheetView>
  </sheetViews>
  <sheetFormatPr defaultColWidth="9.875" defaultRowHeight="11.25"/>
  <cols>
    <col min="1" max="1" width="1" style="11" customWidth="1"/>
    <col min="2" max="2" width="64.375" style="25" customWidth="1"/>
    <col min="3" max="3" width="8.375" style="16" customWidth="1"/>
    <col min="4" max="24" width="8.375" style="11" customWidth="1"/>
    <col min="25" max="25" width="8.375" style="22" customWidth="1"/>
    <col min="26" max="26" width="8.375" style="108" customWidth="1"/>
    <col min="27" max="30" width="8.375" style="11" customWidth="1"/>
    <col min="31" max="32" width="9.875" style="11"/>
    <col min="33" max="34" width="10.875" style="11" bestFit="1" customWidth="1"/>
    <col min="35" max="35" width="16.25" style="11" customWidth="1"/>
    <col min="36" max="16384" width="9.875" style="11"/>
  </cols>
  <sheetData>
    <row r="1" spans="1:36" s="9" customFormat="1" ht="12.75">
      <c r="A1" s="273" t="s">
        <v>48</v>
      </c>
      <c r="C1" s="105"/>
    </row>
    <row r="3" spans="1:36" s="106" customFormat="1">
      <c r="A3" s="471"/>
      <c r="B3" s="1225" t="s">
        <v>882</v>
      </c>
      <c r="C3" s="1226"/>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row>
    <row r="4" spans="1:36">
      <c r="C4" s="11"/>
      <c r="X4" s="107"/>
      <c r="Y4" s="14"/>
    </row>
    <row r="5" spans="1:36">
      <c r="C5" s="10">
        <v>1990</v>
      </c>
      <c r="D5" s="10">
        <v>1991</v>
      </c>
      <c r="E5" s="10">
        <v>1992</v>
      </c>
      <c r="F5" s="10">
        <v>1993</v>
      </c>
      <c r="G5" s="10">
        <v>1994</v>
      </c>
      <c r="H5" s="10">
        <v>1995</v>
      </c>
      <c r="I5" s="10">
        <v>1996</v>
      </c>
      <c r="J5" s="10">
        <v>1997</v>
      </c>
      <c r="K5" s="10">
        <v>1998</v>
      </c>
      <c r="L5" s="10">
        <v>1999</v>
      </c>
      <c r="M5" s="10">
        <v>2000</v>
      </c>
      <c r="N5" s="10">
        <v>2001</v>
      </c>
      <c r="O5" s="10">
        <v>2002</v>
      </c>
      <c r="P5" s="10">
        <v>2003</v>
      </c>
      <c r="Q5" s="10">
        <v>2004</v>
      </c>
      <c r="R5" s="10">
        <v>2005</v>
      </c>
      <c r="S5" s="10">
        <v>2006</v>
      </c>
      <c r="T5" s="10">
        <v>2007</v>
      </c>
      <c r="U5" s="10">
        <v>2008</v>
      </c>
      <c r="V5" s="10">
        <v>2009</v>
      </c>
      <c r="W5" s="10">
        <v>2010</v>
      </c>
      <c r="X5" s="23">
        <v>2011</v>
      </c>
      <c r="Y5" s="23">
        <v>2012</v>
      </c>
      <c r="Z5" s="23">
        <v>2013</v>
      </c>
      <c r="AA5" s="23">
        <v>2014</v>
      </c>
      <c r="AB5" s="23">
        <v>2015</v>
      </c>
      <c r="AC5" s="23">
        <v>2016</v>
      </c>
      <c r="AD5" s="23">
        <v>2017</v>
      </c>
      <c r="AE5" s="23">
        <v>2018</v>
      </c>
      <c r="AF5" s="381">
        <v>2019</v>
      </c>
      <c r="AG5" s="381">
        <v>2020</v>
      </c>
      <c r="AH5" s="381">
        <v>2021</v>
      </c>
      <c r="AI5" s="381">
        <v>2022</v>
      </c>
      <c r="AJ5" s="381">
        <v>2023</v>
      </c>
    </row>
    <row r="6" spans="1:36" ht="22.5">
      <c r="B6" s="109" t="s">
        <v>883</v>
      </c>
      <c r="C6" s="274">
        <v>130.69999999999999</v>
      </c>
      <c r="D6" s="274">
        <v>136.19999999999999</v>
      </c>
      <c r="E6" s="274">
        <v>140.30000000000001</v>
      </c>
      <c r="F6" s="274">
        <v>144.5</v>
      </c>
      <c r="G6" s="274">
        <v>148.19999999999999</v>
      </c>
      <c r="H6" s="274">
        <v>152.4</v>
      </c>
      <c r="I6" s="274">
        <v>156.9</v>
      </c>
      <c r="J6" s="274">
        <v>160.5</v>
      </c>
      <c r="K6" s="274">
        <v>163</v>
      </c>
      <c r="L6" s="274">
        <v>166.6</v>
      </c>
      <c r="M6" s="274">
        <v>172.2</v>
      </c>
      <c r="N6" s="274">
        <v>177.1</v>
      </c>
      <c r="O6" s="274">
        <v>179.9</v>
      </c>
      <c r="P6" s="274">
        <v>184</v>
      </c>
      <c r="Q6" s="274">
        <v>188.9</v>
      </c>
      <c r="R6" s="274">
        <v>195.3</v>
      </c>
      <c r="S6" s="274">
        <v>201.6</v>
      </c>
      <c r="T6" s="274">
        <v>207.34200000000001</v>
      </c>
      <c r="U6" s="274">
        <v>215.303</v>
      </c>
      <c r="V6" s="274">
        <v>214.53700000000001</v>
      </c>
      <c r="W6" s="274">
        <v>218.05600000000001</v>
      </c>
      <c r="X6" s="274">
        <v>224.93899999999999</v>
      </c>
      <c r="Y6" s="274">
        <v>229.59399999999999</v>
      </c>
      <c r="Z6" s="274">
        <v>232.95699999999999</v>
      </c>
      <c r="AA6" s="274">
        <v>236.73599999999999</v>
      </c>
      <c r="AB6" s="274">
        <v>237.017</v>
      </c>
      <c r="AC6" s="274">
        <v>240.00700000000001</v>
      </c>
      <c r="AD6" s="274">
        <v>245.12</v>
      </c>
      <c r="AE6" s="685">
        <v>251.107</v>
      </c>
      <c r="AF6" s="685">
        <v>255.65700000000001</v>
      </c>
      <c r="AG6" s="686">
        <v>258.81116666666668</v>
      </c>
      <c r="AH6" s="686">
        <v>270.96975000000003</v>
      </c>
    </row>
    <row r="7" spans="1:36" ht="12">
      <c r="B7" s="111" t="s">
        <v>884</v>
      </c>
      <c r="C7" s="27"/>
      <c r="D7" s="27">
        <f t="shared" ref="D7:W7" si="0">D6/C6-1</f>
        <v>4.2081101759755102E-2</v>
      </c>
      <c r="E7" s="27">
        <f t="shared" si="0"/>
        <v>3.0102790014684411E-2</v>
      </c>
      <c r="F7" s="27">
        <f t="shared" si="0"/>
        <v>2.9935851746258013E-2</v>
      </c>
      <c r="G7" s="27">
        <f t="shared" si="0"/>
        <v>2.5605536332179879E-2</v>
      </c>
      <c r="H7" s="27">
        <f t="shared" si="0"/>
        <v>2.8340080971660075E-2</v>
      </c>
      <c r="I7" s="27">
        <f t="shared" si="0"/>
        <v>2.9527559055118058E-2</v>
      </c>
      <c r="J7" s="27">
        <f t="shared" si="0"/>
        <v>2.2944550669216079E-2</v>
      </c>
      <c r="K7" s="27">
        <f t="shared" si="0"/>
        <v>1.5576323987538832E-2</v>
      </c>
      <c r="L7" s="27">
        <f t="shared" si="0"/>
        <v>2.208588957055202E-2</v>
      </c>
      <c r="M7" s="27">
        <f t="shared" si="0"/>
        <v>3.3613445378151141E-2</v>
      </c>
      <c r="N7" s="27">
        <f t="shared" si="0"/>
        <v>2.8455284552845628E-2</v>
      </c>
      <c r="O7" s="27">
        <f t="shared" si="0"/>
        <v>1.5810276679842028E-2</v>
      </c>
      <c r="P7" s="27">
        <f t="shared" si="0"/>
        <v>2.2790439132851503E-2</v>
      </c>
      <c r="Q7" s="27">
        <f t="shared" si="0"/>
        <v>2.6630434782608736E-2</v>
      </c>
      <c r="R7" s="27">
        <f t="shared" si="0"/>
        <v>3.3880359978824881E-2</v>
      </c>
      <c r="S7" s="27">
        <f t="shared" si="0"/>
        <v>3.2258064516129004E-2</v>
      </c>
      <c r="T7" s="27">
        <f t="shared" si="0"/>
        <v>2.84821428571429E-2</v>
      </c>
      <c r="U7" s="27">
        <f t="shared" si="0"/>
        <v>3.8395501152684863E-2</v>
      </c>
      <c r="V7" s="27">
        <f t="shared" si="0"/>
        <v>-3.5577767146764971E-3</v>
      </c>
      <c r="W7" s="27">
        <f t="shared" si="0"/>
        <v>1.6402765024214894E-2</v>
      </c>
      <c r="X7" s="112">
        <f>X6/W6-1</f>
        <v>3.1565285981582702E-2</v>
      </c>
      <c r="Y7" s="112">
        <f>Y6/X6-1</f>
        <v>2.0694499397614363E-2</v>
      </c>
      <c r="Z7" s="112">
        <f>Z6/Y6-1</f>
        <v>1.4647595320435247E-2</v>
      </c>
      <c r="AA7" s="112">
        <f>AA6/Z6-1</f>
        <v>1.6221877857286904E-2</v>
      </c>
      <c r="AB7" s="112">
        <f t="shared" ref="AB7:AF7" si="1">AB6/AA6-1</f>
        <v>1.1869762097864722E-3</v>
      </c>
      <c r="AC7" s="112">
        <f t="shared" si="1"/>
        <v>1.2615128872612624E-2</v>
      </c>
      <c r="AD7" s="112">
        <f t="shared" si="1"/>
        <v>2.1303545313261729E-2</v>
      </c>
      <c r="AE7" s="687">
        <f t="shared" si="1"/>
        <v>2.4424771540469958E-2</v>
      </c>
      <c r="AF7" s="687">
        <f t="shared" si="1"/>
        <v>1.811976567757978E-2</v>
      </c>
      <c r="AG7" s="687">
        <f t="shared" ref="AG7" si="2">AG6/AF6-1</f>
        <v>1.2337493855699933E-2</v>
      </c>
      <c r="AH7" s="687">
        <f t="shared" ref="AH7" si="3">AH6/AG6-1</f>
        <v>4.6978588636374052E-2</v>
      </c>
    </row>
    <row r="8" spans="1:36" ht="12">
      <c r="C8" s="11"/>
      <c r="J8" s="28"/>
      <c r="K8" s="28"/>
      <c r="L8" s="28"/>
      <c r="M8" s="113"/>
      <c r="N8" s="113"/>
      <c r="O8" s="113"/>
      <c r="P8" s="113"/>
      <c r="Q8" s="113"/>
      <c r="R8" s="113"/>
      <c r="S8" s="113"/>
      <c r="T8" s="113"/>
      <c r="U8" s="113"/>
      <c r="V8" s="113"/>
      <c r="W8" s="113"/>
      <c r="X8" s="114"/>
      <c r="Y8" s="115"/>
      <c r="Z8" s="116"/>
      <c r="AE8" s="470"/>
      <c r="AF8" s="470"/>
      <c r="AG8" s="470"/>
      <c r="AH8" s="470"/>
    </row>
    <row r="9" spans="1:36" s="22" customFormat="1" ht="12">
      <c r="B9" s="109" t="s">
        <v>885</v>
      </c>
      <c r="C9" s="275">
        <v>116.3</v>
      </c>
      <c r="D9" s="275">
        <v>116.5</v>
      </c>
      <c r="E9" s="275">
        <v>117.2</v>
      </c>
      <c r="F9" s="275">
        <v>118.9</v>
      </c>
      <c r="G9" s="275">
        <v>120.4</v>
      </c>
      <c r="H9" s="275">
        <v>124.7</v>
      </c>
      <c r="I9" s="275">
        <v>127.7</v>
      </c>
      <c r="J9" s="275">
        <v>127.6</v>
      </c>
      <c r="K9" s="275">
        <v>124.4</v>
      </c>
      <c r="L9" s="275">
        <v>125.5</v>
      </c>
      <c r="M9" s="275">
        <v>132.69999999999999</v>
      </c>
      <c r="N9" s="275">
        <v>134.19999999999999</v>
      </c>
      <c r="O9" s="275">
        <v>131.1</v>
      </c>
      <c r="P9" s="275">
        <v>138.1</v>
      </c>
      <c r="Q9" s="275">
        <v>146.69999999999999</v>
      </c>
      <c r="R9" s="275">
        <v>157.4</v>
      </c>
      <c r="S9" s="275">
        <v>164.7</v>
      </c>
      <c r="T9" s="275">
        <v>172.6</v>
      </c>
      <c r="U9" s="275">
        <v>189.6</v>
      </c>
      <c r="V9" s="275">
        <v>172.9</v>
      </c>
      <c r="W9" s="275">
        <v>184.7</v>
      </c>
      <c r="X9" s="275">
        <v>201</v>
      </c>
      <c r="Y9" s="275">
        <v>202.2</v>
      </c>
      <c r="Z9" s="275">
        <v>203.4</v>
      </c>
      <c r="AA9" s="275">
        <v>205.3</v>
      </c>
      <c r="AB9" s="275">
        <v>190.4</v>
      </c>
      <c r="AC9" s="275">
        <v>185.4</v>
      </c>
      <c r="AD9" s="275">
        <v>193.5</v>
      </c>
      <c r="AE9" s="685">
        <v>202</v>
      </c>
      <c r="AF9" s="685">
        <v>199.8</v>
      </c>
      <c r="AG9" s="685">
        <v>194.375</v>
      </c>
      <c r="AH9" s="688">
        <v>227.34350000000003</v>
      </c>
    </row>
    <row r="10" spans="1:36" ht="12">
      <c r="B10" s="111" t="s">
        <v>886</v>
      </c>
      <c r="C10" s="11"/>
      <c r="D10" s="27">
        <f t="shared" ref="D10:W10" si="4">D9/C9-1</f>
        <v>1.7196904557179593E-3</v>
      </c>
      <c r="E10" s="27">
        <f t="shared" si="4"/>
        <v>6.0085836909871126E-3</v>
      </c>
      <c r="F10" s="27">
        <f t="shared" si="4"/>
        <v>1.4505119453924964E-2</v>
      </c>
      <c r="G10" s="27">
        <f t="shared" si="4"/>
        <v>1.2615643397813292E-2</v>
      </c>
      <c r="H10" s="27">
        <f t="shared" si="4"/>
        <v>3.5714285714285587E-2</v>
      </c>
      <c r="I10" s="27">
        <f t="shared" si="4"/>
        <v>2.4057738572574205E-2</v>
      </c>
      <c r="J10" s="27">
        <f t="shared" si="4"/>
        <v>-7.8308535630389198E-4</v>
      </c>
      <c r="K10" s="27">
        <f t="shared" si="4"/>
        <v>-2.5078369905956022E-2</v>
      </c>
      <c r="L10" s="27">
        <f t="shared" si="4"/>
        <v>8.8424437299035041E-3</v>
      </c>
      <c r="M10" s="27">
        <f t="shared" si="4"/>
        <v>5.7370517928286846E-2</v>
      </c>
      <c r="N10" s="27">
        <f t="shared" si="4"/>
        <v>1.1303692539562871E-2</v>
      </c>
      <c r="O10" s="27">
        <f t="shared" si="4"/>
        <v>-2.3099850968703373E-2</v>
      </c>
      <c r="P10" s="27">
        <f t="shared" si="4"/>
        <v>5.3394355453852071E-2</v>
      </c>
      <c r="Q10" s="27">
        <f t="shared" si="4"/>
        <v>6.2273714699493166E-2</v>
      </c>
      <c r="R10" s="27">
        <f t="shared" si="4"/>
        <v>7.2937968643490336E-2</v>
      </c>
      <c r="S10" s="27">
        <f t="shared" si="4"/>
        <v>4.6378653113087642E-2</v>
      </c>
      <c r="T10" s="27">
        <f t="shared" si="4"/>
        <v>4.7965998785670871E-2</v>
      </c>
      <c r="U10" s="27">
        <f t="shared" si="4"/>
        <v>9.8493626882966367E-2</v>
      </c>
      <c r="V10" s="27">
        <f t="shared" si="4"/>
        <v>-8.8080168776371259E-2</v>
      </c>
      <c r="W10" s="27">
        <f t="shared" si="4"/>
        <v>6.8247541931752309E-2</v>
      </c>
      <c r="X10" s="118">
        <f>X9/W9-1</f>
        <v>8.8251218191662151E-2</v>
      </c>
      <c r="Y10" s="118">
        <f>Y9/X9-1</f>
        <v>5.9701492537311829E-3</v>
      </c>
      <c r="Z10" s="118">
        <f>Z9/Y9-1</f>
        <v>5.9347181008901906E-3</v>
      </c>
      <c r="AA10" s="118">
        <f>AA9/Z9-1</f>
        <v>9.3411996066863345E-3</v>
      </c>
      <c r="AB10" s="118">
        <f t="shared" ref="AB10:AF10" si="5">AB9/AA9-1</f>
        <v>-7.2576716999512958E-2</v>
      </c>
      <c r="AC10" s="118">
        <f t="shared" si="5"/>
        <v>-2.626050420168069E-2</v>
      </c>
      <c r="AD10" s="118">
        <f t="shared" si="5"/>
        <v>4.3689320388349495E-2</v>
      </c>
      <c r="AE10" s="689">
        <f t="shared" si="5"/>
        <v>4.3927648578811374E-2</v>
      </c>
      <c r="AF10" s="689">
        <f t="shared" si="5"/>
        <v>-1.089108910891079E-2</v>
      </c>
      <c r="AG10" s="689">
        <f t="shared" ref="AG10" si="6">AG9/AF9-1</f>
        <v>-2.7152152152152165E-2</v>
      </c>
      <c r="AH10" s="689">
        <f t="shared" ref="AH10" si="7">AH9/AG9-1</f>
        <v>0.16961286173633461</v>
      </c>
    </row>
    <row r="11" spans="1:36" ht="12">
      <c r="C11" s="11"/>
      <c r="X11" s="22"/>
      <c r="Y11" s="14"/>
      <c r="AE11" s="470"/>
      <c r="AF11" s="470"/>
      <c r="AG11" s="470"/>
      <c r="AH11" s="470"/>
    </row>
    <row r="12" spans="1:36" ht="12">
      <c r="B12" s="109" t="s">
        <v>887</v>
      </c>
      <c r="C12" s="11"/>
      <c r="N12" s="10"/>
      <c r="O12" s="10"/>
      <c r="P12" s="10"/>
      <c r="Q12" s="10"/>
      <c r="R12" s="10"/>
      <c r="S12" s="10"/>
      <c r="T12" s="10"/>
      <c r="U12" s="10"/>
      <c r="V12" s="10"/>
      <c r="W12" s="10"/>
      <c r="X12" s="10"/>
      <c r="Y12" s="10"/>
      <c r="Z12" s="10"/>
      <c r="AA12" s="10"/>
      <c r="AB12" s="10"/>
      <c r="AC12" s="10"/>
      <c r="AD12" s="10"/>
      <c r="AE12" s="690"/>
      <c r="AF12" s="690"/>
      <c r="AG12" s="690"/>
      <c r="AH12" s="690"/>
    </row>
    <row r="13" spans="1:36" ht="12">
      <c r="B13" s="109" t="s">
        <v>888</v>
      </c>
      <c r="C13" s="11"/>
      <c r="N13" s="10"/>
      <c r="O13" s="10"/>
      <c r="P13" s="10"/>
      <c r="Q13" s="10"/>
      <c r="R13" s="10"/>
      <c r="S13" s="10"/>
      <c r="T13" s="10"/>
      <c r="U13" s="10"/>
      <c r="V13" s="10"/>
      <c r="W13" s="10"/>
      <c r="X13" s="23"/>
      <c r="Y13" s="14"/>
      <c r="AE13" s="470"/>
      <c r="AF13" s="470"/>
      <c r="AG13" s="470"/>
      <c r="AH13" s="470"/>
    </row>
    <row r="14" spans="1:36" ht="12">
      <c r="B14" s="171" t="s">
        <v>889</v>
      </c>
      <c r="C14" s="110">
        <v>88.6</v>
      </c>
      <c r="D14" s="110">
        <v>88.3</v>
      </c>
      <c r="E14" s="110">
        <v>89</v>
      </c>
      <c r="F14" s="110">
        <v>89.3</v>
      </c>
      <c r="G14" s="110">
        <v>90.1</v>
      </c>
      <c r="H14" s="110">
        <v>90.1</v>
      </c>
      <c r="I14" s="110">
        <v>90.1</v>
      </c>
      <c r="J14" s="110">
        <v>90.1</v>
      </c>
      <c r="K14" s="110">
        <v>91.8</v>
      </c>
      <c r="L14" s="110">
        <v>93</v>
      </c>
      <c r="M14" s="110">
        <v>93.5</v>
      </c>
      <c r="N14" s="110">
        <v>94.6</v>
      </c>
      <c r="O14" s="110">
        <v>96.8</v>
      </c>
      <c r="P14" s="110">
        <v>97.5</v>
      </c>
      <c r="Q14" s="110">
        <v>99.4</v>
      </c>
      <c r="R14" s="110">
        <v>99.7</v>
      </c>
      <c r="S14" s="110">
        <v>99.2</v>
      </c>
      <c r="T14" s="110">
        <v>99.8</v>
      </c>
      <c r="U14" s="110">
        <v>99.2</v>
      </c>
      <c r="V14" s="110">
        <v>101.7</v>
      </c>
      <c r="W14" s="110">
        <v>101.1</v>
      </c>
      <c r="X14" s="117">
        <v>100.4</v>
      </c>
      <c r="Y14" s="117">
        <v>99.7</v>
      </c>
      <c r="Z14" s="117">
        <v>100.1</v>
      </c>
      <c r="AA14" s="117">
        <v>100.4</v>
      </c>
      <c r="AB14" s="117">
        <v>103</v>
      </c>
      <c r="AC14" s="117">
        <v>104.1</v>
      </c>
      <c r="AD14" s="117">
        <v>104.1</v>
      </c>
      <c r="AE14" s="691">
        <v>104.5</v>
      </c>
      <c r="AF14" s="691">
        <v>105.4</v>
      </c>
      <c r="AG14" s="691">
        <v>106.7</v>
      </c>
      <c r="AH14" s="691">
        <v>106.8</v>
      </c>
    </row>
    <row r="15" spans="1:36" ht="12">
      <c r="B15" s="171" t="s">
        <v>890</v>
      </c>
      <c r="C15" s="110">
        <v>88.6</v>
      </c>
      <c r="D15" s="110">
        <v>88.6</v>
      </c>
      <c r="E15" s="110">
        <v>89</v>
      </c>
      <c r="F15" s="110">
        <v>89.5</v>
      </c>
      <c r="G15" s="110">
        <v>90.1</v>
      </c>
      <c r="H15" s="110">
        <v>90</v>
      </c>
      <c r="I15" s="110">
        <v>90.1</v>
      </c>
      <c r="J15" s="110">
        <v>90.5</v>
      </c>
      <c r="K15" s="110">
        <v>92.1</v>
      </c>
      <c r="L15" s="110">
        <v>93.2</v>
      </c>
      <c r="M15" s="110">
        <v>93.8</v>
      </c>
      <c r="N15" s="110">
        <v>94.5</v>
      </c>
      <c r="O15" s="110">
        <v>97.1</v>
      </c>
      <c r="P15" s="110">
        <v>98.5</v>
      </c>
      <c r="Q15" s="110">
        <v>99.1</v>
      </c>
      <c r="R15" s="110">
        <v>99.7</v>
      </c>
      <c r="S15" s="110">
        <v>98.5</v>
      </c>
      <c r="T15" s="110">
        <v>99.2</v>
      </c>
      <c r="U15" s="110">
        <v>97.4</v>
      </c>
      <c r="V15" s="110">
        <v>100.6</v>
      </c>
      <c r="W15" s="110">
        <v>101.4</v>
      </c>
      <c r="X15" s="117">
        <v>100</v>
      </c>
      <c r="Y15" s="117">
        <v>100.2</v>
      </c>
      <c r="Z15" s="117">
        <v>100.3</v>
      </c>
      <c r="AA15" s="117">
        <v>100.3</v>
      </c>
      <c r="AB15" s="117">
        <v>102.1</v>
      </c>
      <c r="AC15" s="117">
        <v>103.5</v>
      </c>
      <c r="AD15" s="117">
        <v>104.2</v>
      </c>
      <c r="AE15" s="691">
        <v>104.1</v>
      </c>
      <c r="AF15" s="691">
        <v>105.2</v>
      </c>
      <c r="AG15" s="691">
        <v>107.4</v>
      </c>
      <c r="AH15" s="691">
        <v>104.8</v>
      </c>
    </row>
    <row r="16" spans="1:36" ht="12">
      <c r="B16" s="171" t="s">
        <v>891</v>
      </c>
      <c r="C16" s="110">
        <v>88</v>
      </c>
      <c r="D16" s="110">
        <v>88.8</v>
      </c>
      <c r="E16" s="110">
        <v>89.3</v>
      </c>
      <c r="F16" s="110">
        <v>90</v>
      </c>
      <c r="G16" s="110">
        <v>90.1</v>
      </c>
      <c r="H16" s="110">
        <v>90.3</v>
      </c>
      <c r="I16" s="110">
        <v>90.1</v>
      </c>
      <c r="J16" s="110">
        <v>90.8</v>
      </c>
      <c r="K16" s="110">
        <v>92.8</v>
      </c>
      <c r="L16" s="110">
        <v>93.2</v>
      </c>
      <c r="M16" s="110">
        <v>94</v>
      </c>
      <c r="N16" s="110">
        <v>95.5</v>
      </c>
      <c r="O16" s="110">
        <v>97.3</v>
      </c>
      <c r="P16" s="110">
        <v>98.8</v>
      </c>
      <c r="Q16" s="110">
        <v>100</v>
      </c>
      <c r="R16" s="110">
        <v>98.4</v>
      </c>
      <c r="S16" s="110">
        <v>99.6</v>
      </c>
      <c r="T16" s="110">
        <v>100.1</v>
      </c>
      <c r="U16" s="110">
        <v>98.2</v>
      </c>
      <c r="V16" s="110">
        <v>100.9</v>
      </c>
      <c r="W16" s="110">
        <v>101.7</v>
      </c>
      <c r="X16" s="117">
        <v>99.9</v>
      </c>
      <c r="Y16" s="117">
        <v>99.8</v>
      </c>
      <c r="Z16" s="117">
        <v>100.5</v>
      </c>
      <c r="AA16" s="117">
        <v>101.1</v>
      </c>
      <c r="AB16" s="117">
        <v>103.1</v>
      </c>
      <c r="AC16" s="117">
        <v>103.9</v>
      </c>
      <c r="AD16" s="117">
        <v>104.2</v>
      </c>
      <c r="AE16" s="691">
        <v>104.8</v>
      </c>
      <c r="AF16" s="691">
        <v>105.8</v>
      </c>
      <c r="AG16" s="691">
        <v>106.9</v>
      </c>
      <c r="AH16" s="691">
        <v>105.2</v>
      </c>
    </row>
    <row r="17" spans="2:36" ht="12">
      <c r="B17" s="171" t="s">
        <v>892</v>
      </c>
      <c r="C17" s="110">
        <v>87.9</v>
      </c>
      <c r="D17" s="110">
        <v>88.9</v>
      </c>
      <c r="E17" s="110">
        <v>89.3</v>
      </c>
      <c r="F17" s="110">
        <v>90.1</v>
      </c>
      <c r="G17" s="110">
        <v>90.3</v>
      </c>
      <c r="H17" s="110">
        <v>90.5</v>
      </c>
      <c r="I17" s="110">
        <v>90.1</v>
      </c>
      <c r="J17" s="110">
        <v>91.5</v>
      </c>
      <c r="K17" s="110">
        <v>93.2</v>
      </c>
      <c r="L17" s="110">
        <v>93.8</v>
      </c>
      <c r="M17" s="110">
        <v>94.5</v>
      </c>
      <c r="N17" s="110">
        <v>97</v>
      </c>
      <c r="O17" s="110">
        <v>97.9</v>
      </c>
      <c r="P17" s="110">
        <v>99.8</v>
      </c>
      <c r="Q17" s="110">
        <v>100.3</v>
      </c>
      <c r="R17" s="117">
        <v>100</v>
      </c>
      <c r="S17" s="110">
        <v>100.8</v>
      </c>
      <c r="T17" s="110">
        <v>100</v>
      </c>
      <c r="U17" s="110">
        <v>102.5</v>
      </c>
      <c r="V17" s="110">
        <v>101.2</v>
      </c>
      <c r="W17" s="110">
        <v>101.7</v>
      </c>
      <c r="X17" s="117">
        <v>100.7</v>
      </c>
      <c r="Y17" s="117">
        <v>100.9</v>
      </c>
      <c r="Z17" s="117">
        <v>101.3</v>
      </c>
      <c r="AA17" s="117">
        <v>102.8</v>
      </c>
      <c r="AB17" s="117">
        <v>104.1</v>
      </c>
      <c r="AC17" s="117">
        <v>104.3</v>
      </c>
      <c r="AD17" s="117">
        <v>104.8</v>
      </c>
      <c r="AE17" s="691">
        <v>105.8</v>
      </c>
      <c r="AF17" s="692">
        <v>106.2</v>
      </c>
      <c r="AG17" s="692">
        <v>107.5</v>
      </c>
      <c r="AH17" s="692">
        <v>104.4</v>
      </c>
    </row>
    <row r="18" spans="2:36" s="10" customFormat="1" ht="12">
      <c r="B18" s="119" t="s">
        <v>893</v>
      </c>
      <c r="C18" s="120">
        <f t="shared" ref="C18:M18" si="8">AVERAGE(C14:C17)</f>
        <v>88.275000000000006</v>
      </c>
      <c r="D18" s="120">
        <f t="shared" si="8"/>
        <v>88.65</v>
      </c>
      <c r="E18" s="120">
        <f t="shared" si="8"/>
        <v>89.15</v>
      </c>
      <c r="F18" s="120">
        <f t="shared" si="8"/>
        <v>89.724999999999994</v>
      </c>
      <c r="G18" s="120">
        <f t="shared" si="8"/>
        <v>90.149999999999991</v>
      </c>
      <c r="H18" s="120">
        <f t="shared" si="8"/>
        <v>90.224999999999994</v>
      </c>
      <c r="I18" s="120">
        <f t="shared" si="8"/>
        <v>90.1</v>
      </c>
      <c r="J18" s="120">
        <f t="shared" si="8"/>
        <v>90.724999999999994</v>
      </c>
      <c r="K18" s="120">
        <f t="shared" si="8"/>
        <v>92.474999999999994</v>
      </c>
      <c r="L18" s="120">
        <f t="shared" si="8"/>
        <v>93.3</v>
      </c>
      <c r="M18" s="120">
        <f t="shared" si="8"/>
        <v>93.95</v>
      </c>
      <c r="N18" s="120">
        <f>AVERAGE(N14:N17)</f>
        <v>95.4</v>
      </c>
      <c r="O18" s="120">
        <f t="shared" ref="O18:AH18" si="9">AVERAGE(O14:O17)</f>
        <v>97.275000000000006</v>
      </c>
      <c r="P18" s="120">
        <f t="shared" si="9"/>
        <v>98.65</v>
      </c>
      <c r="Q18" s="120">
        <f t="shared" si="9"/>
        <v>99.7</v>
      </c>
      <c r="R18" s="120">
        <f t="shared" si="9"/>
        <v>99.45</v>
      </c>
      <c r="S18" s="120">
        <f t="shared" si="9"/>
        <v>99.524999999999991</v>
      </c>
      <c r="T18" s="120">
        <f t="shared" si="9"/>
        <v>99.775000000000006</v>
      </c>
      <c r="U18" s="120">
        <f t="shared" si="9"/>
        <v>99.325000000000003</v>
      </c>
      <c r="V18" s="120">
        <f t="shared" si="9"/>
        <v>101.10000000000001</v>
      </c>
      <c r="W18" s="120">
        <f t="shared" si="9"/>
        <v>101.47499999999999</v>
      </c>
      <c r="X18" s="120">
        <f t="shared" si="9"/>
        <v>100.25</v>
      </c>
      <c r="Y18" s="120">
        <f t="shared" si="9"/>
        <v>100.15</v>
      </c>
      <c r="Z18" s="120">
        <f t="shared" si="9"/>
        <v>100.55</v>
      </c>
      <c r="AA18" s="120">
        <f t="shared" si="9"/>
        <v>101.14999999999999</v>
      </c>
      <c r="AB18" s="120">
        <f t="shared" si="9"/>
        <v>103.07499999999999</v>
      </c>
      <c r="AC18" s="120">
        <f t="shared" si="9"/>
        <v>103.95</v>
      </c>
      <c r="AD18" s="120">
        <f t="shared" si="9"/>
        <v>104.325</v>
      </c>
      <c r="AE18" s="693">
        <f t="shared" si="9"/>
        <v>104.8</v>
      </c>
      <c r="AF18" s="693">
        <f t="shared" si="9"/>
        <v>105.65</v>
      </c>
      <c r="AG18" s="693">
        <f t="shared" si="9"/>
        <v>107.125</v>
      </c>
      <c r="AH18" s="693">
        <f t="shared" si="9"/>
        <v>105.30000000000001</v>
      </c>
    </row>
    <row r="19" spans="2:36">
      <c r="B19" s="694" t="s">
        <v>894</v>
      </c>
      <c r="C19" s="11"/>
      <c r="X19" s="22"/>
      <c r="Y19" s="14"/>
    </row>
    <row r="20" spans="2:36" s="10" customFormat="1">
      <c r="B20" s="87"/>
      <c r="C20" s="86"/>
      <c r="D20" s="11"/>
      <c r="E20" s="11"/>
      <c r="F20" s="11"/>
      <c r="G20" s="11"/>
      <c r="H20" s="11"/>
      <c r="I20" s="11"/>
      <c r="J20" s="11"/>
      <c r="K20" s="11"/>
      <c r="L20" s="11"/>
      <c r="M20" s="12"/>
      <c r="N20" s="12"/>
      <c r="O20" s="12"/>
      <c r="Y20" s="23"/>
      <c r="Z20" s="108"/>
    </row>
    <row r="21" spans="2:36">
      <c r="B21" s="10" t="s">
        <v>895</v>
      </c>
      <c r="C21" s="121"/>
      <c r="E21" s="121"/>
      <c r="F21" s="121"/>
      <c r="G21" s="121"/>
      <c r="H21" s="121"/>
      <c r="I21" s="121"/>
      <c r="J21" s="121"/>
      <c r="K21" s="121"/>
      <c r="L21" s="121"/>
      <c r="M21" s="121"/>
      <c r="N21" s="121"/>
      <c r="O21" s="121"/>
      <c r="P21" s="121"/>
      <c r="Q21" s="121"/>
      <c r="R21" s="121"/>
      <c r="S21" s="121"/>
      <c r="T21" s="121"/>
      <c r="U21" s="121"/>
      <c r="V21" s="121"/>
      <c r="W21" s="121"/>
      <c r="X21" s="121"/>
      <c r="Y21" s="121"/>
      <c r="Z21" s="121"/>
      <c r="AJ21" s="10"/>
    </row>
    <row r="22" spans="2:36">
      <c r="B22" s="375" t="s">
        <v>974</v>
      </c>
    </row>
    <row r="23" spans="2:36">
      <c r="B23" s="25" t="s">
        <v>1014</v>
      </c>
      <c r="C23" s="10"/>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J23" s="14"/>
    </row>
    <row r="24" spans="2:36" s="10" customFormat="1">
      <c r="B24" s="376" t="s">
        <v>995</v>
      </c>
      <c r="C24" s="377">
        <v>59.305</v>
      </c>
      <c r="D24" s="377">
        <v>61.31</v>
      </c>
      <c r="E24" s="377">
        <v>62.707000000000001</v>
      </c>
      <c r="F24" s="377">
        <v>64.194000000000003</v>
      </c>
      <c r="G24" s="377">
        <v>65.563999999999993</v>
      </c>
      <c r="H24" s="377">
        <v>66.938999999999993</v>
      </c>
      <c r="I24" s="377">
        <v>68.164000000000001</v>
      </c>
      <c r="J24" s="377">
        <v>69.34</v>
      </c>
      <c r="K24" s="377">
        <v>70.119</v>
      </c>
      <c r="L24" s="377">
        <v>71.111000000000004</v>
      </c>
      <c r="M24" s="377">
        <v>72.721999999999994</v>
      </c>
      <c r="N24" s="377">
        <v>74.36</v>
      </c>
      <c r="O24" s="377">
        <v>75.515000000000001</v>
      </c>
      <c r="P24" s="377">
        <v>77.006</v>
      </c>
      <c r="Q24" s="377">
        <v>79.076999999999998</v>
      </c>
      <c r="R24" s="377">
        <v>81.555999999999997</v>
      </c>
      <c r="S24" s="377">
        <v>84.070999999999998</v>
      </c>
      <c r="T24" s="377">
        <v>86.349000000000004</v>
      </c>
      <c r="U24" s="377">
        <v>88.013000000000005</v>
      </c>
      <c r="V24" s="377">
        <v>88.555999999999997</v>
      </c>
      <c r="W24" s="377">
        <v>89.632000000000005</v>
      </c>
      <c r="X24" s="377">
        <v>91.480999999999995</v>
      </c>
      <c r="Y24" s="377">
        <v>93.185000000000002</v>
      </c>
      <c r="Z24" s="377">
        <v>94.771000000000001</v>
      </c>
      <c r="AA24" s="377">
        <v>96.421000000000006</v>
      </c>
      <c r="AB24" s="378">
        <v>97.316000000000003</v>
      </c>
      <c r="AC24" s="377">
        <v>98.241</v>
      </c>
      <c r="AD24" s="379">
        <v>100</v>
      </c>
      <c r="AE24" s="379">
        <v>102.291</v>
      </c>
      <c r="AF24" s="379">
        <v>104.008</v>
      </c>
      <c r="AG24" s="379">
        <v>105.381</v>
      </c>
      <c r="AH24" s="379">
        <v>110.21299999999999</v>
      </c>
      <c r="AI24" s="10">
        <v>117.973</v>
      </c>
      <c r="AJ24" s="276">
        <v>122.273</v>
      </c>
    </row>
    <row r="25" spans="2:36">
      <c r="B25" s="171" t="s">
        <v>896</v>
      </c>
      <c r="C25" s="122">
        <v>59.774999999999999</v>
      </c>
      <c r="D25" s="122">
        <v>61.774000000000001</v>
      </c>
      <c r="E25" s="122">
        <v>63.42</v>
      </c>
      <c r="F25" s="122">
        <v>65</v>
      </c>
      <c r="G25" s="122">
        <v>66.355999999999995</v>
      </c>
      <c r="H25" s="122">
        <v>67.754000000000005</v>
      </c>
      <c r="I25" s="122">
        <v>69.203000000000003</v>
      </c>
      <c r="J25" s="122">
        <v>70.406999999999996</v>
      </c>
      <c r="K25" s="122">
        <v>70.966999999999999</v>
      </c>
      <c r="L25" s="122">
        <v>72.001000000000005</v>
      </c>
      <c r="M25" s="122">
        <v>73.822000000000003</v>
      </c>
      <c r="N25" s="122">
        <v>75.302000000000007</v>
      </c>
      <c r="O25" s="122">
        <v>76.290999999999997</v>
      </c>
      <c r="P25" s="122">
        <v>77.894000000000005</v>
      </c>
      <c r="Q25" s="122">
        <v>79.826999999999998</v>
      </c>
      <c r="R25" s="122">
        <v>82.126999999999995</v>
      </c>
      <c r="S25" s="122">
        <v>84.44</v>
      </c>
      <c r="T25" s="122">
        <v>86.606999999999999</v>
      </c>
      <c r="U25" s="122">
        <v>89.17</v>
      </c>
      <c r="V25" s="122">
        <v>88.921000000000006</v>
      </c>
      <c r="W25" s="122">
        <v>90.513999999999996</v>
      </c>
      <c r="X25" s="122">
        <v>92.804000000000002</v>
      </c>
      <c r="Y25" s="122">
        <v>94.534000000000006</v>
      </c>
      <c r="Z25" s="122">
        <v>95.781000000000006</v>
      </c>
      <c r="AA25" s="122">
        <v>97.120999999999995</v>
      </c>
      <c r="AB25" s="11">
        <v>97.299000000000007</v>
      </c>
      <c r="AC25" s="122">
        <v>98.284000000000006</v>
      </c>
      <c r="AD25" s="29">
        <v>100</v>
      </c>
      <c r="AE25" s="29">
        <v>102.047</v>
      </c>
      <c r="AF25" s="29">
        <v>103.51300000000001</v>
      </c>
      <c r="AG25" s="29">
        <v>104.63500000000001</v>
      </c>
      <c r="AH25" s="29">
        <v>109.001</v>
      </c>
      <c r="AI25" s="11">
        <v>116.04300000000001</v>
      </c>
      <c r="AJ25" s="276">
        <v>120.384</v>
      </c>
    </row>
    <row r="26" spans="2:36">
      <c r="B26" s="171" t="s">
        <v>900</v>
      </c>
      <c r="C26" s="122">
        <v>86.531999999999996</v>
      </c>
      <c r="D26" s="122">
        <v>88.647000000000006</v>
      </c>
      <c r="E26" s="122">
        <v>89.716999999999999</v>
      </c>
      <c r="F26" s="122">
        <v>90.495999999999995</v>
      </c>
      <c r="G26" s="122">
        <v>91.417000000000002</v>
      </c>
      <c r="H26" s="122">
        <v>92.271000000000001</v>
      </c>
      <c r="I26" s="122">
        <v>93.284999999999997</v>
      </c>
      <c r="J26" s="122">
        <v>93.177000000000007</v>
      </c>
      <c r="K26" s="122">
        <v>91.777000000000001</v>
      </c>
      <c r="L26" s="122">
        <v>92.257999999999996</v>
      </c>
      <c r="M26" s="122">
        <v>94.088999999999999</v>
      </c>
      <c r="N26" s="122">
        <v>94.018000000000001</v>
      </c>
      <c r="O26" s="122">
        <v>93.122</v>
      </c>
      <c r="P26" s="122">
        <v>93.003</v>
      </c>
      <c r="Q26" s="122">
        <v>94.311000000000007</v>
      </c>
      <c r="R26" s="122">
        <v>96.203000000000003</v>
      </c>
      <c r="S26" s="122">
        <v>97.494</v>
      </c>
      <c r="T26" s="122">
        <v>98.575999999999993</v>
      </c>
      <c r="U26" s="122">
        <v>101.524</v>
      </c>
      <c r="V26" s="122">
        <v>99.084000000000003</v>
      </c>
      <c r="W26" s="122">
        <v>100.533</v>
      </c>
      <c r="X26" s="122">
        <v>104.325</v>
      </c>
      <c r="Y26" s="122">
        <v>105.62</v>
      </c>
      <c r="Z26" s="122">
        <v>105.04900000000001</v>
      </c>
      <c r="AA26" s="122">
        <v>104.542</v>
      </c>
      <c r="AB26" s="11">
        <v>101.35</v>
      </c>
      <c r="AC26" s="122">
        <v>99.71</v>
      </c>
      <c r="AD26" s="29">
        <v>100</v>
      </c>
      <c r="AE26" s="29">
        <v>100.81100000000001</v>
      </c>
      <c r="AF26" s="29">
        <v>100.42700000000001</v>
      </c>
      <c r="AG26" s="29">
        <v>99.646000000000001</v>
      </c>
      <c r="AH26" s="29">
        <v>104.572</v>
      </c>
      <c r="AI26" s="11">
        <v>113.548</v>
      </c>
      <c r="AJ26" s="276">
        <v>114.919</v>
      </c>
    </row>
    <row r="27" spans="2:36">
      <c r="B27" s="171" t="s">
        <v>996</v>
      </c>
      <c r="C27" s="122">
        <v>147.232</v>
      </c>
      <c r="D27" s="122">
        <v>149.38999999999999</v>
      </c>
      <c r="E27" s="122">
        <v>150.422</v>
      </c>
      <c r="F27" s="122">
        <v>151.90299999999999</v>
      </c>
      <c r="G27" s="122">
        <v>154.876</v>
      </c>
      <c r="H27" s="122">
        <v>156.006</v>
      </c>
      <c r="I27" s="122">
        <v>154.43100000000001</v>
      </c>
      <c r="J27" s="122">
        <v>151.059</v>
      </c>
      <c r="K27" s="122">
        <v>146.79</v>
      </c>
      <c r="L27" s="122">
        <v>142.83500000000001</v>
      </c>
      <c r="M27" s="122">
        <v>140.29300000000001</v>
      </c>
      <c r="N27" s="122">
        <v>137.54499999999999</v>
      </c>
      <c r="O27" s="122">
        <v>134.07400000000001</v>
      </c>
      <c r="P27" s="122">
        <v>129.173</v>
      </c>
      <c r="Q27" s="122">
        <v>126.64700000000001</v>
      </c>
      <c r="R27" s="122">
        <v>125.33199999999999</v>
      </c>
      <c r="S27" s="122">
        <v>123.187</v>
      </c>
      <c r="T27" s="122">
        <v>120.56399999999999</v>
      </c>
      <c r="U27" s="122">
        <v>118.304</v>
      </c>
      <c r="V27" s="122">
        <v>116.081</v>
      </c>
      <c r="W27" s="122">
        <v>113.946</v>
      </c>
      <c r="X27" s="122">
        <v>113.023</v>
      </c>
      <c r="Y27" s="122">
        <v>111.595</v>
      </c>
      <c r="Z27" s="122">
        <v>109.551</v>
      </c>
      <c r="AA27" s="122">
        <v>106.771</v>
      </c>
      <c r="AB27" s="122">
        <v>104.617</v>
      </c>
      <c r="AC27" s="122">
        <v>102.337</v>
      </c>
      <c r="AD27" s="29">
        <v>100</v>
      </c>
      <c r="AE27" s="29">
        <v>98.632999999999996</v>
      </c>
      <c r="AF27" s="29">
        <v>97.679000000000002</v>
      </c>
      <c r="AG27" s="29">
        <v>96.781999999999996</v>
      </c>
      <c r="AH27" s="29">
        <v>102.11199999999999</v>
      </c>
      <c r="AI27" s="11">
        <v>108.621</v>
      </c>
      <c r="AJ27" s="276">
        <v>107.685</v>
      </c>
    </row>
    <row r="28" spans="2:36">
      <c r="B28" s="171" t="s">
        <v>997</v>
      </c>
      <c r="C28" s="122">
        <v>64.897999999999996</v>
      </c>
      <c r="D28" s="122">
        <v>66.793000000000006</v>
      </c>
      <c r="E28" s="122">
        <v>67.763999999999996</v>
      </c>
      <c r="F28" s="122">
        <v>68.313999999999993</v>
      </c>
      <c r="G28" s="122">
        <v>68.679000000000002</v>
      </c>
      <c r="H28" s="122">
        <v>69.396000000000001</v>
      </c>
      <c r="I28" s="122">
        <v>70.968000000000004</v>
      </c>
      <c r="J28" s="122">
        <v>71.709000000000003</v>
      </c>
      <c r="K28" s="122">
        <v>71.182000000000002</v>
      </c>
      <c r="L28" s="122">
        <v>72.950999999999993</v>
      </c>
      <c r="M28" s="122">
        <v>76.084000000000003</v>
      </c>
      <c r="N28" s="122">
        <v>76.893000000000001</v>
      </c>
      <c r="O28" s="122">
        <v>76.897999999999996</v>
      </c>
      <c r="P28" s="122">
        <v>78.488</v>
      </c>
      <c r="Q28" s="122">
        <v>81.206000000000003</v>
      </c>
      <c r="R28" s="122">
        <v>84.319000000000003</v>
      </c>
      <c r="S28" s="122">
        <v>86.945999999999998</v>
      </c>
      <c r="T28" s="122">
        <v>89.504999999999995</v>
      </c>
      <c r="U28" s="122">
        <v>94.506</v>
      </c>
      <c r="V28" s="122">
        <v>92</v>
      </c>
      <c r="W28" s="122">
        <v>94.790999999999997</v>
      </c>
      <c r="X28" s="122">
        <v>100.417</v>
      </c>
      <c r="Y28" s="122">
        <v>102.831</v>
      </c>
      <c r="Z28" s="122">
        <v>102.895</v>
      </c>
      <c r="AA28" s="122">
        <v>103.40900000000001</v>
      </c>
      <c r="AB28" s="11">
        <v>99.734999999999999</v>
      </c>
      <c r="AC28" s="122">
        <v>98.405000000000001</v>
      </c>
      <c r="AD28" s="29">
        <v>100</v>
      </c>
      <c r="AE28" s="29">
        <v>101.935</v>
      </c>
      <c r="AF28" s="29">
        <v>101.85299999999999</v>
      </c>
      <c r="AG28" s="29">
        <v>101.137</v>
      </c>
      <c r="AH28" s="29">
        <v>105.82599999999999</v>
      </c>
      <c r="AI28" s="11">
        <v>116.245</v>
      </c>
      <c r="AJ28" s="276">
        <v>118.99299999999999</v>
      </c>
    </row>
    <row r="29" spans="2:36">
      <c r="B29" s="171" t="s">
        <v>901</v>
      </c>
      <c r="C29" s="122">
        <v>49.029000000000003</v>
      </c>
      <c r="D29" s="122">
        <v>50.945999999999998</v>
      </c>
      <c r="E29" s="122">
        <v>52.758000000000003</v>
      </c>
      <c r="F29" s="122">
        <v>54.582000000000001</v>
      </c>
      <c r="G29" s="122">
        <v>56.066000000000003</v>
      </c>
      <c r="H29" s="122">
        <v>57.631999999999998</v>
      </c>
      <c r="I29" s="122">
        <v>59.213999999999999</v>
      </c>
      <c r="J29" s="122">
        <v>60.883000000000003</v>
      </c>
      <c r="K29" s="122">
        <v>62.171999999999997</v>
      </c>
      <c r="L29" s="122">
        <v>63.408999999999999</v>
      </c>
      <c r="M29" s="122">
        <v>65.209999999999994</v>
      </c>
      <c r="N29" s="122">
        <v>67.292000000000002</v>
      </c>
      <c r="O29" s="122">
        <v>69.033000000000001</v>
      </c>
      <c r="P29" s="122">
        <v>71.335999999999999</v>
      </c>
      <c r="Q29" s="122">
        <v>73.528000000000006</v>
      </c>
      <c r="R29" s="122">
        <v>75.998000000000005</v>
      </c>
      <c r="S29" s="122">
        <v>78.75</v>
      </c>
      <c r="T29" s="122">
        <v>81.388000000000005</v>
      </c>
      <c r="U29" s="122">
        <v>83.783000000000001</v>
      </c>
      <c r="V29" s="122">
        <v>84.432000000000002</v>
      </c>
      <c r="W29" s="122">
        <v>86.076999999999998</v>
      </c>
      <c r="X29" s="122">
        <v>87.742000000000004</v>
      </c>
      <c r="Y29" s="122">
        <v>89.647999999999996</v>
      </c>
      <c r="Z29" s="122">
        <v>91.659000000000006</v>
      </c>
      <c r="AA29" s="122">
        <v>93.795000000000002</v>
      </c>
      <c r="AB29" s="11">
        <v>95.462000000000003</v>
      </c>
      <c r="AC29" s="122">
        <v>97.629000000000005</v>
      </c>
      <c r="AD29" s="29">
        <v>100</v>
      </c>
      <c r="AE29" s="29">
        <v>102.626</v>
      </c>
      <c r="AF29" s="29">
        <v>104.97199999999999</v>
      </c>
      <c r="AG29" s="29">
        <v>107.054</v>
      </c>
      <c r="AH29" s="29">
        <v>111.10299999999999</v>
      </c>
      <c r="AI29" s="11">
        <v>117.066</v>
      </c>
      <c r="AJ29" s="276">
        <v>122.97799999999999</v>
      </c>
    </row>
    <row r="30" spans="2:36">
      <c r="B30" s="171" t="s">
        <v>897</v>
      </c>
      <c r="C30" s="122">
        <v>77.957999999999998</v>
      </c>
      <c r="D30" s="122">
        <v>79.355000000000004</v>
      </c>
      <c r="E30" s="122">
        <v>79.343000000000004</v>
      </c>
      <c r="F30" s="122">
        <v>80.274000000000001</v>
      </c>
      <c r="G30" s="122">
        <v>81.489999999999995</v>
      </c>
      <c r="H30" s="122">
        <v>82.79</v>
      </c>
      <c r="I30" s="122">
        <v>82.754999999999995</v>
      </c>
      <c r="J30" s="122">
        <v>82.766999999999996</v>
      </c>
      <c r="K30" s="122">
        <v>82.248999999999995</v>
      </c>
      <c r="L30" s="122">
        <v>82.38</v>
      </c>
      <c r="M30" s="122">
        <v>83.373999999999995</v>
      </c>
      <c r="N30" s="122">
        <v>83.853999999999999</v>
      </c>
      <c r="O30" s="122">
        <v>84.382999999999996</v>
      </c>
      <c r="P30" s="122">
        <v>84.942999999999998</v>
      </c>
      <c r="Q30" s="122">
        <v>87.506</v>
      </c>
      <c r="R30" s="122">
        <v>91.103999999999999</v>
      </c>
      <c r="S30" s="122">
        <v>94.179000000000002</v>
      </c>
      <c r="T30" s="122">
        <v>95.6</v>
      </c>
      <c r="U30" s="122">
        <v>96.620999999999995</v>
      </c>
      <c r="V30" s="122">
        <v>95.278000000000006</v>
      </c>
      <c r="W30" s="122">
        <v>93.781999999999996</v>
      </c>
      <c r="X30" s="122">
        <v>94.698999999999998</v>
      </c>
      <c r="Y30" s="122">
        <v>95.85</v>
      </c>
      <c r="Z30" s="122">
        <v>96.585999999999999</v>
      </c>
      <c r="AA30" s="122">
        <v>98.242000000000004</v>
      </c>
      <c r="AB30" s="11">
        <v>98.95</v>
      </c>
      <c r="AC30" s="122">
        <v>98.736999999999995</v>
      </c>
      <c r="AD30" s="29">
        <v>100</v>
      </c>
      <c r="AE30" s="29">
        <v>101.545</v>
      </c>
      <c r="AF30" s="29">
        <v>102.965</v>
      </c>
      <c r="AG30" s="29">
        <v>104.04900000000001</v>
      </c>
      <c r="AH30" s="29">
        <v>107.711</v>
      </c>
      <c r="AI30" s="11">
        <v>115.93600000000001</v>
      </c>
      <c r="AJ30" s="276">
        <v>119.547</v>
      </c>
    </row>
    <row r="31" spans="2:36">
      <c r="B31" s="171" t="s">
        <v>998</v>
      </c>
      <c r="C31" s="122">
        <v>76.564999999999998</v>
      </c>
      <c r="D31" s="122">
        <v>77.906000000000006</v>
      </c>
      <c r="E31" s="122">
        <v>77.948999999999998</v>
      </c>
      <c r="F31" s="122">
        <v>78.885999999999996</v>
      </c>
      <c r="G31" s="122">
        <v>80.099000000000004</v>
      </c>
      <c r="H31" s="122">
        <v>81.430000000000007</v>
      </c>
      <c r="I31" s="122">
        <v>81.498000000000005</v>
      </c>
      <c r="J31" s="122">
        <v>81.64</v>
      </c>
      <c r="K31" s="122">
        <v>81.195999999999998</v>
      </c>
      <c r="L31" s="122">
        <v>81.332999999999998</v>
      </c>
      <c r="M31" s="122">
        <v>82.486000000000004</v>
      </c>
      <c r="N31" s="122">
        <v>83.206000000000003</v>
      </c>
      <c r="O31" s="122">
        <v>83.453000000000003</v>
      </c>
      <c r="P31" s="122">
        <v>84.183000000000007</v>
      </c>
      <c r="Q31" s="122">
        <v>86.641999999999996</v>
      </c>
      <c r="R31" s="122">
        <v>90.222999999999999</v>
      </c>
      <c r="S31" s="122">
        <v>93.427999999999997</v>
      </c>
      <c r="T31" s="122">
        <v>94.856999999999999</v>
      </c>
      <c r="U31" s="122">
        <v>95.658000000000001</v>
      </c>
      <c r="V31" s="122">
        <v>94.494</v>
      </c>
      <c r="W31" s="122">
        <v>93.025999999999996</v>
      </c>
      <c r="X31" s="122">
        <v>93.991</v>
      </c>
      <c r="Y31" s="122">
        <v>95.241</v>
      </c>
      <c r="Z31" s="122">
        <v>96.16</v>
      </c>
      <c r="AA31" s="122">
        <v>97.923000000000002</v>
      </c>
      <c r="AB31" s="11">
        <v>98.581999999999994</v>
      </c>
      <c r="AC31" s="122">
        <v>98.55</v>
      </c>
      <c r="AD31" s="29">
        <v>100</v>
      </c>
      <c r="AE31" s="29">
        <v>101.568</v>
      </c>
      <c r="AF31" s="29">
        <v>103.014</v>
      </c>
      <c r="AG31" s="29">
        <v>104.292</v>
      </c>
      <c r="AH31" s="29">
        <v>108.16200000000001</v>
      </c>
      <c r="AI31" s="11">
        <v>116.754</v>
      </c>
      <c r="AJ31" s="276">
        <v>120.821</v>
      </c>
    </row>
    <row r="32" spans="2:36">
      <c r="B32" s="171" t="s">
        <v>999</v>
      </c>
      <c r="C32" s="122">
        <v>91.867000000000004</v>
      </c>
      <c r="D32" s="122">
        <v>93.605999999999995</v>
      </c>
      <c r="E32" s="122">
        <v>93.3</v>
      </c>
      <c r="F32" s="122">
        <v>93.5</v>
      </c>
      <c r="G32" s="122">
        <v>94.238</v>
      </c>
      <c r="H32" s="122">
        <v>95.176000000000002</v>
      </c>
      <c r="I32" s="122">
        <v>94.599000000000004</v>
      </c>
      <c r="J32" s="122">
        <v>94.07</v>
      </c>
      <c r="K32" s="122">
        <v>92.593999999999994</v>
      </c>
      <c r="L32" s="122">
        <v>91.665999999999997</v>
      </c>
      <c r="M32" s="122">
        <v>92.067999999999998</v>
      </c>
      <c r="N32" s="122">
        <v>91.697999999999993</v>
      </c>
      <c r="O32" s="122">
        <v>91.218999999999994</v>
      </c>
      <c r="P32" s="122">
        <v>90.516999999999996</v>
      </c>
      <c r="Q32" s="122">
        <v>91.409000000000006</v>
      </c>
      <c r="R32" s="122">
        <v>93.78</v>
      </c>
      <c r="S32" s="122">
        <v>96.066000000000003</v>
      </c>
      <c r="T32" s="122">
        <v>97.62</v>
      </c>
      <c r="U32" s="122">
        <v>99.131</v>
      </c>
      <c r="V32" s="122">
        <v>98.488</v>
      </c>
      <c r="W32" s="122">
        <v>96.694999999999993</v>
      </c>
      <c r="X32" s="122">
        <v>97.756</v>
      </c>
      <c r="Y32" s="122">
        <v>99.13</v>
      </c>
      <c r="Z32" s="122">
        <v>99.228999999999999</v>
      </c>
      <c r="AA32" s="122">
        <v>100.17</v>
      </c>
      <c r="AB32" s="11">
        <v>100.345</v>
      </c>
      <c r="AC32" s="122">
        <v>99.38</v>
      </c>
      <c r="AD32" s="29">
        <v>100</v>
      </c>
      <c r="AE32" s="29">
        <v>100.42700000000001</v>
      </c>
      <c r="AF32" s="29">
        <v>101.45699999999999</v>
      </c>
      <c r="AG32" s="29">
        <v>102.092</v>
      </c>
      <c r="AH32" s="29">
        <v>103.458</v>
      </c>
      <c r="AI32" s="11">
        <v>109.624</v>
      </c>
      <c r="AJ32" s="276">
        <v>113.586</v>
      </c>
    </row>
    <row r="33" spans="2:37">
      <c r="B33" s="171" t="s">
        <v>1000</v>
      </c>
      <c r="C33" s="122">
        <v>37.222000000000001</v>
      </c>
      <c r="D33" s="122">
        <v>37.896000000000001</v>
      </c>
      <c r="E33" s="122">
        <v>37.905000000000001</v>
      </c>
      <c r="F33" s="122">
        <v>39.015999999999998</v>
      </c>
      <c r="G33" s="122">
        <v>40.393999999999998</v>
      </c>
      <c r="H33" s="122">
        <v>42.143000000000001</v>
      </c>
      <c r="I33" s="122">
        <v>43.213999999999999</v>
      </c>
      <c r="J33" s="122">
        <v>44.863999999999997</v>
      </c>
      <c r="K33" s="122">
        <v>46.914999999999999</v>
      </c>
      <c r="L33" s="122">
        <v>48.356999999999999</v>
      </c>
      <c r="M33" s="122">
        <v>50.252000000000002</v>
      </c>
      <c r="N33" s="122">
        <v>52.884</v>
      </c>
      <c r="O33" s="122">
        <v>55.088999999999999</v>
      </c>
      <c r="P33" s="122">
        <v>57.057000000000002</v>
      </c>
      <c r="Q33" s="122">
        <v>61.281999999999996</v>
      </c>
      <c r="R33" s="122">
        <v>68.840999999999994</v>
      </c>
      <c r="S33" s="122">
        <v>77.037000000000006</v>
      </c>
      <c r="T33" s="122">
        <v>81.581000000000003</v>
      </c>
      <c r="U33" s="122">
        <v>85.751000000000005</v>
      </c>
      <c r="V33" s="122">
        <v>84.186000000000007</v>
      </c>
      <c r="W33" s="122">
        <v>83.501999999999995</v>
      </c>
      <c r="X33" s="122">
        <v>86.244</v>
      </c>
      <c r="Y33" s="122">
        <v>90.209000000000003</v>
      </c>
      <c r="Z33" s="122">
        <v>91.474000000000004</v>
      </c>
      <c r="AA33" s="122">
        <v>96.212999999999994</v>
      </c>
      <c r="AB33" s="11">
        <v>97.718999999999994</v>
      </c>
      <c r="AC33" s="122">
        <v>97.668000000000006</v>
      </c>
      <c r="AD33" s="29">
        <v>100</v>
      </c>
      <c r="AE33" s="29">
        <v>101.17400000000001</v>
      </c>
      <c r="AF33" s="29">
        <v>105.258</v>
      </c>
      <c r="AG33" s="29">
        <v>106.81100000000001</v>
      </c>
      <c r="AH33" s="29">
        <v>110.459</v>
      </c>
      <c r="AI33" s="11">
        <v>126.69199999999999</v>
      </c>
      <c r="AJ33" s="276">
        <v>134.13</v>
      </c>
    </row>
    <row r="34" spans="2:37">
      <c r="B34" s="171" t="s">
        <v>1001</v>
      </c>
      <c r="C34" s="122">
        <v>139.21199999999999</v>
      </c>
      <c r="D34" s="122">
        <v>141.57</v>
      </c>
      <c r="E34" s="122">
        <v>141.35499999999999</v>
      </c>
      <c r="F34" s="122">
        <v>139.703</v>
      </c>
      <c r="G34" s="122">
        <v>139.45400000000001</v>
      </c>
      <c r="H34" s="122">
        <v>137.928</v>
      </c>
      <c r="I34" s="122">
        <v>134.79900000000001</v>
      </c>
      <c r="J34" s="122">
        <v>131.083</v>
      </c>
      <c r="K34" s="122">
        <v>125.20099999999999</v>
      </c>
      <c r="L34" s="122">
        <v>120.36799999999999</v>
      </c>
      <c r="M34" s="122">
        <v>117.751</v>
      </c>
      <c r="N34" s="122">
        <v>114.28100000000001</v>
      </c>
      <c r="O34" s="122">
        <v>111.883</v>
      </c>
      <c r="P34" s="122">
        <v>108.99</v>
      </c>
      <c r="Q34" s="122">
        <v>108.078</v>
      </c>
      <c r="R34" s="122">
        <v>107.828</v>
      </c>
      <c r="S34" s="122">
        <v>106.758</v>
      </c>
      <c r="T34" s="122">
        <v>106.377</v>
      </c>
      <c r="U34" s="122">
        <v>105.708</v>
      </c>
      <c r="V34" s="122">
        <v>106.354</v>
      </c>
      <c r="W34" s="122">
        <v>102.54300000000001</v>
      </c>
      <c r="X34" s="122">
        <v>102.518</v>
      </c>
      <c r="Y34" s="122">
        <v>103.08799999999999</v>
      </c>
      <c r="Z34" s="122">
        <v>102.857</v>
      </c>
      <c r="AA34" s="122">
        <v>102.124</v>
      </c>
      <c r="AB34" s="11">
        <v>101.499</v>
      </c>
      <c r="AC34" s="122">
        <v>100.206</v>
      </c>
      <c r="AD34" s="29">
        <v>100</v>
      </c>
      <c r="AE34" s="29">
        <v>99.921000000000006</v>
      </c>
      <c r="AF34" s="29">
        <v>99.98</v>
      </c>
      <c r="AG34" s="29">
        <v>99.501999999999995</v>
      </c>
      <c r="AH34" s="29">
        <v>100.066</v>
      </c>
      <c r="AI34" s="11">
        <v>106.238</v>
      </c>
      <c r="AJ34" s="276">
        <v>110.876</v>
      </c>
    </row>
    <row r="35" spans="2:37">
      <c r="B35" s="171" t="s">
        <v>1002</v>
      </c>
      <c r="C35" s="122">
        <v>88.403999999999996</v>
      </c>
      <c r="D35" s="122">
        <v>90.534999999999997</v>
      </c>
      <c r="E35" s="122">
        <v>89.634</v>
      </c>
      <c r="F35" s="122">
        <v>90.260999999999996</v>
      </c>
      <c r="G35" s="122">
        <v>90.731999999999999</v>
      </c>
      <c r="H35" s="122">
        <v>93.406000000000006</v>
      </c>
      <c r="I35" s="122">
        <v>93.817999999999998</v>
      </c>
      <c r="J35" s="122">
        <v>94.326999999999998</v>
      </c>
      <c r="K35" s="122">
        <v>93.867999999999995</v>
      </c>
      <c r="L35" s="122">
        <v>95.382999999999996</v>
      </c>
      <c r="M35" s="122">
        <v>98.1</v>
      </c>
      <c r="N35" s="122">
        <v>97.968999999999994</v>
      </c>
      <c r="O35" s="122">
        <v>96.656999999999996</v>
      </c>
      <c r="P35" s="122">
        <v>95.927000000000007</v>
      </c>
      <c r="Q35" s="122">
        <v>95.613</v>
      </c>
      <c r="R35" s="122">
        <v>96.231999999999999</v>
      </c>
      <c r="S35" s="122">
        <v>97.372</v>
      </c>
      <c r="T35" s="122">
        <v>98.570999999999998</v>
      </c>
      <c r="U35" s="122">
        <v>100.125</v>
      </c>
      <c r="V35" s="122">
        <v>98.876999999999995</v>
      </c>
      <c r="W35" s="122">
        <v>98.593000000000004</v>
      </c>
      <c r="X35" s="122">
        <v>99.807000000000002</v>
      </c>
      <c r="Y35" s="122">
        <v>100.292</v>
      </c>
      <c r="Z35" s="122">
        <v>99.947999999999993</v>
      </c>
      <c r="AA35" s="122">
        <v>100.32599999999999</v>
      </c>
      <c r="AB35" s="11">
        <v>100.626</v>
      </c>
      <c r="AC35" s="122">
        <v>99.453000000000003</v>
      </c>
      <c r="AD35" s="29">
        <v>100</v>
      </c>
      <c r="AE35" s="29">
        <v>100.58199999999999</v>
      </c>
      <c r="AF35" s="29">
        <v>100.88200000000001</v>
      </c>
      <c r="AG35" s="29">
        <v>102.208</v>
      </c>
      <c r="AH35" s="29">
        <v>103.235</v>
      </c>
      <c r="AI35" s="11">
        <v>104.97799999999999</v>
      </c>
      <c r="AJ35" s="276">
        <v>106.886</v>
      </c>
    </row>
    <row r="36" spans="2:37">
      <c r="B36" s="171" t="s">
        <v>1003</v>
      </c>
      <c r="C36" s="122">
        <v>45.597000000000001</v>
      </c>
      <c r="D36" s="122">
        <v>46.19</v>
      </c>
      <c r="E36" s="122">
        <v>46.759</v>
      </c>
      <c r="F36" s="122">
        <v>48.662999999999997</v>
      </c>
      <c r="G36" s="122">
        <v>50.423999999999999</v>
      </c>
      <c r="H36" s="122">
        <v>52.226999999999997</v>
      </c>
      <c r="I36" s="122">
        <v>53.347999999999999</v>
      </c>
      <c r="J36" s="122">
        <v>54.634</v>
      </c>
      <c r="K36" s="122">
        <v>56.075000000000003</v>
      </c>
      <c r="L36" s="122">
        <v>58.176000000000002</v>
      </c>
      <c r="M36" s="122">
        <v>60.758000000000003</v>
      </c>
      <c r="N36" s="122">
        <v>63.642000000000003</v>
      </c>
      <c r="O36" s="122">
        <v>65.218000000000004</v>
      </c>
      <c r="P36" s="122">
        <v>68.308000000000007</v>
      </c>
      <c r="Q36" s="122">
        <v>73.102000000000004</v>
      </c>
      <c r="R36" s="122">
        <v>78.337999999999994</v>
      </c>
      <c r="S36" s="122">
        <v>82.914000000000001</v>
      </c>
      <c r="T36" s="122">
        <v>84.01</v>
      </c>
      <c r="U36" s="122">
        <v>82.828000000000003</v>
      </c>
      <c r="V36" s="122">
        <v>79.930000000000007</v>
      </c>
      <c r="W36" s="122">
        <v>79.643000000000001</v>
      </c>
      <c r="X36" s="122">
        <v>80.236000000000004</v>
      </c>
      <c r="Y36" s="122">
        <v>81.006</v>
      </c>
      <c r="Z36" s="122">
        <v>85.094999999999999</v>
      </c>
      <c r="AA36" s="122">
        <v>89.986000000000004</v>
      </c>
      <c r="AB36" s="11">
        <v>92.453999999999994</v>
      </c>
      <c r="AC36" s="122">
        <v>95.698999999999998</v>
      </c>
      <c r="AD36" s="29">
        <v>100</v>
      </c>
      <c r="AE36" s="29">
        <v>105.64</v>
      </c>
      <c r="AF36" s="29">
        <v>108.65600000000001</v>
      </c>
      <c r="AG36" s="29">
        <v>112.28</v>
      </c>
      <c r="AH36" s="29">
        <v>124.605</v>
      </c>
      <c r="AI36" s="11">
        <v>141.785</v>
      </c>
      <c r="AJ36" s="276">
        <v>146.089</v>
      </c>
    </row>
    <row r="37" spans="2:37">
      <c r="B37" s="171" t="s">
        <v>1004</v>
      </c>
      <c r="C37" s="123" t="s">
        <v>898</v>
      </c>
      <c r="D37" s="123" t="s">
        <v>898</v>
      </c>
      <c r="E37" s="123" t="s">
        <v>898</v>
      </c>
      <c r="F37" s="123" t="s">
        <v>898</v>
      </c>
      <c r="G37" s="123" t="s">
        <v>898</v>
      </c>
      <c r="H37" s="123" t="s">
        <v>898</v>
      </c>
      <c r="I37" s="123" t="s">
        <v>898</v>
      </c>
      <c r="J37" s="123" t="s">
        <v>898</v>
      </c>
      <c r="K37" s="123" t="s">
        <v>898</v>
      </c>
      <c r="L37" s="123" t="s">
        <v>898</v>
      </c>
      <c r="M37" s="123" t="s">
        <v>898</v>
      </c>
      <c r="N37" s="123" t="s">
        <v>898</v>
      </c>
      <c r="O37" s="123" t="s">
        <v>898</v>
      </c>
      <c r="P37" s="123" t="s">
        <v>898</v>
      </c>
      <c r="Q37" s="123" t="s">
        <v>898</v>
      </c>
      <c r="R37" s="123" t="s">
        <v>898</v>
      </c>
      <c r="S37" s="123" t="s">
        <v>898</v>
      </c>
      <c r="T37" s="123" t="s">
        <v>898</v>
      </c>
      <c r="U37" s="123" t="s">
        <v>898</v>
      </c>
      <c r="V37" s="123" t="s">
        <v>898</v>
      </c>
      <c r="W37" s="123" t="s">
        <v>898</v>
      </c>
      <c r="X37" s="123" t="s">
        <v>898</v>
      </c>
      <c r="Y37" s="123" t="s">
        <v>898</v>
      </c>
      <c r="Z37" s="123" t="s">
        <v>898</v>
      </c>
      <c r="AA37" s="123" t="s">
        <v>898</v>
      </c>
      <c r="AB37" s="380" t="s">
        <v>898</v>
      </c>
      <c r="AC37" s="380" t="s">
        <v>898</v>
      </c>
      <c r="AD37" s="29" t="s">
        <v>898</v>
      </c>
      <c r="AE37" s="29" t="s">
        <v>898</v>
      </c>
      <c r="AF37" s="29" t="s">
        <v>898</v>
      </c>
      <c r="AG37" s="29" t="s">
        <v>898</v>
      </c>
      <c r="AH37" s="29" t="s">
        <v>898</v>
      </c>
      <c r="AI37" s="11" t="s">
        <v>898</v>
      </c>
      <c r="AJ37" s="276" t="s">
        <v>898</v>
      </c>
    </row>
    <row r="38" spans="2:37">
      <c r="B38" s="171" t="s">
        <v>899</v>
      </c>
      <c r="C38" s="123" t="s">
        <v>898</v>
      </c>
      <c r="D38" s="123" t="s">
        <v>898</v>
      </c>
      <c r="E38" s="123" t="s">
        <v>898</v>
      </c>
      <c r="F38" s="123" t="s">
        <v>898</v>
      </c>
      <c r="G38" s="123" t="s">
        <v>898</v>
      </c>
      <c r="H38" s="123" t="s">
        <v>898</v>
      </c>
      <c r="I38" s="123" t="s">
        <v>898</v>
      </c>
      <c r="J38" s="123" t="s">
        <v>898</v>
      </c>
      <c r="K38" s="123" t="s">
        <v>898</v>
      </c>
      <c r="L38" s="123" t="s">
        <v>898</v>
      </c>
      <c r="M38" s="123" t="s">
        <v>898</v>
      </c>
      <c r="N38" s="123" t="s">
        <v>898</v>
      </c>
      <c r="O38" s="123" t="s">
        <v>898</v>
      </c>
      <c r="P38" s="123" t="s">
        <v>898</v>
      </c>
      <c r="Q38" s="123" t="s">
        <v>898</v>
      </c>
      <c r="R38" s="123" t="s">
        <v>898</v>
      </c>
      <c r="S38" s="123" t="s">
        <v>898</v>
      </c>
      <c r="T38" s="123" t="s">
        <v>898</v>
      </c>
      <c r="U38" s="123" t="s">
        <v>898</v>
      </c>
      <c r="V38" s="123" t="s">
        <v>898</v>
      </c>
      <c r="W38" s="123" t="s">
        <v>898</v>
      </c>
      <c r="X38" s="123" t="s">
        <v>898</v>
      </c>
      <c r="Y38" s="123" t="s">
        <v>898</v>
      </c>
      <c r="Z38" s="123" t="s">
        <v>898</v>
      </c>
      <c r="AA38" s="123" t="s">
        <v>898</v>
      </c>
      <c r="AB38" s="380" t="s">
        <v>898</v>
      </c>
      <c r="AC38" s="380" t="s">
        <v>898</v>
      </c>
      <c r="AD38" s="29" t="s">
        <v>898</v>
      </c>
      <c r="AE38" s="29" t="s">
        <v>898</v>
      </c>
      <c r="AF38" s="29" t="s">
        <v>898</v>
      </c>
      <c r="AG38" s="29" t="s">
        <v>898</v>
      </c>
      <c r="AH38" s="29" t="s">
        <v>898</v>
      </c>
      <c r="AI38" s="11" t="s">
        <v>898</v>
      </c>
      <c r="AJ38" s="276" t="s">
        <v>898</v>
      </c>
    </row>
    <row r="39" spans="2:37" ht="10.5" customHeight="1">
      <c r="B39" s="171" t="s">
        <v>1005</v>
      </c>
      <c r="C39" s="122">
        <v>83.048000000000002</v>
      </c>
      <c r="D39" s="122">
        <v>83.974000000000004</v>
      </c>
      <c r="E39" s="122">
        <v>83.566000000000003</v>
      </c>
      <c r="F39" s="122">
        <v>83.703999999999994</v>
      </c>
      <c r="G39" s="122">
        <v>84.676000000000002</v>
      </c>
      <c r="H39" s="122">
        <v>86.569000000000003</v>
      </c>
      <c r="I39" s="122">
        <v>85.418999999999997</v>
      </c>
      <c r="J39" s="122">
        <v>83.914000000000001</v>
      </c>
      <c r="K39" s="122">
        <v>81.927000000000007</v>
      </c>
      <c r="L39" s="122">
        <v>81.311000000000007</v>
      </c>
      <c r="M39" s="122">
        <v>82.873000000000005</v>
      </c>
      <c r="N39" s="122">
        <v>82.222999999999999</v>
      </c>
      <c r="O39" s="122">
        <v>81.507000000000005</v>
      </c>
      <c r="P39" s="122">
        <v>82.8</v>
      </c>
      <c r="Q39" s="122">
        <v>85.817999999999998</v>
      </c>
      <c r="R39" s="122">
        <v>88.784000000000006</v>
      </c>
      <c r="S39" s="122">
        <v>91.603999999999999</v>
      </c>
      <c r="T39" s="122">
        <v>95.058999999999997</v>
      </c>
      <c r="U39" s="122">
        <v>99.387</v>
      </c>
      <c r="V39" s="122">
        <v>93.483999999999995</v>
      </c>
      <c r="W39" s="122">
        <v>97.378</v>
      </c>
      <c r="X39" s="122">
        <v>103.508</v>
      </c>
      <c r="Y39" s="122">
        <v>104.298</v>
      </c>
      <c r="Z39" s="122">
        <v>104.45699999999999</v>
      </c>
      <c r="AA39" s="122">
        <v>104.515</v>
      </c>
      <c r="AB39" s="11">
        <v>99.454999999999998</v>
      </c>
      <c r="AC39" s="122">
        <v>97.456999999999994</v>
      </c>
      <c r="AD39" s="29">
        <v>100</v>
      </c>
      <c r="AE39" s="29">
        <v>103.325</v>
      </c>
      <c r="AF39" s="29">
        <v>102.81399999999999</v>
      </c>
      <c r="AG39" s="29">
        <v>100.247</v>
      </c>
      <c r="AH39" s="29">
        <v>111.801</v>
      </c>
      <c r="AI39" s="11">
        <v>122.767</v>
      </c>
      <c r="AJ39" s="276">
        <v>120.901</v>
      </c>
      <c r="AK39"/>
    </row>
    <row r="40" spans="2:37" ht="10.5" customHeight="1">
      <c r="B40" s="171" t="s">
        <v>1006</v>
      </c>
      <c r="C40" s="122">
        <v>95.370999999999995</v>
      </c>
      <c r="D40" s="122">
        <v>95.326999999999998</v>
      </c>
      <c r="E40" s="122">
        <v>93.840999999999994</v>
      </c>
      <c r="F40" s="122">
        <v>93.369</v>
      </c>
      <c r="G40" s="122">
        <v>94.436000000000007</v>
      </c>
      <c r="H40" s="122">
        <v>96.677000000000007</v>
      </c>
      <c r="I40" s="122">
        <v>94.225999999999999</v>
      </c>
      <c r="J40" s="122">
        <v>91.613</v>
      </c>
      <c r="K40" s="122">
        <v>88.724999999999994</v>
      </c>
      <c r="L40" s="122">
        <v>87.509</v>
      </c>
      <c r="M40" s="122">
        <v>89.024000000000001</v>
      </c>
      <c r="N40" s="122">
        <v>88.501999999999995</v>
      </c>
      <c r="O40" s="122">
        <v>87.581000000000003</v>
      </c>
      <c r="P40" s="122">
        <v>88.405000000000001</v>
      </c>
      <c r="Q40" s="122">
        <v>91.512</v>
      </c>
      <c r="R40" s="122">
        <v>94.418000000000006</v>
      </c>
      <c r="S40" s="122">
        <v>97.331999999999994</v>
      </c>
      <c r="T40" s="122">
        <v>101.139</v>
      </c>
      <c r="U40" s="122">
        <v>106.345</v>
      </c>
      <c r="V40" s="122">
        <v>98.82</v>
      </c>
      <c r="W40" s="122">
        <v>103.28400000000001</v>
      </c>
      <c r="X40" s="122">
        <v>110.86799999999999</v>
      </c>
      <c r="Y40" s="122">
        <v>111.092</v>
      </c>
      <c r="Z40" s="122">
        <v>110.34399999999999</v>
      </c>
      <c r="AA40" s="122">
        <v>109.20699999999999</v>
      </c>
      <c r="AB40" s="11">
        <v>101.423</v>
      </c>
      <c r="AC40" s="122">
        <v>97.466999999999999</v>
      </c>
      <c r="AD40" s="29">
        <v>100</v>
      </c>
      <c r="AE40" s="29">
        <v>103.545</v>
      </c>
      <c r="AF40" s="29">
        <v>101.851</v>
      </c>
      <c r="AG40" s="29">
        <v>97.87</v>
      </c>
      <c r="AH40" s="29">
        <v>111.693</v>
      </c>
      <c r="AI40" s="11">
        <v>124.79600000000001</v>
      </c>
      <c r="AJ40" s="276">
        <v>119.69199999999999</v>
      </c>
      <c r="AK40"/>
    </row>
    <row r="41" spans="2:37" ht="10.5" customHeight="1">
      <c r="B41" s="171" t="s">
        <v>1007</v>
      </c>
      <c r="C41" s="122">
        <v>60.061</v>
      </c>
      <c r="D41" s="122">
        <v>62.625</v>
      </c>
      <c r="E41" s="122">
        <v>64.096999999999994</v>
      </c>
      <c r="F41" s="122">
        <v>65.3</v>
      </c>
      <c r="G41" s="122">
        <v>66.091999999999999</v>
      </c>
      <c r="H41" s="122">
        <v>67.335999999999999</v>
      </c>
      <c r="I41" s="122">
        <v>68.662999999999997</v>
      </c>
      <c r="J41" s="122">
        <v>69.358999999999995</v>
      </c>
      <c r="K41" s="122">
        <v>69.215000000000003</v>
      </c>
      <c r="L41" s="122">
        <v>69.819000000000003</v>
      </c>
      <c r="M41" s="122">
        <v>71.501000000000005</v>
      </c>
      <c r="N41" s="122">
        <v>70.578000000000003</v>
      </c>
      <c r="O41" s="122">
        <v>70.263999999999996</v>
      </c>
      <c r="P41" s="122">
        <v>72.492999999999995</v>
      </c>
      <c r="Q41" s="122">
        <v>75.363</v>
      </c>
      <c r="R41" s="122">
        <v>78.477999999999994</v>
      </c>
      <c r="S41" s="122">
        <v>81.141000000000005</v>
      </c>
      <c r="T41" s="122">
        <v>83.933000000000007</v>
      </c>
      <c r="U41" s="122">
        <v>86.594999999999999</v>
      </c>
      <c r="V41" s="122">
        <v>83.622</v>
      </c>
      <c r="W41" s="122">
        <v>86.495000000000005</v>
      </c>
      <c r="X41" s="122">
        <v>89.956999999999994</v>
      </c>
      <c r="Y41" s="122">
        <v>91.79</v>
      </c>
      <c r="Z41" s="122">
        <v>93.61</v>
      </c>
      <c r="AA41" s="122">
        <v>95.88</v>
      </c>
      <c r="AB41" s="11">
        <v>95.849000000000004</v>
      </c>
      <c r="AC41" s="122">
        <v>97.44</v>
      </c>
      <c r="AD41" s="29">
        <v>100</v>
      </c>
      <c r="AE41" s="29">
        <v>102.91</v>
      </c>
      <c r="AF41" s="29">
        <v>104.649</v>
      </c>
      <c r="AG41" s="29">
        <v>104.917</v>
      </c>
      <c r="AH41" s="29">
        <v>111.584</v>
      </c>
      <c r="AI41" s="11">
        <v>117.94799999999999</v>
      </c>
      <c r="AJ41" s="11">
        <v>122.946</v>
      </c>
      <c r="AK41"/>
    </row>
    <row r="42" spans="2:37" ht="10.5" customHeight="1">
      <c r="B42" s="171" t="s">
        <v>1008</v>
      </c>
      <c r="C42" s="122">
        <v>88.575000000000003</v>
      </c>
      <c r="D42" s="122">
        <v>87.837000000000003</v>
      </c>
      <c r="E42" s="122">
        <v>87.906999999999996</v>
      </c>
      <c r="F42" s="122">
        <v>87.233999999999995</v>
      </c>
      <c r="G42" s="122">
        <v>88.052999999999997</v>
      </c>
      <c r="H42" s="122">
        <v>90.465999999999994</v>
      </c>
      <c r="I42" s="122">
        <v>88.888999999999996</v>
      </c>
      <c r="J42" s="122">
        <v>85.8</v>
      </c>
      <c r="K42" s="122">
        <v>81.180000000000007</v>
      </c>
      <c r="L42" s="122">
        <v>81.664000000000001</v>
      </c>
      <c r="M42" s="122">
        <v>85.236000000000004</v>
      </c>
      <c r="N42" s="122">
        <v>83.031000000000006</v>
      </c>
      <c r="O42" s="122">
        <v>82.042000000000002</v>
      </c>
      <c r="P42" s="122">
        <v>84.524000000000001</v>
      </c>
      <c r="Q42" s="122">
        <v>88.552999999999997</v>
      </c>
      <c r="R42" s="122">
        <v>93.763999999999996</v>
      </c>
      <c r="S42" s="122">
        <v>97.393000000000001</v>
      </c>
      <c r="T42" s="122">
        <v>100.791</v>
      </c>
      <c r="U42" s="122">
        <v>110.783</v>
      </c>
      <c r="V42" s="122">
        <v>98.531999999999996</v>
      </c>
      <c r="W42" s="122">
        <v>104.108</v>
      </c>
      <c r="X42" s="122">
        <v>112.041</v>
      </c>
      <c r="Y42" s="122">
        <v>112.35899999999999</v>
      </c>
      <c r="Z42" s="122">
        <v>110.89400000000001</v>
      </c>
      <c r="AA42" s="122">
        <v>110.06699999999999</v>
      </c>
      <c r="AB42" s="11">
        <v>101.283</v>
      </c>
      <c r="AC42" s="122">
        <v>97.825000000000003</v>
      </c>
      <c r="AD42" s="29">
        <v>100</v>
      </c>
      <c r="AE42" s="29">
        <v>102.66200000000001</v>
      </c>
      <c r="AF42" s="29">
        <v>100.98699999999999</v>
      </c>
      <c r="AG42" s="29">
        <v>98.87</v>
      </c>
      <c r="AH42" s="29">
        <v>106.023</v>
      </c>
      <c r="AI42" s="11">
        <v>113.623</v>
      </c>
      <c r="AJ42" s="11">
        <v>111.47799999999999</v>
      </c>
      <c r="AK42"/>
    </row>
    <row r="43" spans="2:37" ht="10.5" customHeight="1">
      <c r="B43" s="171" t="s">
        <v>1006</v>
      </c>
      <c r="C43" s="122">
        <v>96.305000000000007</v>
      </c>
      <c r="D43" s="122">
        <v>94.483999999999995</v>
      </c>
      <c r="E43" s="122">
        <v>93.968000000000004</v>
      </c>
      <c r="F43" s="122">
        <v>92.918000000000006</v>
      </c>
      <c r="G43" s="122">
        <v>93.594999999999999</v>
      </c>
      <c r="H43" s="122">
        <v>96.09</v>
      </c>
      <c r="I43" s="122">
        <v>93.653999999999996</v>
      </c>
      <c r="J43" s="122">
        <v>89.787000000000006</v>
      </c>
      <c r="K43" s="122">
        <v>84.363</v>
      </c>
      <c r="L43" s="122">
        <v>84.46</v>
      </c>
      <c r="M43" s="122">
        <v>88.912000000000006</v>
      </c>
      <c r="N43" s="122">
        <v>86.412999999999997</v>
      </c>
      <c r="O43" s="122">
        <v>84.921000000000006</v>
      </c>
      <c r="P43" s="122">
        <v>86.73</v>
      </c>
      <c r="Q43" s="122">
        <v>90.869</v>
      </c>
      <c r="R43" s="122">
        <v>96.638000000000005</v>
      </c>
      <c r="S43" s="122">
        <v>100.511</v>
      </c>
      <c r="T43" s="122">
        <v>103.90300000000001</v>
      </c>
      <c r="U43" s="122">
        <v>115.245</v>
      </c>
      <c r="V43" s="122">
        <v>100.768</v>
      </c>
      <c r="W43" s="122">
        <v>107.081</v>
      </c>
      <c r="X43" s="122">
        <v>116.289</v>
      </c>
      <c r="Y43" s="122">
        <v>116.44199999999999</v>
      </c>
      <c r="Z43" s="122">
        <v>114.181</v>
      </c>
      <c r="AA43" s="122">
        <v>112.66</v>
      </c>
      <c r="AB43" s="122">
        <v>102.053</v>
      </c>
      <c r="AC43" s="122">
        <v>97.81</v>
      </c>
      <c r="AD43" s="29">
        <v>100</v>
      </c>
      <c r="AE43" s="29">
        <v>102.709</v>
      </c>
      <c r="AF43" s="29">
        <v>100.452</v>
      </c>
      <c r="AG43" s="29">
        <v>97.756</v>
      </c>
      <c r="AH43" s="29">
        <v>105.203</v>
      </c>
      <c r="AI43" s="11">
        <v>113.03400000000001</v>
      </c>
      <c r="AJ43" s="11">
        <v>109.622</v>
      </c>
      <c r="AK43"/>
    </row>
    <row r="44" spans="2:37" ht="10.5" customHeight="1">
      <c r="B44" s="171" t="s">
        <v>1007</v>
      </c>
      <c r="C44" s="122">
        <v>60.015000000000001</v>
      </c>
      <c r="D44" s="122">
        <v>62.21</v>
      </c>
      <c r="E44" s="122">
        <v>63.957000000000001</v>
      </c>
      <c r="F44" s="122">
        <v>64.498999999999995</v>
      </c>
      <c r="G44" s="122">
        <v>65.765000000000001</v>
      </c>
      <c r="H44" s="122">
        <v>67.817999999999998</v>
      </c>
      <c r="I44" s="122">
        <v>69.510000000000005</v>
      </c>
      <c r="J44" s="122">
        <v>69.507999999999996</v>
      </c>
      <c r="K44" s="122">
        <v>68.149000000000001</v>
      </c>
      <c r="L44" s="122">
        <v>70.245000000000005</v>
      </c>
      <c r="M44" s="122">
        <v>70.016999999999996</v>
      </c>
      <c r="N44" s="122">
        <v>69.057000000000002</v>
      </c>
      <c r="O44" s="122">
        <v>70.147000000000006</v>
      </c>
      <c r="P44" s="122">
        <v>75.515000000000001</v>
      </c>
      <c r="Q44" s="122">
        <v>79.096999999999994</v>
      </c>
      <c r="R44" s="122">
        <v>81.849999999999994</v>
      </c>
      <c r="S44" s="122">
        <v>84.412000000000006</v>
      </c>
      <c r="T44" s="122">
        <v>87.864000000000004</v>
      </c>
      <c r="U44" s="122">
        <v>92.234999999999999</v>
      </c>
      <c r="V44" s="122">
        <v>88.378</v>
      </c>
      <c r="W44" s="122">
        <v>91.227999999999994</v>
      </c>
      <c r="X44" s="122">
        <v>94.171999999999997</v>
      </c>
      <c r="Y44" s="122">
        <v>95.134</v>
      </c>
      <c r="Z44" s="122">
        <v>96.885999999999996</v>
      </c>
      <c r="AA44" s="122">
        <v>98.953999999999994</v>
      </c>
      <c r="AB44" s="122">
        <v>97.965999999999994</v>
      </c>
      <c r="AC44" s="122">
        <v>97.888000000000005</v>
      </c>
      <c r="AD44" s="29">
        <v>100</v>
      </c>
      <c r="AE44" s="29">
        <v>102.464</v>
      </c>
      <c r="AF44" s="29">
        <v>103.34099999999999</v>
      </c>
      <c r="AG44" s="29">
        <v>103.97199999999999</v>
      </c>
      <c r="AH44" s="29">
        <v>109.539</v>
      </c>
      <c r="AI44" s="11">
        <v>115.94499999999999</v>
      </c>
      <c r="AJ44" s="11">
        <v>119.65</v>
      </c>
      <c r="AK44"/>
    </row>
    <row r="45" spans="2:37" ht="10.5" customHeight="1">
      <c r="B45" s="171" t="s">
        <v>902</v>
      </c>
      <c r="C45" s="122">
        <v>48.682000000000002</v>
      </c>
      <c r="D45" s="122">
        <v>50.45</v>
      </c>
      <c r="E45" s="122">
        <v>51.978000000000002</v>
      </c>
      <c r="F45" s="122">
        <v>53.203000000000003</v>
      </c>
      <c r="G45" s="122">
        <v>54.613</v>
      </c>
      <c r="H45" s="122">
        <v>56.162999999999997</v>
      </c>
      <c r="I45" s="122">
        <v>57.314</v>
      </c>
      <c r="J45" s="122">
        <v>58.439</v>
      </c>
      <c r="K45" s="122">
        <v>59.433</v>
      </c>
      <c r="L45" s="122">
        <v>61.421999999999997</v>
      </c>
      <c r="M45" s="122">
        <v>64.058999999999997</v>
      </c>
      <c r="N45" s="122">
        <v>65.909000000000006</v>
      </c>
      <c r="O45" s="122">
        <v>67.61</v>
      </c>
      <c r="P45" s="122">
        <v>70.090999999999994</v>
      </c>
      <c r="Q45" s="122">
        <v>73.016000000000005</v>
      </c>
      <c r="R45" s="122">
        <v>76.725999999999999</v>
      </c>
      <c r="S45" s="122">
        <v>80.063000000000002</v>
      </c>
      <c r="T45" s="122">
        <v>83.653000000000006</v>
      </c>
      <c r="U45" s="122">
        <v>87.221000000000004</v>
      </c>
      <c r="V45" s="122">
        <v>86.835999999999999</v>
      </c>
      <c r="W45" s="122">
        <v>89.149000000000001</v>
      </c>
      <c r="X45" s="122">
        <v>91.861000000000004</v>
      </c>
      <c r="Y45" s="122">
        <v>93.46</v>
      </c>
      <c r="Z45" s="122">
        <v>95.634</v>
      </c>
      <c r="AA45" s="122">
        <v>97.578000000000003</v>
      </c>
      <c r="AB45" s="11">
        <v>97.581000000000003</v>
      </c>
      <c r="AC45" s="122">
        <v>97.766000000000005</v>
      </c>
      <c r="AD45" s="29">
        <v>100</v>
      </c>
      <c r="AE45" s="29">
        <v>103.619</v>
      </c>
      <c r="AF45" s="29">
        <v>105.235</v>
      </c>
      <c r="AG45" s="29">
        <v>107.51600000000001</v>
      </c>
      <c r="AH45" s="29">
        <v>113.181</v>
      </c>
      <c r="AI45" s="11">
        <v>121.15300000000001</v>
      </c>
      <c r="AJ45" s="11">
        <v>124.226</v>
      </c>
      <c r="AK45"/>
    </row>
    <row r="46" spans="2:37" ht="10.5" customHeight="1">
      <c r="B46" s="171" t="s">
        <v>1009</v>
      </c>
      <c r="C46" s="122">
        <v>54.271999999999998</v>
      </c>
      <c r="D46" s="122">
        <v>56.223999999999997</v>
      </c>
      <c r="E46" s="122">
        <v>57.66</v>
      </c>
      <c r="F46" s="122">
        <v>58.917999999999999</v>
      </c>
      <c r="G46" s="122">
        <v>60.539000000000001</v>
      </c>
      <c r="H46" s="122">
        <v>62.412999999999997</v>
      </c>
      <c r="I46" s="122">
        <v>63.454999999999998</v>
      </c>
      <c r="J46" s="122">
        <v>64.436000000000007</v>
      </c>
      <c r="K46" s="122">
        <v>65.260000000000005</v>
      </c>
      <c r="L46" s="122">
        <v>66.872</v>
      </c>
      <c r="M46" s="122">
        <v>69.114999999999995</v>
      </c>
      <c r="N46" s="122">
        <v>70.394999999999996</v>
      </c>
      <c r="O46" s="122">
        <v>72.668999999999997</v>
      </c>
      <c r="P46" s="122">
        <v>75.849000000000004</v>
      </c>
      <c r="Q46" s="122">
        <v>78.457999999999998</v>
      </c>
      <c r="R46" s="122">
        <v>81.722999999999999</v>
      </c>
      <c r="S46" s="122">
        <v>84.326999999999998</v>
      </c>
      <c r="T46" s="122">
        <v>86.83</v>
      </c>
      <c r="U46" s="122">
        <v>89.494</v>
      </c>
      <c r="V46" s="122">
        <v>89.278999999999996</v>
      </c>
      <c r="W46" s="122">
        <v>91.394000000000005</v>
      </c>
      <c r="X46" s="122">
        <v>93.9</v>
      </c>
      <c r="Y46" s="122">
        <v>94.783000000000001</v>
      </c>
      <c r="Z46" s="122">
        <v>95.596999999999994</v>
      </c>
      <c r="AA46" s="122">
        <v>97.215000000000003</v>
      </c>
      <c r="AB46" s="11">
        <v>97.608999999999995</v>
      </c>
      <c r="AC46" s="122">
        <v>98.204999999999998</v>
      </c>
      <c r="AD46" s="29">
        <v>100</v>
      </c>
      <c r="AE46" s="29">
        <v>102.77500000000001</v>
      </c>
      <c r="AF46" s="29">
        <v>104.56</v>
      </c>
      <c r="AG46" s="29">
        <v>105.599</v>
      </c>
      <c r="AH46" s="29">
        <v>109.024</v>
      </c>
      <c r="AI46" s="11">
        <v>115.108</v>
      </c>
      <c r="AJ46" s="11">
        <v>119.652</v>
      </c>
      <c r="AK46"/>
    </row>
    <row r="47" spans="2:37" ht="10.5" customHeight="1">
      <c r="B47" s="171" t="s">
        <v>1010</v>
      </c>
      <c r="C47" s="122">
        <v>54.872</v>
      </c>
      <c r="D47" s="122">
        <v>56.600999999999999</v>
      </c>
      <c r="E47" s="122">
        <v>58.247</v>
      </c>
      <c r="F47" s="122">
        <v>59.146999999999998</v>
      </c>
      <c r="G47" s="122">
        <v>60.695999999999998</v>
      </c>
      <c r="H47" s="122">
        <v>62.421999999999997</v>
      </c>
      <c r="I47" s="122">
        <v>63.465000000000003</v>
      </c>
      <c r="J47" s="122">
        <v>64.349999999999994</v>
      </c>
      <c r="K47" s="122">
        <v>65.152000000000001</v>
      </c>
      <c r="L47" s="122">
        <v>66.801000000000002</v>
      </c>
      <c r="M47" s="122">
        <v>69.055999999999997</v>
      </c>
      <c r="N47" s="122">
        <v>70.364999999999995</v>
      </c>
      <c r="O47" s="122">
        <v>72.712000000000003</v>
      </c>
      <c r="P47" s="122">
        <v>76.316999999999993</v>
      </c>
      <c r="Q47" s="122">
        <v>78.965000000000003</v>
      </c>
      <c r="R47" s="122">
        <v>82.561999999999998</v>
      </c>
      <c r="S47" s="122">
        <v>85.451999999999998</v>
      </c>
      <c r="T47" s="122">
        <v>88.070999999999998</v>
      </c>
      <c r="U47" s="122">
        <v>90.998999999999995</v>
      </c>
      <c r="V47" s="122">
        <v>90.352000000000004</v>
      </c>
      <c r="W47" s="122">
        <v>92.272999999999996</v>
      </c>
      <c r="X47" s="122">
        <v>94.978999999999999</v>
      </c>
      <c r="Y47" s="122">
        <v>95.99</v>
      </c>
      <c r="Z47" s="122">
        <v>96.459000000000003</v>
      </c>
      <c r="AA47" s="122">
        <v>97.85</v>
      </c>
      <c r="AB47" s="11">
        <v>98.052999999999997</v>
      </c>
      <c r="AC47" s="122">
        <v>98.418999999999997</v>
      </c>
      <c r="AD47" s="29">
        <v>100</v>
      </c>
      <c r="AE47" s="29">
        <v>102.642</v>
      </c>
      <c r="AF47" s="29">
        <v>104.312</v>
      </c>
      <c r="AG47" s="29">
        <v>105.458</v>
      </c>
      <c r="AH47" s="29">
        <v>109.181</v>
      </c>
      <c r="AI47" s="11">
        <v>116.038</v>
      </c>
      <c r="AJ47" s="11">
        <v>120.20099999999999</v>
      </c>
      <c r="AK47"/>
    </row>
    <row r="48" spans="2:37" ht="10.5" customHeight="1">
      <c r="B48" s="171" t="s">
        <v>1011</v>
      </c>
      <c r="C48" s="122">
        <v>53.079000000000001</v>
      </c>
      <c r="D48" s="122">
        <v>55.584000000000003</v>
      </c>
      <c r="E48" s="122">
        <v>56.548000000000002</v>
      </c>
      <c r="F48" s="122">
        <v>58.564999999999998</v>
      </c>
      <c r="G48" s="122">
        <v>60.335000000000001</v>
      </c>
      <c r="H48" s="122">
        <v>62.496000000000002</v>
      </c>
      <c r="I48" s="122">
        <v>63.537999999999997</v>
      </c>
      <c r="J48" s="122">
        <v>64.697999999999993</v>
      </c>
      <c r="K48" s="122">
        <v>65.56</v>
      </c>
      <c r="L48" s="122">
        <v>67.111999999999995</v>
      </c>
      <c r="M48" s="122">
        <v>69.338999999999999</v>
      </c>
      <c r="N48" s="122">
        <v>70.575999999999993</v>
      </c>
      <c r="O48" s="122">
        <v>72.734999999999999</v>
      </c>
      <c r="P48" s="122">
        <v>75.221000000000004</v>
      </c>
      <c r="Q48" s="122">
        <v>77.77</v>
      </c>
      <c r="R48" s="122">
        <v>80.460999999999999</v>
      </c>
      <c r="S48" s="122">
        <v>82.572999999999993</v>
      </c>
      <c r="T48" s="122">
        <v>84.882000000000005</v>
      </c>
      <c r="U48" s="122">
        <v>87.084000000000003</v>
      </c>
      <c r="V48" s="122">
        <v>87.637</v>
      </c>
      <c r="W48" s="122">
        <v>90.093999999999994</v>
      </c>
      <c r="X48" s="122">
        <v>92.262</v>
      </c>
      <c r="Y48" s="122">
        <v>92.927000000000007</v>
      </c>
      <c r="Z48" s="122">
        <v>94.307000000000002</v>
      </c>
      <c r="AA48" s="122">
        <v>96.287000000000006</v>
      </c>
      <c r="AB48" s="11">
        <v>96.968000000000004</v>
      </c>
      <c r="AC48" s="122">
        <v>97.897000000000006</v>
      </c>
      <c r="AD48" s="29">
        <v>100</v>
      </c>
      <c r="AE48" s="29">
        <v>102.968</v>
      </c>
      <c r="AF48" s="29">
        <v>104.923</v>
      </c>
      <c r="AG48" s="29">
        <v>105.806</v>
      </c>
      <c r="AH48" s="29">
        <v>108.83499999999999</v>
      </c>
      <c r="AI48" s="11">
        <v>113.92400000000001</v>
      </c>
      <c r="AJ48" s="11">
        <v>118.956</v>
      </c>
      <c r="AK48"/>
    </row>
    <row r="49" spans="2:37" ht="10.5" customHeight="1">
      <c r="B49" s="171" t="s">
        <v>1012</v>
      </c>
      <c r="C49" s="122">
        <v>45.465000000000003</v>
      </c>
      <c r="D49" s="122">
        <v>47.13</v>
      </c>
      <c r="E49" s="122">
        <v>48.735999999999997</v>
      </c>
      <c r="F49" s="122">
        <v>49.95</v>
      </c>
      <c r="G49" s="122">
        <v>51.237000000000002</v>
      </c>
      <c r="H49" s="122">
        <v>52.601999999999997</v>
      </c>
      <c r="I49" s="122">
        <v>53.808999999999997</v>
      </c>
      <c r="J49" s="122">
        <v>55.006</v>
      </c>
      <c r="K49" s="122">
        <v>56.078000000000003</v>
      </c>
      <c r="L49" s="122">
        <v>58.231000000000002</v>
      </c>
      <c r="M49" s="122">
        <v>61.03</v>
      </c>
      <c r="N49" s="122">
        <v>63.128</v>
      </c>
      <c r="O49" s="122">
        <v>64.537999999999997</v>
      </c>
      <c r="P49" s="122">
        <v>66.646000000000001</v>
      </c>
      <c r="Q49" s="122">
        <v>69.725999999999999</v>
      </c>
      <c r="R49" s="122">
        <v>73.667000000000002</v>
      </c>
      <c r="S49" s="122">
        <v>77.406000000000006</v>
      </c>
      <c r="T49" s="122">
        <v>81.602999999999994</v>
      </c>
      <c r="U49" s="122">
        <v>85.691999999999993</v>
      </c>
      <c r="V49" s="122">
        <v>85.200999999999993</v>
      </c>
      <c r="W49" s="122">
        <v>87.641999999999996</v>
      </c>
      <c r="X49" s="122">
        <v>90.494</v>
      </c>
      <c r="Y49" s="122">
        <v>92.578999999999994</v>
      </c>
      <c r="Z49" s="122">
        <v>95.653999999999996</v>
      </c>
      <c r="AA49" s="122">
        <v>97.804000000000002</v>
      </c>
      <c r="AB49" s="11">
        <v>97.566999999999993</v>
      </c>
      <c r="AC49" s="122">
        <v>97.504999999999995</v>
      </c>
      <c r="AD49" s="29">
        <v>100</v>
      </c>
      <c r="AE49" s="29">
        <v>104.126</v>
      </c>
      <c r="AF49" s="29">
        <v>105.64</v>
      </c>
      <c r="AG49" s="29">
        <v>108.68899999999999</v>
      </c>
      <c r="AH49" s="29">
        <v>115.792</v>
      </c>
      <c r="AI49" s="11">
        <v>124.97</v>
      </c>
      <c r="AJ49" s="11">
        <v>127.111</v>
      </c>
      <c r="AK49"/>
    </row>
    <row r="50" spans="2:37" ht="10.5" customHeight="1">
      <c r="B50" s="171" t="s">
        <v>903</v>
      </c>
      <c r="C50" s="122"/>
      <c r="D50" s="122"/>
      <c r="E50" s="122"/>
      <c r="F50" s="122"/>
      <c r="G50" s="122"/>
      <c r="H50" s="122"/>
      <c r="I50" s="122"/>
      <c r="J50" s="122"/>
      <c r="K50" s="122"/>
      <c r="L50" s="122"/>
      <c r="M50" s="122"/>
      <c r="N50" s="122"/>
      <c r="O50" s="122"/>
      <c r="P50" s="122"/>
      <c r="Q50" s="122"/>
      <c r="R50" s="122"/>
      <c r="S50" s="122"/>
      <c r="T50" s="122"/>
      <c r="U50" s="122"/>
      <c r="V50" s="122"/>
      <c r="W50" s="122"/>
      <c r="X50" s="122"/>
      <c r="Y50" s="122"/>
      <c r="Z50" s="122"/>
      <c r="AA50" s="122"/>
      <c r="AD50" s="29"/>
      <c r="AE50" s="29"/>
      <c r="AF50" s="29"/>
      <c r="AG50" s="29"/>
      <c r="AH50" s="29"/>
      <c r="AK50"/>
    </row>
    <row r="51" spans="2:37" ht="10.5" customHeight="1">
      <c r="B51" s="171" t="s">
        <v>1013</v>
      </c>
      <c r="C51" s="11">
        <v>59.265999999999998</v>
      </c>
      <c r="D51" s="11">
        <v>61.281999999999996</v>
      </c>
      <c r="E51" s="11">
        <v>62.677</v>
      </c>
      <c r="F51" s="11">
        <v>64.161000000000001</v>
      </c>
      <c r="G51" s="11">
        <v>65.528000000000006</v>
      </c>
      <c r="H51" s="11">
        <v>66.909000000000006</v>
      </c>
      <c r="I51" s="11">
        <v>68.137</v>
      </c>
      <c r="J51" s="11">
        <v>69.311999999999998</v>
      </c>
      <c r="K51" s="11">
        <v>70.093000000000004</v>
      </c>
      <c r="L51" s="11">
        <v>71.131</v>
      </c>
      <c r="M51" s="11">
        <v>72.742999999999995</v>
      </c>
      <c r="N51" s="11">
        <v>74.38</v>
      </c>
      <c r="O51" s="11">
        <v>75.534999999999997</v>
      </c>
      <c r="P51" s="11">
        <v>77.027000000000001</v>
      </c>
      <c r="Q51" s="11">
        <v>79.097999999999999</v>
      </c>
      <c r="R51" s="11">
        <v>81.58</v>
      </c>
      <c r="S51" s="11">
        <v>84.096000000000004</v>
      </c>
      <c r="T51" s="11">
        <v>86.376999999999995</v>
      </c>
      <c r="U51" s="11">
        <v>88.046000000000006</v>
      </c>
      <c r="V51" s="11">
        <v>88.581000000000003</v>
      </c>
      <c r="W51" s="11">
        <v>89.66</v>
      </c>
      <c r="X51" s="11">
        <v>91.513999999999996</v>
      </c>
      <c r="Y51" s="11">
        <v>93.216999999999999</v>
      </c>
      <c r="Z51" s="11">
        <v>94.801000000000002</v>
      </c>
      <c r="AA51" s="11">
        <v>96.451999999999998</v>
      </c>
      <c r="AB51" s="11">
        <v>97.338999999999999</v>
      </c>
      <c r="AC51" s="11">
        <v>98.262</v>
      </c>
      <c r="AD51" s="29">
        <v>100</v>
      </c>
      <c r="AE51" s="29">
        <v>102.22499999999999</v>
      </c>
      <c r="AF51" s="29">
        <v>103.937</v>
      </c>
      <c r="AG51" s="29">
        <v>105.309</v>
      </c>
      <c r="AH51" s="29">
        <v>110.13</v>
      </c>
      <c r="AI51" s="11">
        <v>117.88500000000001</v>
      </c>
      <c r="AJ51" s="11">
        <v>122.179</v>
      </c>
      <c r="AK51"/>
    </row>
    <row r="52" spans="2:37" ht="10.5" customHeight="1">
      <c r="B52" s="1236" t="s">
        <v>994</v>
      </c>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K52"/>
    </row>
    <row r="53" spans="2:37" ht="9.75" customHeight="1">
      <c r="AK53"/>
    </row>
  </sheetData>
  <hyperlinks>
    <hyperlink ref="B10" r:id="rId1" xr:uid="{00000000-0004-0000-2200-000003000000}"/>
    <hyperlink ref="B7" r:id="rId2" xr:uid="{00000000-0004-0000-2200-000004000000}"/>
    <hyperlink ref="B19" r:id="rId3" display="https://www.bls.gov/web/eci/eci-constant-real-dollar.pdf" xr:uid="{6213409D-7FDC-4E78-ABD2-13A301A95906}"/>
    <hyperlink ref="B52" r:id="rId4" location="eyJhcHBpZCI6MTksInN0ZXBzIjpbMSwyLDMsM10sImRhdGEiOltbIk5JUEFfVGFibGVfTGlzdCIsIjEzIl0sWyJDYXRlZ29yaWVzIiwiU3VydmV5Il0sWyJGaXJzdF9ZZWFyIiwiMTk5MCJdLFsiTGFzdF9ZZWFyIiwiMjAyNCJdLFsiU2NhbGUiLCIwIl0sWyJTZXJpZXMiLCJBIl1dfQ==" display="https://apps.bea.gov/iTable/?reqid=19&amp;step=3&amp;isuri=1&amp;1921=survey&amp;1903=13#eyJhcHBpZCI6MTksInN0ZXBzIjpbMSwyLDMsM10sImRhdGEiOltbIk5JUEFfVGFibGVfTGlzdCIsIjEzIl0sWyJDYXRlZ29yaWVzIiwiU3VydmV5Il0sWyJGaXJzdF9ZZWFyIiwiMTk5MCJdLFsiTGFzdF9ZZWFyIiwiMjAyNCJdLFsiU2NhbGUiLCIwIl0sWyJTZXJpZXMiLCJBIl1dfQ==" xr:uid="{00000000-0004-0000-2200-000001000000}"/>
  </hyperlinks>
  <pageMargins left="0.7" right="0.7" top="0.75" bottom="0.75" header="0.3" footer="0.3"/>
  <pageSetup scale="14" orientation="landscape" r:id="rId5"/>
  <headerFooter>
    <oddHeader>&amp;L&amp;F&amp;R&amp;A</oddHeader>
    <oddFooter>&amp;LHDR inc.&amp;C&amp;P of &amp;N&amp;R&amp;D</oddFooter>
  </headerFooter>
  <legacyDrawing r:id="rId6"/>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tabColor theme="9" tint="0.59999389629810485"/>
    <pageSetUpPr fitToPage="1"/>
  </sheetPr>
  <dimension ref="A1:AL59"/>
  <sheetViews>
    <sheetView showGridLines="0" zoomScaleNormal="100" workbookViewId="0">
      <selection activeCell="A53" sqref="A53"/>
    </sheetView>
  </sheetViews>
  <sheetFormatPr defaultColWidth="9.25" defaultRowHeight="12.75"/>
  <cols>
    <col min="1" max="1" width="29.875" style="126" customWidth="1"/>
    <col min="2" max="3" width="10.75" style="126" customWidth="1"/>
    <col min="4" max="5" width="11.75" style="126" customWidth="1"/>
    <col min="6" max="6" width="6.875" style="126" bestFit="1" customWidth="1"/>
    <col min="7" max="10" width="9.375" style="126" bestFit="1" customWidth="1"/>
    <col min="11" max="11" width="9" style="126" bestFit="1" customWidth="1"/>
    <col min="12" max="12" width="9.375" style="126" bestFit="1" customWidth="1"/>
    <col min="13" max="14" width="10.25" style="126" bestFit="1" customWidth="1"/>
    <col min="15" max="15" width="10" style="126" bestFit="1" customWidth="1"/>
    <col min="16" max="17" width="10.25" style="126" bestFit="1" customWidth="1"/>
    <col min="18" max="18" width="10" style="126" bestFit="1" customWidth="1"/>
    <col min="19" max="19" width="10.25" style="126" bestFit="1" customWidth="1"/>
    <col min="20" max="20" width="10" style="126" bestFit="1" customWidth="1"/>
    <col min="21" max="21" width="10.25" style="126" bestFit="1" customWidth="1"/>
    <col min="22" max="22" width="10" style="126" bestFit="1" customWidth="1"/>
    <col min="23" max="35" width="10.25" style="126" bestFit="1" customWidth="1"/>
    <col min="36" max="36" width="10.625" style="126" bestFit="1" customWidth="1"/>
    <col min="37" max="38" width="8.125" style="126" bestFit="1" customWidth="1"/>
    <col min="39" max="16384" width="9.25" style="126"/>
  </cols>
  <sheetData>
    <row r="1" spans="1:38" ht="23.25">
      <c r="A1" s="136" t="s">
        <v>49</v>
      </c>
    </row>
    <row r="3" spans="1:38" ht="26.25" customHeight="1">
      <c r="A3" s="137" t="s">
        <v>904</v>
      </c>
    </row>
    <row r="4" spans="1:38" ht="50.45" customHeight="1">
      <c r="A4" s="132" t="s">
        <v>257</v>
      </c>
      <c r="B4" s="132" t="s">
        <v>905</v>
      </c>
      <c r="C4" s="132" t="s">
        <v>906</v>
      </c>
      <c r="D4" s="132" t="s">
        <v>907</v>
      </c>
      <c r="E4" s="132" t="s">
        <v>908</v>
      </c>
    </row>
    <row r="5" spans="1:38">
      <c r="A5" s="133" t="s">
        <v>169</v>
      </c>
      <c r="B5" s="134">
        <f>AJ14/100</f>
        <v>0.20202999390616586</v>
      </c>
      <c r="C5" s="139">
        <v>2018</v>
      </c>
      <c r="D5" s="140">
        <f>'Prices and ECI'!AG6/'Prices and ECI'!AE6</f>
        <v>1.0306808120309934</v>
      </c>
      <c r="E5" s="135">
        <f>B5*D5</f>
        <v>0.20822843817382367</v>
      </c>
    </row>
    <row r="6" spans="1:38">
      <c r="A6" s="133" t="s">
        <v>170</v>
      </c>
      <c r="B6" s="134">
        <f>AK16/100</f>
        <v>4.4160000000000005E-2</v>
      </c>
      <c r="C6" s="139">
        <v>2019</v>
      </c>
      <c r="D6" s="140">
        <f>'Prices and ECI'!AG6/'Prices and ECI'!AF6</f>
        <v>1.0123374938556999</v>
      </c>
      <c r="E6" s="135">
        <f>B6*D6</f>
        <v>4.4704823728667714E-2</v>
      </c>
    </row>
    <row r="7" spans="1:38">
      <c r="A7" s="133" t="s">
        <v>909</v>
      </c>
      <c r="B7" s="134">
        <f>AK18/100</f>
        <v>3.2196258220566064E-2</v>
      </c>
      <c r="C7" s="139">
        <v>2019</v>
      </c>
      <c r="D7" s="140">
        <f>'Prices and ECI'!AG6/'Prices and ECI'!AF6</f>
        <v>1.0123374938556999</v>
      </c>
      <c r="E7" s="135">
        <f>B7*D7</f>
        <v>3.2593479358538825E-2</v>
      </c>
    </row>
    <row r="9" spans="1:38" ht="14.25">
      <c r="A9" s="529" t="s">
        <v>212</v>
      </c>
      <c r="B9" s="528" t="s">
        <v>910</v>
      </c>
    </row>
    <row r="10" spans="1:38" ht="16.5" thickBot="1">
      <c r="A10" s="1317" t="s">
        <v>911</v>
      </c>
      <c r="B10" s="1317"/>
      <c r="C10" s="1317"/>
      <c r="D10" s="1317"/>
      <c r="E10" s="1317"/>
      <c r="F10" s="1317"/>
      <c r="G10" s="1317"/>
      <c r="H10" s="1317"/>
      <c r="I10" s="1317"/>
      <c r="J10" s="1317"/>
      <c r="K10" s="1317"/>
      <c r="L10" s="1317"/>
      <c r="M10" s="1317"/>
      <c r="N10" s="1317"/>
      <c r="O10" s="1317"/>
      <c r="P10" s="1317"/>
      <c r="Q10" s="1317"/>
      <c r="R10" s="1317"/>
      <c r="S10" s="1317"/>
      <c r="T10" s="1317"/>
      <c r="U10" s="1317"/>
      <c r="V10" s="1317"/>
      <c r="W10" s="1317"/>
      <c r="X10" s="1317"/>
      <c r="Y10" s="1317"/>
      <c r="Z10" s="1317"/>
      <c r="AA10" s="1317"/>
      <c r="AB10" s="1317"/>
      <c r="AC10" s="1317"/>
      <c r="AD10" s="1317"/>
      <c r="AE10" s="1317"/>
      <c r="AF10" s="1317"/>
    </row>
    <row r="11" spans="1:38" s="127" customFormat="1" ht="16.5">
      <c r="A11" s="530"/>
      <c r="B11" s="531">
        <v>1960</v>
      </c>
      <c r="C11" s="531">
        <v>1965</v>
      </c>
      <c r="D11" s="531">
        <v>1970</v>
      </c>
      <c r="E11" s="531">
        <v>1975</v>
      </c>
      <c r="F11" s="531">
        <v>1980</v>
      </c>
      <c r="G11" s="531">
        <v>1985</v>
      </c>
      <c r="H11" s="531">
        <v>1990</v>
      </c>
      <c r="I11" s="531">
        <v>1991</v>
      </c>
      <c r="J11" s="531">
        <v>1992</v>
      </c>
      <c r="K11" s="531">
        <v>1993</v>
      </c>
      <c r="L11" s="531">
        <v>1994</v>
      </c>
      <c r="M11" s="531">
        <v>1995</v>
      </c>
      <c r="N11" s="531">
        <v>1996</v>
      </c>
      <c r="O11" s="531">
        <v>1997</v>
      </c>
      <c r="P11" s="531">
        <v>1998</v>
      </c>
      <c r="Q11" s="531">
        <v>1999</v>
      </c>
      <c r="R11" s="531">
        <v>2000</v>
      </c>
      <c r="S11" s="531">
        <v>2001</v>
      </c>
      <c r="T11" s="532">
        <v>2002</v>
      </c>
      <c r="U11" s="532">
        <v>2003</v>
      </c>
      <c r="V11" s="532">
        <v>2004</v>
      </c>
      <c r="W11" s="532">
        <v>2005</v>
      </c>
      <c r="X11" s="532">
        <v>2006</v>
      </c>
      <c r="Y11" s="532">
        <v>2007</v>
      </c>
      <c r="Z11" s="532">
        <v>2008</v>
      </c>
      <c r="AA11" s="532">
        <v>2009</v>
      </c>
      <c r="AB11" s="532">
        <v>2010</v>
      </c>
      <c r="AC11" s="532">
        <v>2011</v>
      </c>
      <c r="AD11" s="532">
        <v>2012</v>
      </c>
      <c r="AE11" s="532">
        <v>2013</v>
      </c>
      <c r="AF11" s="532">
        <v>2014</v>
      </c>
      <c r="AG11" s="673">
        <v>2015</v>
      </c>
      <c r="AH11" s="674">
        <v>2016</v>
      </c>
      <c r="AI11" s="674">
        <v>2017</v>
      </c>
      <c r="AJ11" s="674">
        <v>2018</v>
      </c>
      <c r="AK11" s="674">
        <v>2019</v>
      </c>
      <c r="AL11" s="675">
        <v>2020</v>
      </c>
    </row>
    <row r="12" spans="1:38" s="128" customFormat="1" ht="18">
      <c r="A12" s="533" t="s">
        <v>912</v>
      </c>
      <c r="B12" s="534">
        <v>22.8</v>
      </c>
      <c r="C12" s="534">
        <v>20.46</v>
      </c>
      <c r="D12" s="534">
        <v>21.91</v>
      </c>
      <c r="E12" s="534">
        <v>28.22</v>
      </c>
      <c r="F12" s="534">
        <v>46.31</v>
      </c>
      <c r="G12" s="534">
        <v>48.77</v>
      </c>
      <c r="H12" s="534">
        <v>59.709361415975835</v>
      </c>
      <c r="I12" s="534">
        <v>60.954029901715664</v>
      </c>
      <c r="J12" s="534">
        <v>63.07322256175658</v>
      </c>
      <c r="K12" s="534">
        <v>65.622169017463207</v>
      </c>
      <c r="L12" s="534">
        <v>65.516965605830208</v>
      </c>
      <c r="M12" s="534">
        <v>65.134324846300714</v>
      </c>
      <c r="N12" s="534">
        <v>71.542892748066265</v>
      </c>
      <c r="O12" s="534">
        <v>71.103094975102238</v>
      </c>
      <c r="P12" s="534">
        <v>78.707202571702581</v>
      </c>
      <c r="Q12" s="534">
        <v>78.234293993545037</v>
      </c>
      <c r="R12" s="534">
        <v>77.141545608973388</v>
      </c>
      <c r="S12" s="534">
        <v>57.643871883222928</v>
      </c>
      <c r="T12" s="534">
        <v>49.539897973246745</v>
      </c>
      <c r="U12" s="534">
        <v>51.42674018626137</v>
      </c>
      <c r="V12" s="534">
        <v>57.611669368266057</v>
      </c>
      <c r="W12" s="534">
        <v>66.336232190190856</v>
      </c>
      <c r="X12" s="534">
        <v>72.899965457643418</v>
      </c>
      <c r="Y12" s="534">
        <v>73.686388247638902</v>
      </c>
      <c r="Z12" s="534">
        <v>82.388650427048546</v>
      </c>
      <c r="AA12" s="534">
        <v>70.193979535357869</v>
      </c>
      <c r="AB12" s="534">
        <v>81.479745158994618</v>
      </c>
      <c r="AC12" s="534">
        <v>129.66867906077312</v>
      </c>
      <c r="AD12" s="534">
        <v>133.50935283004353</v>
      </c>
      <c r="AE12" s="534">
        <v>135.465692411318</v>
      </c>
      <c r="AF12" s="534">
        <v>135.85154127601686</v>
      </c>
      <c r="AG12" s="534">
        <v>124.03701364419823</v>
      </c>
      <c r="AH12" s="534">
        <v>119.89927797258176</v>
      </c>
      <c r="AI12" s="534">
        <v>125.15046780144785</v>
      </c>
      <c r="AJ12" s="534">
        <v>137.48761396578931</v>
      </c>
      <c r="AK12" s="534">
        <v>137.66895101575994</v>
      </c>
      <c r="AL12" s="534">
        <v>122.98171315004056</v>
      </c>
    </row>
    <row r="13" spans="1:38" ht="16.5">
      <c r="A13" s="535" t="s">
        <v>913</v>
      </c>
      <c r="B13" s="536">
        <v>38.184967079382687</v>
      </c>
      <c r="C13" s="536">
        <v>34.26598361597236</v>
      </c>
      <c r="D13" s="536">
        <v>36.694413539880465</v>
      </c>
      <c r="E13" s="536">
        <v>47.262270657025411</v>
      </c>
      <c r="F13" s="536">
        <v>77.559027431851419</v>
      </c>
      <c r="G13" s="536">
        <v>81.678984406205871</v>
      </c>
      <c r="H13" s="536">
        <v>100</v>
      </c>
      <c r="I13" s="536">
        <v>102.08454496283861</v>
      </c>
      <c r="J13" s="536">
        <v>105.63372487330054</v>
      </c>
      <c r="K13" s="536">
        <v>109.90264752673329</v>
      </c>
      <c r="L13" s="536">
        <v>109.72645503507343</v>
      </c>
      <c r="M13" s="536">
        <v>109.08561622779871</v>
      </c>
      <c r="N13" s="536">
        <v>119.81855282231213</v>
      </c>
      <c r="O13" s="536">
        <v>119.08198863449559</v>
      </c>
      <c r="P13" s="536">
        <v>131.81719031187575</v>
      </c>
      <c r="Q13" s="536">
        <v>131.02517283430981</v>
      </c>
      <c r="R13" s="536">
        <v>129.19506050576081</v>
      </c>
      <c r="S13" s="536">
        <v>96.540760973202666</v>
      </c>
      <c r="T13" s="536">
        <v>82.968393562473864</v>
      </c>
      <c r="U13" s="536">
        <v>86.128437763699878</v>
      </c>
      <c r="V13" s="536">
        <v>96.486828869101728</v>
      </c>
      <c r="W13" s="536">
        <v>111.09854571722472</v>
      </c>
      <c r="X13" s="536">
        <v>122.09135004773022</v>
      </c>
      <c r="Y13" s="536">
        <v>123.40843462432906</v>
      </c>
      <c r="Z13" s="536">
        <v>137.98280281893057</v>
      </c>
      <c r="AA13" s="536">
        <v>117.55942095300449</v>
      </c>
      <c r="AB13" s="536">
        <v>136.4605871286272</v>
      </c>
      <c r="AC13" s="536">
        <v>217.1664140860816</v>
      </c>
      <c r="AD13" s="536">
        <v>223.59869485109209</v>
      </c>
      <c r="AE13" s="536">
        <v>226.87513180315611</v>
      </c>
      <c r="AF13" s="536">
        <v>227.52134347842551</v>
      </c>
      <c r="AG13" s="536">
        <v>207.73461765915133</v>
      </c>
      <c r="AH13" s="536">
        <v>200.80482378178894</v>
      </c>
      <c r="AI13" s="536">
        <v>209.59940758629952</v>
      </c>
      <c r="AJ13" s="678">
        <v>230.26140408362016</v>
      </c>
      <c r="AK13" s="678">
        <v>230.56510361359392</v>
      </c>
      <c r="AL13" s="678">
        <v>205.9672222807186</v>
      </c>
    </row>
    <row r="14" spans="1:38" s="128" customFormat="1" ht="18">
      <c r="A14" s="554" t="s">
        <v>914</v>
      </c>
      <c r="B14" s="537" t="s">
        <v>915</v>
      </c>
      <c r="C14" s="537" t="s">
        <v>915</v>
      </c>
      <c r="D14" s="537" t="s">
        <v>915</v>
      </c>
      <c r="E14" s="537" t="s">
        <v>915</v>
      </c>
      <c r="F14" s="537" t="s">
        <v>915</v>
      </c>
      <c r="G14" s="538">
        <v>5.4723259295816691</v>
      </c>
      <c r="H14" s="538">
        <v>7.8282949194934286</v>
      </c>
      <c r="I14" s="538">
        <v>7.7356737170186207</v>
      </c>
      <c r="J14" s="538">
        <v>7.9499618238999483</v>
      </c>
      <c r="K14" s="538">
        <v>8.7064867521414158</v>
      </c>
      <c r="L14" s="538">
        <v>9.390623516406043</v>
      </c>
      <c r="M14" s="538">
        <v>10.845778469138468</v>
      </c>
      <c r="N14" s="538">
        <v>10.994071792779225</v>
      </c>
      <c r="O14" s="538">
        <v>10.207785003526579</v>
      </c>
      <c r="P14" s="538">
        <v>10.388826747111025</v>
      </c>
      <c r="Q14" s="538">
        <v>10.774411615542755</v>
      </c>
      <c r="R14" s="538">
        <v>11.323546876402425</v>
      </c>
      <c r="S14" s="538">
        <v>10.929361706904393</v>
      </c>
      <c r="T14" s="538">
        <v>10.154767124620333</v>
      </c>
      <c r="U14" s="538">
        <v>10.251982886079967</v>
      </c>
      <c r="V14" s="538">
        <v>11.034341809186058</v>
      </c>
      <c r="W14" s="538">
        <v>12.371350114205578</v>
      </c>
      <c r="X14" s="538">
        <v>13.620121023954439</v>
      </c>
      <c r="Y14" s="538">
        <v>13.442783856970411</v>
      </c>
      <c r="Z14" s="538">
        <v>16.242233492839834</v>
      </c>
      <c r="AA14" s="538">
        <v>12.201712465859458</v>
      </c>
      <c r="AB14" s="538">
        <v>14.494414099668804</v>
      </c>
      <c r="AC14" s="538">
        <v>17.731218060825785</v>
      </c>
      <c r="AD14" s="538">
        <v>16.868222212605062</v>
      </c>
      <c r="AE14" s="538">
        <v>15.986310049077643</v>
      </c>
      <c r="AF14" s="538">
        <v>17.68009191043463</v>
      </c>
      <c r="AG14" s="538">
        <v>17.75461989123875</v>
      </c>
      <c r="AH14" s="538">
        <v>17.338777589992951</v>
      </c>
      <c r="AI14" s="538">
        <v>18.818227483065375</v>
      </c>
      <c r="AJ14" s="679">
        <v>20.202999390616586</v>
      </c>
      <c r="AK14" s="680" t="s">
        <v>915</v>
      </c>
      <c r="AL14" s="680" t="s">
        <v>915</v>
      </c>
    </row>
    <row r="15" spans="1:38" ht="16.5">
      <c r="A15" s="535" t="s">
        <v>913</v>
      </c>
      <c r="B15" s="536" t="s">
        <v>915</v>
      </c>
      <c r="C15" s="536" t="s">
        <v>915</v>
      </c>
      <c r="D15" s="536" t="s">
        <v>915</v>
      </c>
      <c r="E15" s="536" t="s">
        <v>915</v>
      </c>
      <c r="F15" s="536" t="s">
        <v>915</v>
      </c>
      <c r="G15" s="540">
        <v>69.904442613102077</v>
      </c>
      <c r="H15" s="541">
        <v>100</v>
      </c>
      <c r="I15" s="540">
        <v>98.816840660356704</v>
      </c>
      <c r="J15" s="540">
        <v>101.55419418478415</v>
      </c>
      <c r="K15" s="540">
        <v>111.21817511577368</v>
      </c>
      <c r="L15" s="540">
        <v>119.9574570577588</v>
      </c>
      <c r="M15" s="540">
        <v>138.54585935605377</v>
      </c>
      <c r="N15" s="540">
        <v>140.4401840482864</v>
      </c>
      <c r="O15" s="540">
        <v>130.3960199315936</v>
      </c>
      <c r="P15" s="540">
        <v>132.70867863245101</v>
      </c>
      <c r="Q15" s="540">
        <v>137.63420676337998</v>
      </c>
      <c r="R15" s="540">
        <v>144.64895603518187</v>
      </c>
      <c r="S15" s="540">
        <v>139.61356616354504</v>
      </c>
      <c r="T15" s="540">
        <v>129.71876033098471</v>
      </c>
      <c r="U15" s="540">
        <v>130.96061136571711</v>
      </c>
      <c r="V15" s="540">
        <v>140.95460023752008</v>
      </c>
      <c r="W15" s="540">
        <v>158.03377672191905</v>
      </c>
      <c r="X15" s="540">
        <v>173.98579338188503</v>
      </c>
      <c r="Y15" s="540">
        <v>171.72045758644333</v>
      </c>
      <c r="Z15" s="540">
        <v>207.48111382971345</v>
      </c>
      <c r="AA15" s="540">
        <v>155.86679591587279</v>
      </c>
      <c r="AB15" s="540">
        <v>185.15416509891458</v>
      </c>
      <c r="AC15" s="540">
        <v>226.50166151345226</v>
      </c>
      <c r="AD15" s="540">
        <v>215.47760254408772</v>
      </c>
      <c r="AE15" s="540">
        <v>204.21190327499977</v>
      </c>
      <c r="AF15" s="540">
        <v>225.84856718171159</v>
      </c>
      <c r="AG15" s="540">
        <v>226.80060056280632</v>
      </c>
      <c r="AH15" s="540">
        <v>221.48855872582467</v>
      </c>
      <c r="AI15" s="540">
        <v>240.38730881492017</v>
      </c>
      <c r="AJ15" s="681">
        <v>258.07662586023179</v>
      </c>
      <c r="AK15" s="682" t="s">
        <v>915</v>
      </c>
      <c r="AL15" s="682" t="s">
        <v>915</v>
      </c>
    </row>
    <row r="16" spans="1:38" s="128" customFormat="1" ht="16.5">
      <c r="A16" s="554" t="s">
        <v>916</v>
      </c>
      <c r="B16" s="542">
        <v>1.403</v>
      </c>
      <c r="C16" s="542">
        <v>1.27</v>
      </c>
      <c r="D16" s="542">
        <v>1.4279999999999999</v>
      </c>
      <c r="E16" s="542">
        <v>2.04</v>
      </c>
      <c r="F16" s="542">
        <v>2.867</v>
      </c>
      <c r="G16" s="542">
        <v>3.04</v>
      </c>
      <c r="H16" s="542">
        <v>2.657</v>
      </c>
      <c r="I16" s="542">
        <v>2.59</v>
      </c>
      <c r="J16" s="542">
        <v>2.58</v>
      </c>
      <c r="K16" s="542">
        <v>2.52</v>
      </c>
      <c r="L16" s="542">
        <v>2.4900000000000002</v>
      </c>
      <c r="M16" s="543">
        <v>2.4009999999999998</v>
      </c>
      <c r="N16" s="542">
        <v>2.3519999999999999</v>
      </c>
      <c r="O16" s="542">
        <v>2.3959999999999999</v>
      </c>
      <c r="P16" s="543">
        <v>2.3420000000000001</v>
      </c>
      <c r="Q16" s="544">
        <v>2.2799999999999998</v>
      </c>
      <c r="R16" s="545">
        <v>2.2570000000000001</v>
      </c>
      <c r="S16" s="545">
        <v>2.242</v>
      </c>
      <c r="T16" s="545">
        <v>2.2629999999999999</v>
      </c>
      <c r="U16" s="545">
        <v>2.2829999999999999</v>
      </c>
      <c r="V16" s="545">
        <v>2.3540000000000001</v>
      </c>
      <c r="W16" s="545">
        <v>2.621</v>
      </c>
      <c r="X16" s="545">
        <v>2.84</v>
      </c>
      <c r="Y16" s="545">
        <v>2.99</v>
      </c>
      <c r="Z16" s="545">
        <v>3.343</v>
      </c>
      <c r="AA16" s="545">
        <v>3.0110000000000001</v>
      </c>
      <c r="AB16" s="545">
        <v>3.3159999999999998</v>
      </c>
      <c r="AC16" s="545">
        <v>3.7480000000000002</v>
      </c>
      <c r="AD16" s="545">
        <v>3.9470000000000001</v>
      </c>
      <c r="AE16" s="545">
        <v>4.0510000000000002</v>
      </c>
      <c r="AF16" s="545">
        <v>4.0540000000000003</v>
      </c>
      <c r="AG16" s="545">
        <v>3.9670000000000001</v>
      </c>
      <c r="AH16" s="545">
        <v>3.9889999999999999</v>
      </c>
      <c r="AI16" s="545">
        <v>4.0209999999999999</v>
      </c>
      <c r="AJ16" s="683">
        <v>4.2290000000000001</v>
      </c>
      <c r="AK16" s="683">
        <v>4.4160000000000004</v>
      </c>
      <c r="AL16" s="684">
        <v>4.4000000000000004</v>
      </c>
    </row>
    <row r="17" spans="1:38" ht="16.5">
      <c r="A17" s="535" t="s">
        <v>913</v>
      </c>
      <c r="B17" s="536">
        <v>52.80391418893489</v>
      </c>
      <c r="C17" s="536">
        <v>47.798268724124952</v>
      </c>
      <c r="D17" s="536">
        <v>53.744824990590885</v>
      </c>
      <c r="E17" s="536">
        <v>76.778321415129838</v>
      </c>
      <c r="F17" s="536">
        <v>107.90365073391042</v>
      </c>
      <c r="G17" s="536">
        <v>114.41475348136997</v>
      </c>
      <c r="H17" s="536">
        <v>100</v>
      </c>
      <c r="I17" s="536">
        <v>97.47835905156191</v>
      </c>
      <c r="J17" s="536">
        <v>97.101994730899506</v>
      </c>
      <c r="K17" s="536">
        <v>94.843808806925097</v>
      </c>
      <c r="L17" s="536">
        <v>93.714715844937913</v>
      </c>
      <c r="M17" s="541">
        <v>90.365073391042515</v>
      </c>
      <c r="N17" s="536">
        <v>88.52088821979676</v>
      </c>
      <c r="O17" s="536">
        <v>90.17689123071132</v>
      </c>
      <c r="P17" s="536">
        <v>88.14452389913437</v>
      </c>
      <c r="Q17" s="536">
        <v>85.81106511102746</v>
      </c>
      <c r="R17" s="536">
        <v>84.945427173503958</v>
      </c>
      <c r="S17" s="536">
        <v>84.380880692510345</v>
      </c>
      <c r="T17" s="536">
        <v>85.171245765901389</v>
      </c>
      <c r="U17" s="536">
        <v>85.923974407226183</v>
      </c>
      <c r="V17" s="536">
        <v>88.596161083929246</v>
      </c>
      <c r="W17" s="536">
        <v>98.645088445615357</v>
      </c>
      <c r="X17" s="536">
        <v>106.88746706812194</v>
      </c>
      <c r="Y17" s="536">
        <v>112.53293187805797</v>
      </c>
      <c r="Z17" s="536">
        <v>125.81859239744072</v>
      </c>
      <c r="AA17" s="536">
        <v>113.32329695144901</v>
      </c>
      <c r="AB17" s="536">
        <v>124.80240873165222</v>
      </c>
      <c r="AC17" s="536">
        <v>141.06134738426798</v>
      </c>
      <c r="AD17" s="536">
        <v>148.55099736544975</v>
      </c>
      <c r="AE17" s="536">
        <v>152.46518630033873</v>
      </c>
      <c r="AF17" s="536">
        <v>152.57809559653745</v>
      </c>
      <c r="AG17" s="536">
        <v>149.30372600677455</v>
      </c>
      <c r="AH17" s="536">
        <v>150.13172751223183</v>
      </c>
      <c r="AI17" s="536">
        <v>151.3360933383515</v>
      </c>
      <c r="AJ17" s="678">
        <v>159.16447120812947</v>
      </c>
      <c r="AK17" s="678">
        <v>166.20248400451638</v>
      </c>
      <c r="AL17" s="676">
        <v>166</v>
      </c>
    </row>
    <row r="18" spans="1:38" s="128" customFormat="1" ht="16.5">
      <c r="A18" s="554" t="s">
        <v>917</v>
      </c>
      <c r="B18" s="546" t="s">
        <v>918</v>
      </c>
      <c r="C18" s="542" t="s">
        <v>915</v>
      </c>
      <c r="D18" s="542" t="s">
        <v>915</v>
      </c>
      <c r="E18" s="542" t="s">
        <v>915</v>
      </c>
      <c r="F18" s="542" t="s">
        <v>915</v>
      </c>
      <c r="G18" s="542" t="s">
        <v>915</v>
      </c>
      <c r="H18" s="547">
        <v>1.42</v>
      </c>
      <c r="I18" s="547">
        <v>1.41</v>
      </c>
      <c r="J18" s="547">
        <v>1.39</v>
      </c>
      <c r="K18" s="547">
        <v>1.36</v>
      </c>
      <c r="L18" s="547">
        <v>1.4</v>
      </c>
      <c r="M18" s="547">
        <v>1.63</v>
      </c>
      <c r="N18" s="547">
        <v>1.56</v>
      </c>
      <c r="O18" s="547">
        <v>1.5</v>
      </c>
      <c r="P18" s="547">
        <v>1.52</v>
      </c>
      <c r="Q18" s="547">
        <v>1.58</v>
      </c>
      <c r="R18" s="547">
        <v>1.67</v>
      </c>
      <c r="S18" s="547">
        <v>1.75</v>
      </c>
      <c r="T18" s="547">
        <v>1.71</v>
      </c>
      <c r="U18" s="547">
        <v>1.77</v>
      </c>
      <c r="V18" s="547">
        <v>1.83</v>
      </c>
      <c r="W18" s="547" t="s">
        <v>915</v>
      </c>
      <c r="X18" s="547" t="s">
        <v>915</v>
      </c>
      <c r="Y18" s="547" t="s">
        <v>915</v>
      </c>
      <c r="Z18" s="547" t="s">
        <v>915</v>
      </c>
      <c r="AA18" s="539">
        <v>2.6659499368706574</v>
      </c>
      <c r="AB18" s="538">
        <v>2.6147155946790646</v>
      </c>
      <c r="AC18" s="539">
        <v>2.8400620953226876</v>
      </c>
      <c r="AD18" s="539">
        <v>3.1756895489699537</v>
      </c>
      <c r="AE18" s="538">
        <v>3.3568974114347379</v>
      </c>
      <c r="AF18" s="538">
        <v>3.3740193964983227</v>
      </c>
      <c r="AG18" s="538">
        <v>3.2465295121439044</v>
      </c>
      <c r="AH18" s="538">
        <v>3.0046322198298192</v>
      </c>
      <c r="AI18" s="538">
        <v>2.7442028714340956</v>
      </c>
      <c r="AJ18" s="679">
        <v>2.8772540370714594</v>
      </c>
      <c r="AK18" s="680">
        <v>3.2196258220566065</v>
      </c>
      <c r="AL18" s="680" t="s">
        <v>915</v>
      </c>
    </row>
    <row r="19" spans="1:38" ht="16.5">
      <c r="A19" s="535" t="s">
        <v>913</v>
      </c>
      <c r="B19" s="536" t="s">
        <v>918</v>
      </c>
      <c r="C19" s="536" t="s">
        <v>915</v>
      </c>
      <c r="D19" s="536" t="s">
        <v>915</v>
      </c>
      <c r="E19" s="536" t="s">
        <v>915</v>
      </c>
      <c r="F19" s="536" t="s">
        <v>915</v>
      </c>
      <c r="G19" s="536" t="s">
        <v>915</v>
      </c>
      <c r="H19" s="541">
        <v>100</v>
      </c>
      <c r="I19" s="541">
        <v>99.295774647887328</v>
      </c>
      <c r="J19" s="541">
        <v>97.887323943661983</v>
      </c>
      <c r="K19" s="541">
        <v>95.774647887323951</v>
      </c>
      <c r="L19" s="541">
        <v>98.591549295774655</v>
      </c>
      <c r="M19" s="541">
        <v>97</v>
      </c>
      <c r="N19" s="541">
        <v>109.85915492957747</v>
      </c>
      <c r="O19" s="541">
        <v>97</v>
      </c>
      <c r="P19" s="541">
        <v>107.04225352112677</v>
      </c>
      <c r="Q19" s="541">
        <v>98</v>
      </c>
      <c r="R19" s="541">
        <v>97</v>
      </c>
      <c r="S19" s="541">
        <v>95</v>
      </c>
      <c r="T19" s="541">
        <v>120.42253521126761</v>
      </c>
      <c r="U19" s="541">
        <v>124.64788732394366</v>
      </c>
      <c r="V19" s="541">
        <v>128.87323943661971</v>
      </c>
      <c r="W19" s="548" t="s">
        <v>915</v>
      </c>
      <c r="X19" s="548" t="s">
        <v>915</v>
      </c>
      <c r="Y19" s="548" t="s">
        <v>915</v>
      </c>
      <c r="Z19" s="548" t="s">
        <v>915</v>
      </c>
      <c r="AA19" s="541">
        <v>187.74295330075054</v>
      </c>
      <c r="AB19" s="541">
        <v>184.13490103373695</v>
      </c>
      <c r="AC19" s="541">
        <v>200.00437291004843</v>
      </c>
      <c r="AD19" s="541">
        <v>223.64010908239112</v>
      </c>
      <c r="AE19" s="540">
        <v>236.4012261573759</v>
      </c>
      <c r="AF19" s="540">
        <v>237.60699975340302</v>
      </c>
      <c r="AG19" s="540">
        <v>228.62883888337356</v>
      </c>
      <c r="AH19" s="540">
        <v>211.59381829787461</v>
      </c>
      <c r="AI19" s="540">
        <v>193.25372334042927</v>
      </c>
      <c r="AJ19" s="681">
        <v>202.62352373742672</v>
      </c>
      <c r="AK19" s="682">
        <v>226.73421282088776</v>
      </c>
      <c r="AL19" s="682" t="s">
        <v>915</v>
      </c>
    </row>
    <row r="20" spans="1:38" s="128" customFormat="1" ht="16.5">
      <c r="A20" s="533" t="s">
        <v>919</v>
      </c>
      <c r="B20" s="542" t="s">
        <v>915</v>
      </c>
      <c r="C20" s="542" t="s">
        <v>915</v>
      </c>
      <c r="D20" s="542" t="s">
        <v>915</v>
      </c>
      <c r="E20" s="542" t="s">
        <v>915</v>
      </c>
      <c r="F20" s="542" t="s">
        <v>915</v>
      </c>
      <c r="G20" s="542" t="s">
        <v>915</v>
      </c>
      <c r="H20" s="539">
        <v>1.2238556753980483</v>
      </c>
      <c r="I20" s="539">
        <v>1.1750461538461539</v>
      </c>
      <c r="J20" s="539">
        <v>1.2149305366847827</v>
      </c>
      <c r="K20" s="539">
        <v>1.1690386237139483</v>
      </c>
      <c r="L20" s="539">
        <v>1.2310951978356444</v>
      </c>
      <c r="M20" s="539">
        <v>1.2827424721344203</v>
      </c>
      <c r="N20" s="539">
        <v>1.1822512919896639</v>
      </c>
      <c r="O20" s="539">
        <v>1.1702684509326844</v>
      </c>
      <c r="P20" s="539">
        <v>1.111662310422717</v>
      </c>
      <c r="Q20" s="539">
        <v>1.1687712481787276</v>
      </c>
      <c r="R20" s="539">
        <v>1.2962238004503726</v>
      </c>
      <c r="S20" s="539">
        <v>1.3417760805415726</v>
      </c>
      <c r="T20" s="539">
        <v>1.3326426134425111</v>
      </c>
      <c r="U20" s="539">
        <v>1.3053198915621824</v>
      </c>
      <c r="V20" s="539">
        <v>1.3374839893262176</v>
      </c>
      <c r="W20" s="539">
        <v>1.3032388477366255</v>
      </c>
      <c r="X20" s="539">
        <v>1.4650891106141408</v>
      </c>
      <c r="Y20" s="539">
        <v>1.6131126053433746</v>
      </c>
      <c r="Z20" s="549">
        <v>1.5261147432722471</v>
      </c>
      <c r="AA20" s="539">
        <v>1.7570019352568613</v>
      </c>
      <c r="AB20" s="547" t="s">
        <v>915</v>
      </c>
      <c r="AC20" s="547" t="s">
        <v>915</v>
      </c>
      <c r="AD20" s="539">
        <v>1.6346718971275167</v>
      </c>
      <c r="AE20" s="539">
        <v>1.921487106228758</v>
      </c>
      <c r="AF20" s="539">
        <v>2.2560715741854551</v>
      </c>
      <c r="AG20" s="539">
        <v>2.494818094854057</v>
      </c>
      <c r="AH20" s="539">
        <v>2.6559953206477234</v>
      </c>
      <c r="AI20" s="539">
        <v>2.8451971769290507</v>
      </c>
      <c r="AJ20" s="680">
        <v>2.9647558736228365</v>
      </c>
      <c r="AK20" s="680" t="s">
        <v>915</v>
      </c>
      <c r="AL20" s="680" t="s">
        <v>915</v>
      </c>
    </row>
    <row r="21" spans="1:38" ht="16.5">
      <c r="A21" s="535" t="s">
        <v>913</v>
      </c>
      <c r="B21" s="536" t="s">
        <v>915</v>
      </c>
      <c r="C21" s="536" t="s">
        <v>915</v>
      </c>
      <c r="D21" s="536" t="s">
        <v>915</v>
      </c>
      <c r="E21" s="536" t="s">
        <v>915</v>
      </c>
      <c r="F21" s="536" t="s">
        <v>915</v>
      </c>
      <c r="G21" s="536" t="s">
        <v>915</v>
      </c>
      <c r="H21" s="541">
        <v>100</v>
      </c>
      <c r="I21" s="541">
        <v>96.011823735995705</v>
      </c>
      <c r="J21" s="541">
        <v>99.270736011387712</v>
      </c>
      <c r="K21" s="541">
        <v>95.520954571193926</v>
      </c>
      <c r="L21" s="541">
        <v>100.59153400054639</v>
      </c>
      <c r="M21" s="541">
        <v>104.81158014953191</v>
      </c>
      <c r="N21" s="541">
        <v>96.600548230913518</v>
      </c>
      <c r="O21" s="541">
        <v>95.621442499914451</v>
      </c>
      <c r="P21" s="541">
        <v>90.832794484624074</v>
      </c>
      <c r="Q21" s="541">
        <v>95.499107588694642</v>
      </c>
      <c r="R21" s="541">
        <v>105.91312574734657</v>
      </c>
      <c r="S21" s="541">
        <v>109.63515613106681</v>
      </c>
      <c r="T21" s="541">
        <v>108.88886984235954</v>
      </c>
      <c r="U21" s="541">
        <v>106.65635808222554</v>
      </c>
      <c r="V21" s="541">
        <v>109.28445373194947</v>
      </c>
      <c r="W21" s="541">
        <v>106.48631811204034</v>
      </c>
      <c r="X21" s="541">
        <v>119.71093814943772</v>
      </c>
      <c r="Y21" s="541">
        <v>131.80578705236007</v>
      </c>
      <c r="Z21" s="536">
        <v>124.69728040243729</v>
      </c>
      <c r="AA21" s="541">
        <v>143.56283756133351</v>
      </c>
      <c r="AB21" s="541" t="s">
        <v>915</v>
      </c>
      <c r="AC21" s="541" t="s">
        <v>915</v>
      </c>
      <c r="AD21" s="541">
        <v>133.56737481287195</v>
      </c>
      <c r="AE21" s="541">
        <v>157.00275325387622</v>
      </c>
      <c r="AF21" s="541">
        <v>184.34130915409511</v>
      </c>
      <c r="AG21" s="541">
        <v>203.84904405028308</v>
      </c>
      <c r="AH21" s="541">
        <v>217.01867091345426</v>
      </c>
      <c r="AI21" s="541">
        <v>232.47816177374636</v>
      </c>
      <c r="AJ21" s="682">
        <v>242.2471810377948</v>
      </c>
      <c r="AK21" s="682" t="s">
        <v>915</v>
      </c>
      <c r="AL21" s="682" t="s">
        <v>915</v>
      </c>
    </row>
    <row r="22" spans="1:38" s="128" customFormat="1" ht="18.75" thickBot="1">
      <c r="A22" s="129" t="s">
        <v>920</v>
      </c>
      <c r="B22" s="130">
        <v>28.020134228187914</v>
      </c>
      <c r="C22" s="130">
        <v>28.607382550335569</v>
      </c>
      <c r="D22" s="130">
        <v>32.969798657718115</v>
      </c>
      <c r="E22" s="130">
        <v>48.825503355704697</v>
      </c>
      <c r="F22" s="130">
        <v>73.825503355704697</v>
      </c>
      <c r="G22" s="130">
        <v>87.835570469798668</v>
      </c>
      <c r="H22" s="130">
        <v>100</v>
      </c>
      <c r="I22" s="130">
        <v>102.09731543624162</v>
      </c>
      <c r="J22" s="130">
        <v>103.35570469798658</v>
      </c>
      <c r="K22" s="130">
        <v>104.61409395973153</v>
      </c>
      <c r="L22" s="130">
        <v>105.28523489932886</v>
      </c>
      <c r="M22" s="550">
        <v>107.29865771812082</v>
      </c>
      <c r="N22" s="550">
        <v>110.15100671140941</v>
      </c>
      <c r="O22" s="550">
        <v>110.57046979865773</v>
      </c>
      <c r="P22" s="550">
        <v>109.64765100671138</v>
      </c>
      <c r="Q22" s="550">
        <v>111.57718120805369</v>
      </c>
      <c r="R22" s="550">
        <v>115.7718120805369</v>
      </c>
      <c r="S22" s="551">
        <v>118.03691275167785</v>
      </c>
      <c r="T22" s="551">
        <v>116.52684563758389</v>
      </c>
      <c r="U22" s="550">
        <v>120.21812080536914</v>
      </c>
      <c r="V22" s="551">
        <v>124.58053691275168</v>
      </c>
      <c r="W22" s="551">
        <v>130.62080536912751</v>
      </c>
      <c r="X22" s="551">
        <v>134.56375838926175</v>
      </c>
      <c r="Y22" s="551">
        <v>139.76510067114094</v>
      </c>
      <c r="Z22" s="551">
        <v>148.57382550335569</v>
      </c>
      <c r="AA22" s="551">
        <v>144.71476510067114</v>
      </c>
      <c r="AB22" s="552">
        <v>150.83892617449666</v>
      </c>
      <c r="AC22" s="550">
        <v>159.98322147651004</v>
      </c>
      <c r="AD22" s="550">
        <v>163.00335570469798</v>
      </c>
      <c r="AE22" s="550">
        <v>165.01677852348993</v>
      </c>
      <c r="AF22" s="553">
        <v>168.12080536912754</v>
      </c>
      <c r="AG22" s="553">
        <v>162.66778523489933</v>
      </c>
      <c r="AH22" s="553">
        <v>160.98993288590603</v>
      </c>
      <c r="AI22" s="553">
        <v>166.10738255033556</v>
      </c>
      <c r="AJ22" s="553">
        <v>171.22483221476509</v>
      </c>
      <c r="AK22" s="553">
        <v>172.56711409395973</v>
      </c>
      <c r="AL22" s="553">
        <v>170.21812080536913</v>
      </c>
    </row>
    <row r="23" spans="1:38" s="131" customFormat="1" ht="12">
      <c r="A23" s="1318" t="s">
        <v>921</v>
      </c>
      <c r="B23" s="1318"/>
      <c r="C23" s="1318"/>
      <c r="D23" s="1318"/>
      <c r="E23" s="1318"/>
      <c r="F23" s="1318"/>
      <c r="G23" s="1318"/>
      <c r="H23" s="1318"/>
      <c r="I23" s="1318"/>
      <c r="J23" s="1318"/>
      <c r="K23" s="1318"/>
      <c r="L23" s="1318"/>
      <c r="M23" s="1318"/>
      <c r="N23" s="1318"/>
      <c r="O23" s="1318"/>
      <c r="P23" s="1318"/>
      <c r="Q23" s="1318"/>
      <c r="R23" s="1318"/>
      <c r="S23" s="1318"/>
      <c r="T23" s="1318"/>
      <c r="U23" s="1318"/>
      <c r="V23" s="1318"/>
      <c r="W23" s="1318"/>
      <c r="X23" s="1318"/>
      <c r="Y23" s="1318"/>
      <c r="Z23" s="1318"/>
      <c r="AA23" s="1318"/>
      <c r="AB23" s="1318"/>
      <c r="AC23" s="1318"/>
    </row>
    <row r="24" spans="1:38" s="131" customFormat="1" ht="12">
      <c r="A24" s="144"/>
      <c r="B24" s="144"/>
      <c r="C24" s="144"/>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144"/>
      <c r="AB24" s="144"/>
      <c r="AC24" s="144"/>
    </row>
    <row r="25" spans="1:38" s="131" customFormat="1" ht="12">
      <c r="A25" s="1321"/>
      <c r="B25" s="1321"/>
      <c r="C25" s="1321"/>
      <c r="D25" s="1321"/>
      <c r="E25" s="1321"/>
      <c r="F25" s="1321"/>
      <c r="G25" s="1321"/>
      <c r="H25" s="1321"/>
      <c r="I25" s="1321"/>
      <c r="J25" s="1321"/>
      <c r="K25" s="1321"/>
      <c r="L25" s="1321"/>
      <c r="M25" s="1321"/>
      <c r="N25" s="1321"/>
      <c r="O25" s="1321"/>
      <c r="P25" s="1321"/>
      <c r="Q25" s="1321"/>
      <c r="R25" s="1321"/>
      <c r="S25" s="1321"/>
      <c r="T25" s="1321"/>
      <c r="U25" s="1321"/>
      <c r="V25" s="1321"/>
      <c r="W25" s="1321"/>
      <c r="X25" s="1321"/>
      <c r="Y25" s="1321"/>
      <c r="Z25" s="1321"/>
      <c r="AA25" s="1321"/>
      <c r="AB25" s="1321"/>
      <c r="AC25" s="1321"/>
    </row>
    <row r="27" spans="1:38">
      <c r="A27" s="1316" t="s">
        <v>922</v>
      </c>
      <c r="B27" s="1316"/>
      <c r="C27" s="1316"/>
      <c r="D27" s="1316"/>
      <c r="E27" s="1316"/>
      <c r="F27" s="1316"/>
      <c r="G27" s="1316"/>
      <c r="H27" s="1316"/>
      <c r="I27" s="1316"/>
      <c r="J27" s="1316"/>
      <c r="K27" s="1316"/>
      <c r="L27" s="1316"/>
      <c r="M27" s="1316"/>
      <c r="N27" s="1316"/>
      <c r="O27" s="1316"/>
      <c r="P27" s="1316"/>
      <c r="Q27" s="1316"/>
      <c r="R27" s="1316"/>
      <c r="S27" s="1316"/>
      <c r="T27" s="1316"/>
      <c r="U27" s="1316"/>
      <c r="V27" s="1316"/>
      <c r="W27" s="1316"/>
      <c r="X27" s="1316"/>
    </row>
    <row r="28" spans="1:38" ht="13.5">
      <c r="A28" s="1322" t="s">
        <v>923</v>
      </c>
      <c r="B28" s="1322"/>
      <c r="C28" s="1322"/>
      <c r="D28" s="1322"/>
      <c r="E28" s="1322"/>
      <c r="F28" s="1322"/>
      <c r="G28" s="1322"/>
      <c r="H28" s="1322"/>
      <c r="I28" s="1322"/>
      <c r="J28" s="1322"/>
      <c r="K28" s="1322"/>
      <c r="L28" s="1322"/>
      <c r="M28" s="1322"/>
      <c r="N28" s="1322"/>
      <c r="O28" s="1322"/>
      <c r="P28" s="1322"/>
      <c r="Q28" s="1322"/>
      <c r="R28" s="1322"/>
      <c r="S28" s="1322"/>
      <c r="T28" s="1322"/>
      <c r="U28" s="1322"/>
      <c r="V28" s="1322"/>
      <c r="W28" s="1322"/>
      <c r="X28" s="1322"/>
    </row>
    <row r="29" spans="1:38" ht="13.5">
      <c r="A29" s="1323" t="s">
        <v>924</v>
      </c>
      <c r="B29" s="1323"/>
      <c r="C29" s="1323"/>
      <c r="D29" s="1323"/>
      <c r="E29" s="1323"/>
      <c r="F29" s="1323"/>
      <c r="G29" s="1323"/>
      <c r="H29" s="1323"/>
      <c r="I29" s="1323"/>
      <c r="J29" s="1323"/>
      <c r="K29" s="1323"/>
      <c r="L29" s="1323"/>
      <c r="M29" s="1323"/>
      <c r="N29" s="1323"/>
      <c r="O29" s="1323"/>
      <c r="P29" s="1323"/>
      <c r="Q29" s="1323"/>
      <c r="R29" s="1323"/>
      <c r="S29" s="1323"/>
      <c r="T29" s="1323"/>
      <c r="U29" s="1323"/>
      <c r="V29" s="1323"/>
      <c r="W29" s="1323"/>
      <c r="X29" s="1323"/>
    </row>
    <row r="31" spans="1:38">
      <c r="A31" s="1324" t="s">
        <v>925</v>
      </c>
      <c r="B31" s="1324"/>
      <c r="C31" s="1324"/>
      <c r="D31" s="1324"/>
      <c r="E31" s="1324"/>
      <c r="F31" s="1324"/>
      <c r="G31" s="1324"/>
      <c r="H31" s="1324"/>
      <c r="I31" s="1324"/>
      <c r="J31" s="1324"/>
      <c r="K31" s="1324"/>
      <c r="L31" s="1324"/>
      <c r="M31" s="1324"/>
      <c r="N31" s="1324"/>
      <c r="O31" s="1324"/>
      <c r="P31" s="1324"/>
      <c r="Q31" s="1324"/>
      <c r="R31" s="1324"/>
      <c r="S31" s="1324"/>
      <c r="T31" s="1324"/>
      <c r="U31" s="1324"/>
      <c r="V31" s="1324"/>
      <c r="W31" s="1324"/>
      <c r="X31" s="1324"/>
    </row>
    <row r="32" spans="1:38">
      <c r="A32" s="1319" t="s">
        <v>926</v>
      </c>
      <c r="B32" s="1319"/>
      <c r="C32" s="1319"/>
      <c r="D32" s="1319"/>
      <c r="E32" s="1319"/>
      <c r="F32" s="1319"/>
      <c r="G32" s="1319"/>
      <c r="H32" s="1319"/>
      <c r="I32" s="1319"/>
      <c r="J32" s="1319"/>
      <c r="K32" s="1319"/>
      <c r="L32" s="1319"/>
      <c r="M32" s="1319"/>
      <c r="N32" s="1319"/>
      <c r="O32" s="1319"/>
      <c r="P32" s="1319"/>
      <c r="Q32" s="1319"/>
      <c r="R32" s="1319"/>
      <c r="S32" s="1319"/>
      <c r="T32" s="1319"/>
      <c r="U32" s="1319"/>
      <c r="V32" s="1319"/>
      <c r="W32" s="1319"/>
      <c r="X32" s="1319"/>
    </row>
    <row r="33" spans="1:24">
      <c r="A33" s="1316"/>
      <c r="B33" s="1316"/>
      <c r="C33" s="1316"/>
      <c r="D33" s="1316"/>
      <c r="E33" s="1316"/>
      <c r="F33" s="1316"/>
      <c r="G33" s="1316"/>
      <c r="H33" s="1316"/>
      <c r="I33" s="1316"/>
      <c r="J33" s="1316"/>
      <c r="K33" s="1316"/>
      <c r="L33" s="1316"/>
      <c r="M33" s="1316"/>
      <c r="N33" s="1316"/>
      <c r="O33" s="1316"/>
      <c r="P33" s="1316"/>
      <c r="Q33" s="1316"/>
      <c r="R33" s="1316"/>
      <c r="S33" s="1316"/>
      <c r="T33" s="1316"/>
      <c r="U33" s="1316"/>
      <c r="V33" s="1316"/>
      <c r="W33" s="1316"/>
      <c r="X33" s="1316"/>
    </row>
    <row r="34" spans="1:24">
      <c r="A34" s="1320" t="s">
        <v>927</v>
      </c>
      <c r="B34" s="1320"/>
      <c r="C34" s="1320"/>
      <c r="D34" s="1320"/>
      <c r="E34" s="1320"/>
      <c r="F34" s="1320"/>
      <c r="G34" s="1320"/>
      <c r="H34" s="1320"/>
      <c r="I34" s="1320"/>
      <c r="J34" s="1320"/>
      <c r="K34" s="1320"/>
      <c r="L34" s="1320"/>
      <c r="M34" s="1320"/>
      <c r="N34" s="1320"/>
      <c r="O34" s="1320"/>
      <c r="P34" s="1320"/>
      <c r="Q34" s="1320"/>
      <c r="R34" s="1320"/>
      <c r="S34" s="1320"/>
      <c r="T34" s="1320"/>
      <c r="U34" s="1320"/>
      <c r="V34" s="1320"/>
      <c r="W34" s="1320"/>
      <c r="X34" s="1320"/>
    </row>
    <row r="35" spans="1:24">
      <c r="A35" s="1310" t="s">
        <v>928</v>
      </c>
      <c r="B35" s="1310"/>
      <c r="C35" s="1310"/>
      <c r="D35" s="1310"/>
      <c r="E35" s="1310"/>
      <c r="F35" s="1310"/>
      <c r="G35" s="1310"/>
      <c r="H35" s="1310"/>
      <c r="I35" s="1310"/>
      <c r="J35" s="1310"/>
      <c r="K35" s="1310"/>
      <c r="L35" s="1310"/>
      <c r="M35" s="1310"/>
      <c r="N35" s="1310"/>
      <c r="O35" s="1310"/>
      <c r="P35" s="1310"/>
      <c r="Q35" s="1310"/>
      <c r="R35" s="1310"/>
      <c r="S35" s="1310"/>
      <c r="T35" s="1310"/>
      <c r="U35" s="1310"/>
      <c r="V35" s="1310"/>
      <c r="W35" s="1310"/>
      <c r="X35" s="1310"/>
    </row>
    <row r="36" spans="1:24">
      <c r="A36" s="1311" t="s">
        <v>929</v>
      </c>
      <c r="B36" s="1311"/>
      <c r="C36" s="1311"/>
      <c r="D36" s="1311"/>
      <c r="E36" s="1311"/>
      <c r="F36" s="1311"/>
      <c r="G36" s="1311"/>
      <c r="H36" s="1311"/>
      <c r="I36" s="1311"/>
      <c r="J36" s="1311"/>
      <c r="K36" s="1311"/>
      <c r="L36" s="1311"/>
      <c r="M36" s="1311"/>
      <c r="N36" s="1311"/>
      <c r="O36" s="1311"/>
      <c r="P36" s="1311"/>
      <c r="Q36" s="1311"/>
      <c r="R36" s="1311"/>
      <c r="S36" s="1311"/>
      <c r="T36" s="1311"/>
      <c r="U36" s="1311"/>
      <c r="V36" s="1311"/>
      <c r="W36" s="1311"/>
      <c r="X36" s="1311"/>
    </row>
    <row r="37" spans="1:24">
      <c r="A37" s="1311" t="s">
        <v>930</v>
      </c>
      <c r="B37" s="1311"/>
      <c r="C37" s="1311"/>
      <c r="D37" s="1311"/>
      <c r="E37" s="1311"/>
      <c r="F37" s="1311"/>
      <c r="G37" s="1311"/>
      <c r="H37" s="1311"/>
      <c r="I37" s="1311"/>
      <c r="J37" s="1311"/>
      <c r="K37" s="1311"/>
      <c r="L37" s="1311"/>
      <c r="M37" s="1311"/>
      <c r="N37" s="1311"/>
      <c r="O37" s="1311"/>
      <c r="P37" s="1311"/>
      <c r="Q37" s="1311"/>
      <c r="R37" s="1311"/>
      <c r="S37" s="1311"/>
      <c r="T37" s="1311"/>
      <c r="U37" s="1311"/>
      <c r="V37" s="1311"/>
      <c r="W37" s="1311"/>
      <c r="X37" s="1311"/>
    </row>
    <row r="38" spans="1:24">
      <c r="A38" s="1311" t="s">
        <v>931</v>
      </c>
      <c r="B38" s="1311"/>
      <c r="C38" s="1311"/>
      <c r="D38" s="1311"/>
      <c r="E38" s="1311"/>
      <c r="F38" s="1311"/>
      <c r="G38" s="1311"/>
      <c r="H38" s="1311"/>
      <c r="I38" s="1311"/>
      <c r="J38" s="1311"/>
      <c r="K38" s="1311"/>
      <c r="L38" s="1311"/>
      <c r="M38" s="1311"/>
      <c r="N38" s="1311"/>
      <c r="O38" s="1311"/>
      <c r="P38" s="1311"/>
      <c r="Q38" s="1311"/>
      <c r="R38" s="1311"/>
      <c r="S38" s="1311"/>
      <c r="T38" s="1311"/>
      <c r="U38" s="1311"/>
      <c r="V38" s="1311"/>
      <c r="W38" s="1311"/>
      <c r="X38" s="1311"/>
    </row>
    <row r="39" spans="1:24">
      <c r="A39" s="1311" t="s">
        <v>932</v>
      </c>
      <c r="B39" s="1311"/>
      <c r="C39" s="1311"/>
      <c r="D39" s="1311"/>
      <c r="E39" s="1311"/>
      <c r="F39" s="1311"/>
      <c r="G39" s="1311"/>
      <c r="H39" s="1311"/>
      <c r="I39" s="1311"/>
      <c r="J39" s="1311"/>
      <c r="K39" s="1311"/>
      <c r="L39" s="1311"/>
      <c r="M39" s="1311"/>
      <c r="N39" s="1311"/>
      <c r="O39" s="1311"/>
      <c r="P39" s="1311"/>
      <c r="Q39" s="1311"/>
      <c r="R39" s="1311"/>
      <c r="S39" s="1311"/>
      <c r="T39" s="1311"/>
      <c r="U39" s="1311"/>
      <c r="V39" s="1311"/>
      <c r="W39" s="1311"/>
      <c r="X39" s="1311"/>
    </row>
    <row r="40" spans="1:24">
      <c r="A40" s="1316" t="s">
        <v>933</v>
      </c>
      <c r="B40" s="1316"/>
      <c r="C40" s="1316"/>
      <c r="D40" s="1316"/>
      <c r="E40" s="1316"/>
      <c r="F40" s="1316"/>
      <c r="G40" s="1316"/>
      <c r="H40" s="1316"/>
      <c r="I40" s="1316"/>
      <c r="J40" s="1316"/>
      <c r="K40" s="1316"/>
      <c r="L40" s="1316"/>
      <c r="M40" s="1316"/>
      <c r="N40" s="1316"/>
      <c r="O40" s="1316"/>
      <c r="P40" s="1316"/>
      <c r="Q40" s="1316"/>
      <c r="R40" s="1316"/>
      <c r="S40" s="1316"/>
      <c r="T40" s="1316"/>
      <c r="U40" s="1316"/>
      <c r="V40" s="1316"/>
      <c r="W40" s="1316"/>
      <c r="X40" s="1316"/>
    </row>
    <row r="41" spans="1:24">
      <c r="A41" s="1310" t="s">
        <v>934</v>
      </c>
      <c r="B41" s="1310"/>
      <c r="C41" s="1310"/>
      <c r="D41" s="1310"/>
      <c r="E41" s="1310"/>
      <c r="F41" s="1310"/>
      <c r="G41" s="1310"/>
      <c r="H41" s="1310"/>
      <c r="I41" s="1310"/>
      <c r="J41" s="1310"/>
      <c r="K41" s="1310"/>
      <c r="L41" s="1310"/>
      <c r="M41" s="1310"/>
      <c r="N41" s="1310"/>
      <c r="O41" s="1310"/>
      <c r="P41" s="1310"/>
      <c r="Q41" s="1310"/>
      <c r="R41" s="1310"/>
      <c r="S41" s="1310"/>
      <c r="T41" s="1310"/>
      <c r="U41" s="1310"/>
      <c r="V41" s="1310"/>
      <c r="W41" s="1310"/>
      <c r="X41" s="1310"/>
    </row>
    <row r="42" spans="1:24">
      <c r="A42" s="1315" t="s">
        <v>935</v>
      </c>
      <c r="B42" s="1315"/>
      <c r="C42" s="1315"/>
      <c r="D42" s="1315"/>
      <c r="E42" s="1315"/>
      <c r="F42" s="1315"/>
      <c r="G42" s="1315"/>
      <c r="H42" s="1315"/>
      <c r="I42" s="1315"/>
      <c r="J42" s="1315"/>
      <c r="K42" s="1315"/>
      <c r="L42" s="1315"/>
      <c r="M42" s="1315"/>
      <c r="N42" s="1315"/>
      <c r="O42" s="1315"/>
      <c r="P42" s="1315"/>
      <c r="Q42" s="1315"/>
      <c r="R42" s="1315"/>
      <c r="S42" s="1315"/>
      <c r="T42" s="1315"/>
      <c r="U42" s="1315"/>
      <c r="V42" s="1315"/>
      <c r="W42" s="1315"/>
      <c r="X42" s="1315"/>
    </row>
    <row r="43" spans="1:24">
      <c r="A43" s="1310" t="s">
        <v>936</v>
      </c>
      <c r="B43" s="1310"/>
      <c r="C43" s="1310"/>
      <c r="D43" s="1310"/>
      <c r="E43" s="1310"/>
      <c r="F43" s="1310"/>
      <c r="G43" s="1310"/>
      <c r="H43" s="1310"/>
      <c r="I43" s="1310"/>
      <c r="J43" s="1310"/>
      <c r="K43" s="1310"/>
      <c r="L43" s="1310"/>
      <c r="M43" s="1310"/>
      <c r="N43" s="1310"/>
      <c r="O43" s="1310"/>
      <c r="P43" s="1310"/>
      <c r="Q43" s="1310"/>
      <c r="R43" s="1310"/>
      <c r="S43" s="1310"/>
      <c r="T43" s="1310"/>
      <c r="U43" s="1310"/>
      <c r="V43" s="1310"/>
      <c r="W43" s="1310"/>
      <c r="X43" s="1310"/>
    </row>
    <row r="44" spans="1:24">
      <c r="A44" s="1311" t="s">
        <v>937</v>
      </c>
      <c r="B44" s="1311"/>
      <c r="C44" s="1311"/>
      <c r="D44" s="1311"/>
      <c r="E44" s="1311"/>
      <c r="F44" s="1311"/>
      <c r="G44" s="1311"/>
      <c r="H44" s="1311"/>
      <c r="I44" s="1311"/>
      <c r="J44" s="1311"/>
      <c r="K44" s="1311"/>
      <c r="L44" s="1311"/>
      <c r="M44" s="1311"/>
      <c r="N44" s="1311"/>
      <c r="O44" s="1311"/>
      <c r="P44" s="1311"/>
      <c r="Q44" s="1311"/>
      <c r="R44" s="1311"/>
      <c r="S44" s="1311"/>
      <c r="T44" s="1311"/>
      <c r="U44" s="1311"/>
      <c r="V44" s="1311"/>
      <c r="W44" s="1311"/>
      <c r="X44" s="1311"/>
    </row>
    <row r="45" spans="1:24">
      <c r="A45" s="1310" t="s">
        <v>938</v>
      </c>
      <c r="B45" s="1310"/>
      <c r="C45" s="1310"/>
      <c r="D45" s="1310"/>
      <c r="E45" s="1310"/>
      <c r="F45" s="1310"/>
      <c r="G45" s="1310"/>
      <c r="H45" s="1310"/>
      <c r="I45" s="1310"/>
      <c r="J45" s="1310"/>
      <c r="K45" s="1310"/>
      <c r="L45" s="1310"/>
      <c r="M45" s="1310"/>
      <c r="N45" s="1310"/>
      <c r="O45" s="1310"/>
      <c r="P45" s="1310"/>
      <c r="Q45" s="1310"/>
      <c r="R45" s="1310"/>
      <c r="S45" s="1310"/>
      <c r="T45" s="1310"/>
      <c r="U45" s="1310"/>
      <c r="V45" s="1310"/>
      <c r="W45" s="1310"/>
      <c r="X45" s="1310"/>
    </row>
    <row r="46" spans="1:24">
      <c r="A46" s="1312" t="s">
        <v>939</v>
      </c>
      <c r="B46" s="1312"/>
      <c r="C46" s="1312"/>
      <c r="D46" s="1312"/>
      <c r="E46" s="1312"/>
      <c r="F46" s="1312"/>
      <c r="G46" s="1312"/>
      <c r="H46" s="1312"/>
      <c r="I46" s="1312"/>
      <c r="J46" s="1312"/>
      <c r="K46" s="1312"/>
      <c r="L46" s="1312"/>
      <c r="M46" s="1312"/>
      <c r="N46" s="1312"/>
      <c r="O46" s="1312"/>
      <c r="P46" s="1312"/>
      <c r="Q46" s="1312"/>
      <c r="R46" s="1312"/>
      <c r="S46" s="1312"/>
      <c r="T46" s="1312"/>
      <c r="U46" s="1312"/>
      <c r="V46" s="1312"/>
      <c r="W46" s="1312"/>
      <c r="X46" s="1312"/>
    </row>
    <row r="47" spans="1:24">
      <c r="A47" s="1312" t="s">
        <v>940</v>
      </c>
      <c r="B47" s="1312"/>
      <c r="C47" s="1312"/>
      <c r="D47" s="1312"/>
      <c r="E47" s="1312"/>
      <c r="F47" s="1312"/>
      <c r="G47" s="1312"/>
      <c r="H47" s="1312"/>
      <c r="I47" s="1312"/>
      <c r="J47" s="1312"/>
      <c r="K47" s="1312"/>
      <c r="L47" s="1312"/>
      <c r="M47" s="1312"/>
      <c r="N47" s="1312"/>
      <c r="O47" s="1312"/>
      <c r="P47" s="1312"/>
      <c r="Q47" s="1312"/>
      <c r="R47" s="1312"/>
      <c r="S47" s="1312"/>
      <c r="T47" s="1312"/>
      <c r="U47" s="1312"/>
      <c r="V47" s="1312"/>
      <c r="W47" s="1312"/>
      <c r="X47" s="1312"/>
    </row>
    <row r="48" spans="1:24">
      <c r="A48" s="1313" t="s">
        <v>941</v>
      </c>
      <c r="B48" s="1313"/>
      <c r="C48" s="1313"/>
      <c r="D48" s="1313"/>
      <c r="E48" s="1313"/>
      <c r="F48" s="1313"/>
      <c r="G48" s="1313"/>
      <c r="H48" s="1313"/>
      <c r="I48" s="1313"/>
      <c r="J48" s="1313"/>
      <c r="K48" s="1313"/>
      <c r="L48" s="1313"/>
      <c r="M48" s="1313"/>
      <c r="N48" s="1313"/>
      <c r="O48" s="1313"/>
      <c r="P48" s="1313"/>
      <c r="Q48" s="1313"/>
      <c r="R48" s="1313"/>
      <c r="S48" s="1313"/>
      <c r="T48" s="1313"/>
      <c r="U48" s="1313"/>
      <c r="V48" s="1313"/>
      <c r="W48" s="1313"/>
      <c r="X48" s="1313"/>
    </row>
    <row r="49" spans="1:24">
      <c r="A49" s="1314" t="s">
        <v>942</v>
      </c>
      <c r="B49" s="1314"/>
      <c r="C49" s="1314"/>
      <c r="D49" s="1314"/>
      <c r="E49" s="1314"/>
      <c r="F49" s="1314"/>
      <c r="G49" s="1314"/>
      <c r="H49" s="1314"/>
      <c r="I49" s="1314"/>
      <c r="J49" s="1314"/>
      <c r="K49" s="1314"/>
      <c r="L49" s="1314"/>
      <c r="M49" s="1314"/>
      <c r="N49" s="1314"/>
      <c r="O49" s="1314"/>
      <c r="P49" s="1314"/>
      <c r="Q49" s="1314"/>
      <c r="R49" s="1314"/>
      <c r="S49" s="1314"/>
      <c r="T49" s="1314"/>
      <c r="U49" s="1314"/>
      <c r="V49" s="1314"/>
      <c r="W49" s="1314"/>
      <c r="X49" s="1314"/>
    </row>
    <row r="50" spans="1:24">
      <c r="A50" s="1314" t="s">
        <v>943</v>
      </c>
      <c r="B50" s="1314"/>
      <c r="C50" s="1314"/>
      <c r="D50" s="1314"/>
      <c r="E50" s="1314"/>
      <c r="F50" s="1314"/>
      <c r="G50" s="1314"/>
      <c r="H50" s="1314"/>
      <c r="I50" s="1314"/>
      <c r="J50" s="1314"/>
      <c r="K50" s="1314"/>
      <c r="L50" s="1314"/>
      <c r="M50" s="1314"/>
      <c r="N50" s="1314"/>
      <c r="O50" s="1314"/>
      <c r="P50" s="1314"/>
      <c r="Q50" s="1314"/>
      <c r="R50" s="1314"/>
      <c r="S50" s="1314"/>
      <c r="T50" s="1314"/>
      <c r="U50" s="1314"/>
      <c r="V50" s="1314"/>
      <c r="W50" s="1314"/>
      <c r="X50" s="1314"/>
    </row>
    <row r="51" spans="1:24">
      <c r="A51" s="1310" t="s">
        <v>944</v>
      </c>
      <c r="B51" s="1310"/>
      <c r="C51" s="1310"/>
      <c r="D51" s="1310"/>
      <c r="E51" s="1310"/>
      <c r="F51" s="1310"/>
      <c r="G51" s="1310"/>
      <c r="H51" s="1310"/>
      <c r="I51" s="1310"/>
      <c r="J51" s="1310"/>
      <c r="K51" s="1310"/>
      <c r="L51" s="1310"/>
      <c r="M51" s="1310"/>
      <c r="N51" s="1310"/>
      <c r="O51" s="1310"/>
      <c r="P51" s="1310"/>
      <c r="Q51" s="1310"/>
      <c r="R51" s="1310"/>
      <c r="S51" s="1310"/>
      <c r="T51" s="1310"/>
      <c r="U51" s="1310"/>
      <c r="V51" s="1310"/>
      <c r="W51" s="1310"/>
      <c r="X51" s="1310"/>
    </row>
    <row r="52" spans="1:24">
      <c r="A52" s="1311" t="s">
        <v>945</v>
      </c>
      <c r="B52" s="1311"/>
      <c r="C52" s="1311"/>
      <c r="D52" s="1311"/>
      <c r="E52" s="1311"/>
      <c r="F52" s="1311"/>
      <c r="G52" s="1311"/>
      <c r="H52" s="1311"/>
      <c r="I52" s="1311"/>
      <c r="J52" s="1311"/>
      <c r="K52" s="1311"/>
      <c r="L52" s="1311"/>
      <c r="M52" s="1311"/>
      <c r="N52" s="1311"/>
      <c r="O52" s="1311"/>
      <c r="P52" s="1311"/>
      <c r="Q52" s="1311"/>
      <c r="R52" s="1311"/>
      <c r="S52" s="1311"/>
      <c r="T52" s="1311"/>
      <c r="U52" s="1311"/>
      <c r="V52" s="1311"/>
      <c r="W52" s="1311"/>
      <c r="X52" s="1311"/>
    </row>
    <row r="53" spans="1:24">
      <c r="A53" s="555"/>
      <c r="B53" s="555"/>
      <c r="C53" s="555"/>
      <c r="D53" s="555"/>
      <c r="E53" s="555"/>
      <c r="F53" s="555"/>
      <c r="G53" s="555"/>
      <c r="H53" s="555"/>
      <c r="I53" s="555"/>
      <c r="J53" s="555"/>
      <c r="K53" s="555"/>
      <c r="L53" s="555"/>
      <c r="M53" s="555"/>
      <c r="N53" s="555"/>
      <c r="O53" s="555"/>
      <c r="P53" s="555"/>
      <c r="Q53" s="555"/>
      <c r="R53" s="555"/>
      <c r="S53" s="555"/>
      <c r="T53" s="555"/>
      <c r="U53" s="555"/>
      <c r="V53" s="555"/>
      <c r="W53" s="555"/>
      <c r="X53" s="555"/>
    </row>
    <row r="54" spans="1:24">
      <c r="A54" s="556"/>
      <c r="B54" s="556"/>
      <c r="C54" s="556"/>
      <c r="D54" s="556"/>
      <c r="E54" s="556"/>
      <c r="F54" s="556"/>
      <c r="G54" s="556"/>
      <c r="H54" s="556"/>
      <c r="I54" s="556"/>
      <c r="J54" s="556"/>
      <c r="K54" s="556"/>
      <c r="L54" s="556"/>
      <c r="M54" s="556"/>
      <c r="N54" s="556"/>
      <c r="O54" s="556"/>
      <c r="P54" s="556"/>
      <c r="Q54" s="556"/>
      <c r="R54" s="556"/>
      <c r="S54" s="556"/>
      <c r="T54" s="556"/>
      <c r="U54" s="556"/>
      <c r="V54" s="556"/>
      <c r="W54" s="556"/>
      <c r="X54" s="556"/>
    </row>
    <row r="55" spans="1:24">
      <c r="A55" s="556"/>
      <c r="B55" s="556"/>
      <c r="C55" s="556"/>
      <c r="D55" s="556"/>
      <c r="E55" s="556"/>
      <c r="F55" s="556"/>
      <c r="G55" s="556"/>
      <c r="H55" s="556"/>
      <c r="I55" s="556"/>
      <c r="J55" s="556"/>
      <c r="K55" s="556"/>
      <c r="L55" s="556"/>
      <c r="M55" s="556"/>
      <c r="N55" s="556"/>
      <c r="O55" s="556"/>
      <c r="P55" s="556"/>
      <c r="Q55" s="556"/>
      <c r="R55" s="556"/>
      <c r="S55" s="556"/>
      <c r="T55" s="556"/>
      <c r="U55" s="556"/>
      <c r="V55" s="556"/>
      <c r="W55" s="556"/>
      <c r="X55" s="556"/>
    </row>
    <row r="59" spans="1:24">
      <c r="A59" s="677" t="s">
        <v>696</v>
      </c>
    </row>
  </sheetData>
  <mergeCells count="28">
    <mergeCell ref="A10:AF10"/>
    <mergeCell ref="A23:AC23"/>
    <mergeCell ref="A37:X37"/>
    <mergeCell ref="A38:X38"/>
    <mergeCell ref="A39:X39"/>
    <mergeCell ref="A32:X32"/>
    <mergeCell ref="A33:X33"/>
    <mergeCell ref="A34:X34"/>
    <mergeCell ref="A35:X35"/>
    <mergeCell ref="A36:X36"/>
    <mergeCell ref="A25:AC25"/>
    <mergeCell ref="A27:X27"/>
    <mergeCell ref="A28:X28"/>
    <mergeCell ref="A29:X29"/>
    <mergeCell ref="A31:X31"/>
    <mergeCell ref="A43:X43"/>
    <mergeCell ref="A44:X44"/>
    <mergeCell ref="A45:X45"/>
    <mergeCell ref="A42:X42"/>
    <mergeCell ref="A40:X40"/>
    <mergeCell ref="A41:X41"/>
    <mergeCell ref="A51:X51"/>
    <mergeCell ref="A52:X52"/>
    <mergeCell ref="A46:X46"/>
    <mergeCell ref="A47:X47"/>
    <mergeCell ref="A48:X48"/>
    <mergeCell ref="A49:X49"/>
    <mergeCell ref="A50:X50"/>
  </mergeCells>
  <hyperlinks>
    <hyperlink ref="B9" r:id="rId1" display="https://www.bts.gov/content/average-freight-revenue-ton-mile" xr:uid="{81C8375D-108B-45C7-8CE0-523C49B09149}"/>
  </hyperlinks>
  <pageMargins left="0.25" right="0.25" top="0.75" bottom="0.75" header="0.3" footer="0.3"/>
  <pageSetup scale="56" orientation="landscape" r:id="rId2"/>
  <headerFooter alignWithMargins="0"/>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7C96C-2BE0-4239-B11A-71781723EE41}">
  <sheetPr codeName="Sheet31">
    <tabColor theme="1" tint="0.34998626667073579"/>
  </sheetPr>
  <dimension ref="A1:P90"/>
  <sheetViews>
    <sheetView showGridLines="0" topLeftCell="A37" zoomScaleNormal="100" workbookViewId="0">
      <selection activeCell="K49" sqref="K49"/>
    </sheetView>
  </sheetViews>
  <sheetFormatPr defaultColWidth="9.625" defaultRowHeight="11.25"/>
  <cols>
    <col min="1" max="1" width="1" style="29" customWidth="1"/>
    <col min="2" max="2" width="20.125" style="29" customWidth="1"/>
    <col min="3" max="8" width="13.625" style="29" customWidth="1"/>
    <col min="9" max="9" width="9.625" style="29"/>
    <col min="10" max="15" width="13.625" style="29" customWidth="1"/>
    <col min="16" max="16384" width="9.625" style="29"/>
  </cols>
  <sheetData>
    <row r="1" spans="1:16" s="21" customFormat="1" ht="12.75">
      <c r="A1" s="273" t="s">
        <v>946</v>
      </c>
      <c r="B1" s="9"/>
      <c r="C1" s="1064"/>
      <c r="D1" s="1064"/>
      <c r="E1" s="1064"/>
      <c r="F1" s="1064"/>
      <c r="G1" s="1064"/>
      <c r="H1" s="1063"/>
      <c r="I1" s="1063"/>
    </row>
    <row r="2" spans="1:16" s="1058" customFormat="1">
      <c r="A2" s="1059"/>
      <c r="B2" s="1059" t="s">
        <v>947</v>
      </c>
      <c r="C2" s="1062"/>
      <c r="D2" s="1061"/>
      <c r="E2" s="1061"/>
      <c r="F2" s="1061"/>
      <c r="G2" s="1061"/>
      <c r="H2" s="1060"/>
      <c r="I2" s="1060"/>
    </row>
    <row r="3" spans="1:16" s="1058" customFormat="1" ht="11.25" customHeight="1">
      <c r="A3" s="1059"/>
      <c r="B3" s="1059" t="s">
        <v>948</v>
      </c>
      <c r="C3" s="1062"/>
      <c r="D3" s="1061"/>
      <c r="E3" s="1061"/>
      <c r="F3" s="1061"/>
      <c r="G3" s="1061"/>
      <c r="H3" s="1060"/>
      <c r="I3" s="1060"/>
      <c r="J3" s="1059" t="s">
        <v>949</v>
      </c>
    </row>
    <row r="4" spans="1:16">
      <c r="B4" s="1057"/>
    </row>
    <row r="5" spans="1:16" ht="23.25" customHeight="1">
      <c r="B5" s="1325" t="s">
        <v>85</v>
      </c>
      <c r="C5" s="1327" t="s">
        <v>950</v>
      </c>
      <c r="D5" s="1327"/>
      <c r="E5" s="1327"/>
      <c r="F5" s="1327" t="s">
        <v>951</v>
      </c>
      <c r="G5" s="1327"/>
      <c r="H5" s="1327"/>
      <c r="J5" s="1327" t="s">
        <v>952</v>
      </c>
      <c r="K5" s="1327"/>
      <c r="L5" s="1327"/>
      <c r="M5" s="1327" t="s">
        <v>953</v>
      </c>
      <c r="N5" s="1327"/>
      <c r="O5" s="1327"/>
    </row>
    <row r="6" spans="1:16" ht="22.5">
      <c r="B6" s="1326"/>
      <c r="C6" s="1056" t="s">
        <v>954</v>
      </c>
      <c r="D6" s="1056" t="s">
        <v>955</v>
      </c>
      <c r="E6" s="1056" t="s">
        <v>956</v>
      </c>
      <c r="F6" s="1056" t="s">
        <v>954</v>
      </c>
      <c r="G6" s="1056" t="s">
        <v>955</v>
      </c>
      <c r="H6" s="1056" t="s">
        <v>956</v>
      </c>
      <c r="J6" s="1056" t="s">
        <v>954</v>
      </c>
      <c r="K6" s="1056" t="s">
        <v>955</v>
      </c>
      <c r="L6" s="1056" t="s">
        <v>956</v>
      </c>
      <c r="M6" s="1056" t="s">
        <v>954</v>
      </c>
      <c r="N6" s="1056" t="s">
        <v>955</v>
      </c>
      <c r="O6" s="1056" t="s">
        <v>956</v>
      </c>
    </row>
    <row r="7" spans="1:16" ht="11.25" customHeight="1">
      <c r="A7"/>
      <c r="B7" s="1054">
        <v>2020</v>
      </c>
      <c r="C7" s="1053"/>
      <c r="D7" s="1053"/>
      <c r="E7" s="1053"/>
      <c r="F7" s="1053"/>
      <c r="G7" s="1053"/>
      <c r="H7" s="1053"/>
      <c r="J7" s="1052"/>
      <c r="K7" s="1051"/>
      <c r="L7" s="1051"/>
      <c r="M7" s="1052"/>
      <c r="N7" s="1051"/>
      <c r="O7" s="1051"/>
    </row>
    <row r="8" spans="1:16" ht="11.25" customHeight="1">
      <c r="A8"/>
      <c r="B8" s="1054">
        <v>2021</v>
      </c>
      <c r="C8" s="1053"/>
      <c r="D8" s="1053"/>
      <c r="E8" s="1053"/>
      <c r="F8" s="1053"/>
      <c r="G8" s="1053"/>
      <c r="H8" s="1053"/>
      <c r="J8" s="1052"/>
      <c r="K8" s="1051"/>
      <c r="L8" s="1051"/>
      <c r="M8" s="1052"/>
      <c r="N8" s="1051"/>
      <c r="O8" s="1051"/>
    </row>
    <row r="9" spans="1:16" ht="11.25" customHeight="1">
      <c r="A9"/>
      <c r="B9" s="1054">
        <v>2022</v>
      </c>
      <c r="C9" s="1053">
        <v>4.1839969999999997</v>
      </c>
      <c r="D9" s="1053">
        <v>4.1839959999999996</v>
      </c>
      <c r="E9" s="1053">
        <v>4.1839959999999996</v>
      </c>
      <c r="F9" s="1053">
        <v>5.1050589999999998</v>
      </c>
      <c r="G9" s="1053">
        <v>5.1029600000000004</v>
      </c>
      <c r="H9" s="1053">
        <v>5.105308</v>
      </c>
      <c r="I9" s="1031">
        <f>J9/C9</f>
        <v>0.12907920345067173</v>
      </c>
      <c r="J9" s="1052">
        <v>0.54006700000000007</v>
      </c>
      <c r="K9" s="1051">
        <v>0.53856900000000008</v>
      </c>
      <c r="L9" s="1051">
        <v>0.54376000000000002</v>
      </c>
      <c r="M9" s="1052">
        <v>0.55858299999999994</v>
      </c>
      <c r="N9" s="1051">
        <v>0.55835299999999999</v>
      </c>
      <c r="O9" s="1051">
        <v>0.55861000000000005</v>
      </c>
      <c r="P9" s="1055"/>
    </row>
    <row r="10" spans="1:16" ht="11.25" customHeight="1">
      <c r="A10"/>
      <c r="B10" s="1054">
        <v>2023</v>
      </c>
      <c r="C10" s="1053">
        <v>3.6677590000000002</v>
      </c>
      <c r="D10" s="1053">
        <v>2.551253</v>
      </c>
      <c r="E10" s="1053">
        <v>5.2465190000000002</v>
      </c>
      <c r="F10" s="1053">
        <v>4.5184139999999999</v>
      </c>
      <c r="G10" s="1053">
        <v>2.7776260000000002</v>
      </c>
      <c r="H10" s="1053">
        <v>5.9099490000000001</v>
      </c>
      <c r="J10" s="1052">
        <v>0.53034999999999999</v>
      </c>
      <c r="K10" s="1051">
        <v>0.52248800000000006</v>
      </c>
      <c r="L10" s="1051">
        <v>0.54764299999999999</v>
      </c>
      <c r="M10" s="1052">
        <v>0.54911900000000002</v>
      </c>
      <c r="N10" s="1051">
        <v>0.54994799999999999</v>
      </c>
      <c r="O10" s="1051">
        <v>0.54777200000000004</v>
      </c>
      <c r="P10" s="1055"/>
    </row>
    <row r="11" spans="1:16" ht="11.25" customHeight="1">
      <c r="A11"/>
      <c r="B11" s="1054">
        <v>2024</v>
      </c>
      <c r="C11" s="1053">
        <v>3.3247</v>
      </c>
      <c r="D11" s="1053">
        <v>2.377596</v>
      </c>
      <c r="E11" s="1053">
        <v>5.0096999999999996</v>
      </c>
      <c r="F11" s="1053">
        <v>4.2866369999999998</v>
      </c>
      <c r="G11" s="1053">
        <v>2.7317809999999998</v>
      </c>
      <c r="H11" s="1053">
        <v>5.7821879999999997</v>
      </c>
      <c r="J11" s="1052">
        <v>0.52526200000000001</v>
      </c>
      <c r="K11" s="1051">
        <v>0.517289</v>
      </c>
      <c r="L11" s="1051">
        <v>0.53977200000000003</v>
      </c>
      <c r="M11" s="1052">
        <v>0.54364699999999999</v>
      </c>
      <c r="N11" s="1051">
        <v>0.54555500000000001</v>
      </c>
      <c r="O11" s="1051">
        <v>0.54072600000000004</v>
      </c>
      <c r="P11" s="1055"/>
    </row>
    <row r="12" spans="1:16" ht="11.25" customHeight="1">
      <c r="A12"/>
      <c r="B12" s="1054">
        <v>2025</v>
      </c>
      <c r="C12" s="1053">
        <v>3.1027680000000002</v>
      </c>
      <c r="D12" s="1053">
        <v>2.2759100000000001</v>
      </c>
      <c r="E12" s="1053">
        <v>4.9552420000000001</v>
      </c>
      <c r="F12" s="1053">
        <v>3.996505</v>
      </c>
      <c r="G12" s="1053">
        <v>2.688615</v>
      </c>
      <c r="H12" s="1053">
        <v>5.8034749999999997</v>
      </c>
      <c r="J12" s="1052">
        <v>0.51892199999999999</v>
      </c>
      <c r="K12" s="1051">
        <v>0.51271599999999995</v>
      </c>
      <c r="L12" s="1051">
        <v>0.53364299999999998</v>
      </c>
      <c r="M12" s="1052">
        <v>0.53874599999999995</v>
      </c>
      <c r="N12" s="1051">
        <v>0.54137299999999999</v>
      </c>
      <c r="O12" s="1051">
        <v>0.53416600000000003</v>
      </c>
      <c r="P12" s="1055"/>
    </row>
    <row r="13" spans="1:16" ht="11.25" customHeight="1">
      <c r="A13"/>
      <c r="B13" s="1054">
        <v>2026</v>
      </c>
      <c r="C13" s="1053">
        <v>3.069134</v>
      </c>
      <c r="D13" s="1053">
        <v>2.226791</v>
      </c>
      <c r="E13" s="1053">
        <v>4.8860330000000003</v>
      </c>
      <c r="F13" s="1053">
        <v>3.8693710000000001</v>
      </c>
      <c r="G13" s="1053">
        <v>2.646331</v>
      </c>
      <c r="H13" s="1053">
        <v>5.7527239999999997</v>
      </c>
      <c r="J13" s="1052">
        <v>0.51447299999999996</v>
      </c>
      <c r="K13" s="1051">
        <v>0.50862600000000002</v>
      </c>
      <c r="L13" s="1051">
        <v>0.52752200000000005</v>
      </c>
      <c r="M13" s="1052">
        <v>0.53412700000000002</v>
      </c>
      <c r="N13" s="1051">
        <v>0.53723799999999999</v>
      </c>
      <c r="O13" s="1051">
        <v>0.52803</v>
      </c>
      <c r="P13" s="1055"/>
    </row>
    <row r="14" spans="1:16" ht="11.25" customHeight="1">
      <c r="A14"/>
      <c r="B14" s="1054">
        <v>2027</v>
      </c>
      <c r="C14" s="1053">
        <v>3.050068</v>
      </c>
      <c r="D14" s="1053">
        <v>2.1915830000000001</v>
      </c>
      <c r="E14" s="1053">
        <v>4.8152689999999998</v>
      </c>
      <c r="F14" s="1053">
        <v>3.7410540000000001</v>
      </c>
      <c r="G14" s="1053">
        <v>2.5962170000000002</v>
      </c>
      <c r="H14" s="1053">
        <v>5.7111700000000001</v>
      </c>
      <c r="J14" s="1052">
        <v>0.51020699999999997</v>
      </c>
      <c r="K14" s="1051">
        <v>0.504687</v>
      </c>
      <c r="L14" s="1051">
        <v>0.52173999999999998</v>
      </c>
      <c r="M14" s="1052">
        <v>0.52960300000000005</v>
      </c>
      <c r="N14" s="1051">
        <v>0.53318500000000002</v>
      </c>
      <c r="O14" s="1051">
        <v>0.52217000000000002</v>
      </c>
      <c r="P14" s="1055"/>
    </row>
    <row r="15" spans="1:16" ht="11.25" customHeight="1">
      <c r="A15"/>
      <c r="B15" s="1054">
        <v>2028</v>
      </c>
      <c r="C15" s="1053">
        <v>3.0508000000000002</v>
      </c>
      <c r="D15" s="1053">
        <v>2.1984650000000001</v>
      </c>
      <c r="E15" s="1053">
        <v>4.7496470000000004</v>
      </c>
      <c r="F15" s="1053">
        <v>3.6345890000000001</v>
      </c>
      <c r="G15" s="1053">
        <v>2.6037140000000001</v>
      </c>
      <c r="H15" s="1053">
        <v>5.6154679999999999</v>
      </c>
      <c r="J15" s="1052">
        <v>0.50619999999999998</v>
      </c>
      <c r="K15" s="1051">
        <v>0.50127199999999994</v>
      </c>
      <c r="L15" s="1051">
        <v>0.51597300000000001</v>
      </c>
      <c r="M15" s="1052">
        <v>0.52502899999999997</v>
      </c>
      <c r="N15" s="1051">
        <v>0.52922000000000002</v>
      </c>
      <c r="O15" s="1051">
        <v>0.516764</v>
      </c>
      <c r="P15" s="1055"/>
    </row>
    <row r="16" spans="1:16" ht="11.25" customHeight="1">
      <c r="A16"/>
      <c r="B16" s="1054">
        <v>2029</v>
      </c>
      <c r="C16" s="1053">
        <v>3.0554380000000001</v>
      </c>
      <c r="D16" s="1053">
        <v>2.2021039999999998</v>
      </c>
      <c r="E16" s="1053">
        <v>4.7628560000000002</v>
      </c>
      <c r="F16" s="1053">
        <v>3.647751</v>
      </c>
      <c r="G16" s="1053">
        <v>2.6046490000000002</v>
      </c>
      <c r="H16" s="1053">
        <v>5.6419189999999997</v>
      </c>
      <c r="J16" s="1052">
        <v>0.50223200000000001</v>
      </c>
      <c r="K16" s="1051">
        <v>0.49785100000000004</v>
      </c>
      <c r="L16" s="1051">
        <v>0.51112400000000002</v>
      </c>
      <c r="M16" s="1052">
        <v>0.52049100000000004</v>
      </c>
      <c r="N16" s="1051">
        <v>0.52538499999999999</v>
      </c>
      <c r="O16" s="1051">
        <v>0.51134199999999996</v>
      </c>
      <c r="P16" s="1055"/>
    </row>
    <row r="17" spans="1:16" ht="11.25" customHeight="1">
      <c r="A17"/>
      <c r="B17" s="1054">
        <v>2030</v>
      </c>
      <c r="C17" s="1053">
        <v>3.065353</v>
      </c>
      <c r="D17" s="1053">
        <v>2.211217</v>
      </c>
      <c r="E17" s="1053">
        <v>4.7516239999999996</v>
      </c>
      <c r="F17" s="1053">
        <v>3.6511490000000002</v>
      </c>
      <c r="G17" s="1053">
        <v>2.6225580000000002</v>
      </c>
      <c r="H17" s="1053">
        <v>5.6761970000000002</v>
      </c>
      <c r="J17" s="1052">
        <v>0.498282</v>
      </c>
      <c r="K17" s="1051">
        <v>0.49448800000000004</v>
      </c>
      <c r="L17" s="1051">
        <v>0.50636700000000001</v>
      </c>
      <c r="M17" s="1052">
        <v>0.51601799999999998</v>
      </c>
      <c r="N17" s="1051">
        <v>0.52158100000000007</v>
      </c>
      <c r="O17" s="1051">
        <v>0.50644899999999993</v>
      </c>
      <c r="P17" s="1055"/>
    </row>
    <row r="18" spans="1:16" ht="11.25" customHeight="1">
      <c r="A18"/>
      <c r="B18" s="1054">
        <v>2031</v>
      </c>
      <c r="C18" s="1053">
        <v>3.0602819999999999</v>
      </c>
      <c r="D18" s="1053">
        <v>2.2217319999999998</v>
      </c>
      <c r="E18" s="1053">
        <v>4.7427520000000003</v>
      </c>
      <c r="F18" s="1053">
        <v>3.6727180000000001</v>
      </c>
      <c r="G18" s="1053">
        <v>2.6345990000000001</v>
      </c>
      <c r="H18" s="1053">
        <v>5.7302239999999998</v>
      </c>
      <c r="J18" s="1052">
        <v>0.49427100000000002</v>
      </c>
      <c r="K18" s="1051">
        <v>0.49116899999999997</v>
      </c>
      <c r="L18" s="1051">
        <v>0.50154699999999997</v>
      </c>
      <c r="M18" s="1052">
        <v>0.51152900000000001</v>
      </c>
      <c r="N18" s="1051">
        <v>0.51767699999999994</v>
      </c>
      <c r="O18" s="1051">
        <v>0.50137699999999996</v>
      </c>
      <c r="P18" s="1055"/>
    </row>
    <row r="19" spans="1:16" ht="11.25" customHeight="1">
      <c r="A19"/>
      <c r="B19" s="1054">
        <v>2032</v>
      </c>
      <c r="C19" s="1053">
        <v>3.075698</v>
      </c>
      <c r="D19" s="1053">
        <v>2.2355170000000002</v>
      </c>
      <c r="E19" s="1053">
        <v>4.6939690000000001</v>
      </c>
      <c r="F19" s="1053">
        <v>3.6899760000000001</v>
      </c>
      <c r="G19" s="1053">
        <v>2.636212</v>
      </c>
      <c r="H19" s="1053">
        <v>5.7253889999999998</v>
      </c>
      <c r="J19" s="1052">
        <v>0.49044700000000002</v>
      </c>
      <c r="K19" s="1051">
        <v>0.487898</v>
      </c>
      <c r="L19" s="1051">
        <v>0.496755</v>
      </c>
      <c r="M19" s="1052">
        <v>0.507077</v>
      </c>
      <c r="N19" s="1051">
        <v>0.51381699999999997</v>
      </c>
      <c r="O19" s="1051">
        <v>0.49689800000000001</v>
      </c>
      <c r="P19" s="1055"/>
    </row>
    <row r="20" spans="1:16" ht="11.25" customHeight="1">
      <c r="A20"/>
      <c r="B20" s="1054">
        <v>2033</v>
      </c>
      <c r="C20" s="1053">
        <v>3.0825239999999998</v>
      </c>
      <c r="D20" s="1053">
        <v>2.2467600000000001</v>
      </c>
      <c r="E20" s="1053">
        <v>4.69367</v>
      </c>
      <c r="F20" s="1053">
        <v>3.7063929999999998</v>
      </c>
      <c r="G20" s="1053">
        <v>2.646798</v>
      </c>
      <c r="H20" s="1053">
        <v>5.7684360000000003</v>
      </c>
      <c r="J20" s="1052">
        <v>0.48653599999999997</v>
      </c>
      <c r="K20" s="1051">
        <v>0.48453600000000002</v>
      </c>
      <c r="L20" s="1051">
        <v>0.49238899999999997</v>
      </c>
      <c r="M20" s="1052">
        <v>0.50262600000000002</v>
      </c>
      <c r="N20" s="1051">
        <v>0.50991199999999992</v>
      </c>
      <c r="O20" s="1051">
        <v>0.49232100000000001</v>
      </c>
      <c r="P20" s="1055"/>
    </row>
    <row r="21" spans="1:16" ht="11.25" customHeight="1">
      <c r="A21"/>
      <c r="B21" s="1054">
        <v>2034</v>
      </c>
      <c r="C21" s="1053">
        <v>3.0924680000000002</v>
      </c>
      <c r="D21" s="1053">
        <v>2.244526</v>
      </c>
      <c r="E21" s="1053">
        <v>4.7196689999999997</v>
      </c>
      <c r="F21" s="1053">
        <v>3.7128269999999999</v>
      </c>
      <c r="G21" s="1053">
        <v>2.6312229999999999</v>
      </c>
      <c r="H21" s="1053">
        <v>5.8345770000000003</v>
      </c>
      <c r="J21" s="1052">
        <v>0.482707</v>
      </c>
      <c r="K21" s="1051">
        <v>0.48109999999999997</v>
      </c>
      <c r="L21" s="1051">
        <v>0.48838999999999999</v>
      </c>
      <c r="M21" s="1052">
        <v>0.49817899999999998</v>
      </c>
      <c r="N21" s="1051">
        <v>0.50604000000000005</v>
      </c>
      <c r="O21" s="1051">
        <v>0.48781000000000002</v>
      </c>
      <c r="P21" s="1055"/>
    </row>
    <row r="22" spans="1:16" ht="11.25" customHeight="1">
      <c r="A22"/>
      <c r="B22" s="1054">
        <v>2035</v>
      </c>
      <c r="C22" s="1053">
        <v>3.0986539999999998</v>
      </c>
      <c r="D22" s="1053">
        <v>2.2592880000000002</v>
      </c>
      <c r="E22" s="1053">
        <v>4.7287840000000001</v>
      </c>
      <c r="F22" s="1053">
        <v>3.7413090000000002</v>
      </c>
      <c r="G22" s="1053">
        <v>2.6388850000000001</v>
      </c>
      <c r="H22" s="1053">
        <v>5.8389670000000002</v>
      </c>
      <c r="J22" s="1052">
        <v>0.47891699999999998</v>
      </c>
      <c r="K22" s="1051">
        <v>0.47793099999999999</v>
      </c>
      <c r="L22" s="1051">
        <v>0.48436899999999999</v>
      </c>
      <c r="M22" s="1052">
        <v>0.49395899999999998</v>
      </c>
      <c r="N22" s="1051">
        <v>0.50231899999999996</v>
      </c>
      <c r="O22" s="1051">
        <v>0.48364300000000005</v>
      </c>
      <c r="P22" s="1055"/>
    </row>
    <row r="23" spans="1:16" ht="11.25" customHeight="1">
      <c r="A23"/>
      <c r="B23" s="1054">
        <v>2036</v>
      </c>
      <c r="C23" s="1053">
        <v>3.1315810000000002</v>
      </c>
      <c r="D23" s="1053">
        <v>2.266848</v>
      </c>
      <c r="E23" s="1053">
        <v>4.6957839999999997</v>
      </c>
      <c r="F23" s="1053">
        <v>3.7421289999999998</v>
      </c>
      <c r="G23" s="1053">
        <v>2.649937</v>
      </c>
      <c r="H23" s="1053">
        <v>5.8361320000000001</v>
      </c>
      <c r="J23" s="1052">
        <v>0.47562500000000002</v>
      </c>
      <c r="K23" s="1051">
        <v>0.47484899999999997</v>
      </c>
      <c r="L23" s="1051">
        <v>0.48025699999999999</v>
      </c>
      <c r="M23" s="1052">
        <v>0.48987999999999998</v>
      </c>
      <c r="N23" s="1051">
        <v>0.49873599999999996</v>
      </c>
      <c r="O23" s="1051">
        <v>0.47977199999999998</v>
      </c>
      <c r="P23" s="1055"/>
    </row>
    <row r="24" spans="1:16" ht="11.25" customHeight="1">
      <c r="A24"/>
      <c r="B24" s="1054">
        <v>2037</v>
      </c>
      <c r="C24" s="1053">
        <v>3.1356619999999999</v>
      </c>
      <c r="D24" s="1053">
        <v>2.2729189999999999</v>
      </c>
      <c r="E24" s="1053">
        <v>4.7384230000000001</v>
      </c>
      <c r="F24" s="1053">
        <v>3.7611910000000002</v>
      </c>
      <c r="G24" s="1053">
        <v>2.652752</v>
      </c>
      <c r="H24" s="1053">
        <v>5.8982450000000002</v>
      </c>
      <c r="J24" s="1052">
        <v>0.47217100000000001</v>
      </c>
      <c r="K24" s="1051">
        <v>0.47189599999999998</v>
      </c>
      <c r="L24" s="1051">
        <v>0.47708699999999998</v>
      </c>
      <c r="M24" s="1052">
        <v>0.48601299999999997</v>
      </c>
      <c r="N24" s="1051">
        <v>0.49531700000000001</v>
      </c>
      <c r="O24" s="1051">
        <v>0.47611899999999996</v>
      </c>
      <c r="P24" s="1055"/>
    </row>
    <row r="25" spans="1:16" ht="11.25" customHeight="1">
      <c r="A25"/>
      <c r="B25" s="1054">
        <v>2038</v>
      </c>
      <c r="C25" s="1053">
        <v>3.1447769999999999</v>
      </c>
      <c r="D25" s="1053">
        <v>2.2657180000000001</v>
      </c>
      <c r="E25" s="1053">
        <v>4.6763760000000003</v>
      </c>
      <c r="F25" s="1053">
        <v>3.7750789999999999</v>
      </c>
      <c r="G25" s="1053">
        <v>2.644155</v>
      </c>
      <c r="H25" s="1053">
        <v>5.8677419999999998</v>
      </c>
      <c r="J25" s="1052">
        <v>0.46889400000000003</v>
      </c>
      <c r="K25" s="1051">
        <v>0.46893600000000002</v>
      </c>
      <c r="L25" s="1051">
        <v>0.47312199999999999</v>
      </c>
      <c r="M25" s="1052">
        <v>0.48224900000000004</v>
      </c>
      <c r="N25" s="1051">
        <v>0.49201099999999998</v>
      </c>
      <c r="O25" s="1051">
        <v>0.472665</v>
      </c>
      <c r="P25" s="1055"/>
    </row>
    <row r="26" spans="1:16" ht="11.25" customHeight="1">
      <c r="A26"/>
      <c r="B26" s="1054">
        <v>2039</v>
      </c>
      <c r="C26" s="1053">
        <v>3.1580710000000001</v>
      </c>
      <c r="D26" s="1053">
        <v>2.280424</v>
      </c>
      <c r="E26" s="1053">
        <v>4.6587740000000002</v>
      </c>
      <c r="F26" s="1053">
        <v>3.7809750000000002</v>
      </c>
      <c r="G26" s="1053">
        <v>2.652517</v>
      </c>
      <c r="H26" s="1053">
        <v>5.8888829999999999</v>
      </c>
      <c r="J26" s="1052">
        <v>0.46578800000000004</v>
      </c>
      <c r="K26" s="1051">
        <v>0.46625899999999998</v>
      </c>
      <c r="L26" s="1051">
        <v>0.469725</v>
      </c>
      <c r="M26" s="1052">
        <v>0.47860199999999997</v>
      </c>
      <c r="N26" s="1051">
        <v>0.48876600000000003</v>
      </c>
      <c r="O26" s="1051">
        <v>0.46936600000000001</v>
      </c>
      <c r="P26" s="1055"/>
    </row>
    <row r="27" spans="1:16" ht="11.25" customHeight="1">
      <c r="A27"/>
      <c r="B27" s="1054">
        <v>2040</v>
      </c>
      <c r="C27" s="1053">
        <v>3.161826</v>
      </c>
      <c r="D27" s="1053">
        <v>2.2531599999999998</v>
      </c>
      <c r="E27" s="1053">
        <v>4.6725479999999999</v>
      </c>
      <c r="F27" s="1053">
        <v>3.787541</v>
      </c>
      <c r="G27" s="1053">
        <v>2.639812</v>
      </c>
      <c r="H27" s="1053">
        <v>5.9295330000000002</v>
      </c>
      <c r="J27" s="1052">
        <v>0.46262500000000001</v>
      </c>
      <c r="K27" s="1051">
        <v>0.46322200000000002</v>
      </c>
      <c r="L27" s="1051">
        <v>0.46674000000000004</v>
      </c>
      <c r="M27" s="1052">
        <v>0.47494499999999995</v>
      </c>
      <c r="N27" s="1051">
        <v>0.48555700000000002</v>
      </c>
      <c r="O27" s="1051">
        <v>0.46612599999999998</v>
      </c>
      <c r="P27" s="1055"/>
    </row>
    <row r="28" spans="1:16" ht="11.25" customHeight="1">
      <c r="A28"/>
      <c r="B28" s="1054">
        <v>2041</v>
      </c>
      <c r="C28" s="1053">
        <v>3.161508</v>
      </c>
      <c r="D28" s="1053">
        <v>2.242388</v>
      </c>
      <c r="E28" s="1053">
        <v>4.7096489999999998</v>
      </c>
      <c r="F28" s="1053">
        <v>3.810997</v>
      </c>
      <c r="G28" s="1053">
        <v>2.6226630000000002</v>
      </c>
      <c r="H28" s="1053">
        <v>6.0395440000000002</v>
      </c>
      <c r="J28" s="1052">
        <v>0.45946799999999999</v>
      </c>
      <c r="K28" s="1051">
        <v>0.46044499999999999</v>
      </c>
      <c r="L28" s="1051">
        <v>0.46381499999999998</v>
      </c>
      <c r="M28" s="1052">
        <v>0.47133800000000003</v>
      </c>
      <c r="N28" s="1051">
        <v>0.48244999999999993</v>
      </c>
      <c r="O28" s="1051">
        <v>0.46301400000000004</v>
      </c>
      <c r="P28" s="1055"/>
    </row>
    <row r="29" spans="1:16" ht="11.25" customHeight="1">
      <c r="A29"/>
      <c r="B29" s="1054">
        <v>2042</v>
      </c>
      <c r="C29" s="1053">
        <v>3.169308</v>
      </c>
      <c r="D29" s="1053">
        <v>2.2429649999999999</v>
      </c>
      <c r="E29" s="1053">
        <v>4.6715739999999997</v>
      </c>
      <c r="F29" s="1053">
        <v>3.8124370000000001</v>
      </c>
      <c r="G29" s="1053">
        <v>2.6189520000000002</v>
      </c>
      <c r="H29" s="1053">
        <v>6.1202579999999998</v>
      </c>
      <c r="J29" s="1052">
        <v>0.45646799999999998</v>
      </c>
      <c r="K29" s="1051">
        <v>0.45787600000000001</v>
      </c>
      <c r="L29" s="1051">
        <v>0.46060000000000001</v>
      </c>
      <c r="M29" s="1052">
        <v>0.46780699999999997</v>
      </c>
      <c r="N29" s="1051">
        <v>0.47942700000000005</v>
      </c>
      <c r="O29" s="1051">
        <v>0.46004</v>
      </c>
      <c r="P29" s="1055"/>
    </row>
    <row r="30" spans="1:16" ht="11.25" customHeight="1">
      <c r="A30"/>
      <c r="B30" s="1054">
        <v>2043</v>
      </c>
      <c r="C30" s="1053">
        <v>3.1561599999999999</v>
      </c>
      <c r="D30" s="1053">
        <v>2.245352</v>
      </c>
      <c r="E30" s="1053">
        <v>4.6609410000000002</v>
      </c>
      <c r="F30" s="1053">
        <v>3.8289230000000001</v>
      </c>
      <c r="G30" s="1053">
        <v>2.6103900000000002</v>
      </c>
      <c r="H30" s="1053">
        <v>6.1723429999999997</v>
      </c>
      <c r="J30" s="1052">
        <v>0.453287</v>
      </c>
      <c r="K30" s="1051">
        <v>0.45536699999999997</v>
      </c>
      <c r="L30" s="1051">
        <v>0.45807799999999999</v>
      </c>
      <c r="M30" s="1052">
        <v>0.46431100000000003</v>
      </c>
      <c r="N30" s="1051">
        <v>0.47647700000000004</v>
      </c>
      <c r="O30" s="1051">
        <v>0.45719500000000002</v>
      </c>
      <c r="P30" s="1055"/>
    </row>
    <row r="31" spans="1:16" ht="11.25" customHeight="1">
      <c r="A31"/>
      <c r="B31" s="1054">
        <v>2044</v>
      </c>
      <c r="C31" s="1053">
        <v>3.1765319999999999</v>
      </c>
      <c r="D31" s="1053">
        <v>2.3083990000000001</v>
      </c>
      <c r="E31" s="1053">
        <v>4.6861410000000001</v>
      </c>
      <c r="F31" s="1053">
        <v>3.8159420000000002</v>
      </c>
      <c r="G31" s="1053">
        <v>2.679433</v>
      </c>
      <c r="H31" s="1053">
        <v>6.2239599999999999</v>
      </c>
      <c r="J31" s="1052">
        <v>0.45052199999999998</v>
      </c>
      <c r="K31" s="1051">
        <v>0.45313700000000001</v>
      </c>
      <c r="L31" s="1051">
        <v>0.45544799999999996</v>
      </c>
      <c r="M31" s="1052">
        <v>0.46086199999999999</v>
      </c>
      <c r="N31" s="1051">
        <v>0.47362199999999999</v>
      </c>
      <c r="O31" s="1051">
        <v>0.45444200000000001</v>
      </c>
      <c r="P31" s="1055"/>
    </row>
    <row r="32" spans="1:16" ht="11.25" customHeight="1">
      <c r="A32"/>
      <c r="B32" s="1054">
        <v>2045</v>
      </c>
      <c r="C32" s="1053">
        <v>3.1773859999999998</v>
      </c>
      <c r="D32" s="1053">
        <v>2.3192840000000001</v>
      </c>
      <c r="E32" s="1053">
        <v>4.6567129999999999</v>
      </c>
      <c r="F32" s="1053">
        <v>3.82362</v>
      </c>
      <c r="G32" s="1053">
        <v>2.679338</v>
      </c>
      <c r="H32" s="1053">
        <v>6.2021940000000004</v>
      </c>
      <c r="J32" s="1052">
        <v>0.44763900000000001</v>
      </c>
      <c r="K32" s="1051">
        <v>0.45085999999999998</v>
      </c>
      <c r="L32" s="1051">
        <v>0.45319300000000001</v>
      </c>
      <c r="M32" s="1052">
        <v>0.45747199999999999</v>
      </c>
      <c r="N32" s="1051">
        <v>0.47080100000000003</v>
      </c>
      <c r="O32" s="1051">
        <v>0.451851</v>
      </c>
      <c r="P32" s="1055"/>
    </row>
    <row r="33" spans="1:16" ht="11.25" customHeight="1">
      <c r="A33"/>
      <c r="B33" s="1054">
        <v>2046</v>
      </c>
      <c r="C33" s="1053">
        <v>3.2653660000000002</v>
      </c>
      <c r="D33" s="1053">
        <v>2.330076</v>
      </c>
      <c r="E33" s="1053">
        <v>4.6681239999999997</v>
      </c>
      <c r="F33" s="1053">
        <v>3.9042400000000002</v>
      </c>
      <c r="G33" s="1053">
        <v>2.697257</v>
      </c>
      <c r="H33" s="1053">
        <v>6.1987059999999996</v>
      </c>
      <c r="J33" s="1052">
        <v>0.445268</v>
      </c>
      <c r="K33" s="1051">
        <v>0.44855100000000003</v>
      </c>
      <c r="L33" s="1051">
        <v>0.45081700000000002</v>
      </c>
      <c r="M33" s="1052">
        <v>0.454096</v>
      </c>
      <c r="N33" s="1051">
        <v>0.46808300000000003</v>
      </c>
      <c r="O33" s="1051">
        <v>0.44933099999999998</v>
      </c>
      <c r="P33" s="1055"/>
    </row>
    <row r="34" spans="1:16" ht="11.25" customHeight="1">
      <c r="A34"/>
      <c r="B34" s="1054">
        <v>2047</v>
      </c>
      <c r="C34" s="1053">
        <v>3.2646809999999999</v>
      </c>
      <c r="D34" s="1053">
        <v>2.3176359999999998</v>
      </c>
      <c r="E34" s="1053">
        <v>4.699891</v>
      </c>
      <c r="F34" s="1053">
        <v>3.9077069999999998</v>
      </c>
      <c r="G34" s="1053">
        <v>2.6699030000000001</v>
      </c>
      <c r="H34" s="1053">
        <v>6.2155500000000004</v>
      </c>
      <c r="J34" s="1052">
        <v>0.44243700000000002</v>
      </c>
      <c r="K34" s="1051">
        <v>0.44628200000000001</v>
      </c>
      <c r="L34" s="1051">
        <v>0.448766</v>
      </c>
      <c r="M34" s="1052">
        <v>0.45075900000000002</v>
      </c>
      <c r="N34" s="1051">
        <v>0.46541600000000005</v>
      </c>
      <c r="O34" s="1051">
        <v>0.44694500000000004</v>
      </c>
      <c r="P34" s="1055"/>
    </row>
    <row r="35" spans="1:16" ht="11.25" customHeight="1">
      <c r="A35"/>
      <c r="B35" s="1054">
        <v>2048</v>
      </c>
      <c r="C35" s="1053">
        <v>3.2908629999999999</v>
      </c>
      <c r="D35" s="1053">
        <v>2.335318</v>
      </c>
      <c r="E35" s="1053">
        <v>4.8238729999999999</v>
      </c>
      <c r="F35" s="1053">
        <v>3.9143530000000002</v>
      </c>
      <c r="G35" s="1053">
        <v>2.6670410000000002</v>
      </c>
      <c r="H35" s="1053">
        <v>6.242464</v>
      </c>
      <c r="J35" s="1052">
        <v>0.43997200000000003</v>
      </c>
      <c r="K35" s="1051">
        <v>0.44421100000000002</v>
      </c>
      <c r="L35" s="1051">
        <v>0.44784999999999997</v>
      </c>
      <c r="M35" s="1052">
        <v>0.447496</v>
      </c>
      <c r="N35" s="1051">
        <v>0.46283200000000002</v>
      </c>
      <c r="O35" s="1051">
        <v>0.44469199999999998</v>
      </c>
      <c r="P35" s="1055"/>
    </row>
    <row r="36" spans="1:16" ht="11.25" customHeight="1">
      <c r="A36"/>
      <c r="B36" s="1054">
        <v>2049</v>
      </c>
      <c r="C36" s="1053">
        <v>3.2989959999999998</v>
      </c>
      <c r="D36" s="1053">
        <v>2.3635169999999999</v>
      </c>
      <c r="E36" s="1053">
        <v>4.8060939999999999</v>
      </c>
      <c r="F36" s="1053">
        <v>3.9231009999999999</v>
      </c>
      <c r="G36" s="1053">
        <v>2.6767699999999999</v>
      </c>
      <c r="H36" s="1053">
        <v>6.2138059999999999</v>
      </c>
      <c r="J36" s="1052">
        <v>0.43731200000000003</v>
      </c>
      <c r="K36" s="1051">
        <v>0.44245100000000004</v>
      </c>
      <c r="L36" s="1051">
        <v>0.44603999999999999</v>
      </c>
      <c r="M36" s="1052">
        <v>0.44429600000000002</v>
      </c>
      <c r="N36" s="1051">
        <v>0.46033100000000005</v>
      </c>
      <c r="O36" s="1051">
        <v>0.44254500000000002</v>
      </c>
      <c r="P36" s="1055"/>
    </row>
    <row r="37" spans="1:16" ht="11.25" customHeight="1">
      <c r="A37"/>
      <c r="B37" s="1054">
        <v>2050</v>
      </c>
      <c r="C37" s="1053">
        <v>3.327496</v>
      </c>
      <c r="D37" s="1053">
        <v>2.3780260000000002</v>
      </c>
      <c r="E37" s="1053">
        <v>4.8471460000000004</v>
      </c>
      <c r="F37" s="1053">
        <v>3.9241450000000002</v>
      </c>
      <c r="G37" s="1053">
        <v>2.6885370000000002</v>
      </c>
      <c r="H37" s="1053">
        <v>6.2129019999999997</v>
      </c>
      <c r="J37" s="1052">
        <v>0.43492599999999998</v>
      </c>
      <c r="K37" s="1051">
        <v>0.44071499999999997</v>
      </c>
      <c r="L37" s="1051">
        <v>0.44461200000000001</v>
      </c>
      <c r="M37" s="1052">
        <v>0.44112200000000001</v>
      </c>
      <c r="N37" s="1051">
        <v>0.457901</v>
      </c>
      <c r="O37" s="1051">
        <v>0.44049199999999999</v>
      </c>
      <c r="P37" s="1050"/>
    </row>
    <row r="38" spans="1:16" ht="11.25" customHeight="1">
      <c r="A38" s="640"/>
      <c r="B38" s="1048" t="s">
        <v>957</v>
      </c>
      <c r="C38" s="1049">
        <f t="shared" ref="C38:H38" si="0">AVERAGE(C7:C37)</f>
        <v>3.2068915862068952</v>
      </c>
      <c r="D38" s="1049">
        <f t="shared" si="0"/>
        <v>2.3465092413793105</v>
      </c>
      <c r="E38" s="1049">
        <f t="shared" si="0"/>
        <v>4.7452338275862083</v>
      </c>
      <c r="F38" s="1049">
        <f t="shared" si="0"/>
        <v>3.878832137931036</v>
      </c>
      <c r="G38" s="1049">
        <f t="shared" si="0"/>
        <v>2.7383318965517245</v>
      </c>
      <c r="H38" s="1049">
        <f t="shared" si="0"/>
        <v>5.9020087241379313</v>
      </c>
    </row>
    <row r="39" spans="1:16" ht="11.25" customHeight="1">
      <c r="B39" s="1048" t="s">
        <v>958</v>
      </c>
      <c r="C39" s="1047">
        <f t="shared" ref="C39:H39" si="1">(C37/C9)^(1/($B37-$B7))-1</f>
        <v>-7.6058262186617931E-3</v>
      </c>
      <c r="D39" s="1047">
        <f t="shared" si="1"/>
        <v>-1.865696466436495E-2</v>
      </c>
      <c r="E39" s="1047">
        <f t="shared" si="1"/>
        <v>4.9161550768357376E-3</v>
      </c>
      <c r="F39" s="1047">
        <f t="shared" si="1"/>
        <v>-8.7311110472017006E-3</v>
      </c>
      <c r="G39" s="1047">
        <f t="shared" si="1"/>
        <v>-2.1134260332306587E-2</v>
      </c>
      <c r="H39" s="1047">
        <f t="shared" si="1"/>
        <v>6.5663752218776406E-3</v>
      </c>
    </row>
    <row r="40" spans="1:16" ht="11.25" customHeight="1">
      <c r="B40" s="1046" t="s">
        <v>959</v>
      </c>
      <c r="J40" s="1045" t="s">
        <v>960</v>
      </c>
    </row>
    <row r="41" spans="1:16" ht="11.25" customHeight="1">
      <c r="B41" s="1045" t="s">
        <v>961</v>
      </c>
    </row>
    <row r="42" spans="1:16" ht="11.25" customHeight="1">
      <c r="B42" s="1044" t="s">
        <v>962</v>
      </c>
    </row>
    <row r="44" spans="1:16" s="93" customFormat="1" ht="11.25" customHeight="1">
      <c r="A44" s="89"/>
      <c r="B44" s="1043" t="s">
        <v>963</v>
      </c>
      <c r="C44" s="1041"/>
      <c r="D44" s="1041"/>
      <c r="E44" s="1041"/>
      <c r="F44" s="1041"/>
      <c r="G44" s="1041"/>
      <c r="H44" s="1040"/>
      <c r="I44" s="1040"/>
    </row>
    <row r="45" spans="1:16" s="93" customFormat="1" ht="11.25" customHeight="1">
      <c r="A45" s="89"/>
      <c r="B45" s="1042"/>
      <c r="C45" s="1041"/>
      <c r="D45" s="1041"/>
      <c r="E45" s="1041"/>
      <c r="F45" s="1041"/>
      <c r="G45" s="1041"/>
      <c r="H45" s="1040"/>
      <c r="I45" s="1040"/>
    </row>
    <row r="47" spans="1:16" ht="33.75">
      <c r="B47" s="1039" t="s">
        <v>85</v>
      </c>
      <c r="C47" s="1039" t="s">
        <v>964</v>
      </c>
      <c r="D47" s="1039" t="s">
        <v>965</v>
      </c>
      <c r="F47" s="1038" t="s">
        <v>966</v>
      </c>
      <c r="G47" s="1038" t="s">
        <v>967</v>
      </c>
    </row>
    <row r="48" spans="1:16" ht="11.25" customHeight="1">
      <c r="B48" s="1035">
        <v>2020</v>
      </c>
      <c r="C48" s="1034">
        <f t="shared" ref="C48:C78" si="2">(C7-J7)*$K$48</f>
        <v>0</v>
      </c>
      <c r="D48" s="1034">
        <f t="shared" ref="D48:D78" si="3">(F7-M7)*$K$48</f>
        <v>0</v>
      </c>
      <c r="F48" s="1031"/>
      <c r="G48" s="1031"/>
      <c r="J48" s="1037" t="s">
        <v>968</v>
      </c>
      <c r="K48" s="1036">
        <f>'Prices and ECI'!AI24/'Prices and ECI'!AI24</f>
        <v>1</v>
      </c>
    </row>
    <row r="49" spans="2:7" ht="11.25" customHeight="1">
      <c r="B49" s="1035">
        <v>2021</v>
      </c>
      <c r="C49" s="1034">
        <f t="shared" si="2"/>
        <v>0</v>
      </c>
      <c r="D49" s="1034">
        <f t="shared" si="3"/>
        <v>0</v>
      </c>
      <c r="F49" s="1031"/>
      <c r="G49" s="1031"/>
    </row>
    <row r="50" spans="2:7" ht="11.25" customHeight="1">
      <c r="B50" s="1035">
        <v>2022</v>
      </c>
      <c r="C50" s="1034">
        <f t="shared" si="2"/>
        <v>3.6439299999999997</v>
      </c>
      <c r="D50" s="1034">
        <f t="shared" si="3"/>
        <v>4.5464760000000002</v>
      </c>
      <c r="F50" s="1031"/>
      <c r="G50" s="1031"/>
    </row>
    <row r="51" spans="2:7" ht="11.25" customHeight="1">
      <c r="B51" s="1035">
        <v>2023</v>
      </c>
      <c r="C51" s="1034">
        <f t="shared" si="2"/>
        <v>3.1374090000000003</v>
      </c>
      <c r="D51" s="1034">
        <f t="shared" si="3"/>
        <v>3.9692949999999998</v>
      </c>
      <c r="F51" s="1031">
        <f t="shared" ref="F51:F78" si="4">C51/C50-1</f>
        <v>-0.13900404233890318</v>
      </c>
      <c r="G51" s="1031">
        <f t="shared" ref="G51:G78" si="5">D51/D50-1</f>
        <v>-0.12695129150577289</v>
      </c>
    </row>
    <row r="52" spans="2:7" ht="11.25" customHeight="1">
      <c r="B52" s="1035">
        <v>2024</v>
      </c>
      <c r="C52" s="1034">
        <f t="shared" si="2"/>
        <v>2.7994379999999999</v>
      </c>
      <c r="D52" s="1034">
        <f t="shared" si="3"/>
        <v>3.7429899999999998</v>
      </c>
      <c r="F52" s="1031">
        <f t="shared" si="4"/>
        <v>-0.10772296503261147</v>
      </c>
      <c r="G52" s="1031">
        <f t="shared" si="5"/>
        <v>-5.7013902972694153E-2</v>
      </c>
    </row>
    <row r="53" spans="2:7" ht="11.25" customHeight="1">
      <c r="B53" s="1035">
        <v>2025</v>
      </c>
      <c r="C53" s="1034">
        <f t="shared" si="2"/>
        <v>2.5838460000000003</v>
      </c>
      <c r="D53" s="1034">
        <f t="shared" si="3"/>
        <v>3.4577590000000002</v>
      </c>
      <c r="F53" s="1031">
        <f t="shared" si="4"/>
        <v>-7.7012600386220265E-2</v>
      </c>
      <c r="G53" s="1031">
        <f t="shared" si="5"/>
        <v>-7.6204050772243459E-2</v>
      </c>
    </row>
    <row r="54" spans="2:7" ht="11.25" customHeight="1">
      <c r="B54" s="1035">
        <v>2026</v>
      </c>
      <c r="C54" s="1034">
        <f t="shared" si="2"/>
        <v>2.5546610000000003</v>
      </c>
      <c r="D54" s="1034">
        <f t="shared" si="3"/>
        <v>3.3352440000000003</v>
      </c>
      <c r="F54" s="1031">
        <f t="shared" si="4"/>
        <v>-1.1295177808584578E-2</v>
      </c>
      <c r="G54" s="1031">
        <f t="shared" si="5"/>
        <v>-3.5431908354515151E-2</v>
      </c>
    </row>
    <row r="55" spans="2:7" ht="11.25" customHeight="1">
      <c r="B55" s="1035">
        <v>2027</v>
      </c>
      <c r="C55" s="1034">
        <f t="shared" si="2"/>
        <v>2.5398610000000001</v>
      </c>
      <c r="D55" s="1034">
        <f t="shared" si="3"/>
        <v>3.2114510000000003</v>
      </c>
      <c r="F55" s="1031">
        <f t="shared" si="4"/>
        <v>-5.7933322660032038E-3</v>
      </c>
      <c r="G55" s="1031">
        <f t="shared" si="5"/>
        <v>-3.7116624750692884E-2</v>
      </c>
    </row>
    <row r="56" spans="2:7" ht="11.25" customHeight="1">
      <c r="B56" s="1035">
        <v>2028</v>
      </c>
      <c r="C56" s="1034">
        <f t="shared" si="2"/>
        <v>2.5446</v>
      </c>
      <c r="D56" s="1034">
        <f t="shared" si="3"/>
        <v>3.1095600000000001</v>
      </c>
      <c r="F56" s="1031">
        <f t="shared" si="4"/>
        <v>1.8658501390429461E-3</v>
      </c>
      <c r="G56" s="1031">
        <f t="shared" si="5"/>
        <v>-3.1727402971429508E-2</v>
      </c>
    </row>
    <row r="57" spans="2:7" ht="11.25" customHeight="1">
      <c r="B57" s="1035">
        <v>2029</v>
      </c>
      <c r="C57" s="1034">
        <f t="shared" si="2"/>
        <v>2.5532060000000003</v>
      </c>
      <c r="D57" s="1034">
        <f t="shared" si="3"/>
        <v>3.1272599999999997</v>
      </c>
      <c r="F57" s="1031">
        <f t="shared" si="4"/>
        <v>3.3820639786215079E-3</v>
      </c>
      <c r="G57" s="1031">
        <f t="shared" si="5"/>
        <v>5.6921236445026668E-3</v>
      </c>
    </row>
    <row r="58" spans="2:7" ht="11.25" customHeight="1">
      <c r="B58" s="1035">
        <v>2030</v>
      </c>
      <c r="C58" s="1034">
        <f t="shared" si="2"/>
        <v>2.5670709999999999</v>
      </c>
      <c r="D58" s="1034">
        <f t="shared" si="3"/>
        <v>3.1351310000000003</v>
      </c>
      <c r="F58" s="1031">
        <f t="shared" si="4"/>
        <v>5.4304274704037869E-3</v>
      </c>
      <c r="G58" s="1031">
        <f t="shared" si="5"/>
        <v>2.5168997780806723E-3</v>
      </c>
    </row>
    <row r="59" spans="2:7" ht="11.25" customHeight="1">
      <c r="B59" s="1035">
        <v>2031</v>
      </c>
      <c r="C59" s="1034">
        <f t="shared" si="2"/>
        <v>2.566011</v>
      </c>
      <c r="D59" s="1034">
        <f t="shared" si="3"/>
        <v>3.1611890000000002</v>
      </c>
      <c r="F59" s="1031">
        <f t="shared" si="4"/>
        <v>-4.1292196437103801E-4</v>
      </c>
      <c r="G59" s="1031">
        <f t="shared" si="5"/>
        <v>8.3116144110086942E-3</v>
      </c>
    </row>
    <row r="60" spans="2:7" ht="11.25" customHeight="1">
      <c r="B60" s="1035">
        <v>2032</v>
      </c>
      <c r="C60" s="1034">
        <f t="shared" si="2"/>
        <v>2.585251</v>
      </c>
      <c r="D60" s="1034">
        <f t="shared" si="3"/>
        <v>3.1828989999999999</v>
      </c>
      <c r="F60" s="1031">
        <f t="shared" si="4"/>
        <v>7.4980192992157857E-3</v>
      </c>
      <c r="G60" s="1031">
        <f t="shared" si="5"/>
        <v>6.8676690953941577E-3</v>
      </c>
    </row>
    <row r="61" spans="2:7" ht="11.25" customHeight="1">
      <c r="B61" s="1035">
        <v>2033</v>
      </c>
      <c r="C61" s="1034">
        <f t="shared" si="2"/>
        <v>2.5959879999999997</v>
      </c>
      <c r="D61" s="1034">
        <f t="shared" si="3"/>
        <v>3.203767</v>
      </c>
      <c r="F61" s="1031">
        <f t="shared" si="4"/>
        <v>4.1531750688810209E-3</v>
      </c>
      <c r="G61" s="1031">
        <f t="shared" si="5"/>
        <v>6.5562872086109003E-3</v>
      </c>
    </row>
    <row r="62" spans="2:7" ht="11.25" customHeight="1">
      <c r="B62" s="1035">
        <v>2034</v>
      </c>
      <c r="C62" s="1034">
        <f t="shared" si="2"/>
        <v>2.6097610000000002</v>
      </c>
      <c r="D62" s="1034">
        <f t="shared" si="3"/>
        <v>3.2146479999999999</v>
      </c>
      <c r="F62" s="1031">
        <f t="shared" si="4"/>
        <v>5.3054944784030056E-3</v>
      </c>
      <c r="G62" s="1031">
        <f t="shared" si="5"/>
        <v>3.3963144011408541E-3</v>
      </c>
    </row>
    <row r="63" spans="2:7" ht="11.25" customHeight="1">
      <c r="B63" s="1035">
        <v>2035</v>
      </c>
      <c r="C63" s="1034">
        <f t="shared" si="2"/>
        <v>2.6197369999999998</v>
      </c>
      <c r="D63" s="1034">
        <f t="shared" si="3"/>
        <v>3.2473500000000004</v>
      </c>
      <c r="F63" s="1031">
        <f t="shared" si="4"/>
        <v>3.8225722585323307E-3</v>
      </c>
      <c r="G63" s="1031">
        <f t="shared" si="5"/>
        <v>1.0172808966953939E-2</v>
      </c>
    </row>
    <row r="64" spans="2:7" ht="11.25" customHeight="1">
      <c r="B64" s="1035">
        <v>2036</v>
      </c>
      <c r="C64" s="1034">
        <f t="shared" si="2"/>
        <v>2.6559560000000002</v>
      </c>
      <c r="D64" s="1034">
        <f t="shared" si="3"/>
        <v>3.2522489999999999</v>
      </c>
      <c r="F64" s="1031">
        <f t="shared" si="4"/>
        <v>1.3825433621772021E-2</v>
      </c>
      <c r="G64" s="1031">
        <f t="shared" si="5"/>
        <v>1.5086147166150088E-3</v>
      </c>
    </row>
    <row r="65" spans="2:7" ht="11.25" customHeight="1">
      <c r="B65" s="1035">
        <v>2037</v>
      </c>
      <c r="C65" s="1034">
        <f t="shared" si="2"/>
        <v>2.6634910000000001</v>
      </c>
      <c r="D65" s="1034">
        <f t="shared" si="3"/>
        <v>3.2751780000000004</v>
      </c>
      <c r="F65" s="1031">
        <f t="shared" si="4"/>
        <v>2.8370198903897581E-3</v>
      </c>
      <c r="G65" s="1031">
        <f t="shared" si="5"/>
        <v>7.0501981859323326E-3</v>
      </c>
    </row>
    <row r="66" spans="2:7" ht="11.25" customHeight="1">
      <c r="B66" s="1035">
        <v>2038</v>
      </c>
      <c r="C66" s="1034">
        <f t="shared" si="2"/>
        <v>2.6758829999999998</v>
      </c>
      <c r="D66" s="1034">
        <f t="shared" si="3"/>
        <v>3.2928299999999999</v>
      </c>
      <c r="F66" s="1031">
        <f t="shared" si="4"/>
        <v>4.6525405942801079E-3</v>
      </c>
      <c r="G66" s="1031">
        <f t="shared" si="5"/>
        <v>5.3896307315204339E-3</v>
      </c>
    </row>
    <row r="67" spans="2:7" ht="11.25" customHeight="1">
      <c r="B67" s="1035">
        <v>2039</v>
      </c>
      <c r="C67" s="1034">
        <f t="shared" si="2"/>
        <v>2.6922830000000002</v>
      </c>
      <c r="D67" s="1034">
        <f t="shared" si="3"/>
        <v>3.3023730000000002</v>
      </c>
      <c r="F67" s="1031">
        <f t="shared" si="4"/>
        <v>6.1288180387559787E-3</v>
      </c>
      <c r="G67" s="1031">
        <f t="shared" si="5"/>
        <v>2.8981149953080099E-3</v>
      </c>
    </row>
    <row r="68" spans="2:7" ht="11.25" customHeight="1">
      <c r="B68" s="1035">
        <v>2040</v>
      </c>
      <c r="C68" s="1034">
        <f t="shared" si="2"/>
        <v>2.699201</v>
      </c>
      <c r="D68" s="1034">
        <f t="shared" si="3"/>
        <v>3.3125960000000001</v>
      </c>
      <c r="F68" s="1031">
        <f t="shared" si="4"/>
        <v>2.5695664237377347E-3</v>
      </c>
      <c r="G68" s="1031">
        <f t="shared" si="5"/>
        <v>3.0956527321412963E-3</v>
      </c>
    </row>
    <row r="69" spans="2:7" ht="11.25" customHeight="1">
      <c r="B69" s="1035">
        <v>2041</v>
      </c>
      <c r="C69" s="1034">
        <f t="shared" si="2"/>
        <v>2.7020400000000002</v>
      </c>
      <c r="D69" s="1034">
        <f t="shared" si="3"/>
        <v>3.3396590000000002</v>
      </c>
      <c r="F69" s="1031">
        <f t="shared" si="4"/>
        <v>1.0517927342204025E-3</v>
      </c>
      <c r="G69" s="1031">
        <f t="shared" si="5"/>
        <v>8.1697254962573851E-3</v>
      </c>
    </row>
    <row r="70" spans="2:7" ht="11.25" customHeight="1">
      <c r="B70" s="1035">
        <v>2042</v>
      </c>
      <c r="C70" s="1034">
        <f t="shared" si="2"/>
        <v>2.7128399999999999</v>
      </c>
      <c r="D70" s="1034">
        <f t="shared" si="3"/>
        <v>3.34463</v>
      </c>
      <c r="F70" s="1031">
        <f t="shared" si="4"/>
        <v>3.9969800595105465E-3</v>
      </c>
      <c r="G70" s="1031">
        <f t="shared" si="5"/>
        <v>1.4884753203845413E-3</v>
      </c>
    </row>
    <row r="71" spans="2:7" ht="11.25" customHeight="1">
      <c r="B71" s="1035">
        <v>2043</v>
      </c>
      <c r="C71" s="1034">
        <f t="shared" si="2"/>
        <v>2.7028729999999999</v>
      </c>
      <c r="D71" s="1034">
        <f t="shared" si="3"/>
        <v>3.3646120000000002</v>
      </c>
      <c r="F71" s="1031">
        <f t="shared" si="4"/>
        <v>-3.6740095250733518E-3</v>
      </c>
      <c r="G71" s="1031">
        <f t="shared" si="5"/>
        <v>5.9743529179610011E-3</v>
      </c>
    </row>
    <row r="72" spans="2:7" ht="11.25" customHeight="1">
      <c r="B72" s="1035">
        <v>2044</v>
      </c>
      <c r="C72" s="1034">
        <f t="shared" si="2"/>
        <v>2.72601</v>
      </c>
      <c r="D72" s="1034">
        <f t="shared" si="3"/>
        <v>3.3550800000000001</v>
      </c>
      <c r="F72" s="1031">
        <f t="shared" si="4"/>
        <v>8.560150624909113E-3</v>
      </c>
      <c r="G72" s="1031">
        <f t="shared" si="5"/>
        <v>-2.8330161100299511E-3</v>
      </c>
    </row>
    <row r="73" spans="2:7" ht="11.25" customHeight="1">
      <c r="B73" s="1035">
        <v>2045</v>
      </c>
      <c r="C73" s="1034">
        <f t="shared" si="2"/>
        <v>2.7297469999999997</v>
      </c>
      <c r="D73" s="1034">
        <f t="shared" si="3"/>
        <v>3.3661479999999999</v>
      </c>
      <c r="F73" s="1031">
        <f t="shared" si="4"/>
        <v>1.3708680452382271E-3</v>
      </c>
      <c r="G73" s="1031">
        <f t="shared" si="5"/>
        <v>3.2988781191505279E-3</v>
      </c>
    </row>
    <row r="74" spans="2:7" ht="11.25" customHeight="1">
      <c r="B74" s="1035">
        <v>2046</v>
      </c>
      <c r="C74" s="1034">
        <f t="shared" si="2"/>
        <v>2.8200980000000002</v>
      </c>
      <c r="D74" s="1034">
        <f t="shared" si="3"/>
        <v>3.4501440000000003</v>
      </c>
      <c r="F74" s="1031">
        <f t="shared" si="4"/>
        <v>3.3098671781670808E-2</v>
      </c>
      <c r="G74" s="1031">
        <f t="shared" si="5"/>
        <v>2.4953151198343182E-2</v>
      </c>
    </row>
    <row r="75" spans="2:7" ht="11.25" customHeight="1">
      <c r="B75" s="1035">
        <v>2047</v>
      </c>
      <c r="C75" s="1034">
        <f t="shared" si="2"/>
        <v>2.822244</v>
      </c>
      <c r="D75" s="1034">
        <f t="shared" si="3"/>
        <v>3.4569479999999997</v>
      </c>
      <c r="F75" s="1031">
        <f t="shared" si="4"/>
        <v>7.6096646286760716E-4</v>
      </c>
      <c r="G75" s="1031">
        <f t="shared" si="5"/>
        <v>1.9720915996548349E-3</v>
      </c>
    </row>
    <row r="76" spans="2:7" ht="11.25" customHeight="1">
      <c r="B76" s="1035">
        <v>2048</v>
      </c>
      <c r="C76" s="1034">
        <f t="shared" si="2"/>
        <v>2.8508909999999998</v>
      </c>
      <c r="D76" s="1034">
        <f t="shared" si="3"/>
        <v>3.4668570000000001</v>
      </c>
      <c r="F76" s="1031">
        <f t="shared" si="4"/>
        <v>1.0150433484843902E-2</v>
      </c>
      <c r="G76" s="1031">
        <f t="shared" si="5"/>
        <v>2.8664012302181963E-3</v>
      </c>
    </row>
    <row r="77" spans="2:7" ht="11.25" customHeight="1">
      <c r="B77" s="1035">
        <v>2049</v>
      </c>
      <c r="C77" s="1034">
        <f t="shared" si="2"/>
        <v>2.8616839999999999</v>
      </c>
      <c r="D77" s="1034">
        <f t="shared" si="3"/>
        <v>3.4788049999999999</v>
      </c>
      <c r="F77" s="1031">
        <f t="shared" si="4"/>
        <v>3.7858339726071222E-3</v>
      </c>
      <c r="G77" s="1031">
        <f t="shared" si="5"/>
        <v>3.4463492437097898E-3</v>
      </c>
    </row>
    <row r="78" spans="2:7" ht="11.25" customHeight="1">
      <c r="B78" s="1033">
        <v>2050</v>
      </c>
      <c r="C78" s="1032">
        <f t="shared" si="2"/>
        <v>2.8925700000000001</v>
      </c>
      <c r="D78" s="1032">
        <f t="shared" si="3"/>
        <v>3.4830230000000002</v>
      </c>
      <c r="F78" s="1031">
        <f t="shared" si="4"/>
        <v>1.0792945692116973E-2</v>
      </c>
      <c r="G78" s="1031">
        <f t="shared" si="5"/>
        <v>1.2124853218276055E-3</v>
      </c>
    </row>
    <row r="79" spans="2:7" ht="11.25" customHeight="1">
      <c r="B79" s="1030"/>
      <c r="C79" s="1029"/>
      <c r="D79" s="1029"/>
      <c r="F79" s="1028"/>
      <c r="G79" s="1028"/>
    </row>
    <row r="80" spans="2:7" s="1024" customFormat="1" ht="11.25" customHeight="1">
      <c r="B80" s="1027" t="s">
        <v>598</v>
      </c>
      <c r="C80" s="1026"/>
      <c r="D80" s="1026"/>
      <c r="E80" s="1026"/>
      <c r="F80" s="1026"/>
      <c r="G80" s="1025"/>
    </row>
    <row r="82" spans="2:2" s="1023" customFormat="1" ht="11.25" customHeight="1">
      <c r="B82" s="1023" t="s">
        <v>969</v>
      </c>
    </row>
    <row r="83" spans="2:2" s="1023" customFormat="1" ht="11.25" customHeight="1"/>
    <row r="84" spans="2:2" s="1023" customFormat="1" ht="11.25" customHeight="1">
      <c r="B84" s="1023" t="s">
        <v>970</v>
      </c>
    </row>
    <row r="85" spans="2:2" ht="11.25" customHeight="1"/>
    <row r="86" spans="2:2" ht="11.25" customHeight="1">
      <c r="B86" s="1022" t="s">
        <v>971</v>
      </c>
    </row>
    <row r="87" spans="2:2" ht="11.25" customHeight="1">
      <c r="B87" s="1022"/>
    </row>
    <row r="88" spans="2:2" ht="11.25" customHeight="1">
      <c r="B88" s="1022" t="s">
        <v>972</v>
      </c>
    </row>
    <row r="90" spans="2:2" ht="11.25" customHeight="1">
      <c r="B90" s="1021" t="s">
        <v>973</v>
      </c>
    </row>
  </sheetData>
  <mergeCells count="5">
    <mergeCell ref="B5:B6"/>
    <mergeCell ref="C5:E5"/>
    <mergeCell ref="F5:H5"/>
    <mergeCell ref="J5:L5"/>
    <mergeCell ref="M5:O5"/>
  </mergeCells>
  <hyperlinks>
    <hyperlink ref="B42" r:id="rId1" xr:uid="{986841CB-A1BB-4549-BC2B-DBFCC345FB4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e1d2ce6-aa99-4b63-b497-ba0f72c07ad5" xsi:nil="true"/>
    <lcf76f155ced4ddcb4097134ff3c332f xmlns="f87cc893-7b61-49ce-96f6-53b1878de47c">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FE27B0A6E2D4543B1A23150A92014A5" ma:contentTypeVersion="14" ma:contentTypeDescription="Create a new document." ma:contentTypeScope="" ma:versionID="34ae26d8d3aba1d45df361f4d0c75230">
  <xsd:schema xmlns:xsd="http://www.w3.org/2001/XMLSchema" xmlns:xs="http://www.w3.org/2001/XMLSchema" xmlns:p="http://schemas.microsoft.com/office/2006/metadata/properties" xmlns:ns2="f87cc893-7b61-49ce-96f6-53b1878de47c" xmlns:ns3="0e1d2ce6-aa99-4b63-b497-ba0f72c07ad5" targetNamespace="http://schemas.microsoft.com/office/2006/metadata/properties" ma:root="true" ma:fieldsID="218ae8ae8da523b18829de8719d96310" ns2:_="" ns3:_="">
    <xsd:import namespace="f87cc893-7b61-49ce-96f6-53b1878de47c"/>
    <xsd:import namespace="0e1d2ce6-aa99-4b63-b497-ba0f72c07ad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7cc893-7b61-49ce-96f6-53b1878de4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8099e0b-e00c-469a-8e3e-581119cc8704"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e1d2ce6-aa99-4b63-b497-ba0f72c07ad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35d8b3d-1a4f-4e2b-a709-9df95e7e4981}" ma:internalName="TaxCatchAll" ma:showField="CatchAllData" ma:web="0e1d2ce6-aa99-4b63-b497-ba0f72c07ad5">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157339A-AB23-444C-A227-C9539367F065}">
  <ds:schemaRefs>
    <ds:schemaRef ds:uri="http://www.w3.org/XML/1998/namespace"/>
    <ds:schemaRef ds:uri="http://schemas.microsoft.com/office/2006/metadata/properties"/>
    <ds:schemaRef ds:uri="http://schemas.microsoft.com/office/infopath/2007/PartnerControls"/>
    <ds:schemaRef ds:uri="http://schemas.openxmlformats.org/package/2006/metadata/core-properties"/>
    <ds:schemaRef ds:uri="http://purl.org/dc/elements/1.1/"/>
    <ds:schemaRef ds:uri="f87cc893-7b61-49ce-96f6-53b1878de47c"/>
    <ds:schemaRef ds:uri="http://purl.org/dc/dcmitype/"/>
    <ds:schemaRef ds:uri="http://schemas.microsoft.com/office/2006/documentManagement/types"/>
    <ds:schemaRef ds:uri="0e1d2ce6-aa99-4b63-b497-ba0f72c07ad5"/>
    <ds:schemaRef ds:uri="http://purl.org/dc/terms/"/>
  </ds:schemaRefs>
</ds:datastoreItem>
</file>

<file path=customXml/itemProps2.xml><?xml version="1.0" encoding="utf-8"?>
<ds:datastoreItem xmlns:ds="http://schemas.openxmlformats.org/officeDocument/2006/customXml" ds:itemID="{F1B84EF1-1793-4780-A005-512B8A11C17F}">
  <ds:schemaRefs>
    <ds:schemaRef ds:uri="http://schemas.microsoft.com/sharepoint/v3/contenttype/forms"/>
  </ds:schemaRefs>
</ds:datastoreItem>
</file>

<file path=customXml/itemProps3.xml><?xml version="1.0" encoding="utf-8"?>
<ds:datastoreItem xmlns:ds="http://schemas.openxmlformats.org/officeDocument/2006/customXml" ds:itemID="{3BA5546D-B744-4DBF-BBE5-D400B79B3D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7cc893-7b61-49ce-96f6-53b1878de47c"/>
    <ds:schemaRef ds:uri="0e1d2ce6-aa99-4b63-b497-ba0f72c07a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13</vt:i4>
      </vt:variant>
    </vt:vector>
  </HeadingPairs>
  <TitlesOfParts>
    <vt:vector size="40" baseType="lpstr">
      <vt:lpstr>Disclaimer</vt:lpstr>
      <vt:lpstr>Contents</vt:lpstr>
      <vt:lpstr>Results</vt:lpstr>
      <vt:lpstr>PortCommodityData</vt:lpstr>
      <vt:lpstr>ShipperData</vt:lpstr>
      <vt:lpstr>DiversionData</vt:lpstr>
      <vt:lpstr>Total.CAGR</vt:lpstr>
      <vt:lpstr>Demand.Forecast</vt:lpstr>
      <vt:lpstr>Costs</vt:lpstr>
      <vt:lpstr>Inputs</vt:lpstr>
      <vt:lpstr>SHIPPERS</vt:lpstr>
      <vt:lpstr>EMISSIONS</vt:lpstr>
      <vt:lpstr>SAFETY</vt:lpstr>
      <vt:lpstr>PAVEMENT</vt:lpstr>
      <vt:lpstr>CONGESTION</vt:lpstr>
      <vt:lpstr>FUEL COST</vt:lpstr>
      <vt:lpstr>Reporting_Results</vt:lpstr>
      <vt:lpstr>Truck Emissions</vt:lpstr>
      <vt:lpstr>Rail Emissions</vt:lpstr>
      <vt:lpstr>Accident Costs</vt:lpstr>
      <vt:lpstr>Truck Accident Costs</vt:lpstr>
      <vt:lpstr>Emission Costs</vt:lpstr>
      <vt:lpstr>Miscellaneous</vt:lpstr>
      <vt:lpstr>Value of Time</vt:lpstr>
      <vt:lpstr>Prices and ECI</vt:lpstr>
      <vt:lpstr>Shipping Rates</vt:lpstr>
      <vt:lpstr>FUEL PRICES</vt:lpstr>
      <vt:lpstr>Base.Year</vt:lpstr>
      <vt:lpstr>Client.Name</vt:lpstr>
      <vt:lpstr>Days.per.Year</vt:lpstr>
      <vt:lpstr>Disclaimer1</vt:lpstr>
      <vt:lpstr>Disclaimer2</vt:lpstr>
      <vt:lpstr>Disclaimer3</vt:lpstr>
      <vt:lpstr>Disclaimer4</vt:lpstr>
      <vt:lpstr>Feet.per.Mile</vt:lpstr>
      <vt:lpstr>Final.Year</vt:lpstr>
      <vt:lpstr>First.Year</vt:lpstr>
      <vt:lpstr>Grams.per.Ton</vt:lpstr>
      <vt:lpstr>Grant.Name</vt:lpstr>
      <vt:lpstr>Study.Period</vt:lpstr>
    </vt:vector>
  </TitlesOfParts>
  <Manager/>
  <Company>HDR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Kouznetsov, Serguei</dc:creator>
  <cp:keywords/>
  <dc:description/>
  <cp:lastModifiedBy>Jackman, Renee</cp:lastModifiedBy>
  <cp:revision/>
  <dcterms:created xsi:type="dcterms:W3CDTF">2015-05-04T21:56:40Z</dcterms:created>
  <dcterms:modified xsi:type="dcterms:W3CDTF">2024-05-24T17:29:16Z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0x0101005FE27B0A6E2D4543B1A23150A92014A5</vt:lpwstr>
  </property>
  <property fmtid="{D5CDD505-2E9C-101B-9397-08002B2CF9AE}" pid="3" name="MSIP_Label_b530ee07-aa2b-47c7-bd4c-7cc545b5d455_Enabled">
    <vt:lpwstr>true</vt:lpwstr>
  </property>
  <property fmtid="{D5CDD505-2E9C-101B-9397-08002B2CF9AE}" pid="4" name="MSIP_Label_b530ee07-aa2b-47c7-bd4c-7cc545b5d455_SetDate">
    <vt:lpwstr>2024-05-17T15:10:10Z</vt:lpwstr>
  </property>
  <property fmtid="{D5CDD505-2E9C-101B-9397-08002B2CF9AE}" pid="5" name="MSIP_Label_b530ee07-aa2b-47c7-bd4c-7cc545b5d455_Method">
    <vt:lpwstr>Standard</vt:lpwstr>
  </property>
  <property fmtid="{D5CDD505-2E9C-101B-9397-08002B2CF9AE}" pid="6" name="MSIP_Label_b530ee07-aa2b-47c7-bd4c-7cc545b5d455_Name">
    <vt:lpwstr>HDR General Label</vt:lpwstr>
  </property>
  <property fmtid="{D5CDD505-2E9C-101B-9397-08002B2CF9AE}" pid="7" name="MSIP_Label_b530ee07-aa2b-47c7-bd4c-7cc545b5d455_SiteId">
    <vt:lpwstr>3667e201-cbdc-48b3-9b42-5d2d3f16e2a9</vt:lpwstr>
  </property>
  <property fmtid="{D5CDD505-2E9C-101B-9397-08002B2CF9AE}" pid="8" name="MSIP_Label_b530ee07-aa2b-47c7-bd4c-7cc545b5d455_ActionId">
    <vt:lpwstr>6e809056-4feb-4f5b-a443-ee55ce59d794</vt:lpwstr>
  </property>
  <property fmtid="{D5CDD505-2E9C-101B-9397-08002B2CF9AE}" pid="9" name="MSIP_Label_b530ee07-aa2b-47c7-bd4c-7cc545b5d455_ContentBits">
    <vt:lpwstr>0</vt:lpwstr>
  </property>
  <property fmtid="{D5CDD505-2E9C-101B-9397-08002B2CF9AE}" pid="10" name="MediaServiceImageTags">
    <vt:lpwstr/>
  </property>
</Properties>
</file>