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C\Final\"/>
    </mc:Choice>
  </mc:AlternateContent>
  <xr:revisionPtr revIDLastSave="0" documentId="8_{4DC0B669-4B62-4941-B082-2E3291411D16}" xr6:coauthVersionLast="36" xr6:coauthVersionMax="36" xr10:uidLastSave="{00000000-0000-0000-0000-000000000000}"/>
  <bookViews>
    <workbookView minimized="1" xWindow="0" yWindow="0" windowWidth="19200" windowHeight="6080" xr2:uid="{077F3B86-739D-497F-B7A9-DC880F2341A7}"/>
  </bookViews>
  <sheets>
    <sheet name="工作表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N45" i="1"/>
  <c r="M45" i="1"/>
  <c r="O42" i="1"/>
  <c r="O41" i="1"/>
  <c r="N40" i="1"/>
  <c r="N41" i="1"/>
  <c r="H45" i="1"/>
  <c r="K41" i="1"/>
  <c r="J41" i="1"/>
  <c r="I41" i="1"/>
  <c r="K38" i="1"/>
  <c r="J38" i="1"/>
  <c r="I38" i="1"/>
  <c r="H38" i="1"/>
  <c r="K35" i="1"/>
  <c r="G38" i="1"/>
  <c r="K32" i="1"/>
  <c r="J35" i="1"/>
  <c r="G35" i="1"/>
  <c r="J32" i="1"/>
  <c r="I32" i="1"/>
  <c r="H32" i="1"/>
  <c r="G32" i="1"/>
  <c r="E49" i="1"/>
  <c r="C50" i="1"/>
  <c r="C51" i="1"/>
  <c r="C52" i="1"/>
  <c r="C53" i="1"/>
  <c r="C54" i="1"/>
  <c r="C55" i="1"/>
  <c r="C56" i="1"/>
  <c r="C49" i="1"/>
  <c r="D46" i="1"/>
  <c r="E45" i="1"/>
  <c r="D45" i="1"/>
  <c r="D44" i="1"/>
  <c r="E42" i="1"/>
  <c r="C40" i="1"/>
  <c r="C38" i="1"/>
  <c r="C37" i="1"/>
  <c r="E35" i="1"/>
  <c r="D35" i="1"/>
  <c r="C35" i="1"/>
  <c r="E33" i="1"/>
  <c r="D33" i="1"/>
  <c r="C33" i="1"/>
  <c r="B33" i="1"/>
  <c r="D29" i="1"/>
  <c r="D28" i="1"/>
  <c r="D30" i="1" s="1"/>
  <c r="C28" i="1"/>
  <c r="H18" i="1"/>
  <c r="H16" i="1"/>
  <c r="F24" i="1"/>
  <c r="G16" i="1"/>
  <c r="F16" i="1"/>
  <c r="D25" i="1"/>
  <c r="C25" i="1"/>
  <c r="B25" i="1"/>
  <c r="E16" i="1"/>
  <c r="B18" i="1"/>
  <c r="E18" i="1" s="1"/>
  <c r="C23" i="1"/>
  <c r="B20" i="1"/>
  <c r="D20" i="1"/>
  <c r="C20" i="1"/>
  <c r="D18" i="1"/>
  <c r="C18" i="1"/>
  <c r="D16" i="1"/>
  <c r="C16" i="1"/>
  <c r="D11" i="1"/>
  <c r="D10" i="1"/>
  <c r="D9" i="1"/>
  <c r="D8" i="1"/>
  <c r="D5" i="1"/>
  <c r="D6" i="1"/>
  <c r="D7" i="1"/>
  <c r="D4" i="1"/>
  <c r="J10" i="1" l="1"/>
  <c r="I10" i="1"/>
  <c r="H10" i="1"/>
  <c r="I6" i="1"/>
  <c r="H6" i="1"/>
</calcChain>
</file>

<file path=xl/sharedStrings.xml><?xml version="1.0" encoding="utf-8"?>
<sst xmlns="http://schemas.openxmlformats.org/spreadsheetml/2006/main" count="54" uniqueCount="43">
  <si>
    <t>gm1</t>
    <phoneticPr fontId="1" type="noConversion"/>
  </si>
  <si>
    <t>gm2</t>
    <phoneticPr fontId="1" type="noConversion"/>
  </si>
  <si>
    <t>ro2</t>
    <phoneticPr fontId="1" type="noConversion"/>
  </si>
  <si>
    <t>ro4</t>
    <phoneticPr fontId="1" type="noConversion"/>
  </si>
  <si>
    <t>ro6</t>
    <phoneticPr fontId="1" type="noConversion"/>
  </si>
  <si>
    <t>ro7</t>
    <phoneticPr fontId="1" type="noConversion"/>
  </si>
  <si>
    <t>ro10</t>
    <phoneticPr fontId="1" type="noConversion"/>
  </si>
  <si>
    <t>ro11</t>
    <phoneticPr fontId="1" type="noConversion"/>
  </si>
  <si>
    <t>RL</t>
    <phoneticPr fontId="1" type="noConversion"/>
  </si>
  <si>
    <t>RCM</t>
    <phoneticPr fontId="1" type="noConversion"/>
  </si>
  <si>
    <t>gm10^-1</t>
    <phoneticPr fontId="1" type="noConversion"/>
  </si>
  <si>
    <t>parallel</t>
    <phoneticPr fontId="1" type="noConversion"/>
  </si>
  <si>
    <t>gm6</t>
    <phoneticPr fontId="1" type="noConversion"/>
  </si>
  <si>
    <t>Cc</t>
    <phoneticPr fontId="1" type="noConversion"/>
  </si>
  <si>
    <t>pole1</t>
    <phoneticPr fontId="1" type="noConversion"/>
  </si>
  <si>
    <t>ro2||ro4</t>
    <phoneticPr fontId="1" type="noConversion"/>
  </si>
  <si>
    <t>pole2</t>
    <phoneticPr fontId="1" type="noConversion"/>
  </si>
  <si>
    <t>error</t>
    <phoneticPr fontId="1" type="noConversion"/>
  </si>
  <si>
    <t>gm8</t>
    <phoneticPr fontId="1" type="noConversion"/>
  </si>
  <si>
    <t>CdtotM2</t>
    <phoneticPr fontId="1" type="noConversion"/>
  </si>
  <si>
    <t>CdtotM4</t>
    <phoneticPr fontId="1" type="noConversion"/>
  </si>
  <si>
    <t>CgsM6</t>
    <phoneticPr fontId="1" type="noConversion"/>
  </si>
  <si>
    <t>CdtotlM6</t>
    <phoneticPr fontId="1" type="noConversion"/>
  </si>
  <si>
    <t>CdtotM7</t>
    <phoneticPr fontId="1" type="noConversion"/>
  </si>
  <si>
    <t>CgsM10</t>
    <phoneticPr fontId="1" type="noConversion"/>
  </si>
  <si>
    <t>zero</t>
    <phoneticPr fontId="1" type="noConversion"/>
  </si>
  <si>
    <t>k</t>
    <phoneticPr fontId="1" type="noConversion"/>
  </si>
  <si>
    <t>x</t>
    <phoneticPr fontId="1" type="noConversion"/>
  </si>
  <si>
    <t>ro5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</si>
  <si>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</si>
  <si>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</si>
  <si>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</si>
  <si>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gm5</t>
    <phoneticPr fontId="1" type="noConversion"/>
  </si>
  <si>
    <t>A4</t>
    <phoneticPr fontId="1" type="noConversion"/>
  </si>
  <si>
    <t>ACMC</t>
    <phoneticPr fontId="1" type="noConversion"/>
  </si>
  <si>
    <t>gmMCM1</t>
    <phoneticPr fontId="1" type="noConversion"/>
  </si>
  <si>
    <t>gmMCM3</t>
    <phoneticPr fontId="1" type="noConversion"/>
  </si>
  <si>
    <t>ACMS</t>
    <phoneticPr fontId="1" type="noConversion"/>
  </si>
  <si>
    <t>ACM</t>
    <phoneticPr fontId="1" type="noConversion"/>
  </si>
  <si>
    <t>ACMFB</t>
    <phoneticPr fontId="1" type="noConversion"/>
  </si>
  <si>
    <t>Rcm</t>
    <phoneticPr fontId="1" type="noConversion"/>
  </si>
  <si>
    <t>1/gm10</t>
    <phoneticPr fontId="1" type="noConversion"/>
  </si>
  <si>
    <t>70k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</si>
</sst>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%"/>
    <numFmt numFmtId="182" formatCode="0.000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  <xf numFmtId="182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521D-370D-4115-A404-DA5ADAA4ABEC}">
  <dimension ref="A4:P56"/>
  <sheetViews>
    <sheetView tabSelected="1" topLeftCell="A16" workbookViewId="0">
      <selection activeCell="B20" sqref="B20"/>
    </sheetView>
  </sheetViews>
  <sheetFormatPr defaultRowHeight="17" x14ac:dyDescent="0.4"/>
  <cols>
    <col min="3" max="3" width="13" bestFit="1" customWidth="1"/>
    <col min="4" max="4" width="13.7265625" bestFit="1" customWidth="1"/>
    <col min="5" max="5" width="13" bestFit="1" customWidth="1"/>
    <col min="6" max="6" width="10.26953125" bestFit="1" customWidth="1"/>
    <col min="8" max="8" width="9.26953125" bestFit="1" customWidth="1"/>
    <col min="11" max="11" width="11.36328125" bestFit="1" customWidth="1"/>
    <col min="14" max="14" width="13.26953125" bestFit="1" customWidth="1"/>
  </cols>
  <sheetData>
    <row r="4" spans="2:10" x14ac:dyDescent="0.4">
      <c r="B4">
        <v>70.797300000000007</v>
      </c>
      <c r="C4">
        <v>18.22</v>
      </c>
      <c r="D4">
        <f>SQRT(B4^2+C4^2)</f>
        <v>73.10421388189603</v>
      </c>
      <c r="H4">
        <v>77.308000000000007</v>
      </c>
      <c r="I4">
        <v>79.474000000000004</v>
      </c>
    </row>
    <row r="5" spans="2:10" x14ac:dyDescent="0.4">
      <c r="B5">
        <v>70.802499999999995</v>
      </c>
      <c r="C5">
        <v>18.252600000000001</v>
      </c>
      <c r="D5">
        <f t="shared" ref="D5:D11" si="0">SQRT(B5^2+C5^2)</f>
        <v>73.117381059567492</v>
      </c>
      <c r="H5">
        <v>118.619</v>
      </c>
      <c r="I5">
        <v>103.482</v>
      </c>
    </row>
    <row r="6" spans="2:10" x14ac:dyDescent="0.4">
      <c r="D6">
        <f t="shared" si="0"/>
        <v>0</v>
      </c>
      <c r="H6">
        <f>SQRT(H4^2+H5^2)</f>
        <v>141.58740772046079</v>
      </c>
      <c r="I6">
        <f>SQRT(I4^2+I5^2)</f>
        <v>130.47850780875754</v>
      </c>
    </row>
    <row r="7" spans="2:10" x14ac:dyDescent="0.4">
      <c r="B7">
        <v>77.211399999999998</v>
      </c>
      <c r="C7">
        <v>118.94199999999999</v>
      </c>
      <c r="D7">
        <f t="shared" si="0"/>
        <v>141.80549937840917</v>
      </c>
    </row>
    <row r="8" spans="2:10" x14ac:dyDescent="0.4">
      <c r="B8">
        <v>78.686700000000002</v>
      </c>
      <c r="C8">
        <v>130.81899999999999</v>
      </c>
      <c r="D8">
        <f t="shared" si="0"/>
        <v>152.66043206374727</v>
      </c>
      <c r="H8">
        <v>78.179599999999994</v>
      </c>
      <c r="I8">
        <v>118.798</v>
      </c>
      <c r="J8">
        <v>123.364</v>
      </c>
    </row>
    <row r="9" spans="2:10" x14ac:dyDescent="0.4">
      <c r="B9">
        <v>77.871099999999998</v>
      </c>
      <c r="C9">
        <v>134.922</v>
      </c>
      <c r="D9">
        <f t="shared" si="0"/>
        <v>155.78143117589462</v>
      </c>
      <c r="H9">
        <v>115.38500000000001</v>
      </c>
      <c r="I9">
        <v>25.808900000000001</v>
      </c>
      <c r="J9">
        <v>31.010300000000001</v>
      </c>
    </row>
    <row r="10" spans="2:10" x14ac:dyDescent="0.4">
      <c r="B10">
        <v>116.79900000000001</v>
      </c>
      <c r="C10">
        <v>15.3934</v>
      </c>
      <c r="D10">
        <f t="shared" si="0"/>
        <v>117.80901138945188</v>
      </c>
      <c r="H10">
        <f>SQRT(H8^2+H9^2)</f>
        <v>139.37628234803796</v>
      </c>
      <c r="I10">
        <f>SQRT(I8^2+I9^2)</f>
        <v>121.56917423101137</v>
      </c>
      <c r="J10">
        <f>SQRT(J8^2+J9^2)</f>
        <v>127.20186791902862</v>
      </c>
    </row>
    <row r="11" spans="2:10" x14ac:dyDescent="0.4">
      <c r="B11">
        <v>121.515</v>
      </c>
      <c r="C11">
        <v>24.0246</v>
      </c>
      <c r="D11">
        <f t="shared" si="0"/>
        <v>123.86717333563401</v>
      </c>
    </row>
    <row r="15" spans="2:10" x14ac:dyDescent="0.4">
      <c r="B15" t="s">
        <v>0</v>
      </c>
      <c r="C15" t="s">
        <v>2</v>
      </c>
      <c r="D15" t="s">
        <v>3</v>
      </c>
      <c r="F15" t="s">
        <v>13</v>
      </c>
      <c r="G15" t="s">
        <v>15</v>
      </c>
    </row>
    <row r="16" spans="2:10" x14ac:dyDescent="0.4">
      <c r="B16" s="1">
        <v>3.2403670000000001E-4</v>
      </c>
      <c r="C16">
        <f>1000000/1.243</f>
        <v>804505.22928399022</v>
      </c>
      <c r="D16">
        <f>1000000000/509.4237</f>
        <v>1963002.5065579007</v>
      </c>
      <c r="E16">
        <f>-B16*C16*D16/(C16+D16)</f>
        <v>-184.90773663926137</v>
      </c>
      <c r="F16">
        <f>0.73*10^-12</f>
        <v>7.2999999999999992E-13</v>
      </c>
      <c r="G16">
        <f>C16*D16/(C16+D16)</f>
        <v>570638.25375107629</v>
      </c>
      <c r="H16">
        <f>-1/F16/G16/E18/2/PI()</f>
        <v>6436.0972150861617</v>
      </c>
    </row>
    <row r="17" spans="2:11" x14ac:dyDescent="0.4">
      <c r="B17" t="s">
        <v>12</v>
      </c>
      <c r="C17" t="s">
        <v>4</v>
      </c>
      <c r="D17" t="s">
        <v>5</v>
      </c>
      <c r="H17">
        <v>6190.74</v>
      </c>
    </row>
    <row r="18" spans="2:11" x14ac:dyDescent="0.4">
      <c r="B18">
        <f>10^-6*872.4539</f>
        <v>8.724538999999999E-4</v>
      </c>
      <c r="C18">
        <f>1/0.0000101608</f>
        <v>98417.447445083075</v>
      </c>
      <c r="D18">
        <f>1/0.0000045362</f>
        <v>220448.83382566908</v>
      </c>
      <c r="E18">
        <f>-B18*C18*D18/(C18+D18)</f>
        <v>-59.362720283050969</v>
      </c>
      <c r="H18">
        <f>(H17-H16)/H16</f>
        <v>-3.812204926163118E-2</v>
      </c>
    </row>
    <row r="19" spans="2:11" x14ac:dyDescent="0.4">
      <c r="B19" t="s">
        <v>10</v>
      </c>
      <c r="C19" t="s">
        <v>6</v>
      </c>
      <c r="D19" t="s">
        <v>7</v>
      </c>
      <c r="E19" t="s">
        <v>8</v>
      </c>
      <c r="F19" t="s">
        <v>9</v>
      </c>
    </row>
    <row r="20" spans="2:11" x14ac:dyDescent="0.4">
      <c r="B20">
        <f>1/0.0018219</f>
        <v>548.87754541961692</v>
      </c>
      <c r="C20">
        <f>1/0.0000237004</f>
        <v>42193.380702435403</v>
      </c>
      <c r="D20">
        <f>1/0.000053142</f>
        <v>18817.507809265742</v>
      </c>
      <c r="E20">
        <v>100000</v>
      </c>
      <c r="F20">
        <v>70000</v>
      </c>
    </row>
    <row r="22" spans="2:11" x14ac:dyDescent="0.4">
      <c r="B22" t="s">
        <v>11</v>
      </c>
    </row>
    <row r="23" spans="2:11" x14ac:dyDescent="0.4">
      <c r="B23">
        <v>9888.23</v>
      </c>
      <c r="C23">
        <f>B23/(B20+B23)</f>
        <v>0.94741095240888895</v>
      </c>
      <c r="F23" t="s">
        <v>14</v>
      </c>
    </row>
    <row r="24" spans="2:11" x14ac:dyDescent="0.4">
      <c r="F24" s="1">
        <f>1/(E18*G16*F16)</f>
        <v>-40439.191457408822</v>
      </c>
    </row>
    <row r="25" spans="2:11" x14ac:dyDescent="0.4">
      <c r="B25">
        <f>E16*E18*C23</f>
        <v>10399.375928127445</v>
      </c>
      <c r="C25">
        <f>10398.9</f>
        <v>10398.9</v>
      </c>
      <c r="D25" s="4">
        <f>(C25-B25)/B25</f>
        <v>-4.5765066166928246E-5</v>
      </c>
      <c r="F25">
        <v>40400</v>
      </c>
    </row>
    <row r="28" spans="2:11" x14ac:dyDescent="0.4">
      <c r="B28" t="s">
        <v>16</v>
      </c>
      <c r="C28">
        <f>1/(B23*B20/(B20+B23)*0.000000000002)</f>
        <v>961515166.87010705</v>
      </c>
      <c r="D28">
        <f>C28/2/PI()/10^6</f>
        <v>153.02989166520612</v>
      </c>
    </row>
    <row r="29" spans="2:11" x14ac:dyDescent="0.4">
      <c r="D29">
        <f>D7</f>
        <v>141.80549937840917</v>
      </c>
    </row>
    <row r="30" spans="2:11" x14ac:dyDescent="0.4">
      <c r="C30" t="s">
        <v>17</v>
      </c>
      <c r="D30" s="2">
        <f>(D28-D29)/D28</f>
        <v>7.3347711121388756E-2</v>
      </c>
    </row>
    <row r="31" spans="2:11" x14ac:dyDescent="0.4">
      <c r="G31" t="s">
        <v>1</v>
      </c>
      <c r="H31" t="s">
        <v>2</v>
      </c>
      <c r="I31" t="s">
        <v>3</v>
      </c>
      <c r="J31" t="s">
        <v>28</v>
      </c>
      <c r="K31" t="s">
        <v>32</v>
      </c>
    </row>
    <row r="32" spans="2:11" x14ac:dyDescent="0.4">
      <c r="B32" t="s">
        <v>18</v>
      </c>
      <c r="C32" t="s">
        <v>19</v>
      </c>
      <c r="D32" t="s">
        <v>20</v>
      </c>
      <c r="E32" t="s">
        <v>21</v>
      </c>
      <c r="G32">
        <f>0.0003240367</f>
        <v>3.2403670000000001E-4</v>
      </c>
      <c r="H32">
        <f>1000000/1.243</f>
        <v>804505.22928399022</v>
      </c>
      <c r="I32">
        <f>1000000000/509.4237</f>
        <v>1963002.5065579007</v>
      </c>
      <c r="J32">
        <f>1000000/ 7.759</f>
        <v>128882.58796236628</v>
      </c>
      <c r="K32">
        <f>0.0003016827</f>
        <v>3.0168270000000002E-4</v>
      </c>
    </row>
    <row r="33" spans="2:16" x14ac:dyDescent="0.4">
      <c r="B33">
        <f>0.0008724539</f>
        <v>8.7245390000000001E-4</v>
      </c>
      <c r="C33">
        <f>0.0000000000001352994</f>
        <v>1.352994E-13</v>
      </c>
      <c r="D33">
        <f>0.0000000000000791635</f>
        <v>7.9163500000000001E-14</v>
      </c>
      <c r="E33">
        <f>0.0000000000000963411</f>
        <v>9.63411E-14</v>
      </c>
    </row>
    <row r="34" spans="2:16" x14ac:dyDescent="0.4">
      <c r="C34" t="s">
        <v>22</v>
      </c>
      <c r="D34" t="s">
        <v>23</v>
      </c>
      <c r="E34" t="s">
        <v>24</v>
      </c>
      <c r="G34" t="s">
        <v>29</v>
      </c>
      <c r="H34" t="s">
        <v>30</v>
      </c>
      <c r="I34" t="s">
        <v>31</v>
      </c>
      <c r="J34" t="s">
        <v>38</v>
      </c>
    </row>
    <row r="35" spans="2:16" x14ac:dyDescent="0.4">
      <c r="C35">
        <f>0.0000000000000295655</f>
        <v>2.9565500000000003E-14</v>
      </c>
      <c r="D35">
        <f>0.0000000000003927735</f>
        <v>3.927735E-13</v>
      </c>
      <c r="E35">
        <f>0.0000000000002097949</f>
        <v>2.0979490000000001E-13</v>
      </c>
      <c r="G35">
        <f>(G32*H32*I32)/(H32+I32+(1+G32*H32)*2*J32)</f>
        <v>7.2873814339366314</v>
      </c>
      <c r="H35">
        <v>59.362699999999997</v>
      </c>
      <c r="I35">
        <v>0.94740999999999997</v>
      </c>
      <c r="J35">
        <f>G35*H35*I35</f>
        <v>409.8482754839053</v>
      </c>
      <c r="K35">
        <f>(1+G32*H32)*2*J32</f>
        <v>67454367.735514253</v>
      </c>
    </row>
    <row r="37" spans="2:16" x14ac:dyDescent="0.4">
      <c r="C37">
        <f>B33/(C33+C35+E35+D33+D35+E33)</f>
        <v>925250644.81977022</v>
      </c>
      <c r="G37" t="s">
        <v>33</v>
      </c>
      <c r="H37" t="s">
        <v>34</v>
      </c>
      <c r="I37" t="s">
        <v>35</v>
      </c>
      <c r="J37" t="s">
        <v>36</v>
      </c>
      <c r="K37" t="s">
        <v>37</v>
      </c>
    </row>
    <row r="38" spans="2:16" x14ac:dyDescent="0.4">
      <c r="C38">
        <f>C37/2/PI()/1000000</f>
        <v>147.25821372202998</v>
      </c>
      <c r="G38">
        <f>0.5*K32*(I32*K35)/(I32+K35)</f>
        <v>287.72870000059777</v>
      </c>
      <c r="H38">
        <f>G38*H35*I35</f>
        <v>16182.09676157544</v>
      </c>
      <c r="I38">
        <f>0.0003321278</f>
        <v>3.3212779999999999E-4</v>
      </c>
      <c r="J38">
        <f>0.0001671958</f>
        <v>1.671958E-4</v>
      </c>
      <c r="K38">
        <f>I38/2/J38</f>
        <v>0.99323009310042476</v>
      </c>
    </row>
    <row r="39" spans="2:16" x14ac:dyDescent="0.4">
      <c r="C39">
        <v>155.78100000000001</v>
      </c>
    </row>
    <row r="40" spans="2:16" x14ac:dyDescent="0.4">
      <c r="C40">
        <f>(C38-C39)/C38</f>
        <v>-5.787647468044093E-2</v>
      </c>
      <c r="I40" t="s">
        <v>39</v>
      </c>
      <c r="N40">
        <f>1/((B18^-1-4800)*0.00000000000073)</f>
        <v>-374913829.89316249</v>
      </c>
    </row>
    <row r="41" spans="2:16" x14ac:dyDescent="0.4">
      <c r="I41">
        <f>J35/(1+K38*H38)</f>
        <v>2.5498311879655837E-2</v>
      </c>
      <c r="J41">
        <f>0.0255861</f>
        <v>2.5586100000000001E-2</v>
      </c>
      <c r="K41" s="3">
        <f>(J41-I41)/I41</f>
        <v>3.4428993087266481E-3</v>
      </c>
      <c r="N41">
        <f>-N40/2/PI()/1000000</f>
        <v>59.669389261010807</v>
      </c>
      <c r="O41">
        <f>59.6139</f>
        <v>59.613900000000001</v>
      </c>
    </row>
    <row r="42" spans="2:16" x14ac:dyDescent="0.4">
      <c r="C42">
        <v>121.515</v>
      </c>
      <c r="D42">
        <v>24.0246</v>
      </c>
      <c r="E42">
        <f>SQRT(C42^2+D42^2)</f>
        <v>123.86717333563401</v>
      </c>
      <c r="O42" s="3">
        <f>(N41-O41)/N41</f>
        <v>9.299451812399117E-4</v>
      </c>
    </row>
    <row r="44" spans="2:16" x14ac:dyDescent="0.4">
      <c r="C44" t="s">
        <v>25</v>
      </c>
      <c r="D44">
        <f>1/(F16*(1/B18-4800))</f>
        <v>-374913829.89316255</v>
      </c>
      <c r="L44" t="s">
        <v>40</v>
      </c>
      <c r="M44" t="s">
        <v>41</v>
      </c>
      <c r="N44" t="s">
        <v>7</v>
      </c>
      <c r="O44" t="s">
        <v>6</v>
      </c>
      <c r="P44" t="s">
        <v>8</v>
      </c>
    </row>
    <row r="45" spans="2:16" x14ac:dyDescent="0.4">
      <c r="D45">
        <f>D44/2/PI()/1000000</f>
        <v>-59.669389261010821</v>
      </c>
      <c r="E45">
        <f>-59.5961</f>
        <v>-59.5961</v>
      </c>
      <c r="H45">
        <f>80.34-20*LOG(0.025498312)</f>
        <v>112.2097713821839</v>
      </c>
      <c r="L45" t="s">
        <v>42</v>
      </c>
      <c r="M45">
        <f>B20</f>
        <v>548.87754541961692</v>
      </c>
      <c r="N45">
        <f>D20</f>
        <v>18817.507809265742</v>
      </c>
      <c r="O45">
        <f>C20</f>
        <v>42193.380702435403</v>
      </c>
    </row>
    <row r="46" spans="2:16" x14ac:dyDescent="0.4">
      <c r="D46" s="3">
        <f>(E45-D45)/D45</f>
        <v>-1.228255591660791E-3</v>
      </c>
    </row>
    <row r="49" spans="1:5" x14ac:dyDescent="0.4">
      <c r="A49">
        <v>6.1907399999999999</v>
      </c>
      <c r="C49">
        <f>SQRT(A49^2+B49^2)</f>
        <v>6.1907399999999999</v>
      </c>
      <c r="D49" t="s">
        <v>26</v>
      </c>
      <c r="E49" s="1">
        <f>6162.2/1000</f>
        <v>6.1621999999999995</v>
      </c>
    </row>
    <row r="50" spans="1:5" x14ac:dyDescent="0.4">
      <c r="A50">
        <v>1.4840800000000001</v>
      </c>
      <c r="B50">
        <v>-17.802009999999999</v>
      </c>
      <c r="C50">
        <f>SQRT(A50^2+B50^2)</f>
        <v>17.863763698798191</v>
      </c>
      <c r="D50" t="s">
        <v>27</v>
      </c>
      <c r="E50">
        <v>1.4820599999999999</v>
      </c>
    </row>
    <row r="51" spans="1:5" x14ac:dyDescent="0.4">
      <c r="A51">
        <v>1.4867600000000001</v>
      </c>
      <c r="C51">
        <f t="shared" ref="C50:C56" si="1">SQRT(A51^2+B51^2)</f>
        <v>1.4867600000000001</v>
      </c>
      <c r="D51" t="s">
        <v>27</v>
      </c>
      <c r="E51">
        <v>3.5833599999999999</v>
      </c>
    </row>
    <row r="52" spans="1:5" x14ac:dyDescent="0.4">
      <c r="A52">
        <v>3.5631499999999998</v>
      </c>
      <c r="C52">
        <f t="shared" si="1"/>
        <v>3.5631499999999998</v>
      </c>
      <c r="D52" t="s">
        <v>27</v>
      </c>
      <c r="E52">
        <v>13.8231</v>
      </c>
    </row>
    <row r="53" spans="1:5" x14ac:dyDescent="0.4">
      <c r="A53">
        <v>45.863399999999999</v>
      </c>
      <c r="C53">
        <f t="shared" si="1"/>
        <v>45.863399999999999</v>
      </c>
      <c r="D53" t="s">
        <v>27</v>
      </c>
      <c r="E53">
        <v>19.738099999999999</v>
      </c>
    </row>
    <row r="54" spans="1:5" x14ac:dyDescent="0.4">
      <c r="A54">
        <v>70.797300000000007</v>
      </c>
      <c r="B54">
        <v>18.22</v>
      </c>
      <c r="C54">
        <f t="shared" si="1"/>
        <v>73.10421388189603</v>
      </c>
      <c r="D54" t="s">
        <v>27</v>
      </c>
    </row>
    <row r="55" spans="1:5" x14ac:dyDescent="0.4">
      <c r="A55">
        <v>77.211399999999998</v>
      </c>
      <c r="B55">
        <v>118.94199999999999</v>
      </c>
      <c r="C55">
        <f t="shared" si="1"/>
        <v>141.80549937840917</v>
      </c>
      <c r="D55" t="s">
        <v>27</v>
      </c>
    </row>
    <row r="56" spans="1:5" x14ac:dyDescent="0.4">
      <c r="A56">
        <v>77.871099999999998</v>
      </c>
      <c r="B56">
        <v>134.922</v>
      </c>
      <c r="C56">
        <f t="shared" si="1"/>
        <v>155.78143117589462</v>
      </c>
      <c r="D56" t="s">
        <v>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林士登</dc:creator>
  <cp:lastModifiedBy>林士登</cp:lastModifiedBy>
  <dcterms:created xsi:type="dcterms:W3CDTF">2024-06-21T03:24:54Z</dcterms:created>
  <dcterms:modified xsi:type="dcterms:W3CDTF">2024-06-25T11:47:52Z</dcterms:modified>
</cp:coreProperties>
</file>