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C\HW4\"/>
    </mc:Choice>
  </mc:AlternateContent>
  <xr:revisionPtr revIDLastSave="0" documentId="13_ncr:1_{A812A79F-234C-45F6-8A72-DA151DD40C50}" xr6:coauthVersionLast="36" xr6:coauthVersionMax="36" xr10:uidLastSave="{00000000-0000-0000-0000-000000000000}"/>
  <bookViews>
    <workbookView xWindow="0" yWindow="0" windowWidth="19200" windowHeight="6760" xr2:uid="{09E83ECC-B491-4F4C-A290-7F6FD1E5E2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D18" i="1" l="1"/>
  <c r="M13" i="1"/>
  <c r="M15" i="1"/>
  <c r="N10" i="1"/>
  <c r="O6" i="1"/>
  <c r="O5" i="1" s="1"/>
  <c r="J10" i="1"/>
  <c r="G8" i="1"/>
  <c r="F16" i="1" s="1"/>
  <c r="M4" i="1"/>
  <c r="J8" i="1"/>
  <c r="J7" i="1"/>
  <c r="J4" i="1"/>
  <c r="D12" i="1"/>
  <c r="D5" i="1"/>
  <c r="M5" i="1" l="1"/>
  <c r="M14" i="1"/>
  <c r="J13" i="1" s="1"/>
  <c r="L11" i="1"/>
  <c r="D6" i="1"/>
  <c r="D16" i="1" l="1"/>
  <c r="D15" i="1"/>
  <c r="D14" i="1"/>
  <c r="D13" i="1"/>
  <c r="G10" i="1"/>
  <c r="D17" i="1" s="1"/>
  <c r="J6" i="1"/>
  <c r="J5" i="1" s="1"/>
  <c r="G7" i="1"/>
  <c r="G4" i="1"/>
  <c r="G5" i="1"/>
  <c r="D19" i="1" l="1"/>
  <c r="M6" i="1"/>
  <c r="L10" i="1" s="1"/>
</calcChain>
</file>

<file path=xl/sharedStrings.xml><?xml version="1.0" encoding="utf-8"?>
<sst xmlns="http://schemas.openxmlformats.org/spreadsheetml/2006/main" count="29" uniqueCount="25">
  <si>
    <t>Rd</t>
    <phoneticPr fontId="1" type="noConversion"/>
  </si>
  <si>
    <t>ro1</t>
    <phoneticPr fontId="1" type="noConversion"/>
  </si>
  <si>
    <t>gds1</t>
    <phoneticPr fontId="1" type="noConversion"/>
  </si>
  <si>
    <t>w</t>
    <phoneticPr fontId="1" type="noConversion"/>
  </si>
  <si>
    <t>CL</t>
    <phoneticPr fontId="1" type="noConversion"/>
  </si>
  <si>
    <t>Rout</t>
    <phoneticPr fontId="1" type="noConversion"/>
  </si>
  <si>
    <t>gds3</t>
    <phoneticPr fontId="1" type="noConversion"/>
  </si>
  <si>
    <t>Cp</t>
    <phoneticPr fontId="1" type="noConversion"/>
  </si>
  <si>
    <t>Cdb</t>
    <phoneticPr fontId="1" type="noConversion"/>
  </si>
  <si>
    <t>Cd_total</t>
    <phoneticPr fontId="1" type="noConversion"/>
  </si>
  <si>
    <t>Cgd</t>
    <phoneticPr fontId="1" type="noConversion"/>
  </si>
  <si>
    <t>分母其中一項</t>
    <phoneticPr fontId="1" type="noConversion"/>
  </si>
  <si>
    <t>gm1</t>
    <phoneticPr fontId="1" type="noConversion"/>
  </si>
  <si>
    <t>Acm_cm</t>
    <phoneticPr fontId="1" type="noConversion"/>
  </si>
  <si>
    <t>db</t>
    <phoneticPr fontId="1" type="noConversion"/>
  </si>
  <si>
    <t>ideal</t>
    <phoneticPr fontId="1" type="noConversion"/>
  </si>
  <si>
    <t>pole</t>
    <phoneticPr fontId="1" type="noConversion"/>
  </si>
  <si>
    <t>ro||RD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</si>
  <si>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</si>
  <si>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</si>
  <si>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</si>
  <si>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</si>
  <si>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A-3dB</t>
    <phoneticPr fontId="1" type="noConversion"/>
  </si>
  <si>
    <t>ADM</t>
    <phoneticPr fontId="1" type="noConversion"/>
  </si>
  <si>
    <t>C_d_total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</si>
</sst>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6A34-1605-4ACC-B916-7DF03528F0AC}">
  <dimension ref="C4:O19"/>
  <sheetViews>
    <sheetView tabSelected="1" topLeftCell="A3" workbookViewId="0">
      <selection activeCell="M5" sqref="M5"/>
    </sheetView>
  </sheetViews>
  <sheetFormatPr defaultRowHeight="17" x14ac:dyDescent="0.4"/>
  <cols>
    <col min="4" max="4" width="13" bestFit="1" customWidth="1"/>
    <col min="7" max="7" width="9.90625" bestFit="1" customWidth="1"/>
    <col min="10" max="10" width="13" bestFit="1" customWidth="1"/>
    <col min="13" max="13" width="13" bestFit="1" customWidth="1"/>
  </cols>
  <sheetData>
    <row r="4" spans="3:15" x14ac:dyDescent="0.4">
      <c r="F4" t="s">
        <v>0</v>
      </c>
      <c r="G4">
        <f>100.8*10^3</f>
        <v>100800</v>
      </c>
      <c r="I4" t="s">
        <v>6</v>
      </c>
      <c r="J4">
        <f>26.95*10^-6</f>
        <v>2.6949999999999998E-5</v>
      </c>
      <c r="L4" t="s">
        <v>12</v>
      </c>
      <c r="M4">
        <f>225.3868*10^-6</f>
        <v>2.2538679999999997E-4</v>
      </c>
    </row>
    <row r="5" spans="3:15" x14ac:dyDescent="0.4">
      <c r="C5" t="s">
        <v>2</v>
      </c>
      <c r="D5">
        <f>1.3383*10^-6</f>
        <v>1.3383E-6</v>
      </c>
      <c r="F5" t="s">
        <v>1</v>
      </c>
      <c r="G5">
        <f>1/D5</f>
        <v>747216.61809758656</v>
      </c>
      <c r="I5" t="s">
        <v>7</v>
      </c>
      <c r="J5">
        <f>J6</f>
        <v>2.012134E-13</v>
      </c>
      <c r="L5" t="s">
        <v>13</v>
      </c>
      <c r="M5">
        <f>M4*G8/(1+2*M4*J10)</f>
        <v>1.1293106195186648</v>
      </c>
      <c r="N5" t="s">
        <v>15</v>
      </c>
      <c r="O5">
        <f>10^(O6/20)</f>
        <v>1.0684493150807466</v>
      </c>
    </row>
    <row r="6" spans="3:15" x14ac:dyDescent="0.4">
      <c r="C6" t="s">
        <v>23</v>
      </c>
      <c r="D6">
        <f>D12*(G4/(1+D5*G4))</f>
        <v>20.018438830028327</v>
      </c>
      <c r="F6" t="s">
        <v>3</v>
      </c>
      <c r="G6">
        <f>10000</f>
        <v>10000</v>
      </c>
      <c r="I6" t="s">
        <v>8</v>
      </c>
      <c r="J6">
        <f>J7-J8</f>
        <v>2.012134E-13</v>
      </c>
      <c r="L6" t="s">
        <v>14</v>
      </c>
      <c r="M6">
        <f>20*LOG(M5)</f>
        <v>1.0562682413142286</v>
      </c>
      <c r="N6" t="s">
        <v>14</v>
      </c>
      <c r="O6">
        <f>575.0785*10^-3</f>
        <v>0.57507849999999994</v>
      </c>
    </row>
    <row r="7" spans="3:15" x14ac:dyDescent="0.4">
      <c r="F7" t="s">
        <v>4</v>
      </c>
      <c r="G7">
        <f>10^-12</f>
        <v>9.9999999999999998E-13</v>
      </c>
      <c r="I7" t="s">
        <v>9</v>
      </c>
      <c r="J7">
        <f>269.9785*10^-15</f>
        <v>2.6997850000000002E-13</v>
      </c>
    </row>
    <row r="8" spans="3:15" x14ac:dyDescent="0.4">
      <c r="F8" t="s">
        <v>5</v>
      </c>
      <c r="G8">
        <f>SQRT(((G4^2)*(G5^2))/((G4+G5)^2-(G6*G7*G5*G4)^2))</f>
        <v>88818.383042824076</v>
      </c>
      <c r="I8" t="s">
        <v>10</v>
      </c>
      <c r="J8">
        <f>68.7651*10^-15</f>
        <v>6.8765100000000005E-14</v>
      </c>
    </row>
    <row r="10" spans="3:15" x14ac:dyDescent="0.4">
      <c r="F10" t="s">
        <v>17</v>
      </c>
      <c r="G10">
        <f>G5*G4/(G4+G5)</f>
        <v>88818.348009742956</v>
      </c>
      <c r="I10" t="s">
        <v>11</v>
      </c>
      <c r="J10">
        <f>SQRT(1/(J4^2-G6^2*J5^2))</f>
        <v>37105.75149488639</v>
      </c>
      <c r="L10">
        <f>20*LOG(20.1172)-M6</f>
        <v>25.015082430328562</v>
      </c>
      <c r="N10">
        <f>20*LOG(20.0184)-1.056268241</f>
        <v>24.972319017131124</v>
      </c>
    </row>
    <row r="11" spans="3:15" x14ac:dyDescent="0.4">
      <c r="L11">
        <f>20*LOG(20.1172)-0.7804861</f>
        <v>25.290864571642789</v>
      </c>
    </row>
    <row r="12" spans="3:15" x14ac:dyDescent="0.4">
      <c r="C12" t="s">
        <v>12</v>
      </c>
      <c r="D12">
        <f>225.3863*10^-6</f>
        <v>2.2538629999999999E-4</v>
      </c>
    </row>
    <row r="13" spans="3:15" x14ac:dyDescent="0.4">
      <c r="D13">
        <f>D12/(M13*2*PI())</f>
        <v>861591873.67458272</v>
      </c>
      <c r="I13" t="s">
        <v>16</v>
      </c>
      <c r="J13">
        <f>-1/((G10*(M14+M13+G7))*2*PI())</f>
        <v>-1530756.5914014764</v>
      </c>
      <c r="L13" t="s">
        <v>10</v>
      </c>
      <c r="M13">
        <f>41.6338*10^-15</f>
        <v>4.1633800000000005E-14</v>
      </c>
    </row>
    <row r="14" spans="3:15" x14ac:dyDescent="0.4">
      <c r="C14" t="s">
        <v>18</v>
      </c>
      <c r="D14">
        <f>M13</f>
        <v>4.1633800000000005E-14</v>
      </c>
      <c r="L14" t="s">
        <v>8</v>
      </c>
      <c r="M14">
        <f>M15-M13</f>
        <v>1.2897370000000002E-13</v>
      </c>
    </row>
    <row r="15" spans="3:15" x14ac:dyDescent="0.4">
      <c r="C15" t="s">
        <v>19</v>
      </c>
      <c r="D15">
        <f>D12</f>
        <v>2.2538629999999999E-4</v>
      </c>
      <c r="L15" t="s">
        <v>24</v>
      </c>
      <c r="M15">
        <f>170.6075*10^-15</f>
        <v>1.7060750000000001E-13</v>
      </c>
    </row>
    <row r="16" spans="3:15" x14ac:dyDescent="0.4">
      <c r="C16" t="s">
        <v>20</v>
      </c>
      <c r="D16">
        <f>M13+M14+G7</f>
        <v>1.1706075E-12</v>
      </c>
      <c r="F16">
        <f>M4*G8/(2*M4*J10+1)</f>
        <v>1.1293106195186648</v>
      </c>
    </row>
    <row r="17" spans="3:4" x14ac:dyDescent="0.4">
      <c r="C17" t="s">
        <v>21</v>
      </c>
      <c r="D17">
        <f>1/G10</f>
        <v>1.1258934920634919E-5</v>
      </c>
    </row>
    <row r="18" spans="3:4" x14ac:dyDescent="0.4">
      <c r="C18" t="s">
        <v>22</v>
      </c>
      <c r="D18">
        <f>20.0184/(SQRT(2))</f>
        <v>14.155146388504782</v>
      </c>
    </row>
    <row r="19" spans="3:4" x14ac:dyDescent="0.4">
      <c r="D19">
        <f>SQRT((D15^2-D18^2*D17^2)/(D18^2*D16^2-D14^2))/2/PI()</f>
        <v>1530767.3617947083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林士登</dc:creator>
  <cp:lastModifiedBy>林士登</cp:lastModifiedBy>
  <dcterms:created xsi:type="dcterms:W3CDTF">2024-04-23T08:10:44Z</dcterms:created>
  <dcterms:modified xsi:type="dcterms:W3CDTF">2024-05-03T10:55:11Z</dcterms:modified>
</cp:coreProperties>
</file>