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User\Desktop\AIC\HW5\"/>
    </mc:Choice>
  </mc:AlternateContent>
  <xr:revisionPtr revIDLastSave="0" documentId="13_ncr:1_{BDF48BAB-8F26-4B3F-B16D-5D943431A7B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S36" i="1"/>
  <c r="V36" i="1"/>
  <c r="V37" i="1"/>
  <c r="T37" i="1"/>
  <c r="T36" i="1"/>
  <c r="Q37" i="1"/>
  <c r="H36" i="1"/>
  <c r="Q36" i="1"/>
  <c r="U28" i="1"/>
  <c r="U27" i="1"/>
  <c r="U26" i="1"/>
  <c r="S28" i="1" s="1"/>
  <c r="U25" i="1"/>
  <c r="S26" i="1"/>
  <c r="S25" i="1"/>
  <c r="W9" i="1"/>
  <c r="W10" i="1" s="1"/>
  <c r="W8" i="1"/>
  <c r="T10" i="1"/>
  <c r="T12" i="1" s="1"/>
  <c r="T9" i="1"/>
  <c r="T11" i="1" s="1"/>
  <c r="Q26" i="1"/>
  <c r="G36" i="1"/>
  <c r="F36" i="1"/>
  <c r="E37" i="1"/>
  <c r="E36" i="1"/>
  <c r="Q11" i="1"/>
  <c r="Q6" i="1"/>
  <c r="Q5" i="1"/>
  <c r="Q7" i="1" s="1"/>
  <c r="D39" i="1"/>
  <c r="D36" i="1"/>
  <c r="D37" i="1"/>
  <c r="G31" i="1"/>
  <c r="D32" i="1"/>
  <c r="D28" i="1"/>
  <c r="D27" i="1"/>
  <c r="D26" i="1"/>
  <c r="D25" i="1"/>
  <c r="G13" i="1"/>
  <c r="J9" i="1"/>
  <c r="J8" i="1"/>
  <c r="G10" i="1"/>
  <c r="G9" i="1"/>
  <c r="F26" i="1"/>
  <c r="F25" i="1"/>
  <c r="H28" i="1"/>
  <c r="H27" i="1"/>
  <c r="H26" i="1"/>
  <c r="H25" i="1"/>
  <c r="Q28" i="1" l="1"/>
  <c r="T8" i="1"/>
  <c r="Q25" i="1" s="1"/>
  <c r="S27" i="1"/>
  <c r="Q27" i="1" s="1"/>
  <c r="F27" i="1"/>
  <c r="T13" i="1" l="1"/>
  <c r="F28" i="1"/>
  <c r="W13" i="1" l="1"/>
  <c r="Q32" i="1"/>
  <c r="Q31" i="1"/>
  <c r="Q33" i="1"/>
  <c r="Q34" i="1"/>
  <c r="L18" i="1"/>
  <c r="L17" i="1"/>
  <c r="L16" i="1"/>
  <c r="J10" i="1"/>
  <c r="G12" i="1"/>
  <c r="G11" i="1"/>
  <c r="D11" i="1"/>
  <c r="J13" i="1" s="1"/>
  <c r="D7" i="1"/>
  <c r="D5" i="1"/>
  <c r="D6" i="1"/>
  <c r="Q39" i="1" l="1"/>
  <c r="W15" i="1"/>
  <c r="G8" i="1"/>
  <c r="W16" i="1" l="1"/>
  <c r="W17" i="1"/>
  <c r="W18" i="1"/>
  <c r="D33" i="1"/>
  <c r="D34" i="1" l="1"/>
  <c r="D31" i="1"/>
  <c r="J15" i="1"/>
  <c r="J18" i="1" s="1"/>
  <c r="M18" i="1" s="1"/>
  <c r="J16" i="1" l="1"/>
  <c r="M16" i="1" s="1"/>
  <c r="J17" i="1"/>
  <c r="M17" i="1" s="1"/>
</calcChain>
</file>

<file path=xl/sharedStrings.xml><?xml version="1.0" encoding="utf-8"?>
<sst xmlns="http://schemas.openxmlformats.org/spreadsheetml/2006/main" count="92" uniqueCount="49">
  <si>
    <t>Vout1</t>
    <phoneticPr fontId="2" type="noConversion"/>
  </si>
  <si>
    <t>Iin1</t>
    <phoneticPr fontId="2" type="noConversion"/>
  </si>
  <si>
    <t>transimped</t>
    <phoneticPr fontId="2" type="noConversion"/>
  </si>
  <si>
    <t>RF</t>
    <phoneticPr fontId="2" type="noConversion"/>
  </si>
  <si>
    <t>RS1</t>
    <phoneticPr fontId="2" type="noConversion"/>
  </si>
  <si>
    <t>Rin,close</t>
    <phoneticPr fontId="2" type="noConversion"/>
  </si>
  <si>
    <t>Rin,open</t>
    <phoneticPr fontId="2" type="noConversion"/>
  </si>
  <si>
    <t>gds1</t>
    <phoneticPr fontId="2" type="noConversion"/>
  </si>
  <si>
    <t>gds2</t>
    <phoneticPr fontId="2" type="noConversion"/>
  </si>
  <si>
    <t>ro1</t>
    <phoneticPr fontId="2" type="noConversion"/>
  </si>
  <si>
    <t>ro2</t>
    <phoneticPr fontId="2" type="noConversion"/>
  </si>
  <si>
    <t>Rout,open</t>
    <phoneticPr fontId="2" type="noConversion"/>
  </si>
  <si>
    <t>ro1|| ro2</t>
    <phoneticPr fontId="2" type="noConversion"/>
  </si>
  <si>
    <t>gm1</t>
    <phoneticPr fontId="2" type="noConversion"/>
  </si>
  <si>
    <t>gm2</t>
    <phoneticPr fontId="2" type="noConversion"/>
  </si>
  <si>
    <t>gm1+gm2</t>
    <phoneticPr fontId="2" type="noConversion"/>
  </si>
  <si>
    <t>Ro</t>
    <phoneticPr fontId="2" type="noConversion"/>
  </si>
  <si>
    <t>K</t>
    <phoneticPr fontId="2" type="noConversion"/>
  </si>
  <si>
    <t>1+Kro</t>
    <phoneticPr fontId="2" type="noConversion"/>
  </si>
  <si>
    <t>Rout,close</t>
    <phoneticPr fontId="2" type="noConversion"/>
  </si>
  <si>
    <t>gain</t>
    <phoneticPr fontId="2" type="noConversion"/>
  </si>
  <si>
    <t>error</t>
    <phoneticPr fontId="2" type="noConversion"/>
  </si>
  <si>
    <t>R1</t>
    <phoneticPr fontId="2" type="noConversion"/>
  </si>
  <si>
    <t>R2</t>
    <phoneticPr fontId="2" type="noConversion"/>
  </si>
  <si>
    <t xml:space="preserve">C1 </t>
    <phoneticPr fontId="2" type="noConversion"/>
  </si>
  <si>
    <t>C2</t>
    <phoneticPr fontId="2" type="noConversion"/>
  </si>
  <si>
    <t>Cdb1</t>
    <phoneticPr fontId="2" type="noConversion"/>
  </si>
  <si>
    <t>Cdb2</t>
    <phoneticPr fontId="2" type="noConversion"/>
  </si>
  <si>
    <t>Cd_tot1</t>
    <phoneticPr fontId="2" type="noConversion"/>
  </si>
  <si>
    <t>Cd_tot2</t>
    <phoneticPr fontId="2" type="noConversion"/>
  </si>
  <si>
    <t>Cgd1</t>
    <phoneticPr fontId="2" type="noConversion"/>
  </si>
  <si>
    <t>Cgd2</t>
    <phoneticPr fontId="2" type="noConversion"/>
  </si>
  <si>
    <t>Cgs1</t>
    <phoneticPr fontId="2" type="noConversion"/>
  </si>
  <si>
    <t>Cgs2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</si>
  <si>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</si>
  <si>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</si>
  <si>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</si>
  <si>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e</t>
    <phoneticPr fontId="2" type="noConversion"/>
  </si>
  <si>
    <t>zero</t>
    <phoneticPr fontId="2" type="noConversion"/>
  </si>
  <si>
    <t>s1 real</t>
    <phoneticPr fontId="2" type="noConversion"/>
  </si>
  <si>
    <t>img</t>
    <phoneticPr fontId="2" type="noConversion"/>
  </si>
  <si>
    <t>b+kd</t>
    <phoneticPr fontId="2" type="noConversion"/>
  </si>
  <si>
    <t>rad</t>
    <phoneticPr fontId="2" type="noConversion"/>
  </si>
  <si>
    <t>hz</t>
    <phoneticPr fontId="2" type="noConversion"/>
  </si>
  <si>
    <t>|pole|</t>
    <phoneticPr fontId="2" type="noConversion"/>
  </si>
  <si>
    <t>ideal</t>
    <phoneticPr fontId="2" type="noConversion"/>
  </si>
  <si>
    <t>error</t>
    <phoneticPr fontId="2" type="noConversion"/>
  </si>
  <si>
    <t>rad/sa</t>
    <phoneticPr fontId="2" type="noConversion"/>
  </si>
  <si>
    <t>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</si>
</sst>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0000"/>
    <numFmt numFmtId="181" formatCode="0.00000E+00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76" fontId="0" fillId="0" borderId="0" xfId="1" applyNumberFormat="1" applyFont="1" applyAlignment="1"/>
    <xf numFmtId="177" fontId="0" fillId="0" borderId="0" xfId="0" applyNumberFormat="1"/>
    <xf numFmtId="181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W39"/>
  <sheetViews>
    <sheetView tabSelected="1" topLeftCell="B1" zoomScale="84" workbookViewId="0">
      <selection activeCell="Q39" sqref="Q39"/>
    </sheetView>
  </sheetViews>
  <sheetFormatPr defaultRowHeight="14.5" x14ac:dyDescent="0.3"/>
  <cols>
    <col min="4" max="4" width="29.69921875" bestFit="1" customWidth="1"/>
    <col min="5" max="5" width="11.3984375" bestFit="1" customWidth="1"/>
    <col min="6" max="6" width="14.19921875" bestFit="1" customWidth="1"/>
    <col min="7" max="7" width="14.5" bestFit="1" customWidth="1"/>
    <col min="8" max="8" width="14.19921875" bestFit="1" customWidth="1"/>
    <col min="9" max="9" width="12.09765625" bestFit="1" customWidth="1"/>
    <col min="10" max="10" width="13.296875" bestFit="1" customWidth="1"/>
    <col min="11" max="11" width="14.5" bestFit="1" customWidth="1"/>
    <col min="17" max="17" width="12.59765625" bestFit="1" customWidth="1"/>
    <col min="19" max="19" width="9.09765625" bestFit="1" customWidth="1"/>
    <col min="21" max="21" width="14.3984375" bestFit="1" customWidth="1"/>
  </cols>
  <sheetData>
    <row r="5" spans="3:23" x14ac:dyDescent="0.3">
      <c r="C5" t="s">
        <v>0</v>
      </c>
      <c r="D5">
        <f>0.7504936</f>
        <v>0.75049359999999998</v>
      </c>
      <c r="P5" t="s">
        <v>0</v>
      </c>
      <c r="Q5">
        <f>0.7504936</f>
        <v>0.75049359999999998</v>
      </c>
    </row>
    <row r="6" spans="3:23" x14ac:dyDescent="0.3">
      <c r="C6" t="s">
        <v>1</v>
      </c>
      <c r="D6">
        <f>15*10^-6</f>
        <v>1.4999999999999999E-5</v>
      </c>
      <c r="P6" t="s">
        <v>1</v>
      </c>
      <c r="Q6">
        <f>15*10^-6</f>
        <v>1.4999999999999999E-5</v>
      </c>
    </row>
    <row r="7" spans="3:23" x14ac:dyDescent="0.3">
      <c r="C7" t="s">
        <v>2</v>
      </c>
      <c r="D7">
        <f>D5/D6</f>
        <v>50032.906666666669</v>
      </c>
      <c r="P7" t="s">
        <v>2</v>
      </c>
      <c r="Q7">
        <f>Q5/Q6</f>
        <v>50032.906666666669</v>
      </c>
    </row>
    <row r="8" spans="3:23" x14ac:dyDescent="0.3">
      <c r="F8" t="s">
        <v>12</v>
      </c>
      <c r="G8">
        <f>G11*G12/(G11+G12)</f>
        <v>594.29165041031376</v>
      </c>
      <c r="I8" t="s">
        <v>13</v>
      </c>
      <c r="J8">
        <f>23.9604*10^-3</f>
        <v>2.39604E-2</v>
      </c>
      <c r="S8" t="s">
        <v>12</v>
      </c>
      <c r="T8">
        <f>T11*T12/(T11+T12)</f>
        <v>594.37003195808779</v>
      </c>
      <c r="V8" t="s">
        <v>13</v>
      </c>
      <c r="W8">
        <f>23.9958*10^-3</f>
        <v>2.3995800000000001E-2</v>
      </c>
    </row>
    <row r="9" spans="3:23" x14ac:dyDescent="0.3">
      <c r="C9" t="s">
        <v>3</v>
      </c>
      <c r="D9">
        <v>1000</v>
      </c>
      <c r="F9" t="s">
        <v>7</v>
      </c>
      <c r="G9">
        <f>1.0869*10^-3</f>
        <v>1.0869E-3</v>
      </c>
      <c r="I9" t="s">
        <v>14</v>
      </c>
      <c r="J9">
        <f>28.5792*10^-3</f>
        <v>2.8579199999999999E-2</v>
      </c>
      <c r="P9" t="s">
        <v>3</v>
      </c>
      <c r="S9" t="s">
        <v>7</v>
      </c>
      <c r="T9">
        <f>1.0741*10^-3</f>
        <v>1.0741000000000001E-3</v>
      </c>
      <c r="V9" t="s">
        <v>14</v>
      </c>
      <c r="W9">
        <f>28.5542*10^-3</f>
        <v>2.8554200000000002E-2</v>
      </c>
    </row>
    <row r="10" spans="3:23" x14ac:dyDescent="0.3">
      <c r="C10" t="s">
        <v>4</v>
      </c>
      <c r="D10">
        <v>50000</v>
      </c>
      <c r="F10" t="s">
        <v>8</v>
      </c>
      <c r="G10">
        <f>595.7755*10^-6</f>
        <v>5.9577549999999995E-4</v>
      </c>
      <c r="I10" t="s">
        <v>15</v>
      </c>
      <c r="J10">
        <f>J8+J9</f>
        <v>5.2539599999999999E-2</v>
      </c>
      <c r="P10" t="s">
        <v>4</v>
      </c>
      <c r="Q10">
        <v>50000</v>
      </c>
      <c r="S10" t="s">
        <v>8</v>
      </c>
      <c r="T10">
        <f>608.3536*10^-6</f>
        <v>6.0835360000000005E-4</v>
      </c>
      <c r="V10" t="s">
        <v>15</v>
      </c>
      <c r="W10">
        <f>W8+W9</f>
        <v>5.2549999999999999E-2</v>
      </c>
    </row>
    <row r="11" spans="3:23" x14ac:dyDescent="0.3">
      <c r="C11" t="s">
        <v>6</v>
      </c>
      <c r="D11">
        <f>D9*D10/(D9+D10)</f>
        <v>980.39215686274508</v>
      </c>
      <c r="F11" t="s">
        <v>9</v>
      </c>
      <c r="G11">
        <f>1/G9</f>
        <v>920.04784248780936</v>
      </c>
      <c r="P11" t="s">
        <v>6</v>
      </c>
      <c r="Q11">
        <f>Q9*Q10/(Q9+Q10)</f>
        <v>0</v>
      </c>
      <c r="S11" t="s">
        <v>9</v>
      </c>
      <c r="T11">
        <f>1/T9</f>
        <v>931.01201005492953</v>
      </c>
    </row>
    <row r="12" spans="3:23" x14ac:dyDescent="0.3">
      <c r="F12" t="s">
        <v>10</v>
      </c>
      <c r="G12">
        <f>1/G10</f>
        <v>1678.484596966475</v>
      </c>
      <c r="S12" t="s">
        <v>10</v>
      </c>
      <c r="T12">
        <f>1/T10</f>
        <v>1643.7808537666251</v>
      </c>
    </row>
    <row r="13" spans="3:23" x14ac:dyDescent="0.3">
      <c r="F13" t="s">
        <v>11</v>
      </c>
      <c r="G13">
        <f>D9*G8/(G8+D9)</f>
        <v>372.76219207280195</v>
      </c>
      <c r="I13" t="s">
        <v>16</v>
      </c>
      <c r="J13">
        <f>-J10*G13*D11</f>
        <v>-19200.761241792337</v>
      </c>
      <c r="S13" t="s">
        <v>11</v>
      </c>
      <c r="T13">
        <f>Q9*T8/(T8+Q9)</f>
        <v>0</v>
      </c>
      <c r="V13" t="s">
        <v>16</v>
      </c>
      <c r="W13">
        <f>-W10*T13*Q11</f>
        <v>0</v>
      </c>
    </row>
    <row r="14" spans="3:23" x14ac:dyDescent="0.3">
      <c r="I14" t="s">
        <v>17</v>
      </c>
      <c r="J14">
        <v>-1E-3</v>
      </c>
      <c r="V14" t="s">
        <v>17</v>
      </c>
      <c r="W14">
        <v>-1E-3</v>
      </c>
    </row>
    <row r="15" spans="3:23" x14ac:dyDescent="0.3">
      <c r="I15" t="s">
        <v>18</v>
      </c>
      <c r="J15">
        <f>1+J14*J13</f>
        <v>20.200761241792339</v>
      </c>
      <c r="M15" t="s">
        <v>21</v>
      </c>
      <c r="V15" t="s">
        <v>18</v>
      </c>
      <c r="W15">
        <f>1+W14*W13</f>
        <v>1</v>
      </c>
    </row>
    <row r="16" spans="3:23" x14ac:dyDescent="0.3">
      <c r="I16" t="s">
        <v>5</v>
      </c>
      <c r="J16">
        <f>D11/J15</f>
        <v>48.532436234851438</v>
      </c>
      <c r="L16">
        <f>49.4317</f>
        <v>49.431699999999999</v>
      </c>
      <c r="M16" s="1">
        <f>ABS((L16-J16)/J16)</f>
        <v>1.8529128865424523E-2</v>
      </c>
      <c r="V16" t="s">
        <v>5</v>
      </c>
      <c r="W16">
        <f>Q11/W15</f>
        <v>0</v>
      </c>
    </row>
    <row r="17" spans="3:23" x14ac:dyDescent="0.3">
      <c r="I17" t="s">
        <v>19</v>
      </c>
      <c r="J17">
        <f>G13/J15</f>
        <v>18.452878463887441</v>
      </c>
      <c r="L17">
        <f xml:space="preserve">
18.8021</f>
        <v>18.802099999999999</v>
      </c>
      <c r="M17" s="1">
        <f t="shared" ref="M17:M18" si="0">ABS((L17-J17)/J17)</f>
        <v>1.8925043959726422E-2</v>
      </c>
      <c r="V17" t="s">
        <v>19</v>
      </c>
      <c r="W17">
        <f>T13/W15</f>
        <v>0</v>
      </c>
    </row>
    <row r="18" spans="3:23" x14ac:dyDescent="0.3">
      <c r="I18" t="s">
        <v>20</v>
      </c>
      <c r="J18">
        <f>J13/J15</f>
        <v>-950.49691504045143</v>
      </c>
      <c r="L18">
        <f>-949.5797</f>
        <v>-949.5797</v>
      </c>
      <c r="M18" s="1">
        <f t="shared" si="0"/>
        <v>9.6498476316715773E-4</v>
      </c>
      <c r="V18" t="s">
        <v>20</v>
      </c>
      <c r="W18">
        <f>W13/W15</f>
        <v>0</v>
      </c>
    </row>
    <row r="25" spans="3:23" x14ac:dyDescent="0.3">
      <c r="C25" t="s">
        <v>22</v>
      </c>
      <c r="D25">
        <f>1/(1/G8+1/D9)</f>
        <v>372.76219207280189</v>
      </c>
      <c r="E25" t="s">
        <v>28</v>
      </c>
      <c r="F25">
        <f>93.142*10^-15</f>
        <v>9.3142000000000001E-14</v>
      </c>
      <c r="G25" t="s">
        <v>30</v>
      </c>
      <c r="H25">
        <f>25.7086*10^-15</f>
        <v>2.5708600000000001E-14</v>
      </c>
      <c r="P25" t="s">
        <v>22</v>
      </c>
      <c r="Q25">
        <f>T8</f>
        <v>594.37003195808779</v>
      </c>
      <c r="R25" t="s">
        <v>28</v>
      </c>
      <c r="S25">
        <f>92.9033*10^-15</f>
        <v>9.2903300000000012E-14</v>
      </c>
      <c r="T25" t="s">
        <v>30</v>
      </c>
      <c r="U25">
        <f>25.7063*10^-15</f>
        <v>2.5706300000000002E-14</v>
      </c>
    </row>
    <row r="26" spans="3:23" x14ac:dyDescent="0.3">
      <c r="C26" t="s">
        <v>23</v>
      </c>
      <c r="D26">
        <f>1/(1/D10+1/D9)</f>
        <v>980.39215686274508</v>
      </c>
      <c r="E26" t="s">
        <v>29</v>
      </c>
      <c r="F26">
        <f>540.9352*10^-15</f>
        <v>5.4093520000000007E-13</v>
      </c>
      <c r="G26" t="s">
        <v>31</v>
      </c>
      <c r="H26">
        <f>172.4379*10^-15</f>
        <v>1.7243790000000002E-13</v>
      </c>
      <c r="P26" t="s">
        <v>23</v>
      </c>
      <c r="Q26">
        <f>Q10</f>
        <v>50000</v>
      </c>
      <c r="R26" t="s">
        <v>29</v>
      </c>
      <c r="S26">
        <f>542.3872*10^-15</f>
        <v>5.4238720000000007E-13</v>
      </c>
      <c r="T26" t="s">
        <v>31</v>
      </c>
      <c r="U26">
        <f>172.4584*10^-15</f>
        <v>1.7245840000000001E-13</v>
      </c>
    </row>
    <row r="27" spans="3:23" x14ac:dyDescent="0.3">
      <c r="C27" t="s">
        <v>24</v>
      </c>
      <c r="D27">
        <f>H25+H26+F27+F28+10^-12</f>
        <v>1.6340772E-12</v>
      </c>
      <c r="E27" t="s">
        <v>26</v>
      </c>
      <c r="F27">
        <f>F25-H25</f>
        <v>6.7433400000000003E-14</v>
      </c>
      <c r="G27" t="s">
        <v>32</v>
      </c>
      <c r="H27">
        <f>100.8982*10^-15</f>
        <v>1.0089820000000001E-13</v>
      </c>
      <c r="P27" t="s">
        <v>24</v>
      </c>
      <c r="Q27">
        <f>U25+U26+S27+S28+10^-12</f>
        <v>1.6352905000000001E-12</v>
      </c>
      <c r="R27" t="s">
        <v>26</v>
      </c>
      <c r="S27">
        <f>S25-U25</f>
        <v>6.7197000000000016E-14</v>
      </c>
      <c r="T27" t="s">
        <v>32</v>
      </c>
      <c r="U27">
        <f>100.8882*10^-15</f>
        <v>1.0088820000000001E-13</v>
      </c>
    </row>
    <row r="28" spans="3:23" x14ac:dyDescent="0.3">
      <c r="C28" t="s">
        <v>25</v>
      </c>
      <c r="D28">
        <f>H25+H26+H27+H28+10^-12</f>
        <v>2.1936287000000003E-12</v>
      </c>
      <c r="E28" t="s">
        <v>27</v>
      </c>
      <c r="F28">
        <f>F26-H26</f>
        <v>3.6849730000000005E-13</v>
      </c>
      <c r="G28" t="s">
        <v>33</v>
      </c>
      <c r="H28">
        <f>894.584*10^-15</f>
        <v>8.94584E-13</v>
      </c>
      <c r="P28" t="s">
        <v>25</v>
      </c>
      <c r="Q28">
        <f>U25+U26+U27+U28+10^-12</f>
        <v>2.1936765E-12</v>
      </c>
      <c r="R28" t="s">
        <v>27</v>
      </c>
      <c r="S28">
        <f>S26-U26</f>
        <v>3.6992880000000003E-13</v>
      </c>
      <c r="T28" t="s">
        <v>33</v>
      </c>
      <c r="U28">
        <f>894.6236*10^-15</f>
        <v>8.9462360000000004E-13</v>
      </c>
    </row>
    <row r="31" spans="3:23" x14ac:dyDescent="0.3">
      <c r="C31" t="s">
        <v>34</v>
      </c>
      <c r="D31">
        <f>D25*D26*D27*D28-(H25+H26)^2*D25*D26</f>
        <v>1.2956397405125599E-18</v>
      </c>
      <c r="F31" t="s">
        <v>41</v>
      </c>
      <c r="G31">
        <f>D32+J14*D33</f>
        <v>6.4918889505128814E-9</v>
      </c>
      <c r="P31" t="s">
        <v>34</v>
      </c>
      <c r="Q31">
        <f>Q25*Q26*Q27*Q28-(U25+U26)^2*Q25*Q26</f>
        <v>1.0544210824587256E-16</v>
      </c>
      <c r="S31" t="s">
        <v>41</v>
      </c>
    </row>
    <row r="32" spans="3:23" x14ac:dyDescent="0.3">
      <c r="C32" t="s">
        <v>35</v>
      </c>
      <c r="D32">
        <f>D25*D27+D26*D28+(H25+H26)*(J10)*D25*D26</f>
        <v>6.5643022090340122E-9</v>
      </c>
      <c r="P32" t="s">
        <v>35</v>
      </c>
      <c r="Q32">
        <f>Q25*Q27+Q26*Q28+(U25+U26)*(W10)*Q25*Q26</f>
        <v>4.201310431283335E-7</v>
      </c>
    </row>
    <row r="33" spans="3:22" x14ac:dyDescent="0.3">
      <c r="C33" t="s">
        <v>36</v>
      </c>
      <c r="D33">
        <f>(H25+H26)*D25*D26</f>
        <v>7.2413258521130838E-8</v>
      </c>
      <c r="P33" t="s">
        <v>36</v>
      </c>
      <c r="Q33">
        <f>(U25+U26)*Q25*Q26</f>
        <v>5.8891579535982447E-6</v>
      </c>
    </row>
    <row r="34" spans="3:22" x14ac:dyDescent="0.3">
      <c r="C34" t="s">
        <v>37</v>
      </c>
      <c r="D34" s="2">
        <f>-(J10*D25*D26)</f>
        <v>-19200.761241792334</v>
      </c>
      <c r="P34" t="s">
        <v>37</v>
      </c>
      <c r="Q34" s="2">
        <f>-(W10*Q25*Q26)</f>
        <v>-1561707.2589698755</v>
      </c>
    </row>
    <row r="35" spans="3:22" x14ac:dyDescent="0.3">
      <c r="D35" t="s">
        <v>42</v>
      </c>
      <c r="E35" t="s">
        <v>43</v>
      </c>
      <c r="F35" t="s">
        <v>44</v>
      </c>
      <c r="G35" t="s">
        <v>45</v>
      </c>
      <c r="H35" t="s">
        <v>46</v>
      </c>
      <c r="S35" t="s">
        <v>47</v>
      </c>
      <c r="T35" t="s">
        <v>48</v>
      </c>
      <c r="U35" t="s">
        <v>45</v>
      </c>
      <c r="V35" t="s">
        <v>46</v>
      </c>
    </row>
    <row r="36" spans="3:22" x14ac:dyDescent="0.3">
      <c r="C36" t="s">
        <v>39</v>
      </c>
      <c r="D36">
        <f>-G31/2/D31/10^9</f>
        <v>-2.5052832000756111</v>
      </c>
      <c r="E36">
        <f>D36/2/PI()*1000</f>
        <v>-398.72820513711531</v>
      </c>
      <c r="F36">
        <f>SQRT(E36^2+E37^2)</f>
        <v>628.43717725296608</v>
      </c>
      <c r="G36">
        <f>SQRT(385.786^2+476.002^2)</f>
        <v>612.70608108619263</v>
      </c>
      <c r="H36" s="1">
        <f>(F36-G36)/F36</f>
        <v>2.5032090296658538E-2</v>
      </c>
      <c r="P36" t="s">
        <v>39</v>
      </c>
      <c r="Q36">
        <f>-Q32/2/Q31/10^9</f>
        <v>-1.9922355978916004</v>
      </c>
      <c r="S36">
        <f>(Q36+Q37)*10^3</f>
        <v>-2.3816333086781327</v>
      </c>
      <c r="T36">
        <f>S36/2/PI()*1000</f>
        <v>-379.04871370843063</v>
      </c>
      <c r="U36">
        <v>-375.84800000000001</v>
      </c>
      <c r="V36" s="1">
        <f>-(U36-T36)/T36</f>
        <v>8.4440695685690792E-3</v>
      </c>
    </row>
    <row r="37" spans="3:22" x14ac:dyDescent="0.3">
      <c r="C37" t="s">
        <v>40</v>
      </c>
      <c r="D37">
        <f>SQRT(4*D31*(1+J14*D34)-G31^2)/2/D31/10^9</f>
        <v>3.0520316623953208</v>
      </c>
      <c r="E37">
        <f>D37/2/PI()*1000</f>
        <v>485.74592554319003</v>
      </c>
      <c r="P37" t="s">
        <v>40</v>
      </c>
      <c r="Q37">
        <f>SQRT(Q32^2-4*Q31)/2/Q31/10^9</f>
        <v>1.9898539645829223</v>
      </c>
      <c r="S37">
        <f>Q36-Q37</f>
        <v>-3.9820895624745227</v>
      </c>
      <c r="T37">
        <f>S37/2/PI()*1000</f>
        <v>-633.7692377024631</v>
      </c>
      <c r="U37">
        <v>-618.70699999999999</v>
      </c>
      <c r="V37" s="1">
        <f>(T37-U37)/T37</f>
        <v>2.3766123071966468E-2</v>
      </c>
    </row>
    <row r="39" spans="3:22" x14ac:dyDescent="0.3">
      <c r="C39" t="s">
        <v>38</v>
      </c>
      <c r="D39">
        <f>-D34/D33</f>
        <v>265155326992.90668</v>
      </c>
      <c r="P39" t="s">
        <v>38</v>
      </c>
      <c r="Q39" s="3">
        <f>-Q34/Q33</f>
        <v>265183455983.8356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林士登</cp:lastModifiedBy>
  <dcterms:created xsi:type="dcterms:W3CDTF">2015-06-05T18:19:34Z</dcterms:created>
  <dcterms:modified xsi:type="dcterms:W3CDTF">2024-05-14T14:54:04Z</dcterms:modified>
</cp:coreProperties>
</file>