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code\victory-point-salad\data\"/>
    </mc:Choice>
  </mc:AlternateContent>
  <xr:revisionPtr revIDLastSave="0" documentId="13_ncr:1_{93E00E67-7B56-4FBE-B8D8-5353B964534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pecials" sheetId="1" r:id="rId1"/>
    <sheet name="Resources" sheetId="6" r:id="rId2"/>
    <sheet name="Economy" sheetId="2" r:id="rId3"/>
    <sheet name="Actions per Game" sheetId="7" r:id="rId4"/>
    <sheet name="Ladders" sheetId="4" r:id="rId5"/>
    <sheet name="Removed Cards" sheetId="9" r:id="rId6"/>
  </sheets>
  <definedNames>
    <definedName name="Cards" localSheetId="1">Resources!$C$2:$C$17</definedName>
    <definedName name="Cards" localSheetId="0">Specials!$C$2:$C$65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O43" i="1"/>
  <c r="P43" i="1"/>
  <c r="N46" i="1"/>
  <c r="O46" i="1"/>
  <c r="N51" i="1"/>
  <c r="O51" i="1"/>
  <c r="P51" i="1"/>
  <c r="R51" i="1" s="1"/>
  <c r="N3" i="1"/>
  <c r="N4" i="1"/>
  <c r="N5" i="1"/>
  <c r="N7" i="1"/>
  <c r="N8" i="1"/>
  <c r="N9" i="1"/>
  <c r="N10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45" i="1"/>
  <c r="N47" i="1"/>
  <c r="N48" i="1"/>
  <c r="N49" i="1"/>
  <c r="N50" i="1"/>
  <c r="N52" i="1"/>
  <c r="N53" i="1"/>
  <c r="N54" i="1"/>
  <c r="N2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P3" i="1"/>
  <c r="P15" i="1" s="1"/>
  <c r="P6" i="1"/>
  <c r="P7" i="1"/>
  <c r="P16" i="1"/>
  <c r="P42" i="1"/>
  <c r="P44" i="1"/>
  <c r="P45" i="1"/>
  <c r="P53" i="1"/>
  <c r="P55" i="1"/>
  <c r="P57" i="1"/>
  <c r="P58" i="1"/>
  <c r="P59" i="1"/>
  <c r="P60" i="1"/>
  <c r="P62" i="1"/>
  <c r="P63" i="1"/>
  <c r="P64" i="1"/>
  <c r="P65" i="1"/>
  <c r="Q65" i="1" s="1"/>
  <c r="O3" i="1"/>
  <c r="O6" i="1"/>
  <c r="O7" i="1"/>
  <c r="O9" i="1"/>
  <c r="O15" i="1"/>
  <c r="O16" i="1"/>
  <c r="O19" i="1"/>
  <c r="O42" i="1"/>
  <c r="O44" i="1"/>
  <c r="O45" i="1"/>
  <c r="O52" i="1"/>
  <c r="O53" i="1"/>
  <c r="O55" i="1"/>
  <c r="O57" i="1"/>
  <c r="O58" i="1"/>
  <c r="O59" i="1"/>
  <c r="O60" i="1"/>
  <c r="O61" i="1"/>
  <c r="O62" i="1"/>
  <c r="O63" i="1"/>
  <c r="O64" i="1"/>
  <c r="O65" i="1"/>
  <c r="Q43" i="1" l="1"/>
  <c r="R45" i="1"/>
  <c r="R44" i="1"/>
  <c r="R53" i="1"/>
  <c r="R7" i="1"/>
  <c r="R16" i="1"/>
  <c r="R15" i="1"/>
  <c r="R6" i="1"/>
  <c r="R3" i="1"/>
  <c r="Q16" i="1"/>
  <c r="Q51" i="1"/>
  <c r="Q15" i="1"/>
  <c r="Q53" i="1"/>
  <c r="Q45" i="1"/>
  <c r="Q7" i="1"/>
  <c r="Q3" i="1"/>
  <c r="P52" i="1"/>
  <c r="R52" i="1" s="1"/>
  <c r="R65" i="1"/>
  <c r="D3" i="2"/>
  <c r="D4" i="2"/>
  <c r="D5" i="2"/>
  <c r="D6" i="2"/>
  <c r="D7" i="2"/>
  <c r="D8" i="2"/>
  <c r="D9" i="2"/>
  <c r="D10" i="2"/>
  <c r="D11" i="2"/>
  <c r="D12" i="2"/>
  <c r="D13" i="2"/>
  <c r="B3" i="2"/>
  <c r="B4" i="2"/>
  <c r="B5" i="2"/>
  <c r="B6" i="2"/>
  <c r="B7" i="2"/>
  <c r="B8" i="2"/>
  <c r="B9" i="2"/>
  <c r="B10" i="2"/>
  <c r="B11" i="2"/>
  <c r="B12" i="2"/>
  <c r="B13" i="2"/>
  <c r="D2" i="2"/>
  <c r="Q52" i="1" l="1"/>
  <c r="J12" i="2"/>
  <c r="J11" i="2"/>
  <c r="J13" i="2"/>
  <c r="J2" i="2"/>
  <c r="J10" i="2"/>
  <c r="J9" i="2"/>
  <c r="J8" i="2"/>
  <c r="J7" i="2"/>
  <c r="J6" i="2"/>
  <c r="J5" i="2"/>
  <c r="J4" i="2"/>
  <c r="J3" i="2"/>
  <c r="H3" i="7"/>
  <c r="H4" i="7"/>
  <c r="H5" i="7"/>
  <c r="H2" i="7"/>
  <c r="G3" i="7"/>
  <c r="G4" i="7"/>
  <c r="G5" i="7"/>
  <c r="G2" i="7"/>
  <c r="C3" i="7"/>
  <c r="C4" i="7"/>
  <c r="C5" i="7"/>
  <c r="C2" i="7"/>
  <c r="B3" i="7"/>
  <c r="B4" i="7"/>
  <c r="B5" i="7"/>
  <c r="B2" i="7"/>
  <c r="C13" i="2"/>
  <c r="E13" i="2" s="1"/>
  <c r="I13" i="2"/>
  <c r="P50" i="1" l="1"/>
  <c r="O50" i="1"/>
  <c r="D4" i="7"/>
  <c r="F4" i="7" s="1"/>
  <c r="J4" i="7" s="1"/>
  <c r="D3" i="7"/>
  <c r="F3" i="7" s="1"/>
  <c r="J3" i="7" s="1"/>
  <c r="D2" i="7"/>
  <c r="F2" i="7" s="1"/>
  <c r="D5" i="7"/>
  <c r="F5" i="7" s="1"/>
  <c r="I5" i="7" s="1"/>
  <c r="H4" i="4"/>
  <c r="H5" i="4"/>
  <c r="H6" i="4"/>
  <c r="H7" i="4"/>
  <c r="H3" i="4"/>
  <c r="Q50" i="1" l="1"/>
  <c r="R50" i="1"/>
  <c r="I3" i="7"/>
  <c r="I4" i="7"/>
  <c r="J5" i="7"/>
  <c r="I2" i="7"/>
  <c r="J2" i="7"/>
  <c r="I3" i="2"/>
  <c r="I4" i="2"/>
  <c r="I5" i="2"/>
  <c r="I6" i="2"/>
  <c r="I7" i="2"/>
  <c r="I8" i="2"/>
  <c r="I9" i="2"/>
  <c r="I10" i="2"/>
  <c r="I11" i="2"/>
  <c r="I12" i="2"/>
  <c r="B2" i="2"/>
  <c r="I2" i="2" s="1"/>
  <c r="O33" i="1" l="1"/>
  <c r="P33" i="1"/>
  <c r="O56" i="1"/>
  <c r="P56" i="1"/>
  <c r="O47" i="1"/>
  <c r="O22" i="1"/>
  <c r="O28" i="1"/>
  <c r="O34" i="1"/>
  <c r="O13" i="1"/>
  <c r="P22" i="1"/>
  <c r="O4" i="1"/>
  <c r="P4" i="1"/>
  <c r="P47" i="1"/>
  <c r="O20" i="1"/>
  <c r="O25" i="1"/>
  <c r="P34" i="1"/>
  <c r="Q34" i="1" s="1"/>
  <c r="P32" i="1"/>
  <c r="O32" i="1"/>
  <c r="P37" i="1"/>
  <c r="O37" i="1"/>
  <c r="P2" i="1"/>
  <c r="P26" i="1" s="1"/>
  <c r="Q26" i="1" s="1"/>
  <c r="O2" i="1"/>
  <c r="O31" i="1"/>
  <c r="O12" i="1"/>
  <c r="O30" i="1"/>
  <c r="O36" i="1"/>
  <c r="P41" i="1"/>
  <c r="P49" i="1"/>
  <c r="O41" i="1"/>
  <c r="O49" i="1"/>
  <c r="P36" i="1"/>
  <c r="Q36" i="1" s="1"/>
  <c r="P10" i="1"/>
  <c r="P38" i="1"/>
  <c r="O10" i="1"/>
  <c r="P17" i="1"/>
  <c r="P11" i="1"/>
  <c r="P23" i="1"/>
  <c r="O11" i="1"/>
  <c r="O17" i="1"/>
  <c r="O23" i="1"/>
  <c r="O38" i="1"/>
  <c r="O48" i="1"/>
  <c r="P48" i="1"/>
  <c r="O27" i="1"/>
  <c r="O40" i="1"/>
  <c r="O18" i="1"/>
  <c r="O5" i="1"/>
  <c r="O29" i="1"/>
  <c r="O35" i="1"/>
  <c r="P5" i="1"/>
  <c r="P40" i="1"/>
  <c r="P18" i="1"/>
  <c r="Q18" i="1" s="1"/>
  <c r="O14" i="1"/>
  <c r="O26" i="1"/>
  <c r="P35" i="1"/>
  <c r="Q35" i="1" s="1"/>
  <c r="O54" i="1"/>
  <c r="P54" i="1"/>
  <c r="P8" i="1"/>
  <c r="P21" i="1"/>
  <c r="P46" i="1" s="1"/>
  <c r="Q46" i="1" s="1"/>
  <c r="O21" i="1"/>
  <c r="O39" i="1"/>
  <c r="O24" i="1"/>
  <c r="P39" i="1"/>
  <c r="P24" i="1"/>
  <c r="Q24" i="1" s="1"/>
  <c r="O8" i="1"/>
  <c r="C4" i="4"/>
  <c r="C5" i="4"/>
  <c r="C6" i="4"/>
  <c r="C7" i="4"/>
  <c r="C3" i="4"/>
  <c r="R47" i="1" l="1"/>
  <c r="R49" i="1"/>
  <c r="R54" i="1"/>
  <c r="N6" i="1"/>
  <c r="Q6" i="1" s="1"/>
  <c r="N42" i="1"/>
  <c r="Q42" i="1" s="1"/>
  <c r="N37" i="1"/>
  <c r="Q37" i="1" s="1"/>
  <c r="N44" i="1"/>
  <c r="Q44" i="1" s="1"/>
  <c r="N20" i="1"/>
  <c r="N38" i="1"/>
  <c r="Q38" i="1" s="1"/>
  <c r="N39" i="1"/>
  <c r="Q39" i="1" s="1"/>
  <c r="N40" i="1"/>
  <c r="Q40" i="1" s="1"/>
  <c r="N11" i="1"/>
  <c r="Q11" i="1" s="1"/>
  <c r="N41" i="1"/>
  <c r="Q41" i="1" s="1"/>
  <c r="R48" i="1"/>
  <c r="R2" i="1"/>
  <c r="P28" i="1"/>
  <c r="Q28" i="1" s="1"/>
  <c r="P30" i="1"/>
  <c r="Q30" i="1" s="1"/>
  <c r="P29" i="1"/>
  <c r="Q29" i="1" s="1"/>
  <c r="R26" i="1"/>
  <c r="P14" i="1"/>
  <c r="Q14" i="1" s="1"/>
  <c r="P31" i="1"/>
  <c r="Q31" i="1" s="1"/>
  <c r="R36" i="1"/>
  <c r="P27" i="1"/>
  <c r="Q27" i="1" s="1"/>
  <c r="P12" i="1"/>
  <c r="Q12" i="1" s="1"/>
  <c r="R34" i="1"/>
  <c r="R8" i="1"/>
  <c r="Q8" i="1"/>
  <c r="R10" i="1"/>
  <c r="Q10" i="1"/>
  <c r="Q54" i="1"/>
  <c r="R24" i="1"/>
  <c r="R11" i="1"/>
  <c r="P13" i="1"/>
  <c r="P9" i="1"/>
  <c r="P19" i="1"/>
  <c r="Q2" i="1"/>
  <c r="P61" i="1"/>
  <c r="P20" i="1"/>
  <c r="Q20" i="1" s="1"/>
  <c r="R4" i="1"/>
  <c r="Q4" i="1"/>
  <c r="R5" i="1"/>
  <c r="Q5" i="1"/>
  <c r="R17" i="1"/>
  <c r="Q17" i="1"/>
  <c r="R18" i="1"/>
  <c r="R22" i="1"/>
  <c r="Q22" i="1"/>
  <c r="Q56" i="1"/>
  <c r="R56" i="1"/>
  <c r="R21" i="1"/>
  <c r="Q21" i="1"/>
  <c r="R33" i="1"/>
  <c r="Q33" i="1"/>
  <c r="R32" i="1"/>
  <c r="Q32" i="1"/>
  <c r="R35" i="1"/>
  <c r="Q48" i="1"/>
  <c r="R23" i="1"/>
  <c r="Q23" i="1"/>
  <c r="Q49" i="1"/>
  <c r="P25" i="1"/>
  <c r="Q25" i="1" s="1"/>
  <c r="Q47" i="1"/>
  <c r="C3" i="2"/>
  <c r="C4" i="2"/>
  <c r="C5" i="2"/>
  <c r="C6" i="2"/>
  <c r="C7" i="2"/>
  <c r="C9" i="2"/>
  <c r="C10" i="2"/>
  <c r="C11" i="2"/>
  <c r="C12" i="2"/>
  <c r="F13" i="2"/>
  <c r="C8" i="2"/>
  <c r="C2" i="2"/>
  <c r="R28" i="1" l="1"/>
  <c r="R30" i="1"/>
  <c r="R29" i="1"/>
  <c r="R31" i="1"/>
  <c r="R27" i="1"/>
  <c r="R14" i="1"/>
  <c r="R12" i="1"/>
  <c r="Q19" i="1"/>
  <c r="R19" i="1"/>
  <c r="R20" i="1"/>
  <c r="Q9" i="1"/>
  <c r="R9" i="1"/>
  <c r="R25" i="1"/>
  <c r="R13" i="1"/>
  <c r="Q13" i="1"/>
  <c r="E11" i="2"/>
  <c r="F11" i="2" s="1"/>
  <c r="E10" i="2"/>
  <c r="F10" i="2" s="1"/>
  <c r="E9" i="2"/>
  <c r="F9" i="2" s="1"/>
  <c r="E6" i="2"/>
  <c r="F6" i="2" s="1"/>
  <c r="E5" i="2"/>
  <c r="F5" i="2" s="1"/>
  <c r="E8" i="2"/>
  <c r="F8" i="2" s="1"/>
  <c r="E4" i="2"/>
  <c r="F4" i="2" s="1"/>
  <c r="E12" i="2"/>
  <c r="F12" i="2" s="1"/>
  <c r="E7" i="2"/>
  <c r="F7" i="2" s="1"/>
  <c r="E3" i="2"/>
  <c r="F3" i="2" s="1"/>
  <c r="H2" i="2"/>
  <c r="H6" i="2" l="1"/>
  <c r="H12" i="2"/>
  <c r="H5" i="2"/>
  <c r="H11" i="2"/>
  <c r="H4" i="2"/>
  <c r="H10" i="2"/>
  <c r="H3" i="2"/>
  <c r="H9" i="2"/>
  <c r="H8" i="2"/>
  <c r="H7" i="2"/>
  <c r="H13" i="2"/>
  <c r="G4" i="2"/>
  <c r="G5" i="2"/>
  <c r="G10" i="2"/>
  <c r="G11" i="2"/>
  <c r="G9" i="2"/>
  <c r="G8" i="2"/>
  <c r="E2" i="2"/>
  <c r="F2" i="2" s="1"/>
  <c r="G2" i="2"/>
  <c r="G13" i="2"/>
  <c r="G3" i="2"/>
  <c r="G7" i="2"/>
  <c r="G6" i="2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  <author>Andy Meneely</author>
  </authors>
  <commentList>
    <comment ref="N1" authorId="0" shapeId="0" xr:uid="{00000000-0006-0000-0000-000001000000}">
      <text>
        <r>
          <rPr>
            <sz val="9"/>
            <color indexed="81"/>
            <rFont val="Tahoma"/>
            <family val="2"/>
          </rPr>
          <t>Add estimated Climb payout if the description mentions a Climb. 
Using VP ladder as a guide, assume each climb is worth the average of the VP ladder (adjust this if playtesting reveals people get farther up the ladder)</t>
        </r>
      </text>
    </comment>
    <comment ref="O1" authorId="0" shapeId="0" xr:uid="{00000000-0006-0000-0000-000002000000}">
      <text>
        <r>
          <rPr>
            <sz val="9"/>
            <color indexed="81"/>
            <rFont val="Tahoma"/>
            <charset val="1"/>
          </rPr>
          <t>Same as Est. Actions Max, but without the Power lookup. Assume that they already have the power (e.g. already have an engine)</t>
        </r>
      </text>
    </comment>
    <comment ref="P1" authorId="1" shapeId="0" xr:uid="{00000000-0006-0000-0000-000003000000}">
      <text>
        <r>
          <rPr>
            <sz val="9"/>
            <color indexed="81"/>
            <rFont val="Tahoma"/>
            <family val="2"/>
          </rPr>
          <t>2 actions (one to pickup, one to place) 
 +
Trash1 and Trash2: lookup action costs on Economy
 + 
Requires1 and Requires2: lookup action costs on this in the Power column
 - (1 if play immediately)</t>
        </r>
      </text>
    </comment>
    <comment ref="Q1" authorId="0" shapeId="0" xr:uid="{00000000-0006-0000-0000-000004000000}">
      <text>
        <r>
          <rPr>
            <sz val="9"/>
            <color indexed="81"/>
            <rFont val="Tahoma"/>
            <family val="2"/>
          </rPr>
          <t>VP/Action if they don't have any pre-existing, including average VP/Climb estimate.</t>
        </r>
      </text>
    </comment>
    <comment ref="R1" authorId="0" shapeId="0" xr:uid="{00000000-0006-0000-0000-000005000000}">
      <text>
        <r>
          <rPr>
            <sz val="9"/>
            <color indexed="81"/>
            <rFont val="Tahoma"/>
            <family val="2"/>
          </rPr>
          <t>VP/Action if they do have pre-existing powers, including VP/Climb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Meneely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How many actions it would take to get one of these, adjusted by having multiple on a card.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Andy Meneely:</t>
        </r>
        <r>
          <rPr>
            <sz val="9"/>
            <color indexed="81"/>
            <rFont val="Tahoma"/>
            <family val="2"/>
          </rPr>
          <t xml:space="preserve">
from a fresh deck, probability of drawing a card with at least one of these resources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Andy:</t>
        </r>
        <r>
          <rPr>
            <sz val="9"/>
            <color indexed="81"/>
            <rFont val="Tahoma"/>
            <family val="2"/>
          </rPr>
          <t xml:space="preserve">
Estimated percentage of the cards that get cleared from the table every round without being taken.
Max: each row gets one taker, so only 1 card goes away for each row, then for a 2-player game it's 2/6 = 33% of the opportunities were cleared.
Min: Nobody takes anything away, so we clear 4 opportunities. So that's 4/6 = 66% for a 2-player game. 5/7 for a 3 player game.</t>
        </r>
      </text>
    </comment>
  </commentList>
</comments>
</file>

<file path=xl/sharedStrings.xml><?xml version="1.0" encoding="utf-8"?>
<sst xmlns="http://schemas.openxmlformats.org/spreadsheetml/2006/main" count="618" uniqueCount="316">
  <si>
    <t>Type</t>
  </si>
  <si>
    <t>Snark</t>
  </si>
  <si>
    <t>Bonus1</t>
  </si>
  <si>
    <t>Bonus2</t>
  </si>
  <si>
    <t>Description</t>
  </si>
  <si>
    <t>VP</t>
  </si>
  <si>
    <t>Resource</t>
  </si>
  <si>
    <t>Endgame</t>
  </si>
  <si>
    <t>Wood</t>
  </si>
  <si>
    <t>Title</t>
  </si>
  <si>
    <t>Stone</t>
  </si>
  <si>
    <t>Sheep</t>
  </si>
  <si>
    <t>Cattle</t>
  </si>
  <si>
    <t>Clay</t>
  </si>
  <si>
    <t>Glass</t>
  </si>
  <si>
    <t>Gold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</si>
  <si>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</si>
  <si>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</si>
  <si>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</si>
  <si>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</si>
  <si>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</si>
  <si>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</si>
  <si>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This card favors those who have this deck memorized.</t>
  </si>
  <si>
    <t>Food</t>
  </si>
  <si>
    <t>Silk</t>
  </si>
  <si>
    <t>Wild Boar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</si>
  <si>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</si>
  <si>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</si>
  <si>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</si>
  <si>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</si>
  <si>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</si>
  <si>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The Military Payoff</t>
  </si>
  <si>
    <t>You do not need to pay any required Stone for Buildings.</t>
  </si>
  <si>
    <t>You do not need to pay any required Wood for Buildings</t>
  </si>
  <si>
    <t>You do not need to pay any required Clay for Buildings.</t>
  </si>
  <si>
    <t>The Military Building</t>
  </si>
  <si>
    <t>See! I told you that card would pay off.</t>
  </si>
  <si>
    <t>The Unexpected Payoff</t>
  </si>
  <si>
    <t>Sheep Breed!</t>
  </si>
  <si>
    <t>Cattle Breed!</t>
  </si>
  <si>
    <t>The Building Payoff Building</t>
  </si>
  <si>
    <t>The Grain Engine</t>
  </si>
  <si>
    <t>Free Food!</t>
  </si>
  <si>
    <t>Moo.</t>
  </si>
  <si>
    <t>Food is how we keep you from making powerful moves. You're welcome.</t>
  </si>
  <si>
    <t>Invested</t>
  </si>
  <si>
    <t>I shall call him Skippy. Like the peanut butter. Only tastier.</t>
  </si>
  <si>
    <t>The Arms Race</t>
  </si>
  <si>
    <t>You had to see this one coming.</t>
  </si>
  <si>
    <t>The Wildcard Resource</t>
  </si>
  <si>
    <t>Everyone just calls them pigs.</t>
  </si>
  <si>
    <t>The Artificial Need</t>
  </si>
  <si>
    <t>Blocker</t>
  </si>
  <si>
    <t>Sheep: the rabbits of farm animals.</t>
  </si>
  <si>
    <t>I won't tell you how we got this cow to breed by itself.</t>
  </si>
  <si>
    <t>Does nothing now, but it will pay off later. The engine can wait.</t>
  </si>
  <si>
    <t>I'm pretty sure this strategy worked for me at least once.</t>
  </si>
  <si>
    <t>Just don't miss your opportunity to use it.</t>
  </si>
  <si>
    <t>Be sure to take this from someone who has collected silk.</t>
  </si>
  <si>
    <t>Nice! Way to get some points on the board.</t>
  </si>
  <si>
    <t>Hey, VPs are VPs. Every little bit counts.</t>
  </si>
  <si>
    <t>The Investment Payoff</t>
  </si>
  <si>
    <t>This strategy worked for me once. I think.</t>
  </si>
  <si>
    <t>The Coveted Starting Player</t>
  </si>
  <si>
    <t>Because just going around in a circle is not strategic enough.</t>
  </si>
  <si>
    <t>The Inherently Valuable Resource</t>
  </si>
  <si>
    <t>Engine</t>
  </si>
  <si>
    <t>The Premium Building</t>
  </si>
  <si>
    <t>The Cheap Building</t>
  </si>
  <si>
    <t>Even More Grain!</t>
  </si>
  <si>
    <t>The Early Investment</t>
  </si>
  <si>
    <t>Starter</t>
  </si>
  <si>
    <t>You may trash this card for 2 Food.</t>
  </si>
  <si>
    <t>Hey, you gotta spend VPs to earn VPs.</t>
  </si>
  <si>
    <t>Let's just say you should be happy this card has no artwork.</t>
  </si>
  <si>
    <t>A solid choice, but be sure to commit to it.</t>
  </si>
  <si>
    <t>The Cheap Material</t>
  </si>
  <si>
    <t>The Windfall Animal</t>
  </si>
  <si>
    <t>The Wildcard Building</t>
  </si>
  <si>
    <t>You may trash this card for 1 Food.</t>
  </si>
  <si>
    <t>The Premium Material</t>
  </si>
  <si>
    <t>Trash1</t>
  </si>
  <si>
    <t>Trash2</t>
  </si>
  <si>
    <t>The Cuddly Animal</t>
  </si>
  <si>
    <t>The Expensive Animal</t>
  </si>
  <si>
    <t>The Expensive Plant</t>
  </si>
  <si>
    <t>The Rare Resource</t>
  </si>
  <si>
    <t>Carrot</t>
  </si>
  <si>
    <t>Trash</t>
  </si>
  <si>
    <t>The Military Commitment</t>
  </si>
  <si>
    <t>You're in it now.</t>
  </si>
  <si>
    <t>This card is as close at this game gets to Victory Point Points.</t>
  </si>
  <si>
    <t>The Obligatory Trader</t>
  </si>
  <si>
    <t>You may substitute 2 different Resources for 1 of any Resource, any number of times.</t>
  </si>
  <si>
    <t>Make it count. No pressure. Are you sure you that's a good enough use for this card?? There's probably a better move.</t>
  </si>
  <si>
    <t>The One-and-Done Card</t>
  </si>
  <si>
    <t>Initiate Endgame!</t>
  </si>
  <si>
    <t>You may now build buildings.</t>
  </si>
  <si>
    <t>You may trash 1 Grain for any 1 Resource, any number of times.</t>
  </si>
  <si>
    <t>The Combo Building</t>
  </si>
  <si>
    <t>You may trash 1 Silk for any 2 Resources, any number of times.</t>
  </si>
  <si>
    <t>You may trash 1 Gold for any 1 Resource.</t>
  </si>
  <si>
    <t>You may trash 1 Animal for any 1 Resource, any number of times.</t>
  </si>
  <si>
    <t>The Stone Building Building Building</t>
  </si>
  <si>
    <t>The Wood Building Building Building</t>
  </si>
  <si>
    <t>The Clay Building Building Building</t>
  </si>
  <si>
    <t>Supply/Demand</t>
  </si>
  <si>
    <t>Demand/Supply</t>
  </si>
  <si>
    <t>Rarity</t>
  </si>
  <si>
    <t>Rarity Cost</t>
  </si>
  <si>
    <t>Even More Sheep!</t>
  </si>
  <si>
    <t>The Combo Materials</t>
  </si>
  <si>
    <t>VPs</t>
  </si>
  <si>
    <t>Notes</t>
  </si>
  <si>
    <t>Not to be confused with wood grain. Also, shouldn't wood be a plant? No. No it's not. Ever.</t>
  </si>
  <si>
    <t>Or is it brick? Pottery? Ok fine, let's just call it the red one.</t>
  </si>
  <si>
    <t>Or is it ore? Mountains? Rock? Definitely not clay, unless we allow fossilization.</t>
  </si>
  <si>
    <t>It's a safe bet that you'll find this one useful.</t>
  </si>
  <si>
    <t>Side benefit: easier planning! You don't have to think about how to make your food now!</t>
  </si>
  <si>
    <t>Seems like a lot now, but this won't win you the game alone.</t>
  </si>
  <si>
    <t>You didn't forget about food, did you?</t>
  </si>
  <si>
    <t>Not to be confused with the Building Wood Building, which is what we call our indoor arboretum</t>
  </si>
  <si>
    <t>Technically, we're just a shack made out of fiberglass, but this game doesn't need another resource.</t>
  </si>
  <si>
    <t>Point Ladder</t>
  </si>
  <si>
    <t>Resource Ladder</t>
  </si>
  <si>
    <t>Sheep Climb!</t>
  </si>
  <si>
    <t>Grain Climb!</t>
  </si>
  <si>
    <t>Soldier</t>
  </si>
  <si>
    <t>Clay Climb!</t>
  </si>
  <si>
    <t>Climbs</t>
  </si>
  <si>
    <t>VP/Climb</t>
  </si>
  <si>
    <t>Always make sure your clay ladders are kiln-dried before embarking.</t>
  </si>
  <si>
    <t>Grain: the sheep of plants.</t>
  </si>
  <si>
    <t>Sheep: the grain of animals.</t>
  </si>
  <si>
    <t>Stone Climb!</t>
  </si>
  <si>
    <t>Upon playing, retrieve any Trashed card and play it immediately without prerequisites.</t>
  </si>
  <si>
    <t xml:space="preserve">All Blockers must be paid by the end of this turn. Initiate Endgame. </t>
  </si>
  <si>
    <t>See you at the top!</t>
  </si>
  <si>
    <t>10 VP for each Building you've played</t>
  </si>
  <si>
    <t>Count</t>
  </si>
  <si>
    <t>Power</t>
  </si>
  <si>
    <t>Military</t>
  </si>
  <si>
    <t>Go First!</t>
  </si>
  <si>
    <t>Early Sheep Climb!</t>
  </si>
  <si>
    <t>I smell a strategy brewing…</t>
  </si>
  <si>
    <t>Free Climb!</t>
  </si>
  <si>
    <t>Yep. Free. The only cost is that you're not working on any of your other strategies.</t>
  </si>
  <si>
    <t>Upon playing, climb 1 rung on a Ladder</t>
  </si>
  <si>
    <t>Resource1</t>
  </si>
  <si>
    <t>Resource2</t>
  </si>
  <si>
    <t>The Animal Engine</t>
  </si>
  <si>
    <t>Insta-slaughter</t>
  </si>
  <si>
    <t>Midgame</t>
  </si>
  <si>
    <t>Transition</t>
  </si>
  <si>
    <t>You may trash this card for 1 Food</t>
  </si>
  <si>
    <t>The Animal Thing-in-a-Set</t>
  </si>
  <si>
    <t>The Expensive Thing-in-a-Set</t>
  </si>
  <si>
    <t>The Things-in-a-Set Payoff</t>
  </si>
  <si>
    <t>Yay! Another point ladder.</t>
  </si>
  <si>
    <t>?</t>
  </si>
  <si>
    <t>Clay Building</t>
  </si>
  <si>
    <t>Stone Building</t>
  </si>
  <si>
    <t>Wood Building</t>
  </si>
  <si>
    <t>We need some seed Clay for breeding.</t>
  </si>
  <si>
    <t>Playing this card has the hidden advantage of making your opponents hate you.</t>
  </si>
  <si>
    <t>Stone ladders: also known as "stairs".</t>
  </si>
  <si>
    <t>Silk Trade</t>
  </si>
  <si>
    <t>2:1 Trade</t>
  </si>
  <si>
    <t>Grain Breed!</t>
  </si>
  <si>
    <t>The Red Material</t>
  </si>
  <si>
    <t>Grain: the rabbits of plants.</t>
  </si>
  <si>
    <t>Thematically this card makes no sense. We needed it for game reasons.</t>
  </si>
  <si>
    <t>The Breeding Plant</t>
  </si>
  <si>
    <t>Think of carrots like a self-insta-slaughtering animal.</t>
  </si>
  <si>
    <t>Take the total number of Glass and Silk you have. Square that number, then multiply it by 10 for VPs.</t>
  </si>
  <si>
    <t>"Go ahead and take your next turn, this is gonna take me a moment."</t>
  </si>
  <si>
    <t>30 VP for each Wood, Sheep, and Grain</t>
  </si>
  <si>
    <t>40 VPs for each Payoff you have played by endgame scoring.</t>
  </si>
  <si>
    <t>The Unfulfilled Promises Payoff</t>
  </si>
  <si>
    <t>The Red Building</t>
  </si>
  <si>
    <t>The Red Stone Building</t>
  </si>
  <si>
    <t>The Cheap Stone Building</t>
  </si>
  <si>
    <t>Just when you think you've pulled ahead, someone else will play a bigger building than this.</t>
  </si>
  <si>
    <t>The stones aren't red. Wait… aren't bricks stones? I don't know. You're not supposed to think of theme in these games.</t>
  </si>
  <si>
    <t>No, they won't breed. (Hm, this card mysteriously looks like it's part of a set. I wonder if that will pay off...)</t>
  </si>
  <si>
    <t>Ordinarily these two things don't mix. (Hm, this card mysteriously looks like it's part of a set. I wonder if that will pay off…)</t>
  </si>
  <si>
    <t>The Payoff Gambit</t>
  </si>
  <si>
    <t>Trash Me!</t>
  </si>
  <si>
    <t>Ok everyone, this player is officially procrastinating on getting VPs.</t>
  </si>
  <si>
    <t>Bake Bread</t>
  </si>
  <si>
    <t>Trash-n-Climb</t>
  </si>
  <si>
    <t>Resources</t>
  </si>
  <si>
    <t>Est. VPs</t>
  </si>
  <si>
    <t>The Combo Thing-in-a-Set</t>
  </si>
  <si>
    <t>"Which is more fun… scoring more points for myself, or denying points from my opponents?"</t>
  </si>
  <si>
    <t>The Ladder Engine</t>
  </si>
  <si>
    <t>Or is it wheat? Reeds? Seeds? Corn? Did you know that corn is a type of grain? Be sure to bring up this fact in your next Euro game. Everyone will appreciate the rules ambiguity it creates.</t>
  </si>
  <si>
    <t>Good move. Not Great. What else are you going to do to get points? No pressure. But you should think of something. Now.</t>
  </si>
  <si>
    <t>Are we climbing a sheep, or is the sheep doing the climbing? Because they're not goats. Should we be worried?</t>
  </si>
  <si>
    <t>60 VP if you have Invested plus 10 VP for each Gold.</t>
  </si>
  <si>
    <t>You may trash this card from your tableau for any 2 available Resource cards.</t>
  </si>
  <si>
    <t>Take That! Tactics</t>
  </si>
  <si>
    <t>This card makes your leftover Stones look intentional. Your secret's safe with us.</t>
  </si>
  <si>
    <t>Draw 1 Resource</t>
  </si>
  <si>
    <t>Draw 2 Resources</t>
  </si>
  <si>
    <t>Draw 1, Take 1 Resource</t>
  </si>
  <si>
    <t>Draw 3 Resources</t>
  </si>
  <si>
    <t>Draw 2 Take 1, Resource</t>
  </si>
  <si>
    <t>Take That!</t>
  </si>
  <si>
    <t>The "Free" Soldier</t>
  </si>
  <si>
    <t>What's the catch?</t>
  </si>
  <si>
    <t>Military Ladder</t>
  </si>
  <si>
    <t>Aggression does have benefits.</t>
  </si>
  <si>
    <t>Trash an opponent's card with exactly one soldier.</t>
  </si>
  <si>
    <t>It's a total coincidence that we are housed in a building. In fact, we built our own building. We did not need a building building building building building.</t>
  </si>
  <si>
    <t>Starting Player</t>
  </si>
  <si>
    <t>qty</t>
  </si>
  <si>
    <t>Cheap. Abundant. Literally the stuff games are made of.</t>
  </si>
  <si>
    <t>What, exactly, are we making out of these?</t>
  </si>
  <si>
    <t>The Expensive Materials</t>
  </si>
  <si>
    <t>There's only one card like this. See? You don't need to memorize deck distributions to be good at this.</t>
  </si>
  <si>
    <t>Army</t>
  </si>
  <si>
    <t>Childish aggression combined with literal monumental ambition.</t>
  </si>
  <si>
    <t>Can be stolen by any player on their turn if they trash 1 of any Resource.</t>
  </si>
  <si>
    <t>Chain Climb Mastery</t>
  </si>
  <si>
    <t>You're gonna have to learn that rule now.</t>
  </si>
  <si>
    <t>Chain Rule Mastery</t>
  </si>
  <si>
    <t>You may not make any substitutions to play this card.</t>
  </si>
  <si>
    <t>The Unused Garbage Payoff</t>
  </si>
  <si>
    <t>The Fragile Building</t>
  </si>
  <si>
    <t>People in glass houses shouldn't throw stones. Go outside first.</t>
  </si>
  <si>
    <t>Feast!</t>
  </si>
  <si>
    <t>You didn't pick up an engine needing these, did you??</t>
  </si>
  <si>
    <t>Please, Think of the Children</t>
  </si>
  <si>
    <t>This was an altruistic act until you noticed those sweet, sweet veeps.</t>
  </si>
  <si>
    <t>No substitution can be made for the glass.</t>
  </si>
  <si>
    <t>Memory games: we make you feel old.</t>
  </si>
  <si>
    <t>The Unnecessary Memory Mechanic</t>
  </si>
  <si>
    <t>50 VP if you have 4 Sheep. 50 VP if you have 3 Cattle.</t>
  </si>
  <si>
    <t>Teets!</t>
  </si>
  <si>
    <t>Wait, aren't carrots themselves food? And how does one measly carrot give you MORE food? Is this designer Big Vegetable??</t>
  </si>
  <si>
    <t>Time to Build Fences</t>
  </si>
  <si>
    <t>Who needs a chain to climb a ladder? Is it a chain ladder? We really need artwork to clarify this stuff.</t>
  </si>
  <si>
    <t>Breeding isn't just fun for the animals.</t>
  </si>
  <si>
    <t>Is it me or does it feel like this is your excuse to change strategies?</t>
  </si>
  <si>
    <t>Players</t>
  </si>
  <si>
    <t>We don't officially condone 5, but just humor me.</t>
  </si>
  <si>
    <t>Total Specials</t>
  </si>
  <si>
    <t>Resources/Special</t>
  </si>
  <si>
    <t>Starter Specials</t>
  </si>
  <si>
    <t>Midgame Specials</t>
  </si>
  <si>
    <t xml:space="preserve"> </t>
  </si>
  <si>
    <t>Opportunities/Player</t>
  </si>
  <si>
    <t xml:space="preserve">Assume 1 resource taken per special. We'll have to check a real game to see what this ratio comes out to be. </t>
  </si>
  <si>
    <t>Clearing Effect Min</t>
  </si>
  <si>
    <t>Clearing Effect Max</t>
  </si>
  <si>
    <t>Est. Take Actions/Player Min</t>
  </si>
  <si>
    <t>Est. Take Actions/Player Max</t>
  </si>
  <si>
    <t>The Metagaming Card</t>
  </si>
  <si>
    <t>Once per game, if you can guess 3 cards in another player's hand, you may take one of their cards at random.</t>
  </si>
  <si>
    <t>Recall &amp; Steal!</t>
  </si>
  <si>
    <t>If the instructions say "put this back in the box", then it can't be part of the game. That's a rule. And we just broke it.</t>
  </si>
  <si>
    <t>Endgame Actions</t>
  </si>
  <si>
    <t>Once per turn, you may trash 1 card in your hand or 1 Resource card on your tableau to Climb a Ladder 1 space.</t>
  </si>
  <si>
    <t>30/50/80 VP if you have 1/2/3 Thing-in-a-Set cards.</t>
  </si>
  <si>
    <t>40 VP for each Clay, Stone, Carrot</t>
  </si>
  <si>
    <t>The Breeding Animal Payoff</t>
  </si>
  <si>
    <t>You may only play this card before playing an Engine. This card has no special ability.</t>
  </si>
  <si>
    <t>Play immediately. Once per turn, if you use the Chain Rule to play or steal 3 cards in one action, you may climb a ladder.</t>
  </si>
  <si>
    <t>Play immediately. Once per turn, if you use the Chain Rule to play or steal 3 cards in one action, you may draw a Special card.</t>
  </si>
  <si>
    <t>Not the same thing as woodgrain. (Hm, this card mysteriously looks like it's part of a set. I wonder if that will pay off?)</t>
  </si>
  <si>
    <t>Removed because…</t>
  </si>
  <si>
    <t>Ehhh… lame.</t>
  </si>
  <si>
    <t>When played, you may look at the midgame cards set aside in the box.</t>
  </si>
  <si>
    <t>Cards</t>
  </si>
  <si>
    <t>10 VP for each Soldier, +30 additional VP if you end the game with the most soldiers.</t>
  </si>
  <si>
    <t>Adj. Action Cost</t>
  </si>
  <si>
    <t>p(draw a card)</t>
  </si>
  <si>
    <t>The Pun Combo</t>
  </si>
  <si>
    <t>The Breeding Animals</t>
  </si>
  <si>
    <t>On your first turn in Endgame, you get 1 extra Action.</t>
  </si>
  <si>
    <t>The Food-to-Climb Engine Building</t>
  </si>
  <si>
    <t>You may spend an action to trash 1 Food for 1 Climb. May be part of a chain.</t>
  </si>
  <si>
    <t>Tell them to keep their hooves off each other.</t>
  </si>
  <si>
    <t>Est. Actions Min</t>
  </si>
  <si>
    <t>Est. VP/Action Min</t>
  </si>
  <si>
    <t>Est. VP/Action Max</t>
  </si>
  <si>
    <t>Est. Actions Max</t>
  </si>
  <si>
    <t>VP + Climb</t>
  </si>
  <si>
    <t>Play immediately. You may only play this card if you have no Army. You are not impacted by the Army token this round.</t>
  </si>
  <si>
    <t>Rock, paper, scissors rears its ugly head.</t>
  </si>
  <si>
    <t>Before starting Endgame actions, you may trash 1 Payoff card available.</t>
  </si>
  <si>
    <t>Hate Draft</t>
  </si>
  <si>
    <t>The Endgame Hate Draft</t>
  </si>
  <si>
    <t>Climb 1 rung on a Ladder</t>
  </si>
  <si>
    <t>A building wher you eat food and climb your way to "success"... also called a high school cafeteria.</t>
  </si>
  <si>
    <t>The Spoiling Resource</t>
  </si>
  <si>
    <t>Milk</t>
  </si>
  <si>
    <t>Huh… I guess that cattle was female.</t>
  </si>
  <si>
    <t>To trash this card, place 3 Food or equivalent on this card in a single turn before Endgame. Trash the food. This does not cost an action, and cannot be part of a chain.</t>
  </si>
  <si>
    <t>Veggie Soup</t>
  </si>
  <si>
    <t>Chain 3x Climb</t>
  </si>
  <si>
    <t>Chain 3x Draw</t>
  </si>
  <si>
    <t>AntiReq</t>
  </si>
  <si>
    <t>Milk Mastery</t>
  </si>
  <si>
    <t>Once per turn, you may use an action to gain a resource card with Milk from the Trash pile.</t>
  </si>
  <si>
    <t xml:space="preserve">Play immediately. When you gain a Milk resource card from the Trash pile, you may gain an extra one. </t>
  </si>
  <si>
    <t>Double Teets!</t>
  </si>
  <si>
    <t>Gotta milk this joke as long as we can.</t>
  </si>
  <si>
    <t>Milk Climb!</t>
  </si>
  <si>
    <t>At each round start before Endgame, player with the most soldiers places the Army token on any card in a purchase row. Anyone who takes that card must pay this person 1 Resource Card. In a tie, nobody places the token.</t>
  </si>
  <si>
    <t>You may trash this card for 1 Food. Must be trashed at the end of your turn.</t>
  </si>
  <si>
    <t>Spoiler: use it or lose it.</t>
  </si>
  <si>
    <t>The Milk Strategy</t>
  </si>
  <si>
    <t>Clay Soldier</t>
  </si>
  <si>
    <t>Kiln recommended.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</si>
</sst>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theme="1"/>
      <name val="Open Sans ExtraBold"/>
      <family val="2"/>
    </font>
    <font>
      <sz val="9"/>
      <color theme="1"/>
      <name val="Open Sans ExtraBol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6" fillId="0" borderId="1" xfId="0" applyFont="1" applyBorder="1"/>
    <xf numFmtId="0" fontId="6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abSelected="1" workbookViewId="0">
      <pane ySplit="1" topLeftCell="A2" activePane="bottomLeft" state="frozen"/>
      <selection pane="bottomLeft" activeCell="A35" sqref="A35"/>
    </sheetView>
  </sheetViews>
  <sheetFormatPr defaultRowHeight="14.5" x14ac:dyDescent="0.35"/>
  <cols>
    <col min="1" max="1" width="12.7265625" bestFit="1" customWidth="1"/>
    <col min="2" max="2" width="3.7265625" style="3" customWidth="1"/>
    <col min="3" max="3" width="32" style="39" bestFit="1" customWidth="1"/>
    <col min="4" max="5" width="7.26953125" bestFit="1" customWidth="1"/>
    <col min="6" max="6" width="9.54296875" bestFit="1" customWidth="1"/>
    <col min="7" max="7" width="6.453125" customWidth="1"/>
    <col min="8" max="8" width="10.7265625" customWidth="1"/>
    <col min="9" max="9" width="9.54296875" customWidth="1"/>
    <col min="10" max="10" width="7.453125" bestFit="1" customWidth="1"/>
    <col min="11" max="11" width="15.1796875" style="3" bestFit="1" customWidth="1"/>
    <col min="12" max="12" width="18.26953125" customWidth="1"/>
    <col min="13" max="13" width="4.7265625" style="3" bestFit="1" customWidth="1"/>
    <col min="14" max="14" width="8.453125" style="3" customWidth="1"/>
    <col min="15" max="15" width="11.453125" style="12" customWidth="1"/>
    <col min="16" max="16" width="11.1796875" style="12" customWidth="1"/>
    <col min="17" max="17" width="14.7265625" style="12" customWidth="1"/>
    <col min="18" max="18" width="13.453125" style="12" customWidth="1"/>
    <col min="19" max="19" width="140.1796875" bestFit="1" customWidth="1"/>
    <col min="20" max="20" width="29.26953125" customWidth="1"/>
    <col min="21" max="21" width="11.81640625" bestFit="1" customWidth="1"/>
  </cols>
  <sheetData>
    <row r="1" spans="1:20" s="28" customFormat="1" ht="29" x14ac:dyDescent="0.35">
      <c r="A1" s="28" t="s">
        <v>0</v>
      </c>
      <c r="B1" s="28" t="s">
        <v>216</v>
      </c>
      <c r="C1" s="38" t="s">
        <v>9</v>
      </c>
      <c r="D1" s="28" t="s">
        <v>2</v>
      </c>
      <c r="E1" s="28" t="s">
        <v>3</v>
      </c>
      <c r="F1" s="28" t="s">
        <v>81</v>
      </c>
      <c r="G1" s="28" t="s">
        <v>82</v>
      </c>
      <c r="H1" s="28" t="s">
        <v>17</v>
      </c>
      <c r="I1" s="28" t="s">
        <v>18</v>
      </c>
      <c r="J1" s="28" t="s">
        <v>303</v>
      </c>
      <c r="K1" s="28" t="s">
        <v>140</v>
      </c>
      <c r="L1" s="28" t="s">
        <v>4</v>
      </c>
      <c r="M1" s="28" t="s">
        <v>5</v>
      </c>
      <c r="N1" s="28" t="s">
        <v>288</v>
      </c>
      <c r="O1" s="29" t="s">
        <v>284</v>
      </c>
      <c r="P1" s="29" t="s">
        <v>287</v>
      </c>
      <c r="Q1" s="29" t="s">
        <v>285</v>
      </c>
      <c r="R1" s="29" t="s">
        <v>286</v>
      </c>
      <c r="S1" s="28" t="s">
        <v>1</v>
      </c>
    </row>
    <row r="2" spans="1:20" x14ac:dyDescent="0.35">
      <c r="A2" t="s">
        <v>66</v>
      </c>
      <c r="B2" s="3">
        <v>3</v>
      </c>
      <c r="C2" s="39" t="s">
        <v>16</v>
      </c>
      <c r="F2" t="s">
        <v>10</v>
      </c>
      <c r="K2" s="3" t="s">
        <v>30</v>
      </c>
      <c r="L2" t="s">
        <v>97</v>
      </c>
      <c r="M2" s="3">
        <v>20</v>
      </c>
      <c r="N2" s="34">
        <f>IF(ISNUMBER(SEARCH("climb",L2)),AVERAGE(Ladders!C$3:C$7)+M2,M2)</f>
        <v>20</v>
      </c>
      <c r="O2" s="12">
        <f>2 + SUMIF(Economy!A:A,Specials!F2,Economy!I:I) + SUMIF(Economy!A:A,Specials!G2,Economy!I:I)-IF(ISNUMBER(SEARCH("Play immediately",L2)),1,0)</f>
        <v>3</v>
      </c>
      <c r="P2" s="12">
        <f>2 + SUMIF(Economy!A:A,Specials!F2,Economy!I:I) + SUMIF(Economy!A:A,Specials!G2,Economy!I:I) + SUMIF(Specials!K:K,Specials!H2,Specials!P:P) + SUMIF(Specials!K:K,Specials!I2,Specials!P:P)-IF(ISNUMBER(SEARCH("Play immediately",L2)),1,0)</f>
        <v>3</v>
      </c>
      <c r="Q2" s="12">
        <f>N2/P2</f>
        <v>6.666666666666667</v>
      </c>
      <c r="R2" s="12" t="str">
        <f>IF(O2&lt;&gt;P2,N2/O2,"")</f>
        <v/>
      </c>
      <c r="S2" t="s">
        <v>214</v>
      </c>
      <c r="T2" t="s">
        <v>251</v>
      </c>
    </row>
    <row r="3" spans="1:20" x14ac:dyDescent="0.35">
      <c r="A3" t="s">
        <v>66</v>
      </c>
      <c r="B3" s="3">
        <v>3</v>
      </c>
      <c r="C3" s="39" t="s">
        <v>20</v>
      </c>
      <c r="D3" t="s">
        <v>127</v>
      </c>
      <c r="K3" s="3" t="s">
        <v>221</v>
      </c>
      <c r="L3" t="s">
        <v>310</v>
      </c>
      <c r="M3" s="3">
        <v>20</v>
      </c>
      <c r="N3" s="34">
        <f>IF(ISNUMBER(SEARCH("climb",L3)),AVERAGE(Ladders!C$3:C$7)+M3,M3)</f>
        <v>20</v>
      </c>
      <c r="O3" s="12">
        <f>2 + SUMIF(Economy!A:A,Specials!F3,Economy!I:I) + SUMIF(Economy!A:A,Specials!G3,Economy!I:I)-IF(ISNUMBER(SEARCH("Play immediately",L3)),1,0)</f>
        <v>2</v>
      </c>
      <c r="P3" s="12">
        <f>2 + SUMIF(Economy!A:A,Specials!F3,Economy!I:I) + SUMIF(Economy!A:A,Specials!G3,Economy!I:I) + SUMIF(Specials!K:K,Specials!H3,Specials!P:P) + SUMIF(Specials!K:K,Specials!I3,Specials!P:P)-IF(ISNUMBER(SEARCH("Play immediately",L3)),1,0)</f>
        <v>2</v>
      </c>
      <c r="Q3" s="12">
        <f t="shared" ref="Q3:Q54" si="0">N3/P3</f>
        <v>10</v>
      </c>
      <c r="R3" s="12" t="str">
        <f t="shared" ref="R3:R54" si="1">IF(O3&lt;&gt;P3,N3/O3,"")</f>
        <v/>
      </c>
      <c r="S3" t="s">
        <v>62</v>
      </c>
      <c r="T3" t="s">
        <v>251</v>
      </c>
    </row>
    <row r="4" spans="1:20" x14ac:dyDescent="0.35">
      <c r="A4" t="s">
        <v>66</v>
      </c>
      <c r="B4" s="3">
        <v>2</v>
      </c>
      <c r="C4" s="39" t="s">
        <v>41</v>
      </c>
      <c r="F4" t="s">
        <v>8</v>
      </c>
      <c r="K4" s="3" t="s">
        <v>189</v>
      </c>
      <c r="L4" t="s">
        <v>98</v>
      </c>
      <c r="M4" s="3">
        <v>30</v>
      </c>
      <c r="N4" s="34">
        <f>IF(ISNUMBER(SEARCH("climb",L4)),AVERAGE(Ladders!C$3:C$7)+M4,M4)</f>
        <v>30</v>
      </c>
      <c r="O4" s="12">
        <f>2 + SUMIF(Economy!A:A,Specials!F4,Economy!I:I) + SUMIF(Economy!A:A,Specials!G4,Economy!I:I)-IF(ISNUMBER(SEARCH("Play immediately",L4)),1,0)</f>
        <v>2.6470588235294117</v>
      </c>
      <c r="P4" s="12">
        <f>2 + SUMIF(Economy!A:A,Specials!F4,Economy!I:I) + SUMIF(Economy!A:A,Specials!G4,Economy!I:I) + SUMIF(Specials!K:K,Specials!H4,Specials!P:P) + SUMIF(Specials!K:K,Specials!I4,Specials!P:P)-IF(ISNUMBER(SEARCH("Play immediately",L4)),1,0)</f>
        <v>2.6470588235294117</v>
      </c>
      <c r="Q4" s="12">
        <f t="shared" si="0"/>
        <v>11.333333333333334</v>
      </c>
      <c r="R4" s="12" t="str">
        <f t="shared" si="1"/>
        <v/>
      </c>
      <c r="S4" t="s">
        <v>75</v>
      </c>
      <c r="T4" t="s">
        <v>251</v>
      </c>
    </row>
    <row r="5" spans="1:20" x14ac:dyDescent="0.35">
      <c r="A5" t="s">
        <v>66</v>
      </c>
      <c r="B5" s="3">
        <v>2</v>
      </c>
      <c r="C5" s="39" t="s">
        <v>150</v>
      </c>
      <c r="F5" t="s">
        <v>13</v>
      </c>
      <c r="K5" s="3" t="s">
        <v>151</v>
      </c>
      <c r="L5" t="s">
        <v>102</v>
      </c>
      <c r="M5" s="3">
        <v>20</v>
      </c>
      <c r="N5" s="34">
        <f>IF(ISNUMBER(SEARCH("climb",L5)),AVERAGE(Ladders!C$3:C$7)+M5,M5)</f>
        <v>20</v>
      </c>
      <c r="O5" s="12">
        <f>2 + SUMIF(Economy!A:A,Specials!F5,Economy!I:I) + SUMIF(Economy!A:A,Specials!G5,Economy!I:I)-IF(ISNUMBER(SEARCH("Play immediately",L5)),1,0)</f>
        <v>2.6923076923076925</v>
      </c>
      <c r="P5" s="12">
        <f>2 + SUMIF(Economy!A:A,Specials!F5,Economy!I:I) + SUMIF(Economy!A:A,Specials!G5,Economy!I:I) + SUMIF(Specials!K:K,Specials!H5,Specials!P:P) + SUMIF(Specials!K:K,Specials!I5,Specials!P:P)-IF(ISNUMBER(SEARCH("Play immediately",L5)),1,0)</f>
        <v>2.6923076923076925</v>
      </c>
      <c r="Q5" s="12">
        <f t="shared" si="0"/>
        <v>7.4285714285714279</v>
      </c>
      <c r="R5" s="12" t="str">
        <f t="shared" si="1"/>
        <v/>
      </c>
      <c r="S5" t="s">
        <v>74</v>
      </c>
      <c r="T5" t="s">
        <v>251</v>
      </c>
    </row>
    <row r="6" spans="1:20" x14ac:dyDescent="0.35">
      <c r="A6" t="s">
        <v>66</v>
      </c>
      <c r="B6" s="3">
        <v>3</v>
      </c>
      <c r="C6" s="39" t="s">
        <v>195</v>
      </c>
      <c r="K6" s="3" t="s">
        <v>190</v>
      </c>
      <c r="L6" t="s">
        <v>263</v>
      </c>
      <c r="M6" s="3">
        <v>20</v>
      </c>
      <c r="N6" s="34">
        <f>IF(ISNUMBER(SEARCH("climb",L6)),AVERAGE(Ladders!C$3:C$7)+M6,M6)</f>
        <v>40</v>
      </c>
      <c r="O6" s="12">
        <f>2 + SUMIF(Economy!A:A,Specials!F6,Economy!I:I) + SUMIF(Economy!A:A,Specials!G6,Economy!I:I)-IF(ISNUMBER(SEARCH("Play immediately",L6)),1,0)</f>
        <v>2</v>
      </c>
      <c r="P6" s="12">
        <f>2 + SUMIF(Economy!A:A,Specials!F6,Economy!I:I) + SUMIF(Economy!A:A,Specials!G6,Economy!I:I) + SUMIF(Specials!K:K,Specials!H6,Specials!P:P) + SUMIF(Specials!K:K,Specials!I6,Specials!P:P)-IF(ISNUMBER(SEARCH("Play immediately",L6)),1,0)</f>
        <v>2</v>
      </c>
      <c r="Q6" s="12">
        <f t="shared" si="0"/>
        <v>20</v>
      </c>
      <c r="R6" s="12" t="str">
        <f t="shared" si="1"/>
        <v/>
      </c>
      <c r="S6" t="s">
        <v>137</v>
      </c>
      <c r="T6" t="s">
        <v>251</v>
      </c>
    </row>
    <row r="7" spans="1:20" s="4" customFormat="1" x14ac:dyDescent="0.35">
      <c r="A7" s="4" t="s">
        <v>71</v>
      </c>
      <c r="B7" s="8">
        <v>1</v>
      </c>
      <c r="C7" s="40" t="s">
        <v>70</v>
      </c>
      <c r="K7" s="8" t="s">
        <v>45</v>
      </c>
      <c r="L7" s="4" t="s">
        <v>267</v>
      </c>
      <c r="M7" s="8">
        <v>30</v>
      </c>
      <c r="N7" s="35">
        <f>IF(ISNUMBER(SEARCH("climb",L7)),AVERAGE(Ladders!C$3:C$7)+M7,M7)</f>
        <v>30</v>
      </c>
      <c r="O7" s="11">
        <f>2 + SUMIF(Economy!A:A,Specials!F7,Economy!I:I) + SUMIF(Economy!A:A,Specials!G7,Economy!I:I)-IF(ISNUMBER(SEARCH("Play immediately",L7)),1,0)</f>
        <v>2</v>
      </c>
      <c r="P7" s="11">
        <f>2 + SUMIF(Economy!A:A,Specials!F7,Economy!I:I) + SUMIF(Economy!A:A,Specials!G7,Economy!I:I) + SUMIF(Specials!K:K,Specials!H7,Specials!P:P) + SUMIF(Specials!K:K,Specials!I7,Specials!P:P)-IF(ISNUMBER(SEARCH("Play immediately",L7)),1,0)</f>
        <v>2</v>
      </c>
      <c r="Q7" s="11">
        <f t="shared" si="0"/>
        <v>15</v>
      </c>
      <c r="R7" s="11" t="str">
        <f t="shared" si="1"/>
        <v/>
      </c>
      <c r="S7" s="4" t="s">
        <v>55</v>
      </c>
      <c r="T7" s="4" t="s">
        <v>251</v>
      </c>
    </row>
    <row r="8" spans="1:20" ht="14.25" customHeight="1" x14ac:dyDescent="0.35">
      <c r="A8" t="s">
        <v>71</v>
      </c>
      <c r="B8" s="3">
        <v>2</v>
      </c>
      <c r="C8" s="39" t="s">
        <v>168</v>
      </c>
      <c r="D8" t="s">
        <v>21</v>
      </c>
      <c r="E8" t="s">
        <v>21</v>
      </c>
      <c r="F8" t="s">
        <v>21</v>
      </c>
      <c r="L8" t="s">
        <v>79</v>
      </c>
      <c r="M8" s="3">
        <v>20</v>
      </c>
      <c r="N8" s="34">
        <f>IF(ISNUMBER(SEARCH("climb",L8)),AVERAGE(Ladders!C$3:C$7)+M8,M8)</f>
        <v>20</v>
      </c>
      <c r="O8" s="12">
        <f>2 + SUMIF(Economy!A:A,Specials!F8,Economy!I:I) + SUMIF(Economy!A:A,Specials!G8,Economy!I:I)-IF(ISNUMBER(SEARCH("Play immediately",L8)),1,0)</f>
        <v>3</v>
      </c>
      <c r="P8" s="12">
        <f>2 + SUMIF(Economy!A:A,Specials!F8,Economy!I:I) + SUMIF(Economy!A:A,Specials!G8,Economy!I:I) + SUMIF(Specials!K:K,Specials!H8,Specials!P:P) + SUMIF(Specials!K:K,Specials!I8,Specials!P:P)-IF(ISNUMBER(SEARCH("Play immediately",L8)),1,0)</f>
        <v>3</v>
      </c>
      <c r="Q8" s="12">
        <f t="shared" si="0"/>
        <v>6.666666666666667</v>
      </c>
      <c r="R8" s="12" t="str">
        <f t="shared" si="1"/>
        <v/>
      </c>
      <c r="S8" t="s">
        <v>132</v>
      </c>
      <c r="T8" t="s">
        <v>251</v>
      </c>
    </row>
    <row r="9" spans="1:20" ht="14.25" customHeight="1" x14ac:dyDescent="0.35">
      <c r="A9" t="s">
        <v>71</v>
      </c>
      <c r="B9" s="3">
        <v>1</v>
      </c>
      <c r="C9" s="39" t="s">
        <v>78</v>
      </c>
      <c r="H9" t="s">
        <v>30</v>
      </c>
      <c r="K9" s="3" t="s">
        <v>166</v>
      </c>
      <c r="L9" t="s">
        <v>100</v>
      </c>
      <c r="M9" s="3">
        <v>50</v>
      </c>
      <c r="N9" s="34">
        <f>IF(ISNUMBER(SEARCH("climb",L9)),AVERAGE(Ladders!C$3:C$7)+M9,M9)</f>
        <v>50</v>
      </c>
      <c r="O9" s="12">
        <f>2 + SUMIF(Economy!A:A,Specials!F9,Economy!I:I) + SUMIF(Economy!A:A,Specials!G9,Economy!I:I)-IF(ISNUMBER(SEARCH("Play immediately",L9)),1,0)</f>
        <v>2</v>
      </c>
      <c r="P9" s="12">
        <f>2 + SUMIF(Economy!A:A,Specials!F9,Economy!I:I) + SUMIF(Economy!A:A,Specials!G9,Economy!I:I) + SUMIF(Specials!K:K,Specials!H9,Specials!P:P) + SUMIF(Specials!K:K,Specials!I9,Specials!P:P)-IF(ISNUMBER(SEARCH("Play immediately",L9)),1,0)</f>
        <v>5</v>
      </c>
      <c r="Q9" s="12">
        <f t="shared" si="0"/>
        <v>10</v>
      </c>
      <c r="R9" s="12">
        <f t="shared" si="1"/>
        <v>25</v>
      </c>
      <c r="S9" t="s">
        <v>58</v>
      </c>
      <c r="T9" t="s">
        <v>251</v>
      </c>
    </row>
    <row r="10" spans="1:20" ht="14.25" customHeight="1" x14ac:dyDescent="0.35">
      <c r="A10" t="s">
        <v>71</v>
      </c>
      <c r="B10" s="3">
        <v>3</v>
      </c>
      <c r="C10" s="39" t="s">
        <v>38</v>
      </c>
      <c r="D10" t="s">
        <v>11</v>
      </c>
      <c r="E10" t="s">
        <v>11</v>
      </c>
      <c r="F10" t="s">
        <v>11</v>
      </c>
      <c r="M10" s="3">
        <v>30</v>
      </c>
      <c r="N10" s="34">
        <f>IF(ISNUMBER(SEARCH("climb",L10)),AVERAGE(Ladders!C$3:C$7)+M10,M10)</f>
        <v>30</v>
      </c>
      <c r="O10" s="12">
        <f>2 + SUMIF(Economy!A:A,Specials!F10,Economy!I:I) + SUMIF(Economy!A:A,Specials!G10,Economy!I:I)-IF(ISNUMBER(SEARCH("Play immediately",L10)),1,0)</f>
        <v>3</v>
      </c>
      <c r="P10" s="12">
        <f>2 + SUMIF(Economy!A:A,Specials!F10,Economy!I:I) + SUMIF(Economy!A:A,Specials!G10,Economy!I:I) + SUMIF(Specials!K:K,Specials!H10,Specials!P:P) + SUMIF(Specials!K:K,Specials!I10,Specials!P:P)-IF(ISNUMBER(SEARCH("Play immediately",L10)),1,0)</f>
        <v>3</v>
      </c>
      <c r="Q10" s="12">
        <f t="shared" si="0"/>
        <v>10</v>
      </c>
      <c r="R10" s="12" t="str">
        <f t="shared" si="1"/>
        <v/>
      </c>
      <c r="S10" t="s">
        <v>53</v>
      </c>
      <c r="T10" t="s">
        <v>251</v>
      </c>
    </row>
    <row r="11" spans="1:20" ht="14.25" customHeight="1" x14ac:dyDescent="0.35">
      <c r="A11" t="s">
        <v>71</v>
      </c>
      <c r="B11" s="3">
        <v>1</v>
      </c>
      <c r="C11" s="39" t="s">
        <v>143</v>
      </c>
      <c r="F11" t="s">
        <v>11</v>
      </c>
      <c r="L11" t="s">
        <v>147</v>
      </c>
      <c r="M11" s="3">
        <v>10</v>
      </c>
      <c r="N11" s="34">
        <f>IF(ISNUMBER(SEARCH("climb",L11)),AVERAGE(Ladders!C$3:C$7)+M11,M11)</f>
        <v>30</v>
      </c>
      <c r="O11" s="12">
        <f>2 + SUMIF(Economy!A:A,Specials!F11,Economy!I:I) + SUMIF(Economy!A:A,Specials!G11,Economy!I:I)-IF(ISNUMBER(SEARCH("Play immediately",L11)),1,0)</f>
        <v>3</v>
      </c>
      <c r="P11" s="12">
        <f>2 + SUMIF(Economy!A:A,Specials!F11,Economy!I:I) + SUMIF(Economy!A:A,Specials!G11,Economy!I:I) + SUMIF(Specials!K:K,Specials!H11,Specials!P:P) + SUMIF(Specials!K:K,Specials!I11,Specials!P:P)-IF(ISNUMBER(SEARCH("Play immediately",L11)),1,0)</f>
        <v>3</v>
      </c>
      <c r="Q11" s="12">
        <f t="shared" si="0"/>
        <v>10</v>
      </c>
      <c r="R11" s="12" t="str">
        <f t="shared" si="1"/>
        <v/>
      </c>
      <c r="S11" t="s">
        <v>144</v>
      </c>
      <c r="T11" t="s">
        <v>251</v>
      </c>
    </row>
    <row r="12" spans="1:20" x14ac:dyDescent="0.35">
      <c r="A12" t="s">
        <v>71</v>
      </c>
      <c r="B12" s="3">
        <v>1</v>
      </c>
      <c r="C12" s="39" t="s">
        <v>103</v>
      </c>
      <c r="F12" t="s">
        <v>10</v>
      </c>
      <c r="H12" t="s">
        <v>30</v>
      </c>
      <c r="K12" s="3" t="s">
        <v>161</v>
      </c>
      <c r="L12" t="s">
        <v>32</v>
      </c>
      <c r="M12" s="3">
        <v>20</v>
      </c>
      <c r="N12" s="34">
        <f>IF(ISNUMBER(SEARCH("climb",L12)),AVERAGE(Ladders!C$3:C$7)+M12,M12)</f>
        <v>20</v>
      </c>
      <c r="O12" s="12">
        <f>2 + SUMIF(Economy!A:A,Specials!F12,Economy!I:I) + SUMIF(Economy!A:A,Specials!G12,Economy!I:I)-IF(ISNUMBER(SEARCH("Play immediately",L12)),1,0)</f>
        <v>3</v>
      </c>
      <c r="P12" s="12">
        <f>2 + SUMIF(Economy!A:A,Specials!F12,Economy!I:I) + SUMIF(Economy!A:A,Specials!G12,Economy!I:I) + SUMIF(Specials!K:K,Specials!H12,Specials!P:P) + SUMIF(Specials!K:K,Specials!I12,Specials!P:P)-IF(ISNUMBER(SEARCH("Play immediately",L12)),1,0)</f>
        <v>6</v>
      </c>
      <c r="Q12" s="12">
        <f t="shared" si="0"/>
        <v>3.3333333333333335</v>
      </c>
      <c r="R12" s="12">
        <f t="shared" si="1"/>
        <v>6.666666666666667</v>
      </c>
      <c r="S12" t="s">
        <v>122</v>
      </c>
      <c r="T12" t="s">
        <v>251</v>
      </c>
    </row>
    <row r="13" spans="1:20" x14ac:dyDescent="0.35">
      <c r="A13" t="s">
        <v>71</v>
      </c>
      <c r="B13" s="3">
        <v>1</v>
      </c>
      <c r="C13" s="39" t="s">
        <v>104</v>
      </c>
      <c r="F13" t="s">
        <v>8</v>
      </c>
      <c r="H13" t="s">
        <v>30</v>
      </c>
      <c r="K13" s="3" t="s">
        <v>162</v>
      </c>
      <c r="L13" t="s">
        <v>33</v>
      </c>
      <c r="M13" s="3">
        <v>20</v>
      </c>
      <c r="N13" s="34">
        <f>IF(ISNUMBER(SEARCH("climb",L13)),AVERAGE(Ladders!C$3:C$7)+M13,M13)</f>
        <v>20</v>
      </c>
      <c r="O13" s="12">
        <f>2 + SUMIF(Economy!A:A,Specials!F13,Economy!I:I) + SUMIF(Economy!A:A,Specials!G13,Economy!I:I)-IF(ISNUMBER(SEARCH("Play immediately",L13)),1,0)</f>
        <v>2.6470588235294117</v>
      </c>
      <c r="P13" s="12">
        <f>2 + SUMIF(Economy!A:A,Specials!F13,Economy!I:I) + SUMIF(Economy!A:A,Specials!G13,Economy!I:I) + SUMIF(Specials!K:K,Specials!H13,Specials!P:P) + SUMIF(Specials!K:K,Specials!I13,Specials!P:P)-IF(ISNUMBER(SEARCH("Play immediately",L13)),1,0)</f>
        <v>5.6470588235294112</v>
      </c>
      <c r="Q13" s="12">
        <f t="shared" si="0"/>
        <v>3.541666666666667</v>
      </c>
      <c r="R13" s="12">
        <f t="shared" si="1"/>
        <v>7.5555555555555554</v>
      </c>
      <c r="S13" t="s">
        <v>121</v>
      </c>
      <c r="T13" t="s">
        <v>251</v>
      </c>
    </row>
    <row r="14" spans="1:20" x14ac:dyDescent="0.35">
      <c r="A14" t="s">
        <v>71</v>
      </c>
      <c r="B14" s="3">
        <v>1</v>
      </c>
      <c r="C14" s="39" t="s">
        <v>105</v>
      </c>
      <c r="F14" t="s">
        <v>13</v>
      </c>
      <c r="H14" t="s">
        <v>30</v>
      </c>
      <c r="K14" s="3" t="s">
        <v>160</v>
      </c>
      <c r="L14" t="s">
        <v>34</v>
      </c>
      <c r="M14" s="3">
        <v>20</v>
      </c>
      <c r="N14" s="34">
        <f>IF(ISNUMBER(SEARCH("climb",L14)),AVERAGE(Ladders!C$3:C$7)+M14,M14)</f>
        <v>20</v>
      </c>
      <c r="O14" s="12">
        <f>2 + SUMIF(Economy!A:A,Specials!F14,Economy!I:I) + SUMIF(Economy!A:A,Specials!G14,Economy!I:I)-IF(ISNUMBER(SEARCH("Play immediately",L14)),1,0)</f>
        <v>2.6923076923076925</v>
      </c>
      <c r="P14" s="12">
        <f>2 + SUMIF(Economy!A:A,Specials!F14,Economy!I:I) + SUMIF(Economy!A:A,Specials!G14,Economy!I:I) + SUMIF(Specials!K:K,Specials!H14,Specials!P:P) + SUMIF(Specials!K:K,Specials!I14,Specials!P:P)-IF(ISNUMBER(SEARCH("Play immediately",L14)),1,0)</f>
        <v>5.6923076923076925</v>
      </c>
      <c r="Q14" s="12">
        <f t="shared" si="0"/>
        <v>3.5135135135135136</v>
      </c>
      <c r="R14" s="12">
        <f t="shared" si="1"/>
        <v>7.4285714285714279</v>
      </c>
      <c r="S14" t="s">
        <v>163</v>
      </c>
      <c r="T14" t="s">
        <v>251</v>
      </c>
    </row>
    <row r="15" spans="1:20" x14ac:dyDescent="0.35">
      <c r="A15" t="s">
        <v>71</v>
      </c>
      <c r="B15" s="3">
        <v>1</v>
      </c>
      <c r="C15" s="39" t="s">
        <v>209</v>
      </c>
      <c r="D15" t="s">
        <v>127</v>
      </c>
      <c r="H15" t="s">
        <v>221</v>
      </c>
      <c r="M15" s="3">
        <v>10</v>
      </c>
      <c r="N15" s="34">
        <f>IF(ISNUMBER(SEARCH("climb",L15)),AVERAGE(Ladders!C$3:C$7)+M15,M15)</f>
        <v>10</v>
      </c>
      <c r="O15" s="12">
        <f>2 + SUMIF(Economy!A:A,Specials!F15,Economy!I:I) + SUMIF(Economy!A:A,Specials!G15,Economy!I:I)-IF(ISNUMBER(SEARCH("Play immediately",L15)),1,0)</f>
        <v>2</v>
      </c>
      <c r="P15" s="12">
        <f>2 + SUMIF(Economy!A:A,Specials!F15,Economy!I:I) + SUMIF(Economy!A:A,Specials!G15,Economy!I:I) + SUMIF(Specials!K:K,Specials!H15,Specials!P:P) + SUMIF(Specials!K:K,Specials!I15,Specials!P:P)-IF(ISNUMBER(SEARCH("Play immediately",L15)),1,0)</f>
        <v>4</v>
      </c>
      <c r="Q15" s="12">
        <f t="shared" si="0"/>
        <v>2.5</v>
      </c>
      <c r="R15" s="12">
        <f t="shared" si="1"/>
        <v>5</v>
      </c>
      <c r="S15" t="s">
        <v>210</v>
      </c>
      <c r="T15" t="s">
        <v>251</v>
      </c>
    </row>
    <row r="16" spans="1:20" ht="15.75" customHeight="1" x14ac:dyDescent="0.35">
      <c r="A16" t="s">
        <v>71</v>
      </c>
      <c r="B16" s="3">
        <v>1</v>
      </c>
      <c r="C16" s="39" t="s">
        <v>92</v>
      </c>
      <c r="K16" s="3" t="s">
        <v>167</v>
      </c>
      <c r="L16" t="s">
        <v>93</v>
      </c>
      <c r="M16" s="3">
        <v>30</v>
      </c>
      <c r="N16" s="34">
        <f>IF(ISNUMBER(SEARCH("climb",L16)),AVERAGE(Ladders!C$3:C$7)+M16,M16)</f>
        <v>30</v>
      </c>
      <c r="O16" s="12">
        <f>2 + SUMIF(Economy!A:A,Specials!F16,Economy!I:I) + SUMIF(Economy!A:A,Specials!G16,Economy!I:I)-IF(ISNUMBER(SEARCH("Play immediately",L16)),1,0)</f>
        <v>2</v>
      </c>
      <c r="P16" s="12">
        <f>2 + SUMIF(Economy!A:A,Specials!F16,Economy!I:I) + SUMIF(Economy!A:A,Specials!G16,Economy!I:I) + SUMIF(Specials!K:K,Specials!H16,Specials!P:P) + SUMIF(Specials!K:K,Specials!I16,Specials!P:P)-IF(ISNUMBER(SEARCH("Play immediately",L16)),1,0)</f>
        <v>2</v>
      </c>
      <c r="Q16" s="12">
        <f t="shared" si="0"/>
        <v>15</v>
      </c>
      <c r="R16" s="12" t="str">
        <f t="shared" si="1"/>
        <v/>
      </c>
      <c r="S16" t="s">
        <v>27</v>
      </c>
      <c r="T16" t="s">
        <v>251</v>
      </c>
    </row>
    <row r="17" spans="1:20" ht="15.75" customHeight="1" x14ac:dyDescent="0.35">
      <c r="A17" t="s">
        <v>71</v>
      </c>
      <c r="B17" s="3">
        <v>2</v>
      </c>
      <c r="C17" s="39" t="s">
        <v>231</v>
      </c>
      <c r="D17" t="s">
        <v>23</v>
      </c>
      <c r="E17" t="s">
        <v>23</v>
      </c>
      <c r="F17" t="s">
        <v>11</v>
      </c>
      <c r="G17" t="s">
        <v>21</v>
      </c>
      <c r="M17" s="3">
        <v>30</v>
      </c>
      <c r="N17" s="34">
        <f>IF(ISNUMBER(SEARCH("climb",L17)),AVERAGE(Ladders!C$3:C$7)+M17,M17)</f>
        <v>30</v>
      </c>
      <c r="O17" s="12">
        <f>2 + SUMIF(Economy!A:A,Specials!F17,Economy!I:I) + SUMIF(Economy!A:A,Specials!G17,Economy!I:I)-IF(ISNUMBER(SEARCH("Play immediately",L17)),1,0)</f>
        <v>4</v>
      </c>
      <c r="P17" s="12">
        <f>2 + SUMIF(Economy!A:A,Specials!F17,Economy!I:I) + SUMIF(Economy!A:A,Specials!G17,Economy!I:I) + SUMIF(Specials!K:K,Specials!H17,Specials!P:P) + SUMIF(Specials!K:K,Specials!I17,Specials!P:P)-IF(ISNUMBER(SEARCH("Play immediately",L17)),1,0)</f>
        <v>4</v>
      </c>
      <c r="Q17" s="12">
        <f t="shared" si="0"/>
        <v>7.5</v>
      </c>
      <c r="R17" s="12" t="str">
        <f t="shared" si="1"/>
        <v/>
      </c>
      <c r="S17" t="s">
        <v>232</v>
      </c>
      <c r="T17" t="s">
        <v>251</v>
      </c>
    </row>
    <row r="18" spans="1:20" x14ac:dyDescent="0.35">
      <c r="A18" t="s">
        <v>71</v>
      </c>
      <c r="B18" s="3">
        <v>1</v>
      </c>
      <c r="C18" s="39" t="s">
        <v>258</v>
      </c>
      <c r="F18" t="s">
        <v>13</v>
      </c>
      <c r="G18" t="s">
        <v>11</v>
      </c>
      <c r="L18" t="s">
        <v>273</v>
      </c>
      <c r="M18" s="3">
        <v>40</v>
      </c>
      <c r="N18" s="34">
        <f>IF(ISNUMBER(SEARCH("climb",L18)),AVERAGE(Ladders!C$3:C$7)+M18,M18)</f>
        <v>40</v>
      </c>
      <c r="O18" s="12">
        <f>2 + SUMIF(Economy!A:A,Specials!F18,Economy!I:I) + SUMIF(Economy!A:A,Specials!G18,Economy!I:I)-IF(ISNUMBER(SEARCH("Play immediately",L18)),1,0)</f>
        <v>3.6923076923076925</v>
      </c>
      <c r="P18" s="12">
        <f>2 + SUMIF(Economy!A:A,Specials!F18,Economy!I:I) + SUMIF(Economy!A:A,Specials!G18,Economy!I:I) + SUMIF(Specials!K:K,Specials!H18,Specials!P:P) + SUMIF(Specials!K:K,Specials!I18,Specials!P:P)-IF(ISNUMBER(SEARCH("Play immediately",L18)),1,0)</f>
        <v>3.6923076923076925</v>
      </c>
      <c r="Q18" s="12">
        <f t="shared" si="0"/>
        <v>10.833333333333332</v>
      </c>
      <c r="R18" s="12" t="str">
        <f t="shared" si="1"/>
        <v/>
      </c>
      <c r="S18" t="s">
        <v>261</v>
      </c>
      <c r="T18" t="s">
        <v>251</v>
      </c>
    </row>
    <row r="19" spans="1:20" ht="14.25" customHeight="1" x14ac:dyDescent="0.35">
      <c r="A19" t="s">
        <v>71</v>
      </c>
      <c r="B19" s="3">
        <v>1</v>
      </c>
      <c r="C19" s="39" t="s">
        <v>35</v>
      </c>
      <c r="D19" t="s">
        <v>127</v>
      </c>
      <c r="E19" t="s">
        <v>127</v>
      </c>
      <c r="H19" t="s">
        <v>30</v>
      </c>
      <c r="I19" t="s">
        <v>221</v>
      </c>
      <c r="M19" s="3">
        <v>60</v>
      </c>
      <c r="N19" s="34">
        <f>IF(ISNUMBER(SEARCH("climb",L19)),AVERAGE(Ladders!C$3:C$7)+M19,M19)</f>
        <v>60</v>
      </c>
      <c r="O19" s="12">
        <f>2 + SUMIF(Economy!A:A,Specials!F19,Economy!I:I) + SUMIF(Economy!A:A,Specials!G19,Economy!I:I)-IF(ISNUMBER(SEARCH("Play immediately",L19)),1,0)</f>
        <v>2</v>
      </c>
      <c r="P19" s="12">
        <f>2 + SUMIF(Economy!A:A,Specials!F19,Economy!I:I) + SUMIF(Economy!A:A,Specials!G19,Economy!I:I) + SUMIF(Specials!K:K,Specials!H19,Specials!P:P) + SUMIF(Specials!K:K,Specials!I19,Specials!P:P)-IF(ISNUMBER(SEARCH("Play immediately",L19)),1,0)</f>
        <v>7</v>
      </c>
      <c r="Q19" s="12">
        <f t="shared" si="0"/>
        <v>8.5714285714285712</v>
      </c>
      <c r="R19" s="12">
        <f t="shared" si="1"/>
        <v>30</v>
      </c>
      <c r="S19" t="s">
        <v>222</v>
      </c>
      <c r="T19" t="s">
        <v>251</v>
      </c>
    </row>
    <row r="20" spans="1:20" x14ac:dyDescent="0.35">
      <c r="A20" t="s">
        <v>71</v>
      </c>
      <c r="B20" s="3">
        <v>1</v>
      </c>
      <c r="C20" s="39" t="s">
        <v>281</v>
      </c>
      <c r="F20" t="s">
        <v>8</v>
      </c>
      <c r="H20" t="s">
        <v>30</v>
      </c>
      <c r="L20" t="s">
        <v>282</v>
      </c>
      <c r="M20" s="3">
        <v>30</v>
      </c>
      <c r="N20" s="34">
        <f>IF(ISNUMBER(SEARCH("climb",L20)),AVERAGE(Ladders!C$3:C$7)+M20,M20)</f>
        <v>50</v>
      </c>
      <c r="O20" s="12">
        <f>2 + SUMIF(Economy!A:A,Specials!F20,Economy!I:I) + SUMIF(Economy!A:A,Specials!G20,Economy!I:I)-IF(ISNUMBER(SEARCH("Play immediately",L20)),1,0)</f>
        <v>2.6470588235294117</v>
      </c>
      <c r="P20" s="12">
        <f>2 + SUMIF(Economy!A:A,Specials!F20,Economy!I:I) + SUMIF(Economy!A:A,Specials!G20,Economy!I:I) + SUMIF(Specials!K:K,Specials!H20,Specials!P:P) + SUMIF(Specials!K:K,Specials!I20,Specials!P:P)-IF(ISNUMBER(SEARCH("Play immediately",L20)),1,0)</f>
        <v>5.6470588235294112</v>
      </c>
      <c r="Q20" s="12">
        <f t="shared" si="0"/>
        <v>8.8541666666666679</v>
      </c>
      <c r="R20" s="12">
        <f t="shared" si="1"/>
        <v>18.888888888888889</v>
      </c>
      <c r="S20" t="s">
        <v>295</v>
      </c>
      <c r="T20" t="s">
        <v>251</v>
      </c>
    </row>
    <row r="21" spans="1:20" s="26" customFormat="1" ht="14.25" customHeight="1" x14ac:dyDescent="0.35">
      <c r="A21" s="26" t="s">
        <v>71</v>
      </c>
      <c r="B21" s="32">
        <v>1</v>
      </c>
      <c r="C21" s="41" t="s">
        <v>313</v>
      </c>
      <c r="F21" s="26" t="s">
        <v>12</v>
      </c>
      <c r="K21" s="32" t="s">
        <v>239</v>
      </c>
      <c r="L21" s="26" t="s">
        <v>305</v>
      </c>
      <c r="M21" s="32">
        <v>40</v>
      </c>
      <c r="N21" s="36">
        <f>IF(ISNUMBER(SEARCH("climb",L21)),AVERAGE(Ladders!C$3:C$7)+M21,M21)</f>
        <v>40</v>
      </c>
      <c r="O21" s="31">
        <f>2 + SUMIF(Economy!A:A,Specials!F21,Economy!I:I) + SUMIF(Economy!A:A,Specials!G21,Economy!I:I)-IF(ISNUMBER(SEARCH("Play immediately",L21)),1,0)</f>
        <v>3</v>
      </c>
      <c r="P21" s="31">
        <f>2 + SUMIF(Economy!A:A,Specials!F21,Economy!I:I) + SUMIF(Economy!A:A,Specials!G21,Economy!I:I) + SUMIF(Specials!K:K,Specials!H21,Specials!P:P) + SUMIF(Specials!K:K,Specials!I21,Specials!P:P)-IF(ISNUMBER(SEARCH("Play immediately",L21)),1,0)</f>
        <v>3</v>
      </c>
      <c r="Q21" s="31">
        <f t="shared" si="0"/>
        <v>13.333333333333334</v>
      </c>
      <c r="R21" s="31" t="str">
        <f t="shared" si="1"/>
        <v/>
      </c>
      <c r="S21" s="26" t="s">
        <v>298</v>
      </c>
      <c r="T21" s="26" t="s">
        <v>251</v>
      </c>
    </row>
    <row r="22" spans="1:20" ht="14.25" customHeight="1" x14ac:dyDescent="0.35">
      <c r="A22" t="s">
        <v>152</v>
      </c>
      <c r="B22" s="3">
        <v>1</v>
      </c>
      <c r="C22" s="39" t="s">
        <v>241</v>
      </c>
      <c r="D22" t="s">
        <v>11</v>
      </c>
      <c r="E22" t="s">
        <v>12</v>
      </c>
      <c r="F22" t="s">
        <v>8</v>
      </c>
      <c r="G22" t="s">
        <v>21</v>
      </c>
      <c r="M22" s="3">
        <v>30</v>
      </c>
      <c r="N22" s="34">
        <f>IF(ISNUMBER(SEARCH("climb",L22)),AVERAGE(Ladders!C$3:C$7)+M22,M22)</f>
        <v>30</v>
      </c>
      <c r="O22" s="12">
        <f>2 + SUMIF(Economy!A:A,Specials!F22,Economy!I:I) + SUMIF(Economy!A:A,Specials!G22,Economy!I:I)-IF(ISNUMBER(SEARCH("Play immediately",L22)),1,0)</f>
        <v>3.6470588235294117</v>
      </c>
      <c r="P22" s="12">
        <f>2 + SUMIF(Economy!A:A,Specials!F22,Economy!I:I) + SUMIF(Economy!A:A,Specials!G22,Economy!I:I) + SUMIF(Specials!K:K,Specials!H22,Specials!P:P) + SUMIF(Specials!K:K,Specials!I22,Specials!P:P)-IF(ISNUMBER(SEARCH("Play immediately",L22)),1,0)</f>
        <v>3.6470588235294117</v>
      </c>
      <c r="Q22" s="12">
        <f t="shared" si="0"/>
        <v>8.2258064516129039</v>
      </c>
      <c r="R22" s="12" t="str">
        <f t="shared" si="1"/>
        <v/>
      </c>
      <c r="S22" t="s">
        <v>244</v>
      </c>
      <c r="T22" t="s">
        <v>251</v>
      </c>
    </row>
    <row r="23" spans="1:20" ht="14.25" customHeight="1" x14ac:dyDescent="0.35">
      <c r="A23" t="s">
        <v>152</v>
      </c>
      <c r="B23" s="3">
        <v>1</v>
      </c>
      <c r="C23" s="39" t="s">
        <v>110</v>
      </c>
      <c r="D23" t="s">
        <v>11</v>
      </c>
      <c r="E23" t="s">
        <v>11</v>
      </c>
      <c r="F23" t="s">
        <v>11</v>
      </c>
      <c r="M23" s="3">
        <v>30</v>
      </c>
      <c r="N23" s="34">
        <f>IF(ISNUMBER(SEARCH("climb",L23)),AVERAGE(Ladders!C$3:C$7)+M23,M23)</f>
        <v>30</v>
      </c>
      <c r="O23" s="12">
        <f>2 + SUMIF(Economy!A:A,Specials!F23,Economy!I:I) + SUMIF(Economy!A:A,Specials!G23,Economy!I:I)-IF(ISNUMBER(SEARCH("Play immediately",L23)),1,0)</f>
        <v>3</v>
      </c>
      <c r="P23" s="12">
        <f>2 + SUMIF(Economy!A:A,Specials!F23,Economy!I:I) + SUMIF(Economy!A:A,Specials!G23,Economy!I:I) + SUMIF(Specials!K:K,Specials!H23,Specials!P:P) + SUMIF(Specials!K:K,Specials!I23,Specials!P:P)-IF(ISNUMBER(SEARCH("Play immediately",L23)),1,0)</f>
        <v>3</v>
      </c>
      <c r="Q23" s="12">
        <f t="shared" si="0"/>
        <v>10</v>
      </c>
      <c r="R23" s="12" t="str">
        <f t="shared" si="1"/>
        <v/>
      </c>
      <c r="S23" t="s">
        <v>133</v>
      </c>
      <c r="T23" t="s">
        <v>251</v>
      </c>
    </row>
    <row r="24" spans="1:20" ht="14.25" customHeight="1" x14ac:dyDescent="0.35">
      <c r="A24" t="s">
        <v>152</v>
      </c>
      <c r="B24" s="3">
        <v>2</v>
      </c>
      <c r="C24" s="39" t="s">
        <v>69</v>
      </c>
      <c r="D24" t="s">
        <v>21</v>
      </c>
      <c r="E24" t="s">
        <v>21</v>
      </c>
      <c r="F24" t="s">
        <v>21</v>
      </c>
      <c r="L24" t="s">
        <v>154</v>
      </c>
      <c r="M24" s="3">
        <v>30</v>
      </c>
      <c r="N24" s="34">
        <f>IF(ISNUMBER(SEARCH("climb",L24)),AVERAGE(Ladders!C$3:C$7)+M24,M24)</f>
        <v>30</v>
      </c>
      <c r="O24" s="12">
        <f>2 + SUMIF(Economy!A:A,Specials!F24,Economy!I:I) + SUMIF(Economy!A:A,Specials!G24,Economy!I:I)-IF(ISNUMBER(SEARCH("Play immediately",L24)),1,0)</f>
        <v>3</v>
      </c>
      <c r="P24" s="12">
        <f>2 + SUMIF(Economy!A:A,Specials!F24,Economy!I:I) + SUMIF(Economy!A:A,Specials!G24,Economy!I:I) + SUMIF(Specials!K:K,Specials!H24,Specials!P:P) + SUMIF(Specials!K:K,Specials!I24,Specials!P:P)-IF(ISNUMBER(SEARCH("Play immediately",L24)),1,0)</f>
        <v>3</v>
      </c>
      <c r="Q24" s="12">
        <f t="shared" si="0"/>
        <v>10</v>
      </c>
      <c r="R24" s="12" t="str">
        <f t="shared" si="1"/>
        <v/>
      </c>
      <c r="S24" t="s">
        <v>170</v>
      </c>
      <c r="T24" t="s">
        <v>251</v>
      </c>
    </row>
    <row r="25" spans="1:20" x14ac:dyDescent="0.35">
      <c r="A25" t="s">
        <v>152</v>
      </c>
      <c r="B25" s="3">
        <v>1</v>
      </c>
      <c r="C25" s="39" t="s">
        <v>68</v>
      </c>
      <c r="F25" t="s">
        <v>8</v>
      </c>
      <c r="G25" t="s">
        <v>8</v>
      </c>
      <c r="H25" t="s">
        <v>30</v>
      </c>
      <c r="M25" s="3">
        <v>60</v>
      </c>
      <c r="N25" s="34">
        <f>IF(ISNUMBER(SEARCH("climb",L25)),AVERAGE(Ladders!C$3:C$7)+M25,M25)</f>
        <v>60</v>
      </c>
      <c r="O25" s="12">
        <f>2 + SUMIF(Economy!A:A,Specials!F25,Economy!I:I) + SUMIF(Economy!A:A,Specials!G25,Economy!I:I)-IF(ISNUMBER(SEARCH("Play immediately",L25)),1,0)</f>
        <v>3.2941176470588234</v>
      </c>
      <c r="P25" s="12">
        <f>2 + SUMIF(Economy!A:A,Specials!F25,Economy!I:I) + SUMIF(Economy!A:A,Specials!G25,Economy!I:I) + SUMIF(Specials!K:K,Specials!H25,Specials!P:P) + SUMIF(Specials!K:K,Specials!I25,Specials!P:P)-IF(ISNUMBER(SEARCH("Play immediately",L25)),1,0)</f>
        <v>6.2941176470588234</v>
      </c>
      <c r="Q25" s="12">
        <f t="shared" si="0"/>
        <v>9.5327102803738324</v>
      </c>
      <c r="R25" s="12">
        <f t="shared" si="1"/>
        <v>18.214285714285715</v>
      </c>
      <c r="S25" t="s">
        <v>60</v>
      </c>
      <c r="T25" t="s">
        <v>251</v>
      </c>
    </row>
    <row r="26" spans="1:20" x14ac:dyDescent="0.35">
      <c r="A26" t="s">
        <v>152</v>
      </c>
      <c r="B26" s="3">
        <v>1</v>
      </c>
      <c r="C26" s="39" t="s">
        <v>99</v>
      </c>
      <c r="F26" t="s">
        <v>13</v>
      </c>
      <c r="G26" t="s">
        <v>8</v>
      </c>
      <c r="H26" t="s">
        <v>30</v>
      </c>
      <c r="M26" s="3">
        <v>70</v>
      </c>
      <c r="N26" s="34">
        <f>IF(ISNUMBER(SEARCH("climb",L26)),AVERAGE(Ladders!C$3:C$7)+M26,M26)</f>
        <v>70</v>
      </c>
      <c r="O26" s="12">
        <f>2 + SUMIF(Economy!A:A,Specials!F26,Economy!I:I) + SUMIF(Economy!A:A,Specials!G26,Economy!I:I)-IF(ISNUMBER(SEARCH("Play immediately",L26)),1,0)</f>
        <v>3.3393665158371042</v>
      </c>
      <c r="P26" s="12">
        <f>2 + SUMIF(Economy!A:A,Specials!F26,Economy!I:I) + SUMIF(Economy!A:A,Specials!G26,Economy!I:I) + SUMIF(Specials!K:K,Specials!H26,Specials!P:P) + SUMIF(Specials!K:K,Specials!I26,Specials!P:P)-IF(ISNUMBER(SEARCH("Play immediately",L26)),1,0)</f>
        <v>6.3393665158371046</v>
      </c>
      <c r="Q26" s="12">
        <f t="shared" si="0"/>
        <v>11.04211277658815</v>
      </c>
      <c r="R26" s="12">
        <f t="shared" si="1"/>
        <v>20.962059620596204</v>
      </c>
      <c r="S26" t="s">
        <v>59</v>
      </c>
      <c r="T26" t="s">
        <v>251</v>
      </c>
    </row>
    <row r="27" spans="1:20" x14ac:dyDescent="0.35">
      <c r="A27" t="s">
        <v>152</v>
      </c>
      <c r="B27" s="3">
        <v>1</v>
      </c>
      <c r="C27" s="39" t="s">
        <v>179</v>
      </c>
      <c r="F27" t="s">
        <v>13</v>
      </c>
      <c r="G27" t="s">
        <v>13</v>
      </c>
      <c r="H27" t="s">
        <v>30</v>
      </c>
      <c r="M27" s="3">
        <v>70</v>
      </c>
      <c r="N27" s="34">
        <f>IF(ISNUMBER(SEARCH("climb",L27)),AVERAGE(Ladders!C$3:C$7)+M27,M27)</f>
        <v>70</v>
      </c>
      <c r="O27" s="12">
        <f>2 + SUMIF(Economy!A:A,Specials!F27,Economy!I:I) + SUMIF(Economy!A:A,Specials!G27,Economy!I:I)-IF(ISNUMBER(SEARCH("Play immediately",L27)),1,0)</f>
        <v>3.384615384615385</v>
      </c>
      <c r="P27" s="12">
        <f>2 + SUMIF(Economy!A:A,Specials!F27,Economy!I:I) + SUMIF(Economy!A:A,Specials!G27,Economy!I:I) + SUMIF(Specials!K:K,Specials!H27,Specials!P:P) + SUMIF(Specials!K:K,Specials!I27,Specials!P:P)-IF(ISNUMBER(SEARCH("Play immediately",L27)),1,0)</f>
        <v>6.384615384615385</v>
      </c>
      <c r="Q27" s="12">
        <f t="shared" si="0"/>
        <v>10.963855421686747</v>
      </c>
      <c r="R27" s="12">
        <f t="shared" si="1"/>
        <v>20.68181818181818</v>
      </c>
      <c r="S27" t="s">
        <v>197</v>
      </c>
      <c r="T27" t="s">
        <v>251</v>
      </c>
    </row>
    <row r="28" spans="1:20" x14ac:dyDescent="0.35">
      <c r="A28" t="s">
        <v>152</v>
      </c>
      <c r="B28" s="3">
        <v>1</v>
      </c>
      <c r="C28" s="39" t="s">
        <v>181</v>
      </c>
      <c r="F28" t="s">
        <v>8</v>
      </c>
      <c r="G28" t="s">
        <v>10</v>
      </c>
      <c r="H28" t="s">
        <v>30</v>
      </c>
      <c r="M28" s="3">
        <v>80</v>
      </c>
      <c r="N28" s="34">
        <f>IF(ISNUMBER(SEARCH("climb",L28)),AVERAGE(Ladders!C$3:C$7)+M28,M28)</f>
        <v>80</v>
      </c>
      <c r="O28" s="12">
        <f>2 + SUMIF(Economy!A:A,Specials!F28,Economy!I:I) + SUMIF(Economy!A:A,Specials!G28,Economy!I:I)-IF(ISNUMBER(SEARCH("Play immediately",L28)),1,0)</f>
        <v>3.6470588235294117</v>
      </c>
      <c r="P28" s="12">
        <f>2 + SUMIF(Economy!A:A,Specials!F28,Economy!I:I) + SUMIF(Economy!A:A,Specials!G28,Economy!I:I) + SUMIF(Specials!K:K,Specials!H28,Specials!P:P) + SUMIF(Specials!K:K,Specials!I28,Specials!P:P)-IF(ISNUMBER(SEARCH("Play immediately",L28)),1,0)</f>
        <v>6.6470588235294112</v>
      </c>
      <c r="Q28" s="12">
        <f t="shared" si="0"/>
        <v>12.035398230088497</v>
      </c>
      <c r="R28" s="12">
        <f t="shared" si="1"/>
        <v>21.935483870967744</v>
      </c>
      <c r="S28" t="s">
        <v>182</v>
      </c>
      <c r="T28" t="s">
        <v>251</v>
      </c>
    </row>
    <row r="29" spans="1:20" x14ac:dyDescent="0.35">
      <c r="A29" t="s">
        <v>152</v>
      </c>
      <c r="B29" s="3">
        <v>1</v>
      </c>
      <c r="C29" s="39" t="s">
        <v>180</v>
      </c>
      <c r="F29" t="s">
        <v>13</v>
      </c>
      <c r="G29" t="s">
        <v>10</v>
      </c>
      <c r="H29" t="s">
        <v>30</v>
      </c>
      <c r="M29" s="3">
        <v>90</v>
      </c>
      <c r="N29" s="34">
        <f>IF(ISNUMBER(SEARCH("climb",L29)),AVERAGE(Ladders!C$3:C$7)+M29,M29)</f>
        <v>90</v>
      </c>
      <c r="O29" s="12">
        <f>2 + SUMIF(Economy!A:A,Specials!F29,Economy!I:I) + SUMIF(Economy!A:A,Specials!G29,Economy!I:I)-IF(ISNUMBER(SEARCH("Play immediately",L29)),1,0)</f>
        <v>3.6923076923076925</v>
      </c>
      <c r="P29" s="12">
        <f>2 + SUMIF(Economy!A:A,Specials!F29,Economy!I:I) + SUMIF(Economy!A:A,Specials!G29,Economy!I:I) + SUMIF(Specials!K:K,Specials!H29,Specials!P:P) + SUMIF(Specials!K:K,Specials!I29,Specials!P:P)-IF(ISNUMBER(SEARCH("Play immediately",L29)),1,0)</f>
        <v>6.6923076923076925</v>
      </c>
      <c r="Q29" s="12">
        <f t="shared" si="0"/>
        <v>13.448275862068964</v>
      </c>
      <c r="R29" s="12">
        <f t="shared" si="1"/>
        <v>24.375</v>
      </c>
      <c r="S29" t="s">
        <v>183</v>
      </c>
      <c r="T29" t="s">
        <v>251</v>
      </c>
    </row>
    <row r="30" spans="1:20" x14ac:dyDescent="0.35">
      <c r="A30" t="s">
        <v>152</v>
      </c>
      <c r="B30" s="3">
        <v>1</v>
      </c>
      <c r="C30" s="39" t="s">
        <v>67</v>
      </c>
      <c r="F30" t="s">
        <v>10</v>
      </c>
      <c r="G30" t="s">
        <v>10</v>
      </c>
      <c r="H30" t="s">
        <v>30</v>
      </c>
      <c r="M30" s="3">
        <v>100</v>
      </c>
      <c r="N30" s="34">
        <f>IF(ISNUMBER(SEARCH("climb",L30)),AVERAGE(Ladders!C$3:C$7)+M30,M30)</f>
        <v>100</v>
      </c>
      <c r="O30" s="12">
        <f>2 + SUMIF(Economy!A:A,Specials!F30,Economy!I:I) + SUMIF(Economy!A:A,Specials!G30,Economy!I:I)-IF(ISNUMBER(SEARCH("Play immediately",L30)),1,0)</f>
        <v>4</v>
      </c>
      <c r="P30" s="12">
        <f>2 + SUMIF(Economy!A:A,Specials!F30,Economy!I:I) + SUMIF(Economy!A:A,Specials!G30,Economy!I:I) + SUMIF(Specials!K:K,Specials!H30,Specials!P:P) + SUMIF(Specials!K:K,Specials!I30,Specials!P:P)-IF(ISNUMBER(SEARCH("Play immediately",L30)),1,0)</f>
        <v>7</v>
      </c>
      <c r="Q30" s="12">
        <f t="shared" si="0"/>
        <v>14.285714285714286</v>
      </c>
      <c r="R30" s="12">
        <f t="shared" si="1"/>
        <v>25</v>
      </c>
      <c r="S30" t="s">
        <v>119</v>
      </c>
      <c r="T30" t="s">
        <v>251</v>
      </c>
    </row>
    <row r="31" spans="1:20" x14ac:dyDescent="0.35">
      <c r="A31" t="s">
        <v>152</v>
      </c>
      <c r="B31" s="3">
        <v>1</v>
      </c>
      <c r="C31" s="39" t="s">
        <v>229</v>
      </c>
      <c r="F31" t="s">
        <v>10</v>
      </c>
      <c r="G31" t="s">
        <v>14</v>
      </c>
      <c r="H31" t="s">
        <v>30</v>
      </c>
      <c r="L31" t="s">
        <v>235</v>
      </c>
      <c r="M31" s="3">
        <v>110</v>
      </c>
      <c r="N31" s="34">
        <f>IF(ISNUMBER(SEARCH("climb",L31)),AVERAGE(Ladders!C$3:C$7)+M31,M31)</f>
        <v>110</v>
      </c>
      <c r="O31" s="12">
        <f>2 + SUMIF(Economy!A:A,Specials!F31,Economy!I:I) + SUMIF(Economy!A:A,Specials!G31,Economy!I:I)-IF(ISNUMBER(SEARCH("Play immediately",L31)),1,0)</f>
        <v>4</v>
      </c>
      <c r="P31" s="12">
        <f>2 + SUMIF(Economy!A:A,Specials!F31,Economy!I:I) + SUMIF(Economy!A:A,Specials!G31,Economy!I:I) + SUMIF(Specials!K:K,Specials!H31,Specials!P:P) + SUMIF(Specials!K:K,Specials!I31,Specials!P:P)-IF(ISNUMBER(SEARCH("Play immediately",L31)),1,0)</f>
        <v>7</v>
      </c>
      <c r="Q31" s="12">
        <f t="shared" si="0"/>
        <v>15.714285714285714</v>
      </c>
      <c r="R31" s="12">
        <f t="shared" si="1"/>
        <v>27.5</v>
      </c>
      <c r="S31" t="s">
        <v>230</v>
      </c>
      <c r="T31" t="s">
        <v>251</v>
      </c>
    </row>
    <row r="32" spans="1:20" ht="14.25" customHeight="1" x14ac:dyDescent="0.35">
      <c r="A32" t="s">
        <v>152</v>
      </c>
      <c r="B32" s="3">
        <v>1</v>
      </c>
      <c r="C32" s="39" t="s">
        <v>39</v>
      </c>
      <c r="D32" t="s">
        <v>12</v>
      </c>
      <c r="E32" t="s">
        <v>12</v>
      </c>
      <c r="F32" t="s">
        <v>12</v>
      </c>
      <c r="M32" s="3">
        <v>40</v>
      </c>
      <c r="N32" s="34">
        <f>IF(ISNUMBER(SEARCH("climb",L32)),AVERAGE(Ladders!C$3:C$7)+M32,M32)</f>
        <v>40</v>
      </c>
      <c r="O32" s="12">
        <f>2 + SUMIF(Economy!A:A,Specials!F32,Economy!I:I) + SUMIF(Economy!A:A,Specials!G32,Economy!I:I)-IF(ISNUMBER(SEARCH("Play immediately",L32)),1,0)</f>
        <v>3</v>
      </c>
      <c r="P32" s="12">
        <f>2 + SUMIF(Economy!A:A,Specials!F32,Economy!I:I) + SUMIF(Economy!A:A,Specials!G32,Economy!I:I) + SUMIF(Specials!K:K,Specials!H32,Specials!P:P) + SUMIF(Specials!K:K,Specials!I32,Specials!P:P)-IF(ISNUMBER(SEARCH("Play immediately",L32)),1,0)</f>
        <v>3</v>
      </c>
      <c r="Q32" s="12">
        <f t="shared" si="0"/>
        <v>13.333333333333334</v>
      </c>
      <c r="R32" s="12" t="str">
        <f t="shared" si="1"/>
        <v/>
      </c>
      <c r="S32" t="s">
        <v>54</v>
      </c>
      <c r="T32" t="s">
        <v>251</v>
      </c>
    </row>
    <row r="33" spans="1:20" ht="14.25" customHeight="1" x14ac:dyDescent="0.35">
      <c r="A33" t="s">
        <v>152</v>
      </c>
      <c r="B33" s="3">
        <v>1</v>
      </c>
      <c r="C33" s="39" t="s">
        <v>300</v>
      </c>
      <c r="D33" t="s">
        <v>23</v>
      </c>
      <c r="E33" t="s">
        <v>23</v>
      </c>
      <c r="F33" t="s">
        <v>87</v>
      </c>
      <c r="G33" t="s">
        <v>13</v>
      </c>
      <c r="M33" s="3">
        <v>30</v>
      </c>
      <c r="N33" s="34">
        <f>IF(ISNUMBER(SEARCH("climb",L33)),AVERAGE(Ladders!C$3:C$7)+M33,M33)</f>
        <v>30</v>
      </c>
      <c r="O33" s="12">
        <f>2 + SUMIF(Economy!A:A,Specials!F33,Economy!I:I) + SUMIF(Economy!A:A,Specials!G33,Economy!I:I)-IF(ISNUMBER(SEARCH("Play immediately",L33)),1,0)</f>
        <v>3.6923076923076925</v>
      </c>
      <c r="P33" s="12">
        <f>2 + SUMIF(Economy!A:A,Specials!F33,Economy!I:I) + SUMIF(Economy!A:A,Specials!G33,Economy!I:I) + SUMIF(Specials!K:K,Specials!H33,Specials!P:P) + SUMIF(Specials!K:K,Specials!I33,Specials!P:P)-IF(ISNUMBER(SEARCH("Play immediately",L33)),1,0)</f>
        <v>3.6923076923076925</v>
      </c>
      <c r="Q33" s="12">
        <f t="shared" si="0"/>
        <v>8.125</v>
      </c>
      <c r="R33" s="12" t="str">
        <f t="shared" si="1"/>
        <v/>
      </c>
      <c r="S33" t="s">
        <v>240</v>
      </c>
      <c r="T33" t="s">
        <v>251</v>
      </c>
    </row>
    <row r="34" spans="1:20" ht="14.25" customHeight="1" x14ac:dyDescent="0.35">
      <c r="A34" t="s">
        <v>152</v>
      </c>
      <c r="B34" s="3">
        <v>1</v>
      </c>
      <c r="C34" s="39" t="s">
        <v>47</v>
      </c>
      <c r="D34" t="s">
        <v>127</v>
      </c>
      <c r="F34" t="s">
        <v>8</v>
      </c>
      <c r="H34" t="s">
        <v>221</v>
      </c>
      <c r="M34" s="3">
        <v>40</v>
      </c>
      <c r="N34" s="34">
        <f>IF(ISNUMBER(SEARCH("climb",L34)),AVERAGE(Ladders!C$3:C$7)+M34,M34)</f>
        <v>40</v>
      </c>
      <c r="O34" s="12">
        <f>2 + SUMIF(Economy!A:A,Specials!F34,Economy!I:I) + SUMIF(Economy!A:A,Specials!G34,Economy!I:I)-IF(ISNUMBER(SEARCH("Play immediately",L34)),1,0)</f>
        <v>2.6470588235294117</v>
      </c>
      <c r="P34" s="12">
        <f>2 + SUMIF(Economy!A:A,Specials!F34,Economy!I:I) + SUMIF(Economy!A:A,Specials!G34,Economy!I:I) + SUMIF(Specials!K:K,Specials!H34,Specials!P:P) + SUMIF(Specials!K:K,Specials!I34,Specials!P:P)-IF(ISNUMBER(SEARCH("Play immediately",L34)),1,0)</f>
        <v>4.6470588235294112</v>
      </c>
      <c r="Q34" s="12">
        <f t="shared" si="0"/>
        <v>8.6075949367088622</v>
      </c>
      <c r="R34" s="12">
        <f t="shared" si="1"/>
        <v>15.111111111111111</v>
      </c>
      <c r="S34" t="s">
        <v>56</v>
      </c>
      <c r="T34" t="s">
        <v>251</v>
      </c>
    </row>
    <row r="35" spans="1:20" ht="15.75" customHeight="1" x14ac:dyDescent="0.35">
      <c r="A35" t="s">
        <v>152</v>
      </c>
      <c r="B35" s="3">
        <v>1</v>
      </c>
      <c r="C35" s="39" t="s">
        <v>314</v>
      </c>
      <c r="D35" t="s">
        <v>127</v>
      </c>
      <c r="F35" t="s">
        <v>13</v>
      </c>
      <c r="H35" t="s">
        <v>221</v>
      </c>
      <c r="M35" s="3">
        <v>40</v>
      </c>
      <c r="N35" s="34">
        <f>IF(ISNUMBER(SEARCH("climb",L35)),AVERAGE(Ladders!C$3:C$7)+M35,M35)</f>
        <v>40</v>
      </c>
      <c r="O35" s="12">
        <f>2 + SUMIF(Economy!A:A,Specials!F35,Economy!I:I) + SUMIF(Economy!A:A,Specials!G35,Economy!I:I)-IF(ISNUMBER(SEARCH("Play immediately",L35)),1,0)</f>
        <v>2.6923076923076925</v>
      </c>
      <c r="P35" s="12">
        <f>2 + SUMIF(Economy!A:A,Specials!F35,Economy!I:I) + SUMIF(Economy!A:A,Specials!G35,Economy!I:I) + SUMIF(Specials!K:K,Specials!H35,Specials!P:P) + SUMIF(Specials!K:K,Specials!I35,Specials!P:P)-IF(ISNUMBER(SEARCH("Play immediately",L35)),1,0)</f>
        <v>4.6923076923076925</v>
      </c>
      <c r="Q35" s="12">
        <f t="shared" si="0"/>
        <v>8.524590163934425</v>
      </c>
      <c r="R35" s="12">
        <f t="shared" si="1"/>
        <v>14.857142857142856</v>
      </c>
      <c r="S35" t="s">
        <v>315</v>
      </c>
      <c r="T35" t="s">
        <v>251</v>
      </c>
    </row>
    <row r="36" spans="1:20" ht="15.75" customHeight="1" x14ac:dyDescent="0.35">
      <c r="A36" t="s">
        <v>152</v>
      </c>
      <c r="B36" s="3">
        <v>1</v>
      </c>
      <c r="C36" s="39" t="s">
        <v>89</v>
      </c>
      <c r="D36" t="s">
        <v>127</v>
      </c>
      <c r="E36" t="s">
        <v>127</v>
      </c>
      <c r="F36" t="s">
        <v>10</v>
      </c>
      <c r="H36" t="s">
        <v>221</v>
      </c>
      <c r="M36" s="3">
        <v>40</v>
      </c>
      <c r="N36" s="34">
        <f>IF(ISNUMBER(SEARCH("climb",L36)),AVERAGE(Ladders!C$3:C$7)+M36,M36)</f>
        <v>40</v>
      </c>
      <c r="O36" s="12">
        <f>2 + SUMIF(Economy!A:A,Specials!F36,Economy!I:I) + SUMIF(Economy!A:A,Specials!G36,Economy!I:I)-IF(ISNUMBER(SEARCH("Play immediately",L36)),1,0)</f>
        <v>3</v>
      </c>
      <c r="P36" s="12">
        <f>2 + SUMIF(Economy!A:A,Specials!F36,Economy!I:I) + SUMIF(Economy!A:A,Specials!G36,Economy!I:I) + SUMIF(Specials!K:K,Specials!H36,Specials!P:P) + SUMIF(Specials!K:K,Specials!I36,Specials!P:P)-IF(ISNUMBER(SEARCH("Play immediately",L36)),1,0)</f>
        <v>5</v>
      </c>
      <c r="Q36" s="12">
        <f t="shared" si="0"/>
        <v>8</v>
      </c>
      <c r="R36" s="12">
        <f t="shared" si="1"/>
        <v>13.333333333333334</v>
      </c>
      <c r="S36" t="s">
        <v>90</v>
      </c>
      <c r="T36" t="s">
        <v>251</v>
      </c>
    </row>
    <row r="37" spans="1:20" ht="15.75" customHeight="1" x14ac:dyDescent="0.35">
      <c r="A37" t="s">
        <v>152</v>
      </c>
      <c r="B37" s="3">
        <v>1</v>
      </c>
      <c r="C37" s="39" t="s">
        <v>233</v>
      </c>
      <c r="F37" t="s">
        <v>23</v>
      </c>
      <c r="G37" t="s">
        <v>23</v>
      </c>
      <c r="L37" t="s">
        <v>294</v>
      </c>
      <c r="M37" s="3">
        <v>80</v>
      </c>
      <c r="N37" s="34">
        <f>IF(ISNUMBER(SEARCH("climb",L37)),AVERAGE(Ladders!C$3:C$7)+M37,M37)</f>
        <v>100</v>
      </c>
      <c r="O37" s="12">
        <f>2 + SUMIF(Economy!A:A,Specials!F37,Economy!I:I) + SUMIF(Economy!A:A,Specials!G37,Economy!I:I)-IF(ISNUMBER(SEARCH("Play immediately",L37)),1,0)</f>
        <v>4</v>
      </c>
      <c r="P37" s="12">
        <f>2 + SUMIF(Economy!A:A,Specials!F37,Economy!I:I) + SUMIF(Economy!A:A,Specials!G37,Economy!I:I) + SUMIF(Specials!K:K,Specials!H37,Specials!P:P) + SUMIF(Specials!K:K,Specials!I37,Specials!P:P)-IF(ISNUMBER(SEARCH("Play immediately",L37)),1,0)</f>
        <v>4</v>
      </c>
      <c r="Q37" s="12">
        <f t="shared" si="0"/>
        <v>25</v>
      </c>
      <c r="S37" t="s">
        <v>234</v>
      </c>
      <c r="T37" t="s">
        <v>251</v>
      </c>
    </row>
    <row r="38" spans="1:20" ht="15.75" customHeight="1" x14ac:dyDescent="0.35">
      <c r="A38" t="s">
        <v>152</v>
      </c>
      <c r="B38" s="3">
        <v>1</v>
      </c>
      <c r="C38" s="39" t="s">
        <v>125</v>
      </c>
      <c r="F38" t="s">
        <v>11</v>
      </c>
      <c r="L38" t="s">
        <v>294</v>
      </c>
      <c r="M38" s="3">
        <v>10</v>
      </c>
      <c r="N38" s="34">
        <f>IF(ISNUMBER(SEARCH("climb",L38)),AVERAGE(Ladders!C$3:C$7)+M38,M38)</f>
        <v>30</v>
      </c>
      <c r="O38" s="12">
        <f>2 + SUMIF(Economy!A:A,Specials!F38,Economy!I:I) + SUMIF(Economy!A:A,Specials!G38,Economy!I:I)-IF(ISNUMBER(SEARCH("Play immediately",L38)),1,0)</f>
        <v>3</v>
      </c>
      <c r="P38" s="12">
        <f>2 + SUMIF(Economy!A:A,Specials!F38,Economy!I:I) + SUMIF(Economy!A:A,Specials!G38,Economy!I:I) + SUMIF(Specials!K:K,Specials!H38,Specials!P:P) + SUMIF(Specials!K:K,Specials!I38,Specials!P:P)-IF(ISNUMBER(SEARCH("Play immediately",L38)),1,0)</f>
        <v>3</v>
      </c>
      <c r="Q38" s="12">
        <f t="shared" si="0"/>
        <v>10</v>
      </c>
      <c r="S38" t="s">
        <v>198</v>
      </c>
      <c r="T38" t="s">
        <v>251</v>
      </c>
    </row>
    <row r="39" spans="1:20" ht="15.75" customHeight="1" x14ac:dyDescent="0.35">
      <c r="A39" t="s">
        <v>152</v>
      </c>
      <c r="B39" s="3">
        <v>2</v>
      </c>
      <c r="C39" s="39" t="s">
        <v>126</v>
      </c>
      <c r="F39" t="s">
        <v>21</v>
      </c>
      <c r="L39" t="s">
        <v>294</v>
      </c>
      <c r="M39" s="3">
        <v>10</v>
      </c>
      <c r="N39" s="34">
        <f>IF(ISNUMBER(SEARCH("climb",L39)),AVERAGE(Ladders!C$3:C$7)+M39,M39)</f>
        <v>30</v>
      </c>
      <c r="O39" s="12">
        <f>2 + SUMIF(Economy!A:A,Specials!F39,Economy!I:I) + SUMIF(Economy!A:A,Specials!G39,Economy!I:I)-IF(ISNUMBER(SEARCH("Play immediately",L39)),1,0)</f>
        <v>3</v>
      </c>
      <c r="P39" s="12">
        <f>2 + SUMIF(Economy!A:A,Specials!F39,Economy!I:I) + SUMIF(Economy!A:A,Specials!G39,Economy!I:I) + SUMIF(Specials!K:K,Specials!H39,Specials!P:P) + SUMIF(Specials!K:K,Specials!I39,Specials!P:P)-IF(ISNUMBER(SEARCH("Play immediately",L39)),1,0)</f>
        <v>3</v>
      </c>
      <c r="Q39" s="12">
        <f t="shared" si="0"/>
        <v>10</v>
      </c>
      <c r="S39" t="s">
        <v>171</v>
      </c>
      <c r="T39" t="s">
        <v>251</v>
      </c>
    </row>
    <row r="40" spans="1:20" ht="15.75" customHeight="1" x14ac:dyDescent="0.35">
      <c r="A40" t="s">
        <v>152</v>
      </c>
      <c r="B40" s="3">
        <v>1</v>
      </c>
      <c r="C40" s="39" t="s">
        <v>128</v>
      </c>
      <c r="F40" t="s">
        <v>13</v>
      </c>
      <c r="L40" t="s">
        <v>294</v>
      </c>
      <c r="M40" s="3">
        <v>10</v>
      </c>
      <c r="N40" s="34">
        <f>IF(ISNUMBER(SEARCH("climb",L40)),AVERAGE(Ladders!C$3:C$7)+M40,M40)</f>
        <v>30</v>
      </c>
      <c r="O40" s="12">
        <f>2 + SUMIF(Economy!A:A,Specials!F40,Economy!I:I) + SUMIF(Economy!A:A,Specials!G40,Economy!I:I)-IF(ISNUMBER(SEARCH("Play immediately",L40)),1,0)</f>
        <v>2.6923076923076925</v>
      </c>
      <c r="P40" s="12">
        <f>2 + SUMIF(Economy!A:A,Specials!F40,Economy!I:I) + SUMIF(Economy!A:A,Specials!G40,Economy!I:I) + SUMIF(Specials!K:K,Specials!H40,Specials!P:P) + SUMIF(Specials!K:K,Specials!I40,Specials!P:P)-IF(ISNUMBER(SEARCH("Play immediately",L40)),1,0)</f>
        <v>2.6923076923076925</v>
      </c>
      <c r="Q40" s="12">
        <f t="shared" si="0"/>
        <v>11.142857142857142</v>
      </c>
      <c r="S40" t="s">
        <v>131</v>
      </c>
      <c r="T40" t="s">
        <v>251</v>
      </c>
    </row>
    <row r="41" spans="1:20" ht="15.75" customHeight="1" x14ac:dyDescent="0.35">
      <c r="A41" t="s">
        <v>152</v>
      </c>
      <c r="B41" s="3">
        <v>1</v>
      </c>
      <c r="C41" s="39" t="s">
        <v>134</v>
      </c>
      <c r="F41" t="s">
        <v>10</v>
      </c>
      <c r="L41" t="s">
        <v>294</v>
      </c>
      <c r="M41" s="3">
        <v>20</v>
      </c>
      <c r="N41" s="34">
        <f>IF(ISNUMBER(SEARCH("climb",L41)),AVERAGE(Ladders!C$3:C$7)+M41,M41)</f>
        <v>40</v>
      </c>
      <c r="O41" s="12">
        <f>2 + SUMIF(Economy!A:A,Specials!F41,Economy!I:I) + SUMIF(Economy!A:A,Specials!G41,Economy!I:I)-IF(ISNUMBER(SEARCH("Play immediately",L41)),1,0)</f>
        <v>3</v>
      </c>
      <c r="P41" s="12">
        <f>2 + SUMIF(Economy!A:A,Specials!F41,Economy!I:I) + SUMIF(Economy!A:A,Specials!G41,Economy!I:I) + SUMIF(Specials!K:K,Specials!H41,Specials!P:P) + SUMIF(Specials!K:K,Specials!I41,Specials!P:P)-IF(ISNUMBER(SEARCH("Play immediately",L41)),1,0)</f>
        <v>3</v>
      </c>
      <c r="Q41" s="12">
        <f t="shared" si="0"/>
        <v>13.333333333333334</v>
      </c>
      <c r="S41" t="s">
        <v>165</v>
      </c>
      <c r="T41" t="s">
        <v>251</v>
      </c>
    </row>
    <row r="42" spans="1:20" ht="15.75" customHeight="1" x14ac:dyDescent="0.35">
      <c r="A42" t="s">
        <v>152</v>
      </c>
      <c r="B42" s="3">
        <v>1</v>
      </c>
      <c r="C42" s="39" t="s">
        <v>145</v>
      </c>
      <c r="L42" t="s">
        <v>294</v>
      </c>
      <c r="M42" s="3">
        <v>10</v>
      </c>
      <c r="N42" s="34">
        <f>IF(ISNUMBER(SEARCH("climb",L42)),AVERAGE(Ladders!C$3:C$7)+M42,M42)</f>
        <v>30</v>
      </c>
      <c r="O42" s="12">
        <f>2 + SUMIF(Economy!A:A,Specials!F42,Economy!I:I) + SUMIF(Economy!A:A,Specials!G42,Economy!I:I)-IF(ISNUMBER(SEARCH("Play immediately",L42)),1,0)</f>
        <v>2</v>
      </c>
      <c r="P42" s="12">
        <f>2 + SUMIF(Economy!A:A,Specials!F42,Economy!I:I) + SUMIF(Economy!A:A,Specials!G42,Economy!I:I) + SUMIF(Specials!K:K,Specials!H42,Specials!P:P) + SUMIF(Specials!K:K,Specials!I42,Specials!P:P)-IF(ISNUMBER(SEARCH("Play immediately",L42)),1,0)</f>
        <v>2</v>
      </c>
      <c r="Q42" s="12">
        <f t="shared" si="0"/>
        <v>15</v>
      </c>
      <c r="S42" t="s">
        <v>146</v>
      </c>
      <c r="T42" t="s">
        <v>251</v>
      </c>
    </row>
    <row r="43" spans="1:20" ht="15.75" customHeight="1" x14ac:dyDescent="0.35">
      <c r="A43" t="s">
        <v>152</v>
      </c>
      <c r="B43" s="3">
        <v>1</v>
      </c>
      <c r="C43" s="39" t="s">
        <v>309</v>
      </c>
      <c r="F43" t="s">
        <v>297</v>
      </c>
      <c r="L43" t="s">
        <v>294</v>
      </c>
      <c r="M43" s="3">
        <v>20</v>
      </c>
      <c r="N43" s="34">
        <f>IF(ISNUMBER(SEARCH("climb",L43)),AVERAGE(Ladders!C$3:C$7)+M43,M43)</f>
        <v>40</v>
      </c>
      <c r="O43" s="12">
        <f>2 + SUMIF(Economy!A:A,Specials!F43,Economy!I:I) + SUMIF(Economy!A:A,Specials!G43,Economy!I:I)-IF(ISNUMBER(SEARCH("Play immediately",L43)),1,0)</f>
        <v>2</v>
      </c>
      <c r="P43" s="12">
        <f>2 + SUMIF(Economy!A:A,Specials!F43,Economy!I:I) + SUMIF(Economy!A:A,Specials!G43,Economy!I:I) + SUMIF(Specials!K:K,Specials!H43,Specials!P:P) + SUMIF(Specials!K:K,Specials!I43,Specials!P:P)-IF(ISNUMBER(SEARCH("Play immediately",L43)),1,0)</f>
        <v>2</v>
      </c>
      <c r="Q43" s="12">
        <f t="shared" ref="Q43" si="2">N43/P43</f>
        <v>20</v>
      </c>
    </row>
    <row r="44" spans="1:20" ht="15.75" customHeight="1" x14ac:dyDescent="0.35">
      <c r="A44" t="s">
        <v>152</v>
      </c>
      <c r="B44" s="3">
        <v>1</v>
      </c>
      <c r="C44" s="39" t="s">
        <v>224</v>
      </c>
      <c r="K44" s="3" t="s">
        <v>301</v>
      </c>
      <c r="L44" t="s">
        <v>268</v>
      </c>
      <c r="M44" s="3">
        <v>10</v>
      </c>
      <c r="N44" s="34">
        <f>IF(ISNUMBER(SEARCH("climb",L44)),AVERAGE(Ladders!C$3:C$7)+M44,M44)</f>
        <v>30</v>
      </c>
      <c r="O44" s="12">
        <f>2 + SUMIF(Economy!A:A,Specials!F44,Economy!I:I) + SUMIF(Economy!A:A,Specials!G44,Economy!I:I)-IF(ISNUMBER(SEARCH("Play immediately",L44)),1,0)</f>
        <v>1</v>
      </c>
      <c r="P44" s="12">
        <f>2 + SUMIF(Economy!A:A,Specials!F44,Economy!I:I) + SUMIF(Economy!A:A,Specials!G44,Economy!I:I) + SUMIF(Specials!K:K,Specials!H44,Specials!P:P) + SUMIF(Specials!K:K,Specials!I44,Specials!P:P)-IF(ISNUMBER(SEARCH("Play immediately",L44)),1,0)</f>
        <v>1</v>
      </c>
      <c r="Q44" s="12">
        <f t="shared" si="0"/>
        <v>30</v>
      </c>
      <c r="R44" s="12" t="str">
        <f t="shared" si="1"/>
        <v/>
      </c>
      <c r="S44" t="s">
        <v>242</v>
      </c>
      <c r="T44" t="s">
        <v>251</v>
      </c>
    </row>
    <row r="45" spans="1:20" ht="15.75" customHeight="1" x14ac:dyDescent="0.35">
      <c r="A45" t="s">
        <v>152</v>
      </c>
      <c r="B45" s="3">
        <v>1</v>
      </c>
      <c r="C45" s="39" t="s">
        <v>226</v>
      </c>
      <c r="K45" s="3" t="s">
        <v>302</v>
      </c>
      <c r="L45" t="s">
        <v>269</v>
      </c>
      <c r="M45" s="3">
        <v>10</v>
      </c>
      <c r="N45" s="34">
        <f>IF(ISNUMBER(SEARCH("climb",L45)),AVERAGE(Ladders!C$3:C$7)+M45,M45)</f>
        <v>10</v>
      </c>
      <c r="O45" s="12">
        <f>2 + SUMIF(Economy!A:A,Specials!F45,Economy!I:I) + SUMIF(Economy!A:A,Specials!G45,Economy!I:I)-IF(ISNUMBER(SEARCH("Play immediately",L45)),1,0)</f>
        <v>1</v>
      </c>
      <c r="P45" s="12">
        <f>2 + SUMIF(Economy!A:A,Specials!F45,Economy!I:I) + SUMIF(Economy!A:A,Specials!G45,Economy!I:I) + SUMIF(Specials!K:K,Specials!H45,Specials!P:P) + SUMIF(Specials!K:K,Specials!I45,Specials!P:P)-IF(ISNUMBER(SEARCH("Play immediately",L45)),1,0)</f>
        <v>1</v>
      </c>
      <c r="Q45" s="12">
        <f t="shared" si="0"/>
        <v>10</v>
      </c>
      <c r="R45" s="12" t="str">
        <f t="shared" si="1"/>
        <v/>
      </c>
      <c r="S45" t="s">
        <v>225</v>
      </c>
      <c r="T45" t="s">
        <v>251</v>
      </c>
    </row>
    <row r="46" spans="1:20" ht="15.75" customHeight="1" x14ac:dyDescent="0.35">
      <c r="A46" t="s">
        <v>152</v>
      </c>
      <c r="B46" s="3">
        <v>1</v>
      </c>
      <c r="C46" s="39" t="s">
        <v>304</v>
      </c>
      <c r="F46" t="s">
        <v>297</v>
      </c>
      <c r="H46" t="s">
        <v>239</v>
      </c>
      <c r="K46" s="3" t="s">
        <v>307</v>
      </c>
      <c r="L46" t="s">
        <v>306</v>
      </c>
      <c r="M46" s="3">
        <v>10</v>
      </c>
      <c r="N46" s="34">
        <f>IF(ISNUMBER(SEARCH("climb",L46)),AVERAGE(Ladders!C$3:C$7)+M46,M46)</f>
        <v>10</v>
      </c>
      <c r="O46" s="12">
        <f>2 + SUMIF(Economy!A:A,Specials!F46,Economy!I:I) + SUMIF(Economy!A:A,Specials!G46,Economy!I:I)-IF(ISNUMBER(SEARCH("Play immediately",L46)),1,0)</f>
        <v>1</v>
      </c>
      <c r="P46" s="12">
        <f>2 + SUMIF(Economy!A:A,Specials!F46,Economy!I:I) + SUMIF(Economy!A:A,Specials!G46,Economy!I:I) + SUMIF(Specials!K:K,Specials!H46,Specials!P:P) + SUMIF(Specials!K:K,Specials!I46,Specials!P:P)-IF(ISNUMBER(SEARCH("Play immediately",L46)),1,0)</f>
        <v>4</v>
      </c>
      <c r="Q46" s="12">
        <f t="shared" ref="Q46" si="3">N46/P46</f>
        <v>2.5</v>
      </c>
      <c r="S46" t="s">
        <v>308</v>
      </c>
    </row>
    <row r="47" spans="1:20" ht="15.75" customHeight="1" x14ac:dyDescent="0.35">
      <c r="A47" t="s">
        <v>152</v>
      </c>
      <c r="B47" s="3">
        <v>1</v>
      </c>
      <c r="C47" s="39" t="s">
        <v>193</v>
      </c>
      <c r="F47" t="s">
        <v>8</v>
      </c>
      <c r="G47" t="s">
        <v>21</v>
      </c>
      <c r="M47" s="3">
        <v>60</v>
      </c>
      <c r="N47" s="34">
        <f>IF(ISNUMBER(SEARCH("climb",L47)),AVERAGE(Ladders!C$3:C$7)+M47,M47)</f>
        <v>60</v>
      </c>
      <c r="O47" s="12">
        <f>2 + SUMIF(Economy!A:A,Specials!F47,Economy!I:I) + SUMIF(Economy!A:A,Specials!G47,Economy!I:I)-IF(ISNUMBER(SEARCH("Play immediately",L47)),1,0)</f>
        <v>3.6470588235294117</v>
      </c>
      <c r="P47" s="12">
        <f>2 + SUMIF(Economy!A:A,Specials!F47,Economy!I:I) + SUMIF(Economy!A:A,Specials!G47,Economy!I:I) + SUMIF(Specials!K:K,Specials!H47,Specials!P:P) + SUMIF(Specials!K:K,Specials!I47,Specials!P:P)-IF(ISNUMBER(SEARCH("Play immediately",L47)),1,0)</f>
        <v>3.6470588235294117</v>
      </c>
      <c r="Q47" s="12">
        <f t="shared" si="0"/>
        <v>16.451612903225808</v>
      </c>
      <c r="R47" s="12" t="str">
        <f t="shared" si="1"/>
        <v/>
      </c>
      <c r="S47" t="s">
        <v>270</v>
      </c>
      <c r="T47" t="s">
        <v>251</v>
      </c>
    </row>
    <row r="48" spans="1:20" ht="15.75" customHeight="1" x14ac:dyDescent="0.35">
      <c r="A48" t="s">
        <v>152</v>
      </c>
      <c r="B48" s="3">
        <v>1</v>
      </c>
      <c r="C48" s="39" t="s">
        <v>155</v>
      </c>
      <c r="F48" t="s">
        <v>25</v>
      </c>
      <c r="G48" t="s">
        <v>12</v>
      </c>
      <c r="M48" s="3">
        <v>70</v>
      </c>
      <c r="N48" s="34">
        <f>IF(ISNUMBER(SEARCH("climb",L48)),AVERAGE(Ladders!C$3:C$7)+M48,M48)</f>
        <v>70</v>
      </c>
      <c r="O48" s="12">
        <f>2 + SUMIF(Economy!A:A,Specials!F48,Economy!I:I) + SUMIF(Economy!A:A,Specials!G48,Economy!I:I)-IF(ISNUMBER(SEARCH("Play immediately",L48)),1,0)</f>
        <v>3.5</v>
      </c>
      <c r="P48" s="12">
        <f>2 + SUMIF(Economy!A:A,Specials!F48,Economy!I:I) + SUMIF(Economy!A:A,Specials!G48,Economy!I:I) + SUMIF(Specials!K:K,Specials!H48,Specials!P:P) + SUMIF(Specials!K:K,Specials!I48,Specials!P:P)-IF(ISNUMBER(SEARCH("Play immediately",L48)),1,0)</f>
        <v>3.5</v>
      </c>
      <c r="Q48" s="12">
        <f t="shared" si="0"/>
        <v>20</v>
      </c>
      <c r="R48" s="12" t="str">
        <f t="shared" si="1"/>
        <v/>
      </c>
      <c r="S48" t="s">
        <v>184</v>
      </c>
      <c r="T48" t="s">
        <v>251</v>
      </c>
    </row>
    <row r="49" spans="1:20" ht="15.75" customHeight="1" x14ac:dyDescent="0.35">
      <c r="A49" t="s">
        <v>152</v>
      </c>
      <c r="B49" s="3">
        <v>1</v>
      </c>
      <c r="C49" s="39" t="s">
        <v>156</v>
      </c>
      <c r="F49" t="s">
        <v>10</v>
      </c>
      <c r="G49" t="s">
        <v>24</v>
      </c>
      <c r="M49" s="3">
        <v>80</v>
      </c>
      <c r="N49" s="34">
        <f>IF(ISNUMBER(SEARCH("climb",L49)),AVERAGE(Ladders!C$3:C$7)+M49,M49)</f>
        <v>80</v>
      </c>
      <c r="O49" s="12">
        <f>2 + SUMIF(Economy!A:A,Specials!F49,Economy!I:I) + SUMIF(Economy!A:A,Specials!G49,Economy!I:I)-IF(ISNUMBER(SEARCH("Play immediately",L49)),1,0)</f>
        <v>4</v>
      </c>
      <c r="P49" s="12">
        <f>2 + SUMIF(Economy!A:A,Specials!F49,Economy!I:I) + SUMIF(Economy!A:A,Specials!G49,Economy!I:I) + SUMIF(Specials!K:K,Specials!H49,Specials!P:P) + SUMIF(Specials!K:K,Specials!I49,Specials!P:P)-IF(ISNUMBER(SEARCH("Play immediately",L49)),1,0)</f>
        <v>4</v>
      </c>
      <c r="Q49" s="12">
        <f t="shared" si="0"/>
        <v>20</v>
      </c>
      <c r="R49" s="12" t="str">
        <f t="shared" si="1"/>
        <v/>
      </c>
      <c r="S49" t="s">
        <v>185</v>
      </c>
      <c r="T49" t="s">
        <v>251</v>
      </c>
    </row>
    <row r="50" spans="1:20" ht="15.75" customHeight="1" x14ac:dyDescent="0.35">
      <c r="A50" t="s">
        <v>152</v>
      </c>
      <c r="B50" s="3">
        <v>1</v>
      </c>
      <c r="C50" s="39" t="s">
        <v>29</v>
      </c>
      <c r="F50" t="s">
        <v>14</v>
      </c>
      <c r="L50" t="s">
        <v>135</v>
      </c>
      <c r="M50" s="3">
        <v>-30</v>
      </c>
      <c r="N50" s="34">
        <f>IF(ISNUMBER(SEARCH("climb",L50)),AVERAGE(Ladders!C$3:C$7)+M50,M50)</f>
        <v>-30</v>
      </c>
      <c r="O50" s="12">
        <f>2 + SUMIF(Economy!A:A,Specials!F50,Economy!I:I) + SUMIF(Economy!A:A,Specials!G50,Economy!I:I)-IF(ISNUMBER(SEARCH("Play immediately",L50)),1,0)</f>
        <v>3</v>
      </c>
      <c r="P50" s="12">
        <f>2 + SUMIF(Economy!A:A,Specials!F50,Economy!I:I) + SUMIF(Economy!A:A,Specials!G50,Economy!I:I) + SUMIF(Specials!K:K,Specials!H50,Specials!P:P) + SUMIF(Specials!K:K,Specials!I50,Specials!P:P)-IF(ISNUMBER(SEARCH("Play immediately",L50)),1,0)</f>
        <v>3</v>
      </c>
      <c r="Q50" s="12">
        <f t="shared" si="0"/>
        <v>-10</v>
      </c>
      <c r="R50" s="12" t="str">
        <f t="shared" si="1"/>
        <v/>
      </c>
      <c r="S50" t="s">
        <v>164</v>
      </c>
      <c r="T50" t="s">
        <v>251</v>
      </c>
    </row>
    <row r="51" spans="1:20" ht="15.75" customHeight="1" x14ac:dyDescent="0.35">
      <c r="A51" t="s">
        <v>152</v>
      </c>
      <c r="B51" s="3">
        <v>1</v>
      </c>
      <c r="C51" s="39" t="s">
        <v>201</v>
      </c>
      <c r="J51" t="s">
        <v>221</v>
      </c>
      <c r="K51" s="3" t="s">
        <v>208</v>
      </c>
      <c r="L51" t="s">
        <v>289</v>
      </c>
      <c r="M51" s="3">
        <v>10</v>
      </c>
      <c r="N51" s="34">
        <f>IF(ISNUMBER(SEARCH("climb",L51)),AVERAGE(Ladders!C$3:C$7)+M51,M51)</f>
        <v>10</v>
      </c>
      <c r="O51" s="12">
        <f>2 + SUMIF(Economy!A:A,Specials!F51,Economy!I:I) + SUMIF(Economy!A:A,Specials!G51,Economy!I:I)-IF(ISNUMBER(SEARCH("Play immediately",L51)),1,0)</f>
        <v>1</v>
      </c>
      <c r="P51" s="12">
        <f>2 + SUMIF(Economy!A:A,Specials!F51,Economy!I:I) + SUMIF(Economy!A:A,Specials!G51,Economy!I:I) + SUMIF(Specials!K:K,Specials!H51,Specials!P:P) + SUMIF(Specials!K:K,Specials!I51,Specials!P:P)-IF(ISNUMBER(SEARCH("Play immediately",L51)),1,0)</f>
        <v>1</v>
      </c>
      <c r="Q51" s="12">
        <f t="shared" ref="Q51" si="4">N51/P51</f>
        <v>10</v>
      </c>
      <c r="R51" s="12" t="str">
        <f t="shared" si="1"/>
        <v/>
      </c>
      <c r="S51" t="s">
        <v>290</v>
      </c>
    </row>
    <row r="52" spans="1:20" ht="15.75" customHeight="1" x14ac:dyDescent="0.35">
      <c r="A52" t="s">
        <v>152</v>
      </c>
      <c r="B52" s="3">
        <v>1</v>
      </c>
      <c r="C52" s="39" t="s">
        <v>293</v>
      </c>
      <c r="H52" t="s">
        <v>221</v>
      </c>
      <c r="K52" s="3" t="s">
        <v>292</v>
      </c>
      <c r="L52" t="s">
        <v>291</v>
      </c>
      <c r="M52" s="3">
        <v>20</v>
      </c>
      <c r="N52" s="34">
        <f>IF(ISNUMBER(SEARCH("climb",L52)),AVERAGE(Ladders!C$3:C$7)+M52,M52)</f>
        <v>20</v>
      </c>
      <c r="O52" s="12">
        <f>2 + SUMIF(Economy!A:A,Specials!F52,Economy!I:I) + SUMIF(Economy!A:A,Specials!G52,Economy!I:I)-IF(ISNUMBER(SEARCH("Play immediately",L52)),1,0)</f>
        <v>2</v>
      </c>
      <c r="P52" s="12">
        <f>2 + SUMIF(Economy!A:A,Specials!F52,Economy!I:I) + SUMIF(Economy!A:A,Specials!G52,Economy!I:I) + SUMIF(Specials!K:K,Specials!H52,Specials!P:P) + SUMIF(Specials!K:K,Specials!I52,Specials!P:P)-IF(ISNUMBER(SEARCH("Play immediately",L52)),1,0)</f>
        <v>4</v>
      </c>
      <c r="Q52" s="12">
        <f t="shared" si="0"/>
        <v>5</v>
      </c>
      <c r="R52" s="12">
        <f t="shared" si="1"/>
        <v>10</v>
      </c>
      <c r="S52" t="s">
        <v>194</v>
      </c>
      <c r="T52" t="s">
        <v>251</v>
      </c>
    </row>
    <row r="53" spans="1:20" x14ac:dyDescent="0.35">
      <c r="A53" t="s">
        <v>152</v>
      </c>
      <c r="B53" s="3">
        <v>1</v>
      </c>
      <c r="C53" s="39" t="s">
        <v>95</v>
      </c>
      <c r="K53" s="3" t="s">
        <v>187</v>
      </c>
      <c r="L53" t="s">
        <v>200</v>
      </c>
      <c r="M53" s="3">
        <v>30</v>
      </c>
      <c r="N53" s="34">
        <f>IF(ISNUMBER(SEARCH("climb",L53)),AVERAGE(Ladders!C$3:C$7)+M53,M53)</f>
        <v>30</v>
      </c>
      <c r="O53" s="12">
        <f>2 + SUMIF(Economy!A:A,Specials!F53,Economy!I:I) + SUMIF(Economy!A:A,Specials!G53,Economy!I:I)-IF(ISNUMBER(SEARCH("Play immediately",L53)),1,0)</f>
        <v>2</v>
      </c>
      <c r="P53" s="12">
        <f>2 + SUMIF(Economy!A:A,Specials!F53,Economy!I:I) + SUMIF(Economy!A:A,Specials!G53,Economy!I:I) + SUMIF(Specials!K:K,Specials!H53,Specials!P:P) + SUMIF(Specials!K:K,Specials!I53,Specials!P:P)-IF(ISNUMBER(SEARCH("Play immediately",L53)),1,0)</f>
        <v>2</v>
      </c>
      <c r="Q53" s="12">
        <f t="shared" si="0"/>
        <v>15</v>
      </c>
      <c r="R53" s="12" t="str">
        <f t="shared" si="1"/>
        <v/>
      </c>
      <c r="S53" t="s">
        <v>94</v>
      </c>
      <c r="T53" t="s">
        <v>251</v>
      </c>
    </row>
    <row r="54" spans="1:20" x14ac:dyDescent="0.35">
      <c r="A54" t="s">
        <v>152</v>
      </c>
      <c r="B54" s="3">
        <v>1</v>
      </c>
      <c r="C54" s="39" t="s">
        <v>186</v>
      </c>
      <c r="F54" t="s">
        <v>24</v>
      </c>
      <c r="K54" s="3" t="s">
        <v>262</v>
      </c>
      <c r="L54" t="s">
        <v>280</v>
      </c>
      <c r="M54" s="3">
        <v>40</v>
      </c>
      <c r="N54" s="34">
        <f>IF(ISNUMBER(SEARCH("climb",L54)),AVERAGE(Ladders!C$3:C$7)+M54,M54)</f>
        <v>40</v>
      </c>
      <c r="O54" s="12">
        <f>2 + SUMIF(Economy!A:A,Specials!F54,Economy!I:I) + SUMIF(Economy!A:A,Specials!G54,Economy!I:I)-IF(ISNUMBER(SEARCH("Play immediately",L54)),1,0)</f>
        <v>3</v>
      </c>
      <c r="P54" s="12">
        <f>2 + SUMIF(Economy!A:A,Specials!F54,Economy!I:I) + SUMIF(Economy!A:A,Specials!G54,Economy!I:I) + SUMIF(Specials!K:K,Specials!H54,Specials!P:P) + SUMIF(Specials!K:K,Specials!I54,Specials!P:P)-IF(ISNUMBER(SEARCH("Play immediately",L54)),1,0)</f>
        <v>3</v>
      </c>
      <c r="Q54" s="12">
        <f t="shared" si="0"/>
        <v>13.333333333333334</v>
      </c>
      <c r="R54" s="12" t="str">
        <f t="shared" si="1"/>
        <v/>
      </c>
      <c r="S54" t="s">
        <v>188</v>
      </c>
      <c r="T54" t="s">
        <v>251</v>
      </c>
    </row>
    <row r="55" spans="1:20" x14ac:dyDescent="0.35">
      <c r="A55" t="s">
        <v>152</v>
      </c>
      <c r="B55" s="3">
        <v>1</v>
      </c>
      <c r="C55" s="39" t="s">
        <v>19</v>
      </c>
      <c r="L55" t="s">
        <v>177</v>
      </c>
      <c r="M55" s="3" t="s">
        <v>159</v>
      </c>
      <c r="N55" s="34" t="str">
        <f>IF(ISNUMBER(SEARCH("climb",L55)),AVERAGE(Ladders!C$3:C$7)+M55,"")</f>
        <v/>
      </c>
      <c r="O55" s="12">
        <f>2 + SUMIF(Economy!A:A,Specials!F55,Economy!I:I) + SUMIF(Economy!A:A,Specials!G55,Economy!I:I)-IF(ISNUMBER(SEARCH("Play immediately",L55)),1,0)</f>
        <v>2</v>
      </c>
      <c r="P55" s="12">
        <f>2 + SUMIF(Economy!A:A,Specials!F55,Economy!I:I) + SUMIF(Economy!A:A,Specials!G55,Economy!I:I) + SUMIF(Specials!K:K,Specials!H55,Specials!P:P) + SUMIF(Specials!K:K,Specials!I55,Specials!P:P)-IF(ISNUMBER(SEARCH("Play immediately",L55)),1,0)</f>
        <v>2</v>
      </c>
      <c r="S55" t="s">
        <v>91</v>
      </c>
      <c r="T55" t="s">
        <v>251</v>
      </c>
    </row>
    <row r="56" spans="1:20" s="4" customFormat="1" x14ac:dyDescent="0.35">
      <c r="A56" s="4" t="s">
        <v>7</v>
      </c>
      <c r="B56" s="8">
        <v>1</v>
      </c>
      <c r="C56" s="40" t="s">
        <v>37</v>
      </c>
      <c r="F56" s="4" t="s">
        <v>14</v>
      </c>
      <c r="G56" s="4" t="s">
        <v>87</v>
      </c>
      <c r="K56" s="8"/>
      <c r="L56" s="4" t="s">
        <v>227</v>
      </c>
      <c r="M56" s="8">
        <v>100</v>
      </c>
      <c r="N56" s="35" t="str">
        <f>IF(ISNUMBER(SEARCH("climb",L56)),AVERAGE(Ladders!C$3:C$7)+M56,"")</f>
        <v/>
      </c>
      <c r="O56" s="11">
        <f>2 + SUMIF(Economy!A:A,Specials!F56,Economy!I:I) + SUMIF(Economy!A:A,Specials!G56,Economy!I:I)-IF(ISNUMBER(SEARCH("Play immediately",L56)),1,0)</f>
        <v>4</v>
      </c>
      <c r="P56" s="11">
        <f>2 + SUMIF(Economy!A:A,Specials!F56,Economy!I:I) + SUMIF(Economy!A:A,Specials!G56,Economy!I:I) + SUMIF(Specials!K:K,Specials!H56,Specials!P:P) + SUMIF(Specials!K:K,Specials!I56,Specials!P:P)-IF(ISNUMBER(SEARCH("Play immediately",L56)),1,0)</f>
        <v>4</v>
      </c>
      <c r="Q56" s="11">
        <f>M56/P56</f>
        <v>25</v>
      </c>
      <c r="R56" s="11">
        <f>M56/P56</f>
        <v>25</v>
      </c>
      <c r="S56" s="4" t="s">
        <v>22</v>
      </c>
      <c r="T56" s="4" t="s">
        <v>251</v>
      </c>
    </row>
    <row r="57" spans="1:20" x14ac:dyDescent="0.35">
      <c r="A57" t="s">
        <v>7</v>
      </c>
      <c r="B57" s="3">
        <v>1</v>
      </c>
      <c r="C57" s="39" t="s">
        <v>61</v>
      </c>
      <c r="L57" t="s">
        <v>199</v>
      </c>
      <c r="M57" s="3" t="s">
        <v>159</v>
      </c>
      <c r="N57" s="34" t="str">
        <f>IF(ISNUMBER(SEARCH("climb",L57)),AVERAGE(Ladders!C$3:C$7)+M57,"")</f>
        <v/>
      </c>
      <c r="O57" s="12">
        <f>2 + SUMIF(Economy!A:A,Specials!F57,Economy!I:I) + SUMIF(Economy!A:A,Specials!G57,Economy!I:I)-IF(ISNUMBER(SEARCH("Play immediately",L57)),1,0)</f>
        <v>2</v>
      </c>
      <c r="P57" s="12">
        <f>2 + SUMIF(Economy!A:A,Specials!F57,Economy!I:I) + SUMIF(Economy!A:A,Specials!G57,Economy!I:I) + SUMIF(Specials!K:K,Specials!H57,Specials!P:P) + SUMIF(Specials!K:K,Specials!I57,Specials!P:P)-IF(ISNUMBER(SEARCH("Play immediately",L57)),1,0)</f>
        <v>2</v>
      </c>
      <c r="S57" t="s">
        <v>36</v>
      </c>
      <c r="T57" t="s">
        <v>251</v>
      </c>
    </row>
    <row r="58" spans="1:20" x14ac:dyDescent="0.35">
      <c r="A58" t="s">
        <v>7</v>
      </c>
      <c r="B58" s="3">
        <v>1</v>
      </c>
      <c r="C58" s="39" t="s">
        <v>228</v>
      </c>
      <c r="L58" t="s">
        <v>176</v>
      </c>
      <c r="M58" s="3" t="s">
        <v>159</v>
      </c>
      <c r="N58" s="34" t="str">
        <f>IF(ISNUMBER(SEARCH("climb",L58)),AVERAGE(Ladders!C$3:C$7)+M58,"")</f>
        <v/>
      </c>
      <c r="O58" s="12">
        <f>2 + SUMIF(Economy!A:A,Specials!F58,Economy!I:I) + SUMIF(Economy!A:A,Specials!G58,Economy!I:I)-IF(ISNUMBER(SEARCH("Play immediately",L58)),1,0)</f>
        <v>2</v>
      </c>
      <c r="P58" s="12">
        <f>2 + SUMIF(Economy!A:A,Specials!F58,Economy!I:I) + SUMIF(Economy!A:A,Specials!G58,Economy!I:I) + SUMIF(Specials!K:K,Specials!H58,Specials!P:P) + SUMIF(Specials!K:K,Specials!I58,Specials!P:P)-IF(ISNUMBER(SEARCH("Play immediately",L58)),1,0)</f>
        <v>2</v>
      </c>
      <c r="S58" t="s">
        <v>26</v>
      </c>
      <c r="T58" t="s">
        <v>251</v>
      </c>
    </row>
    <row r="59" spans="1:20" x14ac:dyDescent="0.35">
      <c r="A59" t="s">
        <v>7</v>
      </c>
      <c r="B59" s="3">
        <v>1</v>
      </c>
      <c r="C59" s="39" t="s">
        <v>28</v>
      </c>
      <c r="L59" t="s">
        <v>174</v>
      </c>
      <c r="M59" s="3" t="s">
        <v>159</v>
      </c>
      <c r="N59" s="34" t="str">
        <f>IF(ISNUMBER(SEARCH("climb",L59)),AVERAGE(Ladders!C$3:C$7)+M59,"")</f>
        <v/>
      </c>
      <c r="O59" s="12">
        <f>2 + SUMIF(Economy!A:A,Specials!F59,Economy!I:I) + SUMIF(Economy!A:A,Specials!G59,Economy!I:I)-IF(ISNUMBER(SEARCH("Play immediately",L59)),1,0)</f>
        <v>2</v>
      </c>
      <c r="P59" s="12">
        <f>2 + SUMIF(Economy!A:A,Specials!F59,Economy!I:I) + SUMIF(Economy!A:A,Specials!G59,Economy!I:I) + SUMIF(Specials!K:K,Specials!H59,Specials!P:P) + SUMIF(Specials!K:K,Specials!I59,Specials!P:P)-IF(ISNUMBER(SEARCH("Play immediately",L59)),1,0)</f>
        <v>2</v>
      </c>
      <c r="S59" t="s">
        <v>175</v>
      </c>
      <c r="T59" t="s">
        <v>251</v>
      </c>
    </row>
    <row r="60" spans="1:20" x14ac:dyDescent="0.35">
      <c r="A60" t="s">
        <v>7</v>
      </c>
      <c r="B60" s="3">
        <v>1</v>
      </c>
      <c r="C60" s="39" t="s">
        <v>31</v>
      </c>
      <c r="H60" t="s">
        <v>141</v>
      </c>
      <c r="L60" t="s">
        <v>275</v>
      </c>
      <c r="M60" s="3" t="s">
        <v>159</v>
      </c>
      <c r="N60" s="34" t="str">
        <f>IF(ISNUMBER(SEARCH("climb",L60)),AVERAGE(Ladders!C$3:C$7)+M60,"")</f>
        <v/>
      </c>
      <c r="O60" s="12">
        <f>2 + SUMIF(Economy!A:A,Specials!F60,Economy!I:I) + SUMIF(Economy!A:A,Specials!G60,Economy!I:I)-IF(ISNUMBER(SEARCH("Play immediately",L60)),1,0)</f>
        <v>2</v>
      </c>
      <c r="P60" s="12">
        <f>2 + SUMIF(Economy!A:A,Specials!F60,Economy!I:I) + SUMIF(Economy!A:A,Specials!G60,Economy!I:I) + SUMIF(Specials!K:K,Specials!H60,Specials!P:P) + SUMIF(Specials!K:K,Specials!I60,Specials!P:P)-IF(ISNUMBER(SEARCH("Play immediately",L60)),1,0)</f>
        <v>2</v>
      </c>
      <c r="S60" t="s">
        <v>212</v>
      </c>
      <c r="T60" t="s">
        <v>251</v>
      </c>
    </row>
    <row r="61" spans="1:20" x14ac:dyDescent="0.35">
      <c r="A61" t="s">
        <v>7</v>
      </c>
      <c r="B61" s="3">
        <v>1</v>
      </c>
      <c r="C61" s="39" t="s">
        <v>40</v>
      </c>
      <c r="H61" t="s">
        <v>30</v>
      </c>
      <c r="L61" t="s">
        <v>138</v>
      </c>
      <c r="M61" s="3" t="s">
        <v>159</v>
      </c>
      <c r="N61" s="34" t="str">
        <f>IF(ISNUMBER(SEARCH("climb",L61)),AVERAGE(Ladders!C$3:C$7)+M61,"")</f>
        <v/>
      </c>
      <c r="O61" s="12">
        <f>2 + SUMIF(Economy!A:A,Specials!F61,Economy!I:I) + SUMIF(Economy!A:A,Specials!G61,Economy!I:I)-IF(ISNUMBER(SEARCH("Play immediately",L61)),1,0)</f>
        <v>2</v>
      </c>
      <c r="P61" s="12">
        <f>2 + SUMIF(Economy!A:A,Specials!F61,Economy!I:I) + SUMIF(Economy!A:A,Specials!G61,Economy!I:I) + SUMIF(Specials!K:K,Specials!H61,Specials!P:P) + SUMIF(Specials!K:K,Specials!I61,Specials!P:P)-IF(ISNUMBER(SEARCH("Play immediately",L61)),1,0)</f>
        <v>5</v>
      </c>
      <c r="S61" t="s">
        <v>48</v>
      </c>
      <c r="T61" t="s">
        <v>251</v>
      </c>
    </row>
    <row r="62" spans="1:20" x14ac:dyDescent="0.35">
      <c r="A62" t="s">
        <v>7</v>
      </c>
      <c r="B62" s="3">
        <v>1</v>
      </c>
      <c r="C62" s="39" t="s">
        <v>157</v>
      </c>
      <c r="L62" t="s">
        <v>264</v>
      </c>
      <c r="M62" s="3" t="s">
        <v>159</v>
      </c>
      <c r="N62" s="34" t="str">
        <f>IF(ISNUMBER(SEARCH("climb",L62)),AVERAGE(Ladders!C$3:C$7)+M62,"")</f>
        <v/>
      </c>
      <c r="O62" s="12">
        <f>2 + SUMIF(Economy!A:A,Specials!F62,Economy!I:I) + SUMIF(Economy!A:A,Specials!G62,Economy!I:I)-IF(ISNUMBER(SEARCH("Play immediately",L62)),1,0)</f>
        <v>2</v>
      </c>
      <c r="P62" s="12">
        <f>2 + SUMIF(Economy!A:A,Specials!F62,Economy!I:I) + SUMIF(Economy!A:A,Specials!G62,Economy!I:I) + SUMIF(Specials!K:K,Specials!H62,Specials!P:P) + SUMIF(Specials!K:K,Specials!I62,Specials!P:P)-IF(ISNUMBER(SEARCH("Play immediately",L62)),1,0)</f>
        <v>2</v>
      </c>
      <c r="S62" t="s">
        <v>158</v>
      </c>
      <c r="T62" t="s">
        <v>251</v>
      </c>
    </row>
    <row r="63" spans="1:20" x14ac:dyDescent="0.35">
      <c r="A63" t="s">
        <v>7</v>
      </c>
      <c r="B63" s="3">
        <v>1</v>
      </c>
      <c r="C63" s="39" t="s">
        <v>178</v>
      </c>
      <c r="L63" t="s">
        <v>265</v>
      </c>
      <c r="M63" s="3" t="s">
        <v>159</v>
      </c>
      <c r="N63" s="34" t="str">
        <f>IF(ISNUMBER(SEARCH("climb",L63)),AVERAGE(Ladders!C$3:C$7)+M63,"")</f>
        <v/>
      </c>
      <c r="O63" s="12">
        <f>2 + SUMIF(Economy!A:A,Specials!F63,Economy!I:I) + SUMIF(Economy!A:A,Specials!G63,Economy!I:I)-IF(ISNUMBER(SEARCH("Play immediately",L63)),1,0)</f>
        <v>2</v>
      </c>
      <c r="P63" s="12">
        <f>2 + SUMIF(Economy!A:A,Specials!F63,Economy!I:I) + SUMIF(Economy!A:A,Specials!G63,Economy!I:I) + SUMIF(Specials!K:K,Specials!H63,Specials!P:P) + SUMIF(Specials!K:K,Specials!I63,Specials!P:P)-IF(ISNUMBER(SEARCH("Play immediately",L63)),1,0)</f>
        <v>2</v>
      </c>
      <c r="S63" t="s">
        <v>202</v>
      </c>
      <c r="T63" t="s">
        <v>251</v>
      </c>
    </row>
    <row r="64" spans="1:20" s="26" customFormat="1" x14ac:dyDescent="0.35">
      <c r="A64" s="26" t="s">
        <v>7</v>
      </c>
      <c r="B64" s="32">
        <v>1</v>
      </c>
      <c r="C64" s="41" t="s">
        <v>266</v>
      </c>
      <c r="K64" s="32"/>
      <c r="L64" s="26" t="s">
        <v>238</v>
      </c>
      <c r="M64" s="32" t="s">
        <v>159</v>
      </c>
      <c r="N64" s="36" t="str">
        <f>IF(ISNUMBER(SEARCH("climb",L64)),AVERAGE(Ladders!C$3:C$7)+M64,"")</f>
        <v/>
      </c>
      <c r="O64" s="31">
        <f>2 + SUMIF(Economy!A:A,Specials!F64,Economy!I:I) + SUMIF(Economy!A:A,Specials!G64,Economy!I:I)-IF(ISNUMBER(SEARCH("Play immediately",L64)),1,0)</f>
        <v>2</v>
      </c>
      <c r="P64" s="31">
        <f>2 + SUMIF(Economy!A:A,Specials!F64,Economy!I:I) + SUMIF(Economy!A:A,Specials!G64,Economy!I:I) + SUMIF(Specials!K:K,Specials!H64,Specials!P:P) + SUMIF(Specials!K:K,Specials!I64,Specials!P:P)-IF(ISNUMBER(SEARCH("Play immediately",L64)),1,0)</f>
        <v>2</v>
      </c>
      <c r="Q64" s="31"/>
      <c r="R64" s="31"/>
      <c r="S64" s="26" t="s">
        <v>243</v>
      </c>
      <c r="T64" s="26" t="s">
        <v>251</v>
      </c>
    </row>
    <row r="65" spans="1:20" s="4" customFormat="1" x14ac:dyDescent="0.35">
      <c r="A65" s="4" t="s">
        <v>153</v>
      </c>
      <c r="B65" s="8">
        <v>1</v>
      </c>
      <c r="C65" s="40" t="s">
        <v>96</v>
      </c>
      <c r="K65" s="8"/>
      <c r="L65" s="4" t="s">
        <v>136</v>
      </c>
      <c r="M65" s="8">
        <v>0</v>
      </c>
      <c r="N65" s="35" t="str">
        <f>IF(ISNUMBER(SEARCH("climb",L65)),AVERAGE(Ladders!C$3:C$7)+M65,"")</f>
        <v/>
      </c>
      <c r="O65" s="11">
        <f>2 + SUMIF(Economy!A:A,Specials!F65,Economy!I:I) + SUMIF(Economy!A:A,Specials!G65,Economy!I:I)-IF(ISNUMBER(SEARCH("Play immediately",L65)),1,0)</f>
        <v>2</v>
      </c>
      <c r="P65" s="11">
        <f>2 + SUMIF(Economy!A:A,Specials!F65,Economy!I:I) + SUMIF(Economy!A:A,Specials!G65,Economy!I:I) + SUMIF(Specials!K:K,Specials!H65,Specials!P:P) + SUMIF(Specials!K:K,Specials!I65,Specials!P:P)-IF(ISNUMBER(SEARCH("Play immediately",L65)),1,0)</f>
        <v>2</v>
      </c>
      <c r="Q65" s="11">
        <f>M65/P65</f>
        <v>0</v>
      </c>
      <c r="R65" s="11">
        <f>M65/P65</f>
        <v>0</v>
      </c>
      <c r="S65" s="4" t="s">
        <v>120</v>
      </c>
      <c r="T65" s="4" t="s">
        <v>251</v>
      </c>
    </row>
    <row r="66" spans="1:20" s="27" customFormat="1" x14ac:dyDescent="0.35">
      <c r="A66" s="27" t="s">
        <v>215</v>
      </c>
      <c r="B66" s="33">
        <v>1</v>
      </c>
      <c r="C66" s="42" t="s">
        <v>63</v>
      </c>
      <c r="K66" s="33" t="s">
        <v>142</v>
      </c>
      <c r="L66" s="27" t="s">
        <v>223</v>
      </c>
      <c r="M66" s="33">
        <v>40</v>
      </c>
      <c r="N66" s="37" t="str">
        <f>IF(ISNUMBER(SEARCH("climb",L66)),AVERAGE(Ladders!C$3:C$7)+M66,"")</f>
        <v/>
      </c>
      <c r="O66" s="30"/>
      <c r="P66" s="30"/>
      <c r="Q66" s="30"/>
      <c r="R66" s="30"/>
      <c r="S66" s="27" t="s">
        <v>64</v>
      </c>
      <c r="T66" s="27" t="s">
        <v>251</v>
      </c>
    </row>
    <row r="67" spans="1:20" s="26" customFormat="1" ht="14.25" customHeight="1" x14ac:dyDescent="0.35">
      <c r="A67" s="26" t="s">
        <v>52</v>
      </c>
      <c r="B67" s="32">
        <v>4</v>
      </c>
      <c r="C67" s="41" t="s">
        <v>51</v>
      </c>
      <c r="K67" s="32"/>
      <c r="L67" s="26" t="s">
        <v>299</v>
      </c>
      <c r="M67" s="32">
        <v>-100</v>
      </c>
      <c r="N67" s="36" t="str">
        <f>IF(ISNUMBER(SEARCH("climb",L67)),AVERAGE(Ladders!C$3:C$7)+M67,"")</f>
        <v/>
      </c>
      <c r="O67" s="31"/>
      <c r="P67" s="31"/>
      <c r="Q67" s="31"/>
      <c r="R67" s="31"/>
      <c r="S67" s="26" t="s">
        <v>44</v>
      </c>
      <c r="T67" s="26" t="s">
        <v>251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pane ySplit="1" topLeftCell="A2" activePane="bottomLeft" state="frozen"/>
      <selection pane="bottomLeft" activeCell="D2" sqref="D2:D18"/>
    </sheetView>
  </sheetViews>
  <sheetFormatPr defaultRowHeight="14.5" x14ac:dyDescent="0.35"/>
  <cols>
    <col min="1" max="1" width="9.1796875" bestFit="1" customWidth="1"/>
    <col min="2" max="2" width="3.54296875" style="3" bestFit="1" customWidth="1"/>
    <col min="3" max="3" width="28.26953125" bestFit="1" customWidth="1"/>
    <col min="4" max="5" width="10.1796875" bestFit="1" customWidth="1"/>
    <col min="6" max="6" width="32.453125" bestFit="1" customWidth="1"/>
    <col min="7" max="7" width="4.453125" style="3" bestFit="1" customWidth="1"/>
    <col min="8" max="8" width="79.7265625" customWidth="1"/>
  </cols>
  <sheetData>
    <row r="1" spans="1:8" s="1" customFormat="1" x14ac:dyDescent="0.35">
      <c r="A1" s="1" t="s">
        <v>0</v>
      </c>
      <c r="B1" s="2" t="s">
        <v>216</v>
      </c>
      <c r="C1" s="1" t="s">
        <v>9</v>
      </c>
      <c r="D1" s="1" t="s">
        <v>148</v>
      </c>
      <c r="E1" s="1" t="s">
        <v>149</v>
      </c>
      <c r="F1" s="1" t="s">
        <v>4</v>
      </c>
      <c r="G1" s="2" t="s">
        <v>5</v>
      </c>
      <c r="H1" s="1" t="s">
        <v>1</v>
      </c>
    </row>
    <row r="2" spans="1:8" x14ac:dyDescent="0.35">
      <c r="A2" t="s">
        <v>6</v>
      </c>
      <c r="B2" s="3">
        <v>6</v>
      </c>
      <c r="C2" t="s">
        <v>76</v>
      </c>
      <c r="D2" t="s">
        <v>8</v>
      </c>
      <c r="E2" t="s">
        <v>8</v>
      </c>
      <c r="G2">
        <v>1</v>
      </c>
      <c r="H2" t="s">
        <v>217</v>
      </c>
    </row>
    <row r="3" spans="1:8" x14ac:dyDescent="0.35">
      <c r="A3" t="s">
        <v>6</v>
      </c>
      <c r="B3" s="3">
        <v>4</v>
      </c>
      <c r="C3" t="s">
        <v>169</v>
      </c>
      <c r="D3" t="s">
        <v>13</v>
      </c>
      <c r="E3" t="s">
        <v>13</v>
      </c>
      <c r="G3">
        <v>1</v>
      </c>
      <c r="H3" t="s">
        <v>115</v>
      </c>
    </row>
    <row r="4" spans="1:8" x14ac:dyDescent="0.35">
      <c r="A4" t="s">
        <v>6</v>
      </c>
      <c r="B4" s="3">
        <v>7</v>
      </c>
      <c r="C4" t="s">
        <v>80</v>
      </c>
      <c r="D4" t="s">
        <v>10</v>
      </c>
      <c r="G4">
        <v>1</v>
      </c>
      <c r="H4" t="s">
        <v>116</v>
      </c>
    </row>
    <row r="5" spans="1:8" x14ac:dyDescent="0.35">
      <c r="A5" t="s">
        <v>6</v>
      </c>
      <c r="B5" s="3">
        <v>1</v>
      </c>
      <c r="C5" t="s">
        <v>219</v>
      </c>
      <c r="D5" t="s">
        <v>10</v>
      </c>
      <c r="E5" t="s">
        <v>13</v>
      </c>
      <c r="G5">
        <v>1</v>
      </c>
      <c r="H5" t="s">
        <v>220</v>
      </c>
    </row>
    <row r="6" spans="1:8" x14ac:dyDescent="0.35">
      <c r="A6" t="s">
        <v>6</v>
      </c>
      <c r="B6" s="3">
        <v>4</v>
      </c>
      <c r="C6" t="s">
        <v>111</v>
      </c>
      <c r="D6" t="s">
        <v>13</v>
      </c>
      <c r="E6" t="s">
        <v>8</v>
      </c>
      <c r="G6">
        <v>1</v>
      </c>
      <c r="H6" t="s">
        <v>117</v>
      </c>
    </row>
    <row r="7" spans="1:8" x14ac:dyDescent="0.35">
      <c r="A7" t="s">
        <v>6</v>
      </c>
      <c r="B7" s="3">
        <v>3</v>
      </c>
      <c r="C7" t="s">
        <v>49</v>
      </c>
      <c r="D7" t="s">
        <v>24</v>
      </c>
      <c r="G7">
        <v>1</v>
      </c>
      <c r="H7" t="s">
        <v>218</v>
      </c>
    </row>
    <row r="8" spans="1:8" x14ac:dyDescent="0.35">
      <c r="A8" t="s">
        <v>6</v>
      </c>
      <c r="B8" s="3">
        <v>3</v>
      </c>
      <c r="C8" t="s">
        <v>83</v>
      </c>
      <c r="D8" t="s">
        <v>11</v>
      </c>
      <c r="G8">
        <v>1</v>
      </c>
      <c r="H8" t="s">
        <v>46</v>
      </c>
    </row>
    <row r="9" spans="1:8" x14ac:dyDescent="0.35">
      <c r="A9" t="s">
        <v>6</v>
      </c>
      <c r="B9" s="3">
        <v>2</v>
      </c>
      <c r="C9" t="s">
        <v>84</v>
      </c>
      <c r="D9" t="s">
        <v>12</v>
      </c>
      <c r="G9">
        <v>1</v>
      </c>
      <c r="H9" t="s">
        <v>43</v>
      </c>
    </row>
    <row r="10" spans="1:8" x14ac:dyDescent="0.35">
      <c r="A10" t="s">
        <v>6</v>
      </c>
      <c r="B10" s="3">
        <v>2</v>
      </c>
      <c r="C10" t="s">
        <v>77</v>
      </c>
      <c r="D10" t="s">
        <v>25</v>
      </c>
      <c r="E10" t="s">
        <v>25</v>
      </c>
      <c r="F10" t="s">
        <v>72</v>
      </c>
      <c r="G10">
        <v>1</v>
      </c>
      <c r="H10" t="s">
        <v>50</v>
      </c>
    </row>
    <row r="11" spans="1:8" x14ac:dyDescent="0.35">
      <c r="A11" t="s">
        <v>6</v>
      </c>
      <c r="B11" s="3">
        <v>1</v>
      </c>
      <c r="C11" t="s">
        <v>279</v>
      </c>
      <c r="D11" t="s">
        <v>11</v>
      </c>
      <c r="E11" t="s">
        <v>12</v>
      </c>
      <c r="G11">
        <v>1</v>
      </c>
      <c r="H11" t="s">
        <v>283</v>
      </c>
    </row>
    <row r="12" spans="1:8" x14ac:dyDescent="0.35">
      <c r="A12" t="s">
        <v>6</v>
      </c>
      <c r="B12" s="3">
        <v>3</v>
      </c>
      <c r="C12" t="s">
        <v>172</v>
      </c>
      <c r="D12" t="s">
        <v>21</v>
      </c>
      <c r="G12">
        <v>1</v>
      </c>
      <c r="H12" t="s">
        <v>196</v>
      </c>
    </row>
    <row r="13" spans="1:8" x14ac:dyDescent="0.35">
      <c r="A13" t="s">
        <v>6</v>
      </c>
      <c r="B13" s="3">
        <v>1</v>
      </c>
      <c r="C13" t="s">
        <v>278</v>
      </c>
      <c r="D13" t="s">
        <v>8</v>
      </c>
      <c r="E13" t="s">
        <v>21</v>
      </c>
      <c r="G13">
        <v>1</v>
      </c>
      <c r="H13" t="s">
        <v>114</v>
      </c>
    </row>
    <row r="14" spans="1:8" x14ac:dyDescent="0.35">
      <c r="A14" t="s">
        <v>6</v>
      </c>
      <c r="B14" s="3">
        <v>2</v>
      </c>
      <c r="C14" t="s">
        <v>85</v>
      </c>
      <c r="D14" t="s">
        <v>87</v>
      </c>
      <c r="F14" t="s">
        <v>79</v>
      </c>
      <c r="G14">
        <v>1</v>
      </c>
      <c r="H14" t="s">
        <v>173</v>
      </c>
    </row>
    <row r="15" spans="1:8" x14ac:dyDescent="0.35">
      <c r="A15" t="s">
        <v>6</v>
      </c>
      <c r="B15" s="3">
        <v>2</v>
      </c>
      <c r="C15" t="s">
        <v>86</v>
      </c>
      <c r="D15" t="s">
        <v>14</v>
      </c>
      <c r="G15">
        <v>1</v>
      </c>
      <c r="H15" t="s">
        <v>57</v>
      </c>
    </row>
    <row r="16" spans="1:8" x14ac:dyDescent="0.35">
      <c r="A16" t="s">
        <v>6</v>
      </c>
      <c r="B16" s="3">
        <v>3</v>
      </c>
      <c r="C16" t="s">
        <v>65</v>
      </c>
      <c r="D16" t="s">
        <v>15</v>
      </c>
      <c r="F16" t="s">
        <v>101</v>
      </c>
      <c r="G16">
        <v>20</v>
      </c>
      <c r="H16" t="s">
        <v>73</v>
      </c>
    </row>
    <row r="17" spans="1:8" ht="15.75" customHeight="1" x14ac:dyDescent="0.35">
      <c r="A17" t="s">
        <v>6</v>
      </c>
      <c r="B17" s="3">
        <v>3</v>
      </c>
      <c r="C17" t="s">
        <v>42</v>
      </c>
      <c r="D17" t="s">
        <v>23</v>
      </c>
      <c r="G17">
        <v>1</v>
      </c>
      <c r="H17" t="s">
        <v>118</v>
      </c>
    </row>
    <row r="18" spans="1:8" x14ac:dyDescent="0.35">
      <c r="A18" t="s">
        <v>6</v>
      </c>
      <c r="B18" s="3">
        <v>3</v>
      </c>
      <c r="C18" t="s">
        <v>296</v>
      </c>
      <c r="D18" t="s">
        <v>297</v>
      </c>
      <c r="F18" t="s">
        <v>311</v>
      </c>
      <c r="G18">
        <v>1</v>
      </c>
      <c r="H18" t="s">
        <v>312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Normal="100" workbookViewId="0">
      <selection activeCell="I6" sqref="I6"/>
    </sheetView>
  </sheetViews>
  <sheetFormatPr defaultRowHeight="14.5" x14ac:dyDescent="0.35"/>
  <cols>
    <col min="1" max="1" width="10.1796875" style="15" bestFit="1" customWidth="1"/>
    <col min="2" max="2" width="5.453125" style="7" bestFit="1" customWidth="1"/>
    <col min="3" max="3" width="5" style="3" bestFit="1" customWidth="1"/>
    <col min="4" max="4" width="7.81640625" style="7" bestFit="1" customWidth="1"/>
    <col min="5" max="6" width="15.453125" style="12" bestFit="1" customWidth="1"/>
    <col min="7" max="7" width="10.453125" style="12" bestFit="1" customWidth="1"/>
    <col min="8" max="8" width="10.453125" style="12" customWidth="1"/>
    <col min="9" max="9" width="15.54296875" style="12" customWidth="1"/>
    <col min="10" max="10" width="8.7265625" style="25"/>
  </cols>
  <sheetData>
    <row r="1" spans="1:10" s="1" customFormat="1" x14ac:dyDescent="0.35">
      <c r="A1" s="13" t="s">
        <v>6</v>
      </c>
      <c r="B1" s="5" t="s">
        <v>139</v>
      </c>
      <c r="C1" s="2" t="s">
        <v>88</v>
      </c>
      <c r="D1" s="5" t="s">
        <v>274</v>
      </c>
      <c r="E1" s="9" t="s">
        <v>106</v>
      </c>
      <c r="F1" s="10" t="s">
        <v>107</v>
      </c>
      <c r="G1" s="9" t="s">
        <v>109</v>
      </c>
      <c r="H1" s="9" t="s">
        <v>108</v>
      </c>
      <c r="I1" s="9" t="s">
        <v>276</v>
      </c>
      <c r="J1" s="23" t="s">
        <v>277</v>
      </c>
    </row>
    <row r="2" spans="1:10" s="4" customFormat="1" x14ac:dyDescent="0.35">
      <c r="A2" s="14" t="s">
        <v>8</v>
      </c>
      <c r="B2" s="6">
        <f>SUMIFS(Resources!B:B,Resources!D:D,Economy!A2)+SUMIFS(Resources!B:B,Resources!E:E,Economy!A2)</f>
        <v>17</v>
      </c>
      <c r="C2" s="8">
        <f>SUMIFS(Specials!B:B,Specials!F:F,Economy!A2)+SUMIFS(Specials!B:B,Specials!G:G,Economy!A2)</f>
        <v>11</v>
      </c>
      <c r="D2" s="6">
        <f>SUMIF(Resources!D:D, Economy!A2,Resources!B:B)+SUMIF(Resources!E:E, Economy!A2,Resources!B:B)-SUMIFS(Resources!B:B,Resources!D:D,Economy!A2,Resources!E:E,Economy!A2)</f>
        <v>11</v>
      </c>
      <c r="E2" s="11">
        <f>IF(ISNUMBER(B2/C2),B2/C2,"")</f>
        <v>1.5454545454545454</v>
      </c>
      <c r="F2" s="12">
        <f t="shared" ref="F2:F13" si="0">IF(ISNUMBER(1/E2), 1/E2,"")</f>
        <v>0.6470588235294118</v>
      </c>
      <c r="G2" s="11">
        <f t="shared" ref="G2:G13" si="1">SUM(B:B)/B2</f>
        <v>3.8823529411764706</v>
      </c>
      <c r="H2" s="11">
        <f t="shared" ref="H2:H13" si="2">1-POWER(B2/SUM(B:B),0.5)</f>
        <v>0.49248078107744775</v>
      </c>
      <c r="I2" s="11">
        <f>D2/B2</f>
        <v>0.6470588235294118</v>
      </c>
      <c r="J2" s="24">
        <f>D2/SUM(D:D)</f>
        <v>0.20370370370370369</v>
      </c>
    </row>
    <row r="3" spans="1:10" x14ac:dyDescent="0.35">
      <c r="A3" s="15" t="s">
        <v>13</v>
      </c>
      <c r="B3" s="7">
        <f>SUMIFS(Resources!B:B,Resources!D:D,Economy!A3)+SUMIFS(Resources!B:B,Resources!E:E,Economy!A3)</f>
        <v>13</v>
      </c>
      <c r="C3" s="3">
        <f>SUMIFS(Specials!B:B,Specials!F:F,Economy!A3)+SUMIFS(Specials!B:B,Specials!G:G,Economy!A3)</f>
        <v>11</v>
      </c>
      <c r="D3" s="7">
        <f>SUMIF(Resources!D:D, Economy!A3,Resources!B:B)+SUMIF(Resources!E:E, Economy!A3,Resources!B:B)-SUMIFS(Resources!B:B,Resources!D:D,Economy!A3,Resources!E:E,Economy!A3)</f>
        <v>9</v>
      </c>
      <c r="E3" s="12">
        <f t="shared" ref="E3:E13" si="3">IF(ISNUMBER(B3/C3),B3/C3,"")</f>
        <v>1.1818181818181819</v>
      </c>
      <c r="F3" s="12">
        <f t="shared" si="0"/>
        <v>0.84615384615384615</v>
      </c>
      <c r="G3" s="12">
        <f t="shared" si="1"/>
        <v>5.0769230769230766</v>
      </c>
      <c r="H3" s="12">
        <f t="shared" si="2"/>
        <v>0.55618731770070273</v>
      </c>
      <c r="I3" s="12">
        <f t="shared" ref="I3:I13" si="4">D3/B3</f>
        <v>0.69230769230769229</v>
      </c>
      <c r="J3" s="25">
        <f t="shared" ref="J3:J13" si="5">D3/SUM(D:D)</f>
        <v>0.16666666666666666</v>
      </c>
    </row>
    <row r="4" spans="1:10" x14ac:dyDescent="0.35">
      <c r="A4" s="15" t="s">
        <v>21</v>
      </c>
      <c r="B4" s="7">
        <f>SUMIFS(Resources!B:B,Resources!D:D,Economy!A4)+SUMIFS(Resources!B:B,Resources!E:E,Economy!A4)</f>
        <v>4</v>
      </c>
      <c r="C4" s="3">
        <f>SUMIFS(Specials!B:B,Specials!F:F,Economy!A4)+SUMIFS(Specials!B:B,Specials!G:G,Economy!A4)</f>
        <v>10</v>
      </c>
      <c r="D4" s="7">
        <f>SUMIF(Resources!D:D, Economy!A4,Resources!B:B)+SUMIF(Resources!E:E, Economy!A4,Resources!B:B)-SUMIFS(Resources!B:B,Resources!D:D,Economy!A4,Resources!E:E,Economy!A4)</f>
        <v>4</v>
      </c>
      <c r="E4" s="12">
        <f t="shared" si="3"/>
        <v>0.4</v>
      </c>
      <c r="F4" s="12">
        <f t="shared" si="0"/>
        <v>2.5</v>
      </c>
      <c r="G4" s="12">
        <f t="shared" si="1"/>
        <v>16.5</v>
      </c>
      <c r="H4" s="12">
        <f t="shared" si="2"/>
        <v>0.7538170180413345</v>
      </c>
      <c r="I4" s="12">
        <f t="shared" si="4"/>
        <v>1</v>
      </c>
      <c r="J4" s="25">
        <f t="shared" si="5"/>
        <v>7.407407407407407E-2</v>
      </c>
    </row>
    <row r="5" spans="1:10" x14ac:dyDescent="0.35">
      <c r="A5" s="15" t="s">
        <v>11</v>
      </c>
      <c r="B5" s="7">
        <f>SUMIFS(Resources!B:B,Resources!D:D,Economy!A5)+SUMIFS(Resources!B:B,Resources!E:E,Economy!A5)</f>
        <v>4</v>
      </c>
      <c r="C5" s="3">
        <f>SUMIFS(Specials!B:B,Specials!F:F,Economy!A5)+SUMIFS(Specials!B:B,Specials!G:G,Economy!A5)</f>
        <v>9</v>
      </c>
      <c r="D5" s="7">
        <f>SUMIF(Resources!D:D, Economy!A5,Resources!B:B)+SUMIF(Resources!E:E, Economy!A5,Resources!B:B)-SUMIFS(Resources!B:B,Resources!D:D,Economy!A5,Resources!E:E,Economy!A5)</f>
        <v>4</v>
      </c>
      <c r="E5" s="12">
        <f t="shared" si="3"/>
        <v>0.44444444444444442</v>
      </c>
      <c r="F5" s="12">
        <f t="shared" si="0"/>
        <v>2.25</v>
      </c>
      <c r="G5" s="12">
        <f t="shared" si="1"/>
        <v>16.5</v>
      </c>
      <c r="H5" s="12">
        <f t="shared" si="2"/>
        <v>0.7538170180413345</v>
      </c>
      <c r="I5" s="12">
        <f t="shared" si="4"/>
        <v>1</v>
      </c>
      <c r="J5" s="25">
        <f t="shared" si="5"/>
        <v>7.407407407407407E-2</v>
      </c>
    </row>
    <row r="6" spans="1:10" x14ac:dyDescent="0.35">
      <c r="A6" s="15" t="s">
        <v>10</v>
      </c>
      <c r="B6" s="7">
        <f>SUMIFS(Resources!B:B,Resources!D:D,Economy!A6)+SUMIFS(Resources!B:B,Resources!E:E,Economy!A6)</f>
        <v>8</v>
      </c>
      <c r="C6" s="3">
        <f>SUMIFS(Specials!B:B,Specials!F:F,Economy!A6)+SUMIFS(Specials!B:B,Specials!G:G,Economy!A6)</f>
        <v>12</v>
      </c>
      <c r="D6" s="7">
        <f>SUMIF(Resources!D:D, Economy!A6,Resources!B:B)+SUMIF(Resources!E:E, Economy!A6,Resources!B:B)-SUMIFS(Resources!B:B,Resources!D:D,Economy!A6,Resources!E:E,Economy!A6)</f>
        <v>8</v>
      </c>
      <c r="E6" s="12">
        <f t="shared" si="3"/>
        <v>0.66666666666666663</v>
      </c>
      <c r="F6" s="12">
        <f t="shared" si="0"/>
        <v>1.5</v>
      </c>
      <c r="G6" s="12">
        <f t="shared" si="1"/>
        <v>8.25</v>
      </c>
      <c r="H6" s="12">
        <f t="shared" si="2"/>
        <v>0.6518446880886043</v>
      </c>
      <c r="I6" s="12">
        <f t="shared" si="4"/>
        <v>1</v>
      </c>
      <c r="J6" s="25">
        <f t="shared" si="5"/>
        <v>0.14814814814814814</v>
      </c>
    </row>
    <row r="7" spans="1:10" x14ac:dyDescent="0.35">
      <c r="A7" s="15" t="s">
        <v>12</v>
      </c>
      <c r="B7" s="7">
        <f>SUMIFS(Resources!B:B,Resources!D:D,Economy!A7)+SUMIFS(Resources!B:B,Resources!E:E,Economy!A7)</f>
        <v>3</v>
      </c>
      <c r="C7" s="3">
        <f>SUMIFS(Specials!B:B,Specials!F:F,Economy!A7)+SUMIFS(Specials!B:B,Specials!G:G,Economy!A7)</f>
        <v>3</v>
      </c>
      <c r="D7" s="7">
        <f>SUMIF(Resources!D:D, Economy!A7,Resources!B:B)+SUMIF(Resources!E:E, Economy!A7,Resources!B:B)-SUMIFS(Resources!B:B,Resources!D:D,Economy!A7,Resources!E:E,Economy!A7)</f>
        <v>3</v>
      </c>
      <c r="E7" s="12">
        <f t="shared" si="3"/>
        <v>1</v>
      </c>
      <c r="F7" s="12">
        <f t="shared" si="0"/>
        <v>1</v>
      </c>
      <c r="G7" s="12">
        <f t="shared" si="1"/>
        <v>22</v>
      </c>
      <c r="H7" s="12">
        <f t="shared" si="2"/>
        <v>0.78679928364438956</v>
      </c>
      <c r="I7" s="12">
        <f t="shared" si="4"/>
        <v>1</v>
      </c>
      <c r="J7" s="25">
        <f t="shared" si="5"/>
        <v>5.5555555555555552E-2</v>
      </c>
    </row>
    <row r="8" spans="1:10" x14ac:dyDescent="0.35">
      <c r="A8" s="15" t="s">
        <v>87</v>
      </c>
      <c r="B8" s="7">
        <f>SUMIFS(Resources!B:B,Resources!D:D,Economy!A8)+SUMIFS(Resources!B:B,Resources!E:E,Economy!A8)</f>
        <v>2</v>
      </c>
      <c r="C8" s="3">
        <f>SUMIFS(Specials!B:B,Specials!F:F,Economy!A13)+SUMIFS(Specials!B:B,Specials!G:G,Economy!A13)</f>
        <v>3</v>
      </c>
      <c r="D8" s="7">
        <f>SUMIF(Resources!D:D, Economy!A8,Resources!B:B)+SUMIF(Resources!E:E, Economy!A8,Resources!B:B)-SUMIFS(Resources!B:B,Resources!D:D,Economy!A8,Resources!E:E,Economy!A8)</f>
        <v>2</v>
      </c>
      <c r="E8" s="12">
        <f t="shared" si="3"/>
        <v>0.66666666666666663</v>
      </c>
      <c r="F8" s="12">
        <f t="shared" si="0"/>
        <v>1.5</v>
      </c>
      <c r="G8" s="12">
        <f t="shared" si="1"/>
        <v>33</v>
      </c>
      <c r="H8" s="12">
        <f t="shared" si="2"/>
        <v>0.8259223440443022</v>
      </c>
      <c r="I8" s="12">
        <f t="shared" si="4"/>
        <v>1</v>
      </c>
      <c r="J8" s="25">
        <f t="shared" si="5"/>
        <v>3.7037037037037035E-2</v>
      </c>
    </row>
    <row r="9" spans="1:10" x14ac:dyDescent="0.35">
      <c r="A9" s="15" t="s">
        <v>25</v>
      </c>
      <c r="B9" s="7">
        <f>SUMIFS(Resources!B:B,Resources!D:D,Economy!A9)+SUMIFS(Resources!B:B,Resources!E:E,Economy!A9)</f>
        <v>4</v>
      </c>
      <c r="C9" s="3">
        <f>SUMIFS(Specials!B:B,Specials!F:F,Economy!A8)+SUMIFS(Specials!B:B,Specials!G:G,Economy!A8)</f>
        <v>2</v>
      </c>
      <c r="D9" s="7">
        <f>SUMIF(Resources!D:D, Economy!A9,Resources!B:B)+SUMIF(Resources!E:E, Economy!A9,Resources!B:B)-SUMIFS(Resources!B:B,Resources!D:D,Economy!A9,Resources!E:E,Economy!A9)</f>
        <v>2</v>
      </c>
      <c r="E9" s="12">
        <f t="shared" si="3"/>
        <v>2</v>
      </c>
      <c r="F9" s="12">
        <f t="shared" si="0"/>
        <v>0.5</v>
      </c>
      <c r="G9" s="12">
        <f t="shared" si="1"/>
        <v>16.5</v>
      </c>
      <c r="H9" s="12">
        <f t="shared" si="2"/>
        <v>0.7538170180413345</v>
      </c>
      <c r="I9" s="12">
        <f t="shared" si="4"/>
        <v>0.5</v>
      </c>
      <c r="J9" s="25">
        <f t="shared" si="5"/>
        <v>3.7037037037037035E-2</v>
      </c>
    </row>
    <row r="10" spans="1:10" x14ac:dyDescent="0.35">
      <c r="A10" s="15" t="s">
        <v>24</v>
      </c>
      <c r="B10" s="7">
        <f>SUMIFS(Resources!B:B,Resources!D:D,Economy!A10)+SUMIFS(Resources!B:B,Resources!E:E,Economy!A10)</f>
        <v>3</v>
      </c>
      <c r="C10" s="3">
        <f>SUMIFS(Specials!B:B,Specials!F:F,Economy!A9)+SUMIFS(Specials!B:B,Specials!G:G,Economy!A9)</f>
        <v>1</v>
      </c>
      <c r="D10" s="7">
        <f>SUMIF(Resources!D:D, Economy!A10,Resources!B:B)+SUMIF(Resources!E:E, Economy!A10,Resources!B:B)-SUMIFS(Resources!B:B,Resources!D:D,Economy!A10,Resources!E:E,Economy!A10)</f>
        <v>3</v>
      </c>
      <c r="E10" s="12">
        <f t="shared" si="3"/>
        <v>3</v>
      </c>
      <c r="F10" s="12">
        <f t="shared" si="0"/>
        <v>0.33333333333333331</v>
      </c>
      <c r="G10" s="12">
        <f t="shared" si="1"/>
        <v>22</v>
      </c>
      <c r="H10" s="12">
        <f t="shared" si="2"/>
        <v>0.78679928364438956</v>
      </c>
      <c r="I10" s="12">
        <f t="shared" si="4"/>
        <v>1</v>
      </c>
      <c r="J10" s="25">
        <f t="shared" si="5"/>
        <v>5.5555555555555552E-2</v>
      </c>
    </row>
    <row r="11" spans="1:10" x14ac:dyDescent="0.35">
      <c r="A11" s="15" t="s">
        <v>15</v>
      </c>
      <c r="B11" s="7">
        <f>SUMIFS(Resources!B:B,Resources!D:D,Economy!A11)+SUMIFS(Resources!B:B,Resources!E:E,Economy!A11)</f>
        <v>3</v>
      </c>
      <c r="C11" s="3">
        <f>SUMIFS(Specials!B:B,Specials!F:F,Economy!A10)+SUMIFS(Specials!B:B,Specials!G:G,Economy!A10)</f>
        <v>2</v>
      </c>
      <c r="D11" s="7">
        <f>SUMIF(Resources!D:D, Economy!A11,Resources!B:B)+SUMIF(Resources!E:E, Economy!A11,Resources!B:B)-SUMIFS(Resources!B:B,Resources!D:D,Economy!A11,Resources!E:E,Economy!A11)</f>
        <v>3</v>
      </c>
      <c r="E11" s="12">
        <f t="shared" si="3"/>
        <v>1.5</v>
      </c>
      <c r="F11" s="12">
        <f t="shared" si="0"/>
        <v>0.66666666666666663</v>
      </c>
      <c r="G11" s="12">
        <f t="shared" si="1"/>
        <v>22</v>
      </c>
      <c r="H11" s="12">
        <f t="shared" si="2"/>
        <v>0.78679928364438956</v>
      </c>
      <c r="I11" s="12">
        <f t="shared" si="4"/>
        <v>1</v>
      </c>
      <c r="J11" s="25">
        <f t="shared" si="5"/>
        <v>5.5555555555555552E-2</v>
      </c>
    </row>
    <row r="12" spans="1:10" x14ac:dyDescent="0.35">
      <c r="A12" s="15" t="s">
        <v>23</v>
      </c>
      <c r="B12" s="7">
        <f>SUMIFS(Resources!B:B,Resources!D:D,Economy!A12)+SUMIFS(Resources!B:B,Resources!E:E,Economy!A12)</f>
        <v>3</v>
      </c>
      <c r="C12" s="3">
        <f>SUMIFS(Specials!B:B,Specials!F:F,Economy!A11)+SUMIFS(Specials!B:B,Specials!G:G,Economy!A11)</f>
        <v>0</v>
      </c>
      <c r="D12" s="7">
        <f>SUMIF(Resources!D:D, Economy!A12,Resources!B:B)+SUMIF(Resources!E:E, Economy!A12,Resources!B:B)-SUMIFS(Resources!B:B,Resources!D:D,Economy!A12,Resources!E:E,Economy!A12)</f>
        <v>3</v>
      </c>
      <c r="E12" s="12" t="str">
        <f t="shared" si="3"/>
        <v/>
      </c>
      <c r="F12" s="12" t="str">
        <f t="shared" si="0"/>
        <v/>
      </c>
      <c r="G12" s="12">
        <f t="shared" si="1"/>
        <v>22</v>
      </c>
      <c r="H12" s="12">
        <f t="shared" si="2"/>
        <v>0.78679928364438956</v>
      </c>
      <c r="I12" s="12">
        <f t="shared" si="4"/>
        <v>1</v>
      </c>
      <c r="J12" s="25">
        <f t="shared" si="5"/>
        <v>5.5555555555555552E-2</v>
      </c>
    </row>
    <row r="13" spans="1:10" x14ac:dyDescent="0.35">
      <c r="A13" s="15" t="s">
        <v>14</v>
      </c>
      <c r="B13" s="7">
        <f>SUMIFS(Resources!B:B,Resources!D:D,Economy!A13)+SUMIFS(Resources!B:B,Resources!E:E,Economy!A13)</f>
        <v>2</v>
      </c>
      <c r="C13" s="3">
        <f>SUMIFS(Specials!B:B,Specials!F:F,Economy!A12)+SUMIFS(Specials!B:B,Specials!G:G,Economy!A12)</f>
        <v>2</v>
      </c>
      <c r="D13" s="7">
        <f>SUMIF(Resources!D:D, Economy!A13,Resources!B:B)+SUMIF(Resources!E:E, Economy!A13,Resources!B:B)-SUMIFS(Resources!B:B,Resources!D:D,Economy!A13,Resources!E:E,Economy!A13)</f>
        <v>2</v>
      </c>
      <c r="E13" s="12">
        <f t="shared" si="3"/>
        <v>1</v>
      </c>
      <c r="F13" s="12">
        <f t="shared" si="0"/>
        <v>1</v>
      </c>
      <c r="G13" s="12">
        <f t="shared" si="1"/>
        <v>33</v>
      </c>
      <c r="H13" s="12">
        <f t="shared" si="2"/>
        <v>0.8259223440443022</v>
      </c>
      <c r="I13" s="12">
        <f t="shared" si="4"/>
        <v>1</v>
      </c>
      <c r="J13" s="25">
        <f t="shared" si="5"/>
        <v>3.7037037037037035E-2</v>
      </c>
    </row>
  </sheetData>
  <sortState xmlns:xlrd2="http://schemas.microsoft.com/office/spreadsheetml/2017/richdata2" ref="A2:G14">
    <sortCondition descending="1" ref="B2:B14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ySplit="1" topLeftCell="A2" activePane="bottomLeft" state="frozen"/>
      <selection pane="bottomLeft" activeCell="I1" sqref="I1"/>
    </sheetView>
  </sheetViews>
  <sheetFormatPr defaultRowHeight="14.5" x14ac:dyDescent="0.35"/>
  <cols>
    <col min="1" max="1" width="9.1796875" style="3"/>
    <col min="2" max="2" width="8.54296875" style="3" customWidth="1"/>
    <col min="3" max="3" width="10" style="3" customWidth="1"/>
    <col min="4" max="4" width="8.7265625" style="3" customWidth="1"/>
    <col min="5" max="5" width="11.1796875" style="3" customWidth="1"/>
    <col min="6" max="6" width="14.453125" style="3" customWidth="1"/>
    <col min="7" max="7" width="13.54296875" style="17" customWidth="1"/>
    <col min="8" max="8" width="13.7265625" style="17" customWidth="1"/>
    <col min="9" max="9" width="16.26953125" style="22" customWidth="1"/>
    <col min="10" max="10" width="15.1796875" style="3" customWidth="1"/>
    <col min="11" max="11" width="98.7265625" style="16" bestFit="1" customWidth="1"/>
  </cols>
  <sheetData>
    <row r="1" spans="1:11" s="18" customFormat="1" ht="43.5" x14ac:dyDescent="0.35">
      <c r="A1" s="18" t="s">
        <v>245</v>
      </c>
      <c r="B1" s="18" t="s">
        <v>249</v>
      </c>
      <c r="C1" s="18" t="s">
        <v>250</v>
      </c>
      <c r="D1" s="18" t="s">
        <v>247</v>
      </c>
      <c r="E1" s="18" t="s">
        <v>248</v>
      </c>
      <c r="F1" s="18" t="s">
        <v>252</v>
      </c>
      <c r="G1" s="19" t="s">
        <v>254</v>
      </c>
      <c r="H1" s="19" t="s">
        <v>255</v>
      </c>
      <c r="I1" s="21" t="s">
        <v>256</v>
      </c>
      <c r="J1" s="21" t="s">
        <v>257</v>
      </c>
      <c r="K1" s="20" t="s">
        <v>113</v>
      </c>
    </row>
    <row r="2" spans="1:11" x14ac:dyDescent="0.35">
      <c r="A2" s="3">
        <v>2</v>
      </c>
      <c r="B2" s="3">
        <f>SUMIF(Specials!A:A,"Starter",Specials!B:B)-2*A2</f>
        <v>15</v>
      </c>
      <c r="C2" s="3">
        <f>SUMIF(Specials!A:A,"Midgame",Specials!B:B)</f>
        <v>36</v>
      </c>
      <c r="D2" s="3">
        <f>B2+C2</f>
        <v>51</v>
      </c>
      <c r="E2" s="3">
        <v>1</v>
      </c>
      <c r="F2" s="3">
        <f>D2+E2*D2</f>
        <v>102</v>
      </c>
      <c r="G2" s="17">
        <f>1-(2*(A2+1)-2)/(2*(A2+1))</f>
        <v>0.33333333333333337</v>
      </c>
      <c r="H2" s="17">
        <f>1-(2*(A2+1)-4)/(2*(A2+1))</f>
        <v>0.66666666666666674</v>
      </c>
      <c r="I2" s="22">
        <f>F2*G2</f>
        <v>34.000000000000007</v>
      </c>
      <c r="J2" s="3">
        <f>F2*H2</f>
        <v>68.000000000000014</v>
      </c>
      <c r="K2" s="16" t="s">
        <v>253</v>
      </c>
    </row>
    <row r="3" spans="1:11" x14ac:dyDescent="0.35">
      <c r="A3" s="3">
        <v>3</v>
      </c>
      <c r="B3" s="3">
        <f>SUMIF(Specials!A:A,"Starter",Specials!B:B)-2*A3</f>
        <v>13</v>
      </c>
      <c r="C3" s="3">
        <f>SUMIF(Specials!A:A,"Midgame",Specials!B:B)</f>
        <v>36</v>
      </c>
      <c r="D3" s="3">
        <f t="shared" ref="D3:D5" si="0">B3+C3</f>
        <v>49</v>
      </c>
      <c r="E3" s="3">
        <v>1</v>
      </c>
      <c r="F3" s="3">
        <f t="shared" ref="F3:F5" si="1">D3+E3*D3</f>
        <v>98</v>
      </c>
      <c r="G3" s="17">
        <f t="shared" ref="G3:G5" si="2">1-(2*(A3+1)-2)/(2*(A3+1))</f>
        <v>0.25</v>
      </c>
      <c r="H3" s="17">
        <f t="shared" ref="H3:H5" si="3">1-(2*(A3+1)-4)/(2*(A3+1))</f>
        <v>0.5</v>
      </c>
      <c r="I3" s="22">
        <f t="shared" ref="I3:I5" si="4">F3*G3</f>
        <v>24.5</v>
      </c>
      <c r="J3" s="3">
        <f t="shared" ref="J3:J5" si="5">F3*G4</f>
        <v>19.599999999999994</v>
      </c>
    </row>
    <row r="4" spans="1:11" x14ac:dyDescent="0.35">
      <c r="A4" s="3">
        <v>4</v>
      </c>
      <c r="B4" s="3">
        <f>SUMIF(Specials!A:A,"Starter",Specials!B:B)-2*A4</f>
        <v>11</v>
      </c>
      <c r="C4" s="3">
        <f>SUMIF(Specials!A:A,"Midgame",Specials!B:B)</f>
        <v>36</v>
      </c>
      <c r="D4" s="3">
        <f t="shared" si="0"/>
        <v>47</v>
      </c>
      <c r="E4" s="3">
        <v>1</v>
      </c>
      <c r="F4" s="3">
        <f t="shared" si="1"/>
        <v>94</v>
      </c>
      <c r="G4" s="17">
        <f t="shared" si="2"/>
        <v>0.19999999999999996</v>
      </c>
      <c r="H4" s="17">
        <f t="shared" si="3"/>
        <v>0.4</v>
      </c>
      <c r="I4" s="22">
        <f t="shared" si="4"/>
        <v>18.799999999999997</v>
      </c>
      <c r="J4" s="3">
        <f t="shared" si="5"/>
        <v>15.666666666666663</v>
      </c>
    </row>
    <row r="5" spans="1:11" x14ac:dyDescent="0.35">
      <c r="A5" s="3">
        <v>5</v>
      </c>
      <c r="B5" s="3">
        <f>SUMIF(Specials!A:A,"Starter",Specials!B:B)-2*A5</f>
        <v>9</v>
      </c>
      <c r="C5" s="3">
        <f>SUMIF(Specials!A:A,"Midgame",Specials!B:B)</f>
        <v>36</v>
      </c>
      <c r="D5" s="3">
        <f t="shared" si="0"/>
        <v>45</v>
      </c>
      <c r="E5" s="3">
        <v>1</v>
      </c>
      <c r="F5" s="3">
        <f t="shared" si="1"/>
        <v>90</v>
      </c>
      <c r="G5" s="17">
        <f t="shared" si="2"/>
        <v>0.16666666666666663</v>
      </c>
      <c r="H5" s="17">
        <f t="shared" si="3"/>
        <v>0.33333333333333337</v>
      </c>
      <c r="I5" s="22">
        <f t="shared" si="4"/>
        <v>14.999999999999996</v>
      </c>
      <c r="J5" s="3">
        <f t="shared" si="5"/>
        <v>0</v>
      </c>
      <c r="K5" s="16" t="s">
        <v>246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"/>
  <sheetViews>
    <sheetView workbookViewId="0">
      <selection activeCell="B4" sqref="B4"/>
    </sheetView>
  </sheetViews>
  <sheetFormatPr defaultRowHeight="14.5" x14ac:dyDescent="0.35"/>
  <cols>
    <col min="2" max="2" width="10.453125" style="3" bestFit="1" customWidth="1"/>
    <col min="3" max="3" width="10.453125" style="3" customWidth="1"/>
    <col min="4" max="4" width="3.453125" style="3" customWidth="1"/>
    <col min="5" max="5" width="22.54296875" bestFit="1" customWidth="1"/>
    <col min="6" max="6" width="10" style="3" bestFit="1" customWidth="1"/>
    <col min="7" max="7" width="7.81640625" style="3" bestFit="1" customWidth="1"/>
    <col min="8" max="8" width="9.453125" style="3" bestFit="1" customWidth="1"/>
    <col min="9" max="9" width="3.453125" style="3" customWidth="1"/>
    <col min="10" max="10" width="22.54296875" bestFit="1" customWidth="1"/>
  </cols>
  <sheetData>
    <row r="1" spans="1:13" x14ac:dyDescent="0.35">
      <c r="B1" s="3" t="s">
        <v>123</v>
      </c>
      <c r="E1" t="s">
        <v>124</v>
      </c>
      <c r="J1" t="s">
        <v>211</v>
      </c>
      <c r="K1" s="3"/>
      <c r="L1" s="3"/>
      <c r="M1" s="3"/>
    </row>
    <row r="2" spans="1:13" x14ac:dyDescent="0.35">
      <c r="A2" t="s">
        <v>129</v>
      </c>
      <c r="B2" s="3" t="s">
        <v>112</v>
      </c>
      <c r="C2" s="3" t="s">
        <v>130</v>
      </c>
      <c r="F2" s="3" t="s">
        <v>191</v>
      </c>
      <c r="G2" s="3" t="s">
        <v>192</v>
      </c>
      <c r="H2" s="3" t="s">
        <v>130</v>
      </c>
      <c r="K2" s="3"/>
      <c r="L2" s="3"/>
      <c r="M2" s="3"/>
    </row>
    <row r="3" spans="1:13" x14ac:dyDescent="0.35">
      <c r="A3">
        <v>1</v>
      </c>
      <c r="B3" s="3">
        <v>10</v>
      </c>
      <c r="C3" s="3">
        <f>B3/A3</f>
        <v>10</v>
      </c>
      <c r="E3" t="s">
        <v>203</v>
      </c>
      <c r="F3" s="3">
        <v>1</v>
      </c>
      <c r="G3" s="3">
        <v>10</v>
      </c>
      <c r="H3" s="3">
        <f>SUM(G$3:G3) / A3</f>
        <v>10</v>
      </c>
      <c r="J3" t="s">
        <v>127</v>
      </c>
      <c r="K3" s="3"/>
      <c r="L3" s="3"/>
      <c r="M3" s="3"/>
    </row>
    <row r="4" spans="1:13" x14ac:dyDescent="0.35">
      <c r="A4">
        <v>2</v>
      </c>
      <c r="B4" s="3">
        <v>30</v>
      </c>
      <c r="C4" s="3">
        <f t="shared" ref="C4:C7" si="0">B4/A4</f>
        <v>15</v>
      </c>
      <c r="E4" t="s">
        <v>204</v>
      </c>
      <c r="F4" s="3">
        <v>2</v>
      </c>
      <c r="G4" s="3">
        <v>20</v>
      </c>
      <c r="H4" s="3">
        <f>SUM(G$3:G4) / A4</f>
        <v>15</v>
      </c>
      <c r="J4" t="s">
        <v>127</v>
      </c>
      <c r="K4" s="3"/>
      <c r="L4" s="3"/>
      <c r="M4" s="3"/>
    </row>
    <row r="5" spans="1:13" x14ac:dyDescent="0.35">
      <c r="A5">
        <v>3</v>
      </c>
      <c r="B5" s="3">
        <v>60</v>
      </c>
      <c r="C5" s="3">
        <f t="shared" si="0"/>
        <v>20</v>
      </c>
      <c r="E5" t="s">
        <v>205</v>
      </c>
      <c r="F5" s="3">
        <v>2</v>
      </c>
      <c r="G5" s="3">
        <v>25</v>
      </c>
      <c r="H5" s="3">
        <f>SUM(G$3:G5) / A5</f>
        <v>18.333333333333332</v>
      </c>
      <c r="J5" t="s">
        <v>213</v>
      </c>
      <c r="K5" s="3"/>
      <c r="L5" s="3"/>
      <c r="M5" s="3"/>
    </row>
    <row r="6" spans="1:13" x14ac:dyDescent="0.35">
      <c r="A6">
        <v>4</v>
      </c>
      <c r="B6" s="3">
        <v>100</v>
      </c>
      <c r="C6" s="3">
        <f t="shared" si="0"/>
        <v>25</v>
      </c>
      <c r="E6" t="s">
        <v>206</v>
      </c>
      <c r="F6" s="3">
        <v>3</v>
      </c>
      <c r="G6" s="3">
        <v>30</v>
      </c>
      <c r="H6" s="3">
        <f>SUM(G$3:G6) / A6</f>
        <v>21.25</v>
      </c>
      <c r="K6" s="3"/>
      <c r="L6" s="3"/>
      <c r="M6" s="3"/>
    </row>
    <row r="7" spans="1:13" x14ac:dyDescent="0.35">
      <c r="A7">
        <v>5</v>
      </c>
      <c r="B7" s="3">
        <v>150</v>
      </c>
      <c r="C7" s="3">
        <f t="shared" si="0"/>
        <v>30</v>
      </c>
      <c r="E7" t="s">
        <v>207</v>
      </c>
      <c r="F7" s="3">
        <v>3</v>
      </c>
      <c r="G7" s="3">
        <v>35</v>
      </c>
      <c r="H7" s="3">
        <f>SUM(G$3:G7) / A7</f>
        <v>24</v>
      </c>
      <c r="K7" s="3"/>
      <c r="L7" s="3"/>
      <c r="M7" s="3"/>
    </row>
  </sheetData>
  <pageMargins left="0.7" right="0.7" top="0.75" bottom="0.75" header="0.3" footer="0.3"/>
  <ignoredErrors>
    <ignoredError sqref="H4:H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J4" sqref="J4"/>
    </sheetView>
  </sheetViews>
  <sheetFormatPr defaultRowHeight="14.5" x14ac:dyDescent="0.35"/>
  <cols>
    <col min="1" max="1" width="8.54296875" bestFit="1" customWidth="1"/>
    <col min="2" max="2" width="3.54296875" bestFit="1" customWidth="1"/>
    <col min="3" max="3" width="31.453125" bestFit="1" customWidth="1"/>
    <col min="4" max="5" width="7" bestFit="1" customWidth="1"/>
    <col min="6" max="7" width="6.453125" bestFit="1" customWidth="1"/>
    <col min="8" max="9" width="9.1796875" bestFit="1" customWidth="1"/>
    <col min="10" max="10" width="12.54296875" bestFit="1" customWidth="1"/>
    <col min="11" max="11" width="21.26953125" customWidth="1"/>
    <col min="12" max="12" width="3.1796875" bestFit="1" customWidth="1"/>
    <col min="13" max="13" width="33.453125" bestFit="1" customWidth="1"/>
    <col min="14" max="14" width="17.54296875" bestFit="1" customWidth="1"/>
  </cols>
  <sheetData>
    <row r="1" spans="1:16" s="1" customFormat="1" x14ac:dyDescent="0.35">
      <c r="A1" s="1" t="s">
        <v>0</v>
      </c>
      <c r="B1" s="2" t="s">
        <v>216</v>
      </c>
      <c r="C1" s="1" t="s">
        <v>9</v>
      </c>
      <c r="D1" s="1" t="s">
        <v>2</v>
      </c>
      <c r="E1" s="1" t="s">
        <v>3</v>
      </c>
      <c r="F1" s="1" t="s">
        <v>81</v>
      </c>
      <c r="G1" s="1" t="s">
        <v>82</v>
      </c>
      <c r="H1" s="1" t="s">
        <v>17</v>
      </c>
      <c r="I1" s="1" t="s">
        <v>18</v>
      </c>
      <c r="J1" s="1" t="s">
        <v>140</v>
      </c>
      <c r="K1" s="1" t="s">
        <v>4</v>
      </c>
      <c r="L1" s="2" t="s">
        <v>5</v>
      </c>
      <c r="M1" s="1" t="s">
        <v>1</v>
      </c>
      <c r="N1" s="9" t="s">
        <v>271</v>
      </c>
      <c r="O1" s="9"/>
      <c r="P1" s="2"/>
    </row>
    <row r="2" spans="1:16" ht="15.75" customHeight="1" x14ac:dyDescent="0.35">
      <c r="A2" t="s">
        <v>152</v>
      </c>
      <c r="B2">
        <v>1</v>
      </c>
      <c r="C2" t="s">
        <v>237</v>
      </c>
      <c r="F2" t="s">
        <v>14</v>
      </c>
      <c r="J2" t="s">
        <v>260</v>
      </c>
      <c r="K2" t="s">
        <v>259</v>
      </c>
      <c r="L2">
        <v>50</v>
      </c>
      <c r="M2" t="s">
        <v>236</v>
      </c>
      <c r="N2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Specials</vt:lpstr>
      <vt:lpstr>Resources</vt:lpstr>
      <vt:lpstr>Economy</vt:lpstr>
      <vt:lpstr>Actions per Game</vt:lpstr>
      <vt:lpstr>Ladders</vt:lpstr>
      <vt:lpstr>Removed Cards</vt:lpstr>
      <vt:lpstr>Resources!Cards</vt:lpstr>
      <vt:lpstr>Specials!Cards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2014-09-29T01:08:49Z</dcterms:created>
  <dcterms:modified xsi:type="dcterms:W3CDTF">2022-11-13T21:02:56Z</dcterms:modified>
</cp:coreProperties>
</file>