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Economy" sheetId="2" r:id="rId2"/>
  </sheets>
  <calcPr calcId="145621"/>
</workbook>
</file>

<file path=xl/calcChain.xml><?xml version="1.0" encoding="utf-8"?>
<calcChain xmlns="http://schemas.openxmlformats.org/spreadsheetml/2006/main">
  <c r="M23" i="1" l="1"/>
  <c r="M28" i="1"/>
  <c r="N28" i="1" s="1"/>
  <c r="M29" i="1"/>
  <c r="N49" i="1"/>
  <c r="M50" i="1"/>
  <c r="N50" i="1" s="1"/>
  <c r="M51" i="1"/>
  <c r="N51" i="1" s="1"/>
  <c r="M52" i="1"/>
  <c r="N52" i="1" s="1"/>
  <c r="M53" i="1"/>
  <c r="M54" i="1"/>
  <c r="N54" i="1" s="1"/>
  <c r="M21" i="1"/>
  <c r="N21" i="1" s="1"/>
  <c r="D3" i="2"/>
  <c r="D4" i="2"/>
  <c r="D5" i="2"/>
  <c r="D6" i="2"/>
  <c r="D7" i="2"/>
  <c r="D9" i="2"/>
  <c r="D10" i="2"/>
  <c r="D11" i="2"/>
  <c r="D12" i="2"/>
  <c r="D13" i="2"/>
  <c r="D8" i="2"/>
  <c r="C3" i="2"/>
  <c r="C4" i="2"/>
  <c r="C5" i="2"/>
  <c r="C6" i="2"/>
  <c r="C7" i="2"/>
  <c r="C9" i="2"/>
  <c r="C10" i="2"/>
  <c r="C11" i="2"/>
  <c r="C12" i="2"/>
  <c r="C13" i="2"/>
  <c r="C8" i="2"/>
  <c r="B3" i="2"/>
  <c r="B4" i="2"/>
  <c r="B5" i="2"/>
  <c r="B6" i="2"/>
  <c r="B7" i="2"/>
  <c r="B9" i="2"/>
  <c r="B10" i="2"/>
  <c r="B11" i="2"/>
  <c r="B12" i="2"/>
  <c r="B13" i="2"/>
  <c r="B8" i="2"/>
  <c r="D2" i="2"/>
  <c r="C2" i="2"/>
  <c r="O21" i="1" l="1"/>
  <c r="O28" i="1"/>
  <c r="O49" i="1"/>
  <c r="E10" i="2"/>
  <c r="F10" i="2" s="1"/>
  <c r="E5" i="2"/>
  <c r="F5" i="2" s="1"/>
  <c r="E13" i="2"/>
  <c r="F13" i="2" s="1"/>
  <c r="E9" i="2"/>
  <c r="F9" i="2" s="1"/>
  <c r="E11" i="2"/>
  <c r="F11" i="2" s="1"/>
  <c r="E6" i="2"/>
  <c r="F6" i="2" s="1"/>
  <c r="E3" i="2"/>
  <c r="F3" i="2" s="1"/>
  <c r="E8" i="2"/>
  <c r="F8" i="2" s="1"/>
  <c r="E12" i="2"/>
  <c r="F12" i="2" s="1"/>
  <c r="E7" i="2"/>
  <c r="F7" i="2" s="1"/>
  <c r="E4" i="2"/>
  <c r="F4" i="2" s="1"/>
  <c r="B2" i="2"/>
  <c r="H2" i="2" s="1"/>
  <c r="I2" i="2" s="1"/>
  <c r="M48" i="1" s="1"/>
  <c r="N48" i="1" s="1"/>
  <c r="O48" i="1" s="1"/>
  <c r="M26" i="1" l="1"/>
  <c r="M33" i="1"/>
  <c r="M41" i="1"/>
  <c r="N41" i="1" s="1"/>
  <c r="H6" i="2"/>
  <c r="I6" i="2" s="1"/>
  <c r="M37" i="1" s="1"/>
  <c r="H12" i="2"/>
  <c r="I12" i="2" s="1"/>
  <c r="H5" i="2"/>
  <c r="I5" i="2" s="1"/>
  <c r="H11" i="2"/>
  <c r="I11" i="2" s="1"/>
  <c r="H4" i="2"/>
  <c r="I4" i="2" s="1"/>
  <c r="H10" i="2"/>
  <c r="I10" i="2" s="1"/>
  <c r="H3" i="2"/>
  <c r="I3" i="2" s="1"/>
  <c r="H9" i="2"/>
  <c r="I9" i="2" s="1"/>
  <c r="H8" i="2"/>
  <c r="I8" i="2" s="1"/>
  <c r="M40" i="1" s="1"/>
  <c r="H7" i="2"/>
  <c r="I7" i="2" s="1"/>
  <c r="M39" i="1" s="1"/>
  <c r="N39" i="1" s="1"/>
  <c r="H13" i="2"/>
  <c r="I13" i="2" s="1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  <c r="N37" i="1" l="1"/>
  <c r="N33" i="1"/>
  <c r="N26" i="1"/>
  <c r="N53" i="1"/>
  <c r="O53" i="1" s="1"/>
  <c r="N23" i="1"/>
  <c r="N29" i="1"/>
  <c r="N40" i="1"/>
  <c r="O40" i="1" s="1"/>
  <c r="M22" i="1"/>
  <c r="N22" i="1" s="1"/>
  <c r="M32" i="1"/>
  <c r="N32" i="1" s="1"/>
  <c r="M30" i="1"/>
  <c r="N30" i="1" s="1"/>
  <c r="M38" i="1"/>
  <c r="N38" i="1" s="1"/>
  <c r="O38" i="1" s="1"/>
  <c r="M46" i="1"/>
  <c r="N46" i="1" s="1"/>
  <c r="M44" i="1"/>
  <c r="N44" i="1" s="1"/>
  <c r="M25" i="1"/>
  <c r="N25" i="1" s="1"/>
  <c r="M43" i="1"/>
  <c r="M47" i="1"/>
  <c r="N47" i="1" s="1"/>
  <c r="M34" i="1"/>
  <c r="N34" i="1" s="1"/>
  <c r="O34" i="1" s="1"/>
  <c r="M42" i="1"/>
  <c r="N42" i="1" s="1"/>
  <c r="M27" i="1"/>
  <c r="N27" i="1" s="1"/>
  <c r="M35" i="1"/>
  <c r="N35" i="1" s="1"/>
  <c r="M36" i="1"/>
  <c r="N36" i="1" s="1"/>
  <c r="O36" i="1" s="1"/>
  <c r="M31" i="1"/>
  <c r="N31" i="1" s="1"/>
  <c r="O31" i="1" s="1"/>
  <c r="M24" i="1"/>
  <c r="N24" i="1" s="1"/>
  <c r="M45" i="1"/>
  <c r="N45" i="1" s="1"/>
  <c r="O37" i="1"/>
  <c r="O41" i="1"/>
  <c r="O33" i="1"/>
  <c r="O39" i="1"/>
  <c r="O23" i="1"/>
  <c r="O29" i="1"/>
  <c r="O52" i="1"/>
  <c r="N43" i="1" l="1"/>
  <c r="O43" i="1" s="1"/>
  <c r="O47" i="1"/>
  <c r="O27" i="1"/>
  <c r="O42" i="1"/>
  <c r="O22" i="1"/>
  <c r="O44" i="1"/>
  <c r="O24" i="1"/>
  <c r="O50" i="1"/>
  <c r="O30" i="1"/>
  <c r="O46" i="1"/>
  <c r="O26" i="1"/>
  <c r="O51" i="1"/>
  <c r="O32" i="1"/>
  <c r="O54" i="1"/>
  <c r="O35" i="1"/>
  <c r="O45" i="1"/>
  <c r="O25" i="1"/>
</calcChain>
</file>

<file path=xl/sharedStrings.xml><?xml version="1.0" encoding="utf-8"?>
<sst xmlns="http://schemas.openxmlformats.org/spreadsheetml/2006/main" count="320" uniqueCount="178">
  <si>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</si>
  <si>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</si>
  <si>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</si>
  <si>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</si>
  <si>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</si>
  <si>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</si>
  <si>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</si>
  <si>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</si>
  <si>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</si>
  <si>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</si>
  <si>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</si>
  <si>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</si>
  <si>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</si>
  <si>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</si>
  <si>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</si>
  <si>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</si>
  <si>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</si>
  <si>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</si>
  <si>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</si>
  <si>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</si>
  <si>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</si>
  <si>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</si>
  <si>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</si>
  <si>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</si>
  <si>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</si>
  <si>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</si>
  <si>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</si>
  <si>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</si>
  <si>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</si>
  <si>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</si>
  <si>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</si>
  <si>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</si>
  <si>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</si>
  <si>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</si>
  <si>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</si>
  <si>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</si>
  <si>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</si>
  <si>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</si>
  <si>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</si>
  <si>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</si>
  <si>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</si>
  <si>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</si>
  <si>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</si>
  <si>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</si>
  <si>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</si>
  <si>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</si>
  <si>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</si>
  <si>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</si>
  <si>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</si>
  <si>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</si>
  <si>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</si>
  <si>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</si>
  <si>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</si>
  <si>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</si>
  <si>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It's a safe bet that you'll find this useful.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</si>
  <si>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</si>
  <si>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</si>
  <si>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</si>
  <si>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</si>
  <si>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</si>
  <si>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</si>
  <si>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</si>
  <si>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</si>
  <si>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</si>
  <si>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</si>
  <si>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Or is it ore? Mountains? Rock? Definitely not clay.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</si>
  <si>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</si>
  <si>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</si>
  <si>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</si>
  <si>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</si>
  <si>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Plus, you don't have to think about how to make your food!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</si>
  <si>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</si>
  <si>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</si>
  <si>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</si>
  <si>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</si>
  <si>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</si>
  <si>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</si>
  <si>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</si>
  <si>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</si>
  <si>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</si>
  <si>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</si>
  <si>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</si>
  <si>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</si>
  <si>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</si>
  <si>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</si>
  <si>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</si>
  <si>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</si>
  <si>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</si>
  <si>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</si>
  <si>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</si>
  <si>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</si>
  <si>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</si>
  <si>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</si>
  <si>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</si>
  <si>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</si>
  <si>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</si>
  <si>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</si>
  <si>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</si>
  <si>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</si>
  <si>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</si>
  <si>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</si>
  <si>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</si>
  <si>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</si>
  <si>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</si>
  <si>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</si>
  <si>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</si>
  <si>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</si>
  <si>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</si>
  <si>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</si>
  <si>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</si>
  <si>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</si>
  <si>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</si>
  <si>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</si>
  <si>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</si>
  <si>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</si>
  <si>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</si>
  <si>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</si>
  <si>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</si>
  <si>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</si>
  <si>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</si>
  <si>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</si>
  <si>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</si>
  <si>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</si>
  <si>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</si>
  <si>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</si>
  <si>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</si>
  <si>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</si>
  <si>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</si>
  <si>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</si>
  <si>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</si>
  <si>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</si>
  <si>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?</t>
  </si>
  <si>
    <t>The Military Commitment</t>
  </si>
  <si>
    <t>You're in it now.</t>
  </si>
  <si>
    <t>You may also Trash this card for 2 Food.</t>
  </si>
  <si>
    <t>This card is as close at this game gets to Victory Point Points.</t>
  </si>
  <si>
    <t>Upon playing, you may retrieve any card in the discard piles and play it immediately without prerequisites.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</si>
  <si>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</si>
  <si>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</si>
  <si>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</si>
  <si>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</si>
  <si>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</si>
  <si>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</si>
  <si>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</si>
  <si>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</si>
  <si>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</si>
  <si>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</si>
  <si>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</si>
  <si>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 xml:space="preserve">When this card is revealed, all Blockers must be paid by the end of the turn. Initiate Endgame. </t>
  </si>
  <si>
    <t>1 VP for each Building you've played</t>
  </si>
  <si>
    <t>8VP if you have Invested plus 3VP for each Gold.</t>
  </si>
  <si>
    <t>Personally, I find grain to be much more filling than carrots</t>
  </si>
  <si>
    <t>Eat More Veggies!</t>
  </si>
  <si>
    <t>6 VPs for each Cattle, Vegetable</t>
  </si>
  <si>
    <t>5 VP for each type: Sheep, Wild Boar, Cattle, Glass, Silk, Grain, Carrot.</t>
  </si>
  <si>
    <t>3 VP for each Wood, Sheep, or Grain</t>
  </si>
  <si>
    <t>You may trash 1 Silk for any 2 Resources, any number of times.</t>
  </si>
  <si>
    <t>You may trash 1 Gold for any 1 Resource.</t>
  </si>
  <si>
    <t>You may trash 1 Animal for any 1 Resource, any number of times.</t>
  </si>
  <si>
    <t>Highest Military may trash any 1 Resource for any 1 other Resource, once per turn. In a tie, nobody gets the bonus.</t>
  </si>
  <si>
    <t>The Stone Building Building Building</t>
  </si>
  <si>
    <t>The Wood Building Building Building</t>
  </si>
  <si>
    <t>The Clay Building Building Building</t>
  </si>
  <si>
    <t>Can be bought for 1 of any of: Stone, Clay, Silk, Boar, Glass, Gold, Cattle, Carrot, Food.</t>
  </si>
  <si>
    <t>Supply/Demand</t>
  </si>
  <si>
    <t>Req.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</si>
  <si>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</si>
  <si>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</si>
  <si>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</si>
  <si>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</si>
  <si>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</si>
  <si>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</si>
  <si>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</si>
  <si>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</si>
  <si>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3 VPs for each Payoff you have placed.</t>
  </si>
  <si>
    <t>At game end, take the number of Glass and Silk you have. Square that for VPs.</t>
  </si>
  <si>
    <t>The Combo Materials</t>
  </si>
  <si>
    <t>3 VP for each Military, +3 additional VP if you end the game with the most military (ties don't count).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</si>
</sst>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2" fontId="2" fillId="3" borderId="0" xfId="2" applyNumberFormat="1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</cellXfs>
  <cellStyles count="4">
    <cellStyle name="20% - Accent3" xfId="2" builtinId="38"/>
    <cellStyle name="40% - Accent1" xfId="1" builtinId="31"/>
    <cellStyle name="40% - Accent4" xfId="3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pane ySplit="1" topLeftCell="A17" activePane="bottomLeft" state="frozen"/>
      <selection pane="bottomLeft" activeCell="F38" sqref="F38:G38"/>
    </sheetView>
  </sheetViews>
  <sheetFormatPr defaultRowHeight="15" x14ac:dyDescent="0.25"/>
  <cols>
    <col min="1" max="1" width="9.140625" bestFit="1" customWidth="1"/>
    <col min="2" max="2" width="4.140625" style="3" bestFit="1" customWidth="1"/>
    <col min="3" max="3" width="34" bestFit="1" customWidth="1"/>
    <col min="4" max="4" width="11.140625" bestFit="1" customWidth="1"/>
    <col min="5" max="5" width="10.140625" bestFit="1" customWidth="1"/>
    <col min="6" max="9" width="10.140625" style="13" customWidth="1"/>
    <col min="10" max="10" width="62.7109375" customWidth="1"/>
    <col min="11" max="11" width="5" style="3" bestFit="1" customWidth="1"/>
    <col min="12" max="12" width="79.7109375" hidden="1" customWidth="1"/>
    <col min="13" max="13" width="11" style="17" bestFit="1" customWidth="1"/>
    <col min="14" max="14" width="11.85546875" style="17" bestFit="1" customWidth="1"/>
    <col min="15" max="15" width="9.140625" style="3"/>
  </cols>
  <sheetData>
    <row r="1" spans="1:15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111</v>
      </c>
      <c r="G1" s="11" t="s">
        <v>112</v>
      </c>
      <c r="H1" s="11" t="s">
        <v>19</v>
      </c>
      <c r="I1" s="11" t="s">
        <v>20</v>
      </c>
      <c r="J1" s="1" t="s">
        <v>4</v>
      </c>
      <c r="K1" s="2" t="s">
        <v>5</v>
      </c>
      <c r="L1" s="1" t="s">
        <v>1</v>
      </c>
      <c r="M1" s="14" t="s">
        <v>173</v>
      </c>
      <c r="N1" s="14" t="s">
        <v>170</v>
      </c>
      <c r="O1" s="2" t="s">
        <v>169</v>
      </c>
    </row>
    <row r="2" spans="1:15" s="4" customFormat="1" x14ac:dyDescent="0.25">
      <c r="A2" t="s">
        <v>110</v>
      </c>
      <c r="B2" s="5">
        <v>1</v>
      </c>
      <c r="C2" t="s">
        <v>87</v>
      </c>
      <c r="D2" t="s">
        <v>88</v>
      </c>
      <c r="F2" s="12"/>
      <c r="G2" s="12"/>
      <c r="H2" s="12"/>
      <c r="I2" s="12"/>
      <c r="J2" t="s">
        <v>163</v>
      </c>
      <c r="K2" s="5">
        <v>4</v>
      </c>
      <c r="L2" t="s">
        <v>89</v>
      </c>
      <c r="M2" s="17"/>
      <c r="N2" s="33"/>
      <c r="O2" s="5"/>
    </row>
    <row r="3" spans="1:15" x14ac:dyDescent="0.25">
      <c r="A3" t="s">
        <v>92</v>
      </c>
      <c r="B3" s="3">
        <v>4</v>
      </c>
      <c r="C3" t="s">
        <v>18</v>
      </c>
      <c r="D3" t="s">
        <v>32</v>
      </c>
      <c r="F3" s="13" t="s">
        <v>11</v>
      </c>
      <c r="J3" t="s">
        <v>145</v>
      </c>
      <c r="K3" s="3">
        <v>2</v>
      </c>
      <c r="L3" t="s">
        <v>69</v>
      </c>
    </row>
    <row r="4" spans="1:15" x14ac:dyDescent="0.25">
      <c r="A4" t="s">
        <v>92</v>
      </c>
      <c r="B4" s="3">
        <v>3</v>
      </c>
      <c r="C4" t="s">
        <v>22</v>
      </c>
      <c r="D4" t="s">
        <v>33</v>
      </c>
      <c r="J4" t="s">
        <v>159</v>
      </c>
      <c r="K4" s="3">
        <v>3</v>
      </c>
      <c r="L4" t="s">
        <v>85</v>
      </c>
    </row>
    <row r="5" spans="1:15" x14ac:dyDescent="0.25">
      <c r="A5" t="s">
        <v>92</v>
      </c>
      <c r="B5" s="3">
        <v>2</v>
      </c>
      <c r="C5" t="s">
        <v>48</v>
      </c>
      <c r="F5" s="13" t="s">
        <v>8</v>
      </c>
      <c r="J5" t="s">
        <v>146</v>
      </c>
      <c r="K5" s="3">
        <v>2</v>
      </c>
      <c r="L5" t="s">
        <v>103</v>
      </c>
    </row>
    <row r="6" spans="1:15" x14ac:dyDescent="0.25">
      <c r="A6" t="s">
        <v>92</v>
      </c>
      <c r="B6" s="3">
        <v>2</v>
      </c>
      <c r="C6" t="s">
        <v>96</v>
      </c>
      <c r="F6" s="13" t="s">
        <v>14</v>
      </c>
      <c r="J6" t="s">
        <v>158</v>
      </c>
      <c r="K6" s="3">
        <v>2</v>
      </c>
      <c r="L6" t="s">
        <v>102</v>
      </c>
    </row>
    <row r="7" spans="1:15" ht="14.25" customHeight="1" x14ac:dyDescent="0.25">
      <c r="A7" t="s">
        <v>64</v>
      </c>
      <c r="B7" s="3">
        <v>4</v>
      </c>
      <c r="C7" t="s">
        <v>63</v>
      </c>
      <c r="J7" t="s">
        <v>121</v>
      </c>
      <c r="K7" s="3">
        <v>-8</v>
      </c>
      <c r="L7" t="s">
        <v>55</v>
      </c>
    </row>
    <row r="8" spans="1:15" s="26" customFormat="1" x14ac:dyDescent="0.25">
      <c r="A8" s="26" t="s">
        <v>6</v>
      </c>
      <c r="B8" s="27">
        <v>6</v>
      </c>
      <c r="C8" s="26" t="s">
        <v>104</v>
      </c>
      <c r="D8" s="26" t="s">
        <v>8</v>
      </c>
      <c r="E8" s="26" t="s">
        <v>8</v>
      </c>
      <c r="K8" s="27">
        <v>0</v>
      </c>
      <c r="L8" s="26" t="s">
        <v>90</v>
      </c>
      <c r="M8" s="28"/>
      <c r="N8" s="28"/>
      <c r="O8" s="27"/>
    </row>
    <row r="9" spans="1:15" s="26" customFormat="1" x14ac:dyDescent="0.25">
      <c r="A9" s="26" t="s">
        <v>6</v>
      </c>
      <c r="B9" s="27">
        <v>4</v>
      </c>
      <c r="C9" s="26" t="s">
        <v>118</v>
      </c>
      <c r="D9" s="26" t="s">
        <v>14</v>
      </c>
      <c r="E9" s="26" t="s">
        <v>14</v>
      </c>
      <c r="K9" s="27">
        <v>0</v>
      </c>
      <c r="L9" s="26" t="s">
        <v>86</v>
      </c>
      <c r="M9" s="28"/>
      <c r="N9" s="28"/>
      <c r="O9" s="27"/>
    </row>
    <row r="10" spans="1:15" s="26" customFormat="1" x14ac:dyDescent="0.25">
      <c r="A10" s="26" t="s">
        <v>6</v>
      </c>
      <c r="B10" s="27">
        <v>7</v>
      </c>
      <c r="C10" s="26" t="s">
        <v>109</v>
      </c>
      <c r="D10" s="26" t="s">
        <v>11</v>
      </c>
      <c r="K10" s="27">
        <v>0</v>
      </c>
      <c r="L10" s="26" t="s">
        <v>65</v>
      </c>
      <c r="M10" s="28"/>
      <c r="N10" s="28"/>
      <c r="O10" s="27"/>
    </row>
    <row r="11" spans="1:15" s="26" customFormat="1" x14ac:dyDescent="0.25">
      <c r="A11" s="26" t="s">
        <v>6</v>
      </c>
      <c r="B11" s="27">
        <v>4</v>
      </c>
      <c r="C11" s="34" t="s">
        <v>176</v>
      </c>
      <c r="D11" s="26" t="s">
        <v>14</v>
      </c>
      <c r="E11" s="26" t="s">
        <v>8</v>
      </c>
      <c r="K11" s="27">
        <v>0</v>
      </c>
      <c r="L11" s="26" t="s">
        <v>54</v>
      </c>
      <c r="M11" s="28"/>
      <c r="N11" s="28"/>
      <c r="O11" s="27"/>
    </row>
    <row r="12" spans="1:15" s="26" customFormat="1" x14ac:dyDescent="0.25">
      <c r="A12" s="26" t="s">
        <v>6</v>
      </c>
      <c r="B12" s="27">
        <v>3</v>
      </c>
      <c r="C12" s="26" t="s">
        <v>60</v>
      </c>
      <c r="D12" s="26" t="s">
        <v>26</v>
      </c>
      <c r="K12" s="27">
        <v>0</v>
      </c>
      <c r="L12" s="26" t="s">
        <v>17</v>
      </c>
      <c r="M12" s="28"/>
      <c r="N12" s="28"/>
      <c r="O12" s="27"/>
    </row>
    <row r="13" spans="1:15" s="26" customFormat="1" x14ac:dyDescent="0.25">
      <c r="A13" s="26" t="s">
        <v>6</v>
      </c>
      <c r="B13" s="27">
        <v>3</v>
      </c>
      <c r="C13" s="26" t="s">
        <v>113</v>
      </c>
      <c r="D13" s="26" t="s">
        <v>12</v>
      </c>
      <c r="K13" s="27">
        <v>0</v>
      </c>
      <c r="L13" s="26" t="s">
        <v>57</v>
      </c>
      <c r="M13" s="28"/>
      <c r="N13" s="28"/>
      <c r="O13" s="27"/>
    </row>
    <row r="14" spans="1:15" s="26" customFormat="1" x14ac:dyDescent="0.25">
      <c r="A14" s="26" t="s">
        <v>6</v>
      </c>
      <c r="B14" s="27">
        <v>3</v>
      </c>
      <c r="C14" s="26" t="s">
        <v>114</v>
      </c>
      <c r="D14" s="26" t="s">
        <v>13</v>
      </c>
      <c r="K14" s="27">
        <v>0</v>
      </c>
      <c r="L14" s="26" t="s">
        <v>53</v>
      </c>
      <c r="M14" s="28"/>
      <c r="N14" s="28"/>
      <c r="O14" s="27"/>
    </row>
    <row r="15" spans="1:15" s="26" customFormat="1" x14ac:dyDescent="0.25">
      <c r="A15" s="26" t="s">
        <v>6</v>
      </c>
      <c r="B15" s="27">
        <v>2</v>
      </c>
      <c r="C15" s="26" t="s">
        <v>105</v>
      </c>
      <c r="D15" s="26" t="s">
        <v>27</v>
      </c>
      <c r="E15" s="26" t="s">
        <v>27</v>
      </c>
      <c r="J15" s="26" t="s">
        <v>100</v>
      </c>
      <c r="K15" s="27">
        <v>0</v>
      </c>
      <c r="L15" s="26" t="s">
        <v>61</v>
      </c>
      <c r="M15" s="28"/>
      <c r="N15" s="28"/>
      <c r="O15" s="27"/>
    </row>
    <row r="16" spans="1:15" s="26" customFormat="1" x14ac:dyDescent="0.25">
      <c r="A16" s="26" t="s">
        <v>6</v>
      </c>
      <c r="B16" s="27">
        <v>3</v>
      </c>
      <c r="C16" s="26" t="s">
        <v>115</v>
      </c>
      <c r="D16" s="26" t="s">
        <v>23</v>
      </c>
      <c r="K16" s="27">
        <v>0</v>
      </c>
      <c r="L16" s="26" t="s">
        <v>107</v>
      </c>
      <c r="M16" s="28"/>
      <c r="N16" s="28"/>
      <c r="O16" s="27"/>
    </row>
    <row r="17" spans="1:15" s="26" customFormat="1" x14ac:dyDescent="0.25">
      <c r="A17" s="26" t="s">
        <v>6</v>
      </c>
      <c r="B17" s="27">
        <v>2</v>
      </c>
      <c r="C17" s="26" t="s">
        <v>116</v>
      </c>
      <c r="D17" s="26" t="s">
        <v>120</v>
      </c>
      <c r="J17" s="26" t="s">
        <v>108</v>
      </c>
      <c r="K17" s="27">
        <v>0</v>
      </c>
      <c r="L17" s="26" t="s">
        <v>151</v>
      </c>
      <c r="M17" s="28"/>
      <c r="N17" s="28"/>
      <c r="O17" s="27"/>
    </row>
    <row r="18" spans="1:15" s="26" customFormat="1" x14ac:dyDescent="0.25">
      <c r="A18" s="26" t="s">
        <v>6</v>
      </c>
      <c r="B18" s="27">
        <v>3</v>
      </c>
      <c r="C18" s="26" t="s">
        <v>117</v>
      </c>
      <c r="D18" s="26" t="s">
        <v>15</v>
      </c>
      <c r="K18" s="27">
        <v>0</v>
      </c>
      <c r="L18" s="26" t="s">
        <v>78</v>
      </c>
      <c r="M18" s="28"/>
      <c r="N18" s="28"/>
      <c r="O18" s="27"/>
    </row>
    <row r="19" spans="1:15" s="26" customFormat="1" x14ac:dyDescent="0.25">
      <c r="A19" s="26" t="s">
        <v>6</v>
      </c>
      <c r="B19" s="27">
        <v>3</v>
      </c>
      <c r="C19" s="26" t="s">
        <v>91</v>
      </c>
      <c r="D19" s="26" t="s">
        <v>16</v>
      </c>
      <c r="J19" s="26" t="s">
        <v>157</v>
      </c>
      <c r="K19" s="27">
        <v>2</v>
      </c>
      <c r="L19" s="26" t="s">
        <v>101</v>
      </c>
      <c r="M19" s="28"/>
      <c r="N19" s="28"/>
      <c r="O19" s="27"/>
    </row>
    <row r="20" spans="1:15" s="26" customFormat="1" ht="15.75" customHeight="1" x14ac:dyDescent="0.25">
      <c r="A20" s="26" t="s">
        <v>6</v>
      </c>
      <c r="B20" s="27">
        <v>3</v>
      </c>
      <c r="C20" s="26" t="s">
        <v>50</v>
      </c>
      <c r="D20" s="26" t="s">
        <v>25</v>
      </c>
      <c r="K20" s="27">
        <v>0</v>
      </c>
      <c r="L20" s="26" t="s">
        <v>70</v>
      </c>
      <c r="M20" s="28"/>
      <c r="N20" s="28"/>
      <c r="O20" s="27"/>
    </row>
    <row r="21" spans="1:15" s="22" customFormat="1" x14ac:dyDescent="0.25">
      <c r="A21" s="22" t="s">
        <v>98</v>
      </c>
      <c r="B21" s="23">
        <v>1</v>
      </c>
      <c r="C21" s="22" t="s">
        <v>97</v>
      </c>
      <c r="D21" s="22" t="s">
        <v>56</v>
      </c>
      <c r="J21" s="22" t="s">
        <v>99</v>
      </c>
      <c r="K21" s="23">
        <v>3</v>
      </c>
      <c r="L21" s="22" t="s">
        <v>71</v>
      </c>
      <c r="M21" s="24">
        <f>IF(F21&lt;&gt;"",VLOOKUP(F21,Economy!A$2:I$13,9,FALSE),0)+IF(G21&lt;&gt;"",VLOOKUP(G21,Economy!A$2:I$13,9,FALSE),0)</f>
        <v>0</v>
      </c>
      <c r="N21" s="31">
        <f>2 + M21 + IF(H21="Building",VLOOKUP("Stone",Economy!A$2:I$13,9)+2,0)</f>
        <v>2</v>
      </c>
      <c r="O21" s="23">
        <f t="shared" ref="O21:O54" si="0">IF(ISNUMBER(K21/N21), K21/N21,"")</f>
        <v>1.5</v>
      </c>
    </row>
    <row r="22" spans="1:15" s="22" customFormat="1" ht="14.25" customHeight="1" x14ac:dyDescent="0.25">
      <c r="A22" s="22" t="s">
        <v>98</v>
      </c>
      <c r="B22" s="23">
        <v>2</v>
      </c>
      <c r="C22" s="22" t="s">
        <v>52</v>
      </c>
      <c r="D22" s="22" t="s">
        <v>23</v>
      </c>
      <c r="E22" s="22" t="s">
        <v>23</v>
      </c>
      <c r="F22" s="22" t="s">
        <v>23</v>
      </c>
      <c r="J22" s="22" t="s">
        <v>108</v>
      </c>
      <c r="K22" s="23">
        <v>0</v>
      </c>
      <c r="L22" s="22" t="s">
        <v>73</v>
      </c>
      <c r="M22" s="24">
        <f>IF(F22&lt;&gt;"",VLOOKUP(F22,Economy!A$2:I$13,9,FALSE),0)+IF(G22&lt;&gt;"",VLOOKUP(G22,Economy!A$2:I$13,9,FALSE),0)</f>
        <v>1.6423591511807047</v>
      </c>
      <c r="N22" s="31">
        <f>2 + M22 + IF(H22="Building",VLOOKUP("Stone",Economy!A$2:I$13,9)+2,0)</f>
        <v>3.6423591511807047</v>
      </c>
      <c r="O22" s="23">
        <f t="shared" si="0"/>
        <v>0</v>
      </c>
    </row>
    <row r="23" spans="1:15" s="22" customFormat="1" ht="14.25" customHeight="1" x14ac:dyDescent="0.25">
      <c r="A23" s="22" t="s">
        <v>98</v>
      </c>
      <c r="B23" s="23">
        <v>1</v>
      </c>
      <c r="C23" s="22" t="s">
        <v>106</v>
      </c>
      <c r="H23" s="22" t="s">
        <v>32</v>
      </c>
      <c r="J23" s="22" t="s">
        <v>156</v>
      </c>
      <c r="K23" s="23">
        <v>5</v>
      </c>
      <c r="L23" s="22" t="s">
        <v>79</v>
      </c>
      <c r="M23" s="24">
        <f>IF(F23&lt;&gt;"",VLOOKUP(F23,Economy!A$2:I$13,9,FALSE),0)+IF(G23&lt;&gt;"",VLOOKUP(G23,Economy!A$2:I$13,9,FALSE),0)</f>
        <v>0</v>
      </c>
      <c r="N23" s="31">
        <f>2 + M23 + IF(H23="Building",VLOOKUP("Stone",Economy!A$2:I$13,9)+2,0)</f>
        <v>5.8132281580905927</v>
      </c>
      <c r="O23" s="23">
        <f t="shared" si="0"/>
        <v>0.8601073042421743</v>
      </c>
    </row>
    <row r="24" spans="1:15" s="22" customFormat="1" ht="14.25" customHeight="1" x14ac:dyDescent="0.25">
      <c r="A24" s="22" t="s">
        <v>98</v>
      </c>
      <c r="B24" s="23">
        <v>3</v>
      </c>
      <c r="C24" s="22" t="s">
        <v>44</v>
      </c>
      <c r="D24" s="22" t="s">
        <v>12</v>
      </c>
      <c r="E24" s="22" t="s">
        <v>12</v>
      </c>
      <c r="F24" s="22" t="s">
        <v>12</v>
      </c>
      <c r="K24" s="23">
        <v>0</v>
      </c>
      <c r="L24" s="22" t="s">
        <v>67</v>
      </c>
      <c r="M24" s="24">
        <f>IF(F24&lt;&gt;"",VLOOKUP(F24,Economy!A$2:I$13,9,FALSE),0)+IF(G24&lt;&gt;"",VLOOKUP(G24,Economy!A$2:I$13,9,FALSE),0)</f>
        <v>1.6423591511807047</v>
      </c>
      <c r="N24" s="31">
        <f>2 + M24 + IF(H24="Building",VLOOKUP("Stone",Economy!A$2:I$13,9)+2,0)</f>
        <v>3.6423591511807047</v>
      </c>
      <c r="O24" s="23">
        <f t="shared" si="0"/>
        <v>0</v>
      </c>
    </row>
    <row r="25" spans="1:15" s="22" customFormat="1" x14ac:dyDescent="0.25">
      <c r="A25" s="22" t="s">
        <v>98</v>
      </c>
      <c r="B25" s="23">
        <v>1</v>
      </c>
      <c r="C25" s="22" t="s">
        <v>160</v>
      </c>
      <c r="F25" s="22" t="s">
        <v>11</v>
      </c>
      <c r="H25" s="22" t="s">
        <v>32</v>
      </c>
      <c r="J25" s="22" t="s">
        <v>35</v>
      </c>
      <c r="K25" s="23">
        <v>5</v>
      </c>
      <c r="L25" s="22" t="s">
        <v>75</v>
      </c>
      <c r="M25" s="24">
        <f>IF(F25&lt;&gt;"",VLOOKUP(F25,Economy!A$2:I$13,9,FALSE),0)+IF(G25&lt;&gt;"",VLOOKUP(G25,Economy!A$2:I$13,9,FALSE),0)</f>
        <v>1.7147012989212722</v>
      </c>
      <c r="N25" s="31">
        <f>2 + M25 + IF(H25="Building",VLOOKUP("Stone",Economy!A$2:I$13,9)+2,0)</f>
        <v>7.5279294570118651</v>
      </c>
      <c r="O25" s="23">
        <f t="shared" si="0"/>
        <v>0.66419325905648152</v>
      </c>
    </row>
    <row r="26" spans="1:15" s="22" customFormat="1" x14ac:dyDescent="0.25">
      <c r="A26" s="22" t="s">
        <v>98</v>
      </c>
      <c r="B26" s="23">
        <v>1</v>
      </c>
      <c r="C26" s="22" t="s">
        <v>161</v>
      </c>
      <c r="F26" s="22" t="s">
        <v>8</v>
      </c>
      <c r="H26" s="22" t="s">
        <v>32</v>
      </c>
      <c r="J26" s="22" t="s">
        <v>36</v>
      </c>
      <c r="K26" s="23">
        <v>5</v>
      </c>
      <c r="L26" s="22" t="s">
        <v>76</v>
      </c>
      <c r="M26" s="24">
        <f>IF(F26&lt;&gt;"",VLOOKUP(F26,Economy!A$2:I$13,9,FALSE),0)+IF(G26&lt;&gt;"",VLOOKUP(G26,Economy!A$2:I$13,9,FALSE),0)</f>
        <v>1.5686689071862463</v>
      </c>
      <c r="N26" s="31">
        <f>2 + M26 + IF(H26="Building",VLOOKUP("Stone",Economy!A$2:I$13,9)+2,0)</f>
        <v>7.3818970652768385</v>
      </c>
      <c r="O26" s="23">
        <f t="shared" si="0"/>
        <v>0.67733266337715969</v>
      </c>
    </row>
    <row r="27" spans="1:15" s="22" customFormat="1" x14ac:dyDescent="0.25">
      <c r="A27" s="22" t="s">
        <v>98</v>
      </c>
      <c r="B27" s="23">
        <v>1</v>
      </c>
      <c r="C27" s="22" t="s">
        <v>162</v>
      </c>
      <c r="F27" s="22" t="s">
        <v>14</v>
      </c>
      <c r="H27" s="22" t="s">
        <v>32</v>
      </c>
      <c r="J27" s="22" t="s">
        <v>37</v>
      </c>
      <c r="K27" s="23">
        <v>5</v>
      </c>
      <c r="L27" s="22" t="s">
        <v>77</v>
      </c>
      <c r="M27" s="24">
        <f>IF(F27&lt;&gt;"",VLOOKUP(F27,Economy!A$2:I$13,9,FALSE),0)+IF(G27&lt;&gt;"",VLOOKUP(G27,Economy!A$2:I$13,9,FALSE),0)</f>
        <v>1.6264563161811858</v>
      </c>
      <c r="N27" s="31">
        <f>2 + M27 + IF(H27="Building",VLOOKUP("Stone",Economy!A$2:I$13,9)+2,0)</f>
        <v>7.4396844742717789</v>
      </c>
      <c r="O27" s="23">
        <f t="shared" si="0"/>
        <v>0.6720715128835375</v>
      </c>
    </row>
    <row r="28" spans="1:15" s="22" customFormat="1" ht="15.75" customHeight="1" x14ac:dyDescent="0.25">
      <c r="A28" s="22" t="s">
        <v>98</v>
      </c>
      <c r="B28" s="23">
        <v>1</v>
      </c>
      <c r="C28" s="22" t="s">
        <v>138</v>
      </c>
      <c r="D28" s="25"/>
      <c r="J28" s="22" t="s">
        <v>139</v>
      </c>
      <c r="K28" s="23">
        <v>3</v>
      </c>
      <c r="L28" s="22" t="s">
        <v>29</v>
      </c>
      <c r="M28" s="24">
        <f>IF(F28&lt;&gt;"",VLOOKUP(F28,Economy!A$2:I$13,9,FALSE),0)+IF(G28&lt;&gt;"",VLOOKUP(G28,Economy!A$2:I$13,9,FALSE),0)</f>
        <v>0</v>
      </c>
      <c r="N28" s="31">
        <f>2 + M28 + IF(H28="Building",VLOOKUP("Stone",Economy!A$2:I$13,9)+2,0)</f>
        <v>2</v>
      </c>
      <c r="O28" s="23">
        <f t="shared" si="0"/>
        <v>1.5</v>
      </c>
    </row>
    <row r="29" spans="1:15" s="22" customFormat="1" ht="14.25" customHeight="1" x14ac:dyDescent="0.25">
      <c r="A29" s="22" t="s">
        <v>98</v>
      </c>
      <c r="B29" s="23">
        <v>1</v>
      </c>
      <c r="C29" s="22" t="s">
        <v>38</v>
      </c>
      <c r="D29" s="22" t="s">
        <v>33</v>
      </c>
      <c r="E29" s="22" t="s">
        <v>33</v>
      </c>
      <c r="H29" s="22" t="s">
        <v>32</v>
      </c>
      <c r="I29" s="22" t="s">
        <v>33</v>
      </c>
      <c r="J29" s="22" t="s">
        <v>159</v>
      </c>
      <c r="K29" s="23">
        <v>5</v>
      </c>
      <c r="L29" s="22" t="s">
        <v>82</v>
      </c>
      <c r="M29" s="24">
        <f>IF(F29&lt;&gt;"",VLOOKUP(F29,Economy!A$2:I$13,9,FALSE),0)+IF(G29&lt;&gt;"",VLOOKUP(G29,Economy!A$2:I$13,9,FALSE),0)</f>
        <v>0</v>
      </c>
      <c r="N29" s="31">
        <f>2 + M29 + IF(H29="Building",VLOOKUP("Stone",Economy!A$2:I$13,9)+2,0)</f>
        <v>5.8132281580905927</v>
      </c>
      <c r="O29" s="23">
        <f t="shared" si="0"/>
        <v>0.8601073042421743</v>
      </c>
    </row>
    <row r="30" spans="1:15" s="29" customFormat="1" ht="14.25" customHeight="1" x14ac:dyDescent="0.25">
      <c r="A30" s="29" t="s">
        <v>144</v>
      </c>
      <c r="B30" s="30">
        <v>1</v>
      </c>
      <c r="C30" s="29" t="s">
        <v>62</v>
      </c>
      <c r="F30" s="29" t="s">
        <v>11</v>
      </c>
      <c r="J30" s="29" t="s">
        <v>137</v>
      </c>
      <c r="K30" s="30">
        <v>6</v>
      </c>
      <c r="L30" s="29" t="s">
        <v>66</v>
      </c>
      <c r="M30" s="31">
        <f>IF(F30&lt;&gt;"",VLOOKUP(F30,Economy!A$2:I$13,9,FALSE),0)+IF(G30&lt;&gt;"",VLOOKUP(G30,Economy!A$2:I$13,9,FALSE),0)</f>
        <v>1.7147012989212722</v>
      </c>
      <c r="N30" s="31">
        <f>2 + M30 + IF(H30="Building",VLOOKUP("Stone",Economy!A$2:I$13,9)+2,0)</f>
        <v>3.7147012989212724</v>
      </c>
      <c r="O30" s="30">
        <f t="shared" si="0"/>
        <v>1.6152038931750354</v>
      </c>
    </row>
    <row r="31" spans="1:15" s="29" customFormat="1" ht="14.25" customHeight="1" x14ac:dyDescent="0.25">
      <c r="A31" s="32" t="s">
        <v>144</v>
      </c>
      <c r="B31" s="30">
        <v>1</v>
      </c>
      <c r="C31" s="32" t="s">
        <v>172</v>
      </c>
      <c r="D31" s="32" t="s">
        <v>12</v>
      </c>
      <c r="E31" s="32" t="s">
        <v>12</v>
      </c>
      <c r="F31" s="32" t="s">
        <v>12</v>
      </c>
      <c r="K31" s="30">
        <v>0</v>
      </c>
      <c r="M31" s="31">
        <f>IF(F31&lt;&gt;"",VLOOKUP(F31,Economy!A$2:I$13,9,FALSE),0)+IF(G31&lt;&gt;"",VLOOKUP(G31,Economy!A$2:I$13,9,FALSE),0)</f>
        <v>1.6423591511807047</v>
      </c>
      <c r="N31" s="31">
        <f>2 + M31 + IF(H31="Building",VLOOKUP("Stone",Economy!A$2:I$13,9)+2,0)</f>
        <v>3.6423591511807047</v>
      </c>
      <c r="O31" s="30">
        <f t="shared" si="0"/>
        <v>0</v>
      </c>
    </row>
    <row r="32" spans="1:15" s="29" customFormat="1" ht="14.25" customHeight="1" x14ac:dyDescent="0.25">
      <c r="A32" s="29" t="s">
        <v>144</v>
      </c>
      <c r="B32" s="30">
        <v>2</v>
      </c>
      <c r="C32" s="29" t="s">
        <v>95</v>
      </c>
      <c r="D32" s="29" t="s">
        <v>23</v>
      </c>
      <c r="E32" s="29" t="s">
        <v>23</v>
      </c>
      <c r="F32" s="29" t="s">
        <v>23</v>
      </c>
      <c r="J32" s="29" t="s">
        <v>51</v>
      </c>
      <c r="K32" s="30">
        <v>0</v>
      </c>
      <c r="L32" s="29" t="s">
        <v>73</v>
      </c>
      <c r="M32" s="31">
        <f>IF(F32&lt;&gt;"",VLOOKUP(F32,Economy!A$2:I$13,9,FALSE),0)+IF(G32&lt;&gt;"",VLOOKUP(G32,Economy!A$2:I$13,9,FALSE),0)</f>
        <v>1.6423591511807047</v>
      </c>
      <c r="N32" s="31">
        <f>2 + M32 + IF(H32="Building",VLOOKUP("Stone",Economy!A$2:I$13,9)+2,0)</f>
        <v>3.6423591511807047</v>
      </c>
      <c r="O32" s="30">
        <f t="shared" si="0"/>
        <v>0</v>
      </c>
    </row>
    <row r="33" spans="1:15" s="29" customFormat="1" x14ac:dyDescent="0.25">
      <c r="A33" s="29" t="s">
        <v>144</v>
      </c>
      <c r="B33" s="30">
        <v>2</v>
      </c>
      <c r="C33" s="29" t="s">
        <v>94</v>
      </c>
      <c r="F33" s="29" t="s">
        <v>8</v>
      </c>
      <c r="G33" s="29" t="s">
        <v>8</v>
      </c>
      <c r="H33" s="29" t="s">
        <v>32</v>
      </c>
      <c r="K33" s="30">
        <v>10</v>
      </c>
      <c r="L33" s="29" t="s">
        <v>83</v>
      </c>
      <c r="M33" s="31">
        <f>IF(F33&lt;&gt;"",VLOOKUP(F33,Economy!A$2:I$13,9,FALSE),0)+IF(G33&lt;&gt;"",VLOOKUP(G33,Economy!A$2:I$13,9,FALSE),0)</f>
        <v>3.1373378143724926</v>
      </c>
      <c r="N33" s="31">
        <f>2 + M33 + IF(H33="Building",VLOOKUP("Stone",Economy!A$2:I$13,9)+2,0)</f>
        <v>8.9505659724630853</v>
      </c>
      <c r="O33" s="30">
        <f t="shared" si="0"/>
        <v>1.1172477841921458</v>
      </c>
    </row>
    <row r="34" spans="1:15" s="29" customFormat="1" x14ac:dyDescent="0.25">
      <c r="A34" s="29" t="s">
        <v>144</v>
      </c>
      <c r="B34" s="30">
        <v>1</v>
      </c>
      <c r="C34" s="29" t="s">
        <v>147</v>
      </c>
      <c r="F34" s="29" t="s">
        <v>14</v>
      </c>
      <c r="G34" s="29" t="s">
        <v>8</v>
      </c>
      <c r="H34" s="29" t="s">
        <v>32</v>
      </c>
      <c r="K34" s="30">
        <v>12</v>
      </c>
      <c r="L34" s="29" t="s">
        <v>81</v>
      </c>
      <c r="M34" s="31">
        <f>IF(F34&lt;&gt;"",VLOOKUP(F34,Economy!A$2:I$13,9,FALSE),0)+IF(G34&lt;&gt;"",VLOOKUP(G34,Economy!A$2:I$13,9,FALSE),0)</f>
        <v>3.1951252233674321</v>
      </c>
      <c r="N34" s="31">
        <f>2 + M34 + IF(H34="Building",VLOOKUP("Stone",Economy!A$2:I$13,9)+2,0)</f>
        <v>9.0083533814580257</v>
      </c>
      <c r="O34" s="30">
        <f t="shared" si="0"/>
        <v>1.3320969428996543</v>
      </c>
    </row>
    <row r="35" spans="1:15" s="29" customFormat="1" x14ac:dyDescent="0.25">
      <c r="A35" s="29" t="s">
        <v>144</v>
      </c>
      <c r="B35" s="30">
        <v>1</v>
      </c>
      <c r="C35" s="29" t="s">
        <v>119</v>
      </c>
      <c r="F35" s="29" t="s">
        <v>14</v>
      </c>
      <c r="G35" s="29" t="s">
        <v>14</v>
      </c>
      <c r="H35" s="29" t="s">
        <v>32</v>
      </c>
      <c r="K35" s="30">
        <v>13</v>
      </c>
      <c r="L35" s="29" t="s">
        <v>127</v>
      </c>
      <c r="M35" s="31">
        <f>IF(F35&lt;&gt;"",VLOOKUP(F35,Economy!A$2:I$13,9,FALSE),0)+IF(G35&lt;&gt;"",VLOOKUP(G35,Economy!A$2:I$13,9,FALSE),0)</f>
        <v>3.2529126323623716</v>
      </c>
      <c r="N35" s="31">
        <f>2 + M35 + IF(H35="Building",VLOOKUP("Stone",Economy!A$2:I$13,9)+2,0)</f>
        <v>9.0661407904529643</v>
      </c>
      <c r="O35" s="30">
        <f t="shared" si="0"/>
        <v>1.433906697510098</v>
      </c>
    </row>
    <row r="36" spans="1:15" s="29" customFormat="1" x14ac:dyDescent="0.25">
      <c r="A36" s="29" t="s">
        <v>144</v>
      </c>
      <c r="B36" s="30">
        <v>1</v>
      </c>
      <c r="C36" s="29" t="s">
        <v>125</v>
      </c>
      <c r="F36" s="29" t="s">
        <v>14</v>
      </c>
      <c r="G36" s="29" t="s">
        <v>11</v>
      </c>
      <c r="H36" s="29" t="s">
        <v>32</v>
      </c>
      <c r="K36" s="30">
        <v>14</v>
      </c>
      <c r="L36" s="29" t="s">
        <v>128</v>
      </c>
      <c r="M36" s="31">
        <f>IF(F36&lt;&gt;"",VLOOKUP(F36,Economy!A$2:I$13,9,FALSE),0)+IF(G36&lt;&gt;"",VLOOKUP(G36,Economy!A$2:I$13,9,FALSE),0)</f>
        <v>3.3411576151024578</v>
      </c>
      <c r="N36" s="31">
        <f>2 + M36 + IF(H36="Building",VLOOKUP("Stone",Economy!A$2:I$13,9)+2,0)</f>
        <v>9.1543857731930505</v>
      </c>
      <c r="O36" s="30">
        <f t="shared" si="0"/>
        <v>1.5293216111775021</v>
      </c>
    </row>
    <row r="37" spans="1:15" s="29" customFormat="1" x14ac:dyDescent="0.25">
      <c r="A37" s="29" t="s">
        <v>144</v>
      </c>
      <c r="B37" s="30">
        <v>1</v>
      </c>
      <c r="C37" s="29" t="s">
        <v>126</v>
      </c>
      <c r="F37" s="29" t="s">
        <v>8</v>
      </c>
      <c r="G37" s="29" t="s">
        <v>11</v>
      </c>
      <c r="H37" s="29" t="s">
        <v>32</v>
      </c>
      <c r="K37" s="30">
        <v>15</v>
      </c>
      <c r="L37" s="29" t="s">
        <v>80</v>
      </c>
      <c r="M37" s="31">
        <f>IF(F37&lt;&gt;"",VLOOKUP(F37,Economy!A$2:I$13,9,FALSE),0)+IF(G37&lt;&gt;"",VLOOKUP(G37,Economy!A$2:I$13,9,FALSE),0)</f>
        <v>3.2833702061075183</v>
      </c>
      <c r="N37" s="31">
        <f>2 + M37 + IF(H37="Building",VLOOKUP("Stone",Economy!A$2:I$13,9)+2,0)</f>
        <v>9.0965983641981119</v>
      </c>
      <c r="O37" s="30">
        <f t="shared" si="0"/>
        <v>1.648968042717613</v>
      </c>
    </row>
    <row r="38" spans="1:15" s="29" customFormat="1" x14ac:dyDescent="0.25">
      <c r="A38" s="29" t="s">
        <v>144</v>
      </c>
      <c r="B38" s="30">
        <v>1</v>
      </c>
      <c r="C38" s="29" t="s">
        <v>93</v>
      </c>
      <c r="F38" s="29" t="s">
        <v>11</v>
      </c>
      <c r="G38" s="29" t="s">
        <v>11</v>
      </c>
      <c r="H38" s="29" t="s">
        <v>32</v>
      </c>
      <c r="K38" s="30">
        <v>16</v>
      </c>
      <c r="L38" s="29" t="s">
        <v>39</v>
      </c>
      <c r="M38" s="31">
        <f>IF(F38&lt;&gt;"",VLOOKUP(F38,Economy!A$2:I$13,9,FALSE),0)+IF(G38&lt;&gt;"",VLOOKUP(G38,Economy!A$2:I$13,9,FALSE),0)</f>
        <v>3.4294025978425444</v>
      </c>
      <c r="N38" s="31">
        <f>2 + M38 + IF(H38="Building",VLOOKUP("Stone",Economy!A$2:I$13,9)+2,0)</f>
        <v>9.2426307559331384</v>
      </c>
      <c r="O38" s="30">
        <f t="shared" si="0"/>
        <v>1.7311088609408194</v>
      </c>
    </row>
    <row r="39" spans="1:15" s="29" customFormat="1" ht="14.25" customHeight="1" x14ac:dyDescent="0.25">
      <c r="A39" s="29" t="s">
        <v>144</v>
      </c>
      <c r="B39" s="30">
        <v>2</v>
      </c>
      <c r="C39" s="29" t="s">
        <v>45</v>
      </c>
      <c r="D39" s="29" t="s">
        <v>13</v>
      </c>
      <c r="E39" s="29" t="s">
        <v>13</v>
      </c>
      <c r="F39" s="29" t="s">
        <v>13</v>
      </c>
      <c r="K39" s="30">
        <v>4</v>
      </c>
      <c r="L39" s="29" t="s">
        <v>68</v>
      </c>
      <c r="M39" s="31">
        <f>IF(F39&lt;&gt;"",VLOOKUP(F39,Economy!A$2:I$13,9,FALSE),0)+IF(G39&lt;&gt;"",VLOOKUP(G39,Economy!A$2:I$13,9,FALSE),0)</f>
        <v>1.7147012989212722</v>
      </c>
      <c r="N39" s="31">
        <f>2 + M39 + IF(H39="Building",VLOOKUP("Stone",Economy!A$2:I$13,9)+2,0)</f>
        <v>3.7147012989212724</v>
      </c>
      <c r="O39" s="30">
        <f t="shared" si="0"/>
        <v>1.0768025954500235</v>
      </c>
    </row>
    <row r="40" spans="1:15" s="29" customFormat="1" ht="14.25" customHeight="1" x14ac:dyDescent="0.25">
      <c r="A40" s="29" t="s">
        <v>144</v>
      </c>
      <c r="B40" s="30">
        <v>2</v>
      </c>
      <c r="C40" s="29" t="s">
        <v>152</v>
      </c>
      <c r="D40" s="29" t="s">
        <v>120</v>
      </c>
      <c r="E40" s="29" t="s">
        <v>120</v>
      </c>
      <c r="F40" s="29" t="s">
        <v>120</v>
      </c>
      <c r="J40" s="29" t="s">
        <v>134</v>
      </c>
      <c r="K40" s="30">
        <v>0</v>
      </c>
      <c r="L40" s="29" t="s">
        <v>72</v>
      </c>
      <c r="M40" s="31">
        <f>IF(F40&lt;&gt;"",VLOOKUP(F40,Economy!A$2:I$13,9,FALSE),0)+IF(G40&lt;&gt;"",VLOOKUP(G40,Economy!A$2:I$13,9,FALSE),0)</f>
        <v>1.8132281580905929</v>
      </c>
      <c r="N40" s="31">
        <f>2 + M40 + IF(H40="Building",VLOOKUP("Stone",Economy!A$2:I$13,9)+2,0)</f>
        <v>3.8132281580905927</v>
      </c>
      <c r="O40" s="30">
        <f t="shared" si="0"/>
        <v>0</v>
      </c>
    </row>
    <row r="41" spans="1:15" s="29" customFormat="1" ht="15.75" customHeight="1" x14ac:dyDescent="0.25">
      <c r="A41" s="29" t="s">
        <v>144</v>
      </c>
      <c r="B41" s="30">
        <v>2</v>
      </c>
      <c r="C41" s="29" t="s">
        <v>58</v>
      </c>
      <c r="D41" s="29" t="s">
        <v>33</v>
      </c>
      <c r="F41" s="29" t="s">
        <v>8</v>
      </c>
      <c r="H41" s="29" t="s">
        <v>33</v>
      </c>
      <c r="J41" s="29" t="s">
        <v>159</v>
      </c>
      <c r="K41" s="30">
        <v>4</v>
      </c>
      <c r="L41" s="29" t="s">
        <v>74</v>
      </c>
      <c r="M41" s="31">
        <f>IF(F41&lt;&gt;"",VLOOKUP(F41,Economy!A$2:I$13,9,FALSE),0)+IF(G41&lt;&gt;"",VLOOKUP(G41,Economy!A$2:I$13,9,FALSE),0)</f>
        <v>1.5686689071862463</v>
      </c>
      <c r="N41" s="31">
        <f>2 + M41 + IF(H41="Building",VLOOKUP("Stone",Economy!A$2:I$13,9)+2,0)</f>
        <v>3.5686689071862463</v>
      </c>
      <c r="O41" s="30">
        <f t="shared" si="0"/>
        <v>1.1208660999470084</v>
      </c>
    </row>
    <row r="42" spans="1:15" s="29" customFormat="1" ht="15.75" customHeight="1" x14ac:dyDescent="0.25">
      <c r="A42" s="29" t="s">
        <v>144</v>
      </c>
      <c r="B42" s="30">
        <v>1</v>
      </c>
      <c r="C42" s="29" t="s">
        <v>132</v>
      </c>
      <c r="D42" s="29" t="s">
        <v>33</v>
      </c>
      <c r="E42" s="29" t="s">
        <v>33</v>
      </c>
      <c r="F42" s="29" t="s">
        <v>14</v>
      </c>
      <c r="H42" s="29" t="s">
        <v>33</v>
      </c>
      <c r="J42" s="29" t="s">
        <v>159</v>
      </c>
      <c r="K42" s="30">
        <v>4</v>
      </c>
      <c r="L42" s="29" t="s">
        <v>133</v>
      </c>
      <c r="M42" s="31">
        <f>IF(F42&lt;&gt;"",VLOOKUP(F42,Economy!A$2:I$13,9,FALSE),0)+IF(G42&lt;&gt;"",VLOOKUP(G42,Economy!A$2:I$13,9,FALSE),0)</f>
        <v>1.6264563161811858</v>
      </c>
      <c r="N42" s="31">
        <f>2 + M42 + IF(H42="Building",VLOOKUP("Stone",Economy!A$2:I$13,9)+2,0)</f>
        <v>3.6264563161811858</v>
      </c>
      <c r="O42" s="30">
        <f t="shared" si="0"/>
        <v>1.1030051519308446</v>
      </c>
    </row>
    <row r="43" spans="1:15" s="29" customFormat="1" ht="15.75" customHeight="1" x14ac:dyDescent="0.25">
      <c r="A43" s="29" t="s">
        <v>144</v>
      </c>
      <c r="B43" s="30">
        <v>1</v>
      </c>
      <c r="C43" s="29" t="s">
        <v>31</v>
      </c>
      <c r="F43" s="29" t="s">
        <v>15</v>
      </c>
      <c r="J43" s="29" t="s">
        <v>136</v>
      </c>
      <c r="K43" s="30">
        <v>3</v>
      </c>
      <c r="L43" s="29" t="s">
        <v>49</v>
      </c>
      <c r="M43" s="31">
        <f>IF(F43&lt;&gt;"",VLOOKUP(F43,Economy!A$2:I$13,9,FALSE),0)+IF(G43&lt;&gt;"",VLOOKUP(G43,Economy!A$2:I$13,9,FALSE),0)</f>
        <v>1.8132281580905929</v>
      </c>
      <c r="N43" s="31">
        <f>2 + M43 + IF(H43="Building",VLOOKUP("Stone",Economy!A$2:I$13,9)+2,0)</f>
        <v>3.8132281580905927</v>
      </c>
      <c r="O43" s="30">
        <f t="shared" si="0"/>
        <v>0.78673498558822075</v>
      </c>
    </row>
    <row r="44" spans="1:15" s="29" customFormat="1" x14ac:dyDescent="0.25">
      <c r="A44" s="29" t="s">
        <v>144</v>
      </c>
      <c r="B44" s="30">
        <v>1</v>
      </c>
      <c r="C44" s="29" t="s">
        <v>142</v>
      </c>
      <c r="F44" s="29" t="s">
        <v>11</v>
      </c>
      <c r="J44" s="29" t="s">
        <v>141</v>
      </c>
      <c r="K44" s="30">
        <v>3</v>
      </c>
      <c r="L44" s="29" t="s">
        <v>140</v>
      </c>
      <c r="M44" s="31">
        <f>IF(F44&lt;&gt;"",VLOOKUP(F44,Economy!A$2:I$13,9,FALSE),0)+IF(G44&lt;&gt;"",VLOOKUP(G44,Economy!A$2:I$13,9,FALSE),0)</f>
        <v>1.7147012989212722</v>
      </c>
      <c r="N44" s="31">
        <f>2 + M44 + IF(H44="Building",VLOOKUP("Stone",Economy!A$2:I$13,9)+2,0)</f>
        <v>3.7147012989212724</v>
      </c>
      <c r="O44" s="30">
        <f t="shared" si="0"/>
        <v>0.80760194658751772</v>
      </c>
    </row>
    <row r="45" spans="1:15" x14ac:dyDescent="0.25">
      <c r="A45" t="s">
        <v>144</v>
      </c>
      <c r="B45" s="3">
        <v>1</v>
      </c>
      <c r="C45" t="s">
        <v>21</v>
      </c>
      <c r="J45" t="s">
        <v>174</v>
      </c>
      <c r="K45" s="3" t="s">
        <v>131</v>
      </c>
      <c r="L45" t="s">
        <v>135</v>
      </c>
      <c r="M45">
        <f>IF(F45&lt;&gt;"",VLOOKUP(F45,Economy!A$2:I$13,9,FALSE),0)+IF(G45&lt;&gt;"",VLOOKUP(G45,Economy!A$2:I$13,9,FALSE),0)</f>
        <v>0</v>
      </c>
      <c r="N45" s="17">
        <f>2 + M45 + IF(H45="Building",VLOOKUP("Stone",Economy!A$2:I$13,9)+2,0)</f>
        <v>2</v>
      </c>
      <c r="O45" s="3" t="str">
        <f t="shared" si="0"/>
        <v/>
      </c>
    </row>
    <row r="46" spans="1:15" x14ac:dyDescent="0.25">
      <c r="A46" t="s">
        <v>144</v>
      </c>
      <c r="B46" s="3">
        <v>1</v>
      </c>
      <c r="C46" t="s">
        <v>122</v>
      </c>
      <c r="F46" s="13" t="s">
        <v>11</v>
      </c>
      <c r="J46" t="s">
        <v>153</v>
      </c>
      <c r="K46" s="3" t="s">
        <v>131</v>
      </c>
      <c r="L46" t="s">
        <v>123</v>
      </c>
      <c r="M46">
        <f>IF(F46&lt;&gt;"",VLOOKUP(F46,Economy!A$2:I$13,9,FALSE),0)+IF(G46&lt;&gt;"",VLOOKUP(G46,Economy!A$2:I$13,9,FALSE),0)</f>
        <v>1.7147012989212722</v>
      </c>
      <c r="N46" s="17">
        <f>2 + M46 + IF(H46="Building",VLOOKUP("Stone",Economy!A$2:I$13,9)+2,0)</f>
        <v>3.7147012989212724</v>
      </c>
      <c r="O46" s="3" t="str">
        <f t="shared" si="0"/>
        <v/>
      </c>
    </row>
    <row r="47" spans="1:15" x14ac:dyDescent="0.25">
      <c r="A47" t="s">
        <v>144</v>
      </c>
      <c r="B47" s="3">
        <v>1</v>
      </c>
      <c r="C47" t="s">
        <v>42</v>
      </c>
      <c r="F47" s="13" t="s">
        <v>15</v>
      </c>
      <c r="G47" s="13" t="s">
        <v>120</v>
      </c>
      <c r="K47" s="3">
        <v>12</v>
      </c>
      <c r="L47" t="s">
        <v>24</v>
      </c>
      <c r="M47">
        <f>IF(F47&lt;&gt;"",VLOOKUP(F47,Economy!A$2:I$13,9,FALSE),0)+IF(G47&lt;&gt;"",VLOOKUP(G47,Economy!A$2:I$13,9,FALSE),0)</f>
        <v>3.6264563161811858</v>
      </c>
      <c r="N47" s="17">
        <f>2 + M47 + IF(H47="Building",VLOOKUP("Stone",Economy!A$2:I$13,9)+2,0)</f>
        <v>5.6264563161811854</v>
      </c>
      <c r="O47" s="3">
        <f t="shared" si="0"/>
        <v>2.1327811548965685</v>
      </c>
    </row>
    <row r="48" spans="1:15" x14ac:dyDescent="0.25">
      <c r="A48" t="s">
        <v>144</v>
      </c>
      <c r="B48" s="3">
        <v>1</v>
      </c>
      <c r="C48" t="s">
        <v>130</v>
      </c>
      <c r="F48" s="13" t="s">
        <v>8</v>
      </c>
      <c r="J48" t="s">
        <v>154</v>
      </c>
      <c r="K48" s="3" t="s">
        <v>131</v>
      </c>
      <c r="L48" t="s">
        <v>40</v>
      </c>
      <c r="M48">
        <f>IF(F48&lt;&gt;"",VLOOKUP(F48,Economy!A$2:I$13,9,FALSE),0)+IF(G48&lt;&gt;"",VLOOKUP(G48,Economy!A$2:I$13,9,FALSE),0)</f>
        <v>1.5686689071862463</v>
      </c>
      <c r="N48" s="17">
        <f>2 + M48 + IF(H48="Building",VLOOKUP("Stone",Economy!A$2:I$13,9)+2,0)</f>
        <v>3.5686689071862463</v>
      </c>
      <c r="O48" s="3" t="str">
        <f t="shared" si="0"/>
        <v/>
      </c>
    </row>
    <row r="49" spans="1:15" x14ac:dyDescent="0.25">
      <c r="A49" t="s">
        <v>144</v>
      </c>
      <c r="B49" s="3">
        <v>1</v>
      </c>
      <c r="C49" t="s">
        <v>84</v>
      </c>
      <c r="J49" t="s">
        <v>150</v>
      </c>
      <c r="K49" s="3" t="s">
        <v>131</v>
      </c>
      <c r="L49" t="s">
        <v>41</v>
      </c>
      <c r="M49">
        <v>2</v>
      </c>
      <c r="N49" s="17">
        <f>2 + M49 + IF(H49="Building",VLOOKUP("Stone",Economy!A$2:I$13,9)+2,0)</f>
        <v>4</v>
      </c>
      <c r="O49" s="3" t="str">
        <f t="shared" si="0"/>
        <v/>
      </c>
    </row>
    <row r="50" spans="1:15" x14ac:dyDescent="0.25">
      <c r="A50" t="s">
        <v>144</v>
      </c>
      <c r="B50" s="3">
        <v>1</v>
      </c>
      <c r="C50" t="s">
        <v>129</v>
      </c>
      <c r="J50" t="s">
        <v>155</v>
      </c>
      <c r="K50" s="3" t="s">
        <v>131</v>
      </c>
      <c r="L50" t="s">
        <v>28</v>
      </c>
      <c r="M50">
        <f>IF(F50&lt;&gt;"",VLOOKUP(F50,Economy!A$2:I$13,9,FALSE),0)+IF(G50&lt;&gt;"",VLOOKUP(G50,Economy!A$2:I$13,9,FALSE),0)</f>
        <v>0</v>
      </c>
      <c r="N50" s="17">
        <f>2 + M50 + IF(H50="Building",VLOOKUP("Stone",Economy!A$2:I$13,9)+2,0)</f>
        <v>2</v>
      </c>
      <c r="O50" s="3" t="str">
        <f t="shared" si="0"/>
        <v/>
      </c>
    </row>
    <row r="51" spans="1:15" x14ac:dyDescent="0.25">
      <c r="A51" t="s">
        <v>144</v>
      </c>
      <c r="B51" s="3">
        <v>1</v>
      </c>
      <c r="C51" t="s">
        <v>30</v>
      </c>
      <c r="J51" t="s">
        <v>175</v>
      </c>
      <c r="K51" s="3" t="s">
        <v>131</v>
      </c>
      <c r="L51" t="s">
        <v>47</v>
      </c>
      <c r="M51">
        <f>IF(F51&lt;&gt;"",VLOOKUP(F51,Economy!A$2:I$13,9,FALSE),0)+IF(G51&lt;&gt;"",VLOOKUP(G51,Economy!A$2:I$13,9,FALSE),0)</f>
        <v>0</v>
      </c>
      <c r="N51" s="17">
        <f>2 + M51 + IF(H51="Building",VLOOKUP("Stone",Economy!A$2:I$13,9)+2,0)</f>
        <v>2</v>
      </c>
      <c r="O51" s="3" t="str">
        <f t="shared" si="0"/>
        <v/>
      </c>
    </row>
    <row r="52" spans="1:15" x14ac:dyDescent="0.25">
      <c r="A52" t="s">
        <v>144</v>
      </c>
      <c r="B52" s="3">
        <v>1</v>
      </c>
      <c r="C52" t="s">
        <v>34</v>
      </c>
      <c r="J52" t="s">
        <v>177</v>
      </c>
      <c r="K52" s="3" t="s">
        <v>131</v>
      </c>
      <c r="L52" t="s">
        <v>43</v>
      </c>
      <c r="M52">
        <f>IF(F52&lt;&gt;"",VLOOKUP(F52,Economy!A$2:I$13,9,FALSE),0)+IF(G52&lt;&gt;"",VLOOKUP(G52,Economy!A$2:I$13,9,FALSE),0)</f>
        <v>0</v>
      </c>
      <c r="N52" s="17">
        <f>2 + M52 + IF(H52="Building",VLOOKUP("Stone",Economy!A$2:I$13,9)+2,0)</f>
        <v>2</v>
      </c>
      <c r="O52" s="3" t="str">
        <f t="shared" si="0"/>
        <v/>
      </c>
    </row>
    <row r="53" spans="1:15" x14ac:dyDescent="0.25">
      <c r="A53" t="s">
        <v>144</v>
      </c>
      <c r="B53" s="3">
        <v>1</v>
      </c>
      <c r="C53" t="s">
        <v>46</v>
      </c>
      <c r="H53" s="13" t="s">
        <v>32</v>
      </c>
      <c r="J53" t="s">
        <v>149</v>
      </c>
      <c r="K53" s="3" t="s">
        <v>131</v>
      </c>
      <c r="L53" t="s">
        <v>59</v>
      </c>
      <c r="M53">
        <f>IF(F53&lt;&gt;"",VLOOKUP(F53,Economy!A$2:I$13,9,FALSE),0)+IF(G53&lt;&gt;"",VLOOKUP(G53,Economy!A$2:I$13,9,FALSE),0)</f>
        <v>0</v>
      </c>
      <c r="N53" s="17">
        <f>2 + M53 + IF(H53="Building",VLOOKUP("Stone",Economy!A$2:I$13,9)+2,0)</f>
        <v>5.8132281580905927</v>
      </c>
      <c r="O53" s="3" t="str">
        <f t="shared" si="0"/>
        <v/>
      </c>
    </row>
    <row r="54" spans="1:15" x14ac:dyDescent="0.25">
      <c r="A54" t="s">
        <v>7</v>
      </c>
      <c r="B54" s="3">
        <v>1</v>
      </c>
      <c r="C54" t="s">
        <v>143</v>
      </c>
      <c r="J54" t="s">
        <v>148</v>
      </c>
      <c r="M54">
        <f>IF(F54&lt;&gt;"",VLOOKUP(F54,Economy!A$2:I$13,9,FALSE),0)+IF(G54&lt;&gt;"",VLOOKUP(G54,Economy!A$2:I$13,9,FALSE),0)</f>
        <v>0</v>
      </c>
      <c r="N54" s="17">
        <f>2 + M54 + IF(H54="Building",VLOOKUP("Stone",Economy!A$2:I$13,9)+2,0)</f>
        <v>2</v>
      </c>
      <c r="O54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60" zoomScaleNormal="160" workbookViewId="0">
      <selection activeCell="I2" sqref="I2"/>
    </sheetView>
  </sheetViews>
  <sheetFormatPr defaultRowHeight="15" x14ac:dyDescent="0.25"/>
  <cols>
    <col min="1" max="1" width="10.140625" style="20" bestFit="1" customWidth="1"/>
    <col min="2" max="2" width="9.140625" style="9"/>
    <col min="3" max="4" width="9.140625" style="3"/>
    <col min="5" max="6" width="15.42578125" style="17" bestFit="1" customWidth="1"/>
    <col min="7" max="7" width="10.42578125" style="17" bestFit="1" customWidth="1"/>
    <col min="8" max="8" width="10.42578125" style="17" customWidth="1"/>
    <col min="9" max="9" width="15.42578125" style="17" bestFit="1" customWidth="1"/>
  </cols>
  <sheetData>
    <row r="1" spans="1:9" s="1" customFormat="1" x14ac:dyDescent="0.25">
      <c r="A1" s="18" t="s">
        <v>6</v>
      </c>
      <c r="B1" s="7" t="s">
        <v>9</v>
      </c>
      <c r="C1" s="2" t="s">
        <v>124</v>
      </c>
      <c r="D1" s="2" t="s">
        <v>165</v>
      </c>
      <c r="E1" s="14" t="s">
        <v>164</v>
      </c>
      <c r="F1" s="15" t="s">
        <v>166</v>
      </c>
      <c r="G1" s="14" t="s">
        <v>168</v>
      </c>
      <c r="H1" s="14" t="s">
        <v>167</v>
      </c>
      <c r="I1" s="14" t="s">
        <v>171</v>
      </c>
    </row>
    <row r="2" spans="1:9" s="6" customFormat="1" x14ac:dyDescent="0.25">
      <c r="A2" s="19" t="s">
        <v>8</v>
      </c>
      <c r="B2" s="8">
        <f>SUMIFS(Deck!B:B,Deck!D:D,Economy!A2)+SUMIFS(Deck!B:B,Deck!E:E,Economy!A2)</f>
        <v>16</v>
      </c>
      <c r="C2" s="10">
        <f>SUMIFS(Deck!B:B,Deck!F:F,Economy!A2)+SUMIFS(Deck!B:B,Deck!G:G,Economy!A2)</f>
        <v>12</v>
      </c>
      <c r="D2" s="10">
        <f>SUMIFS(Deck!B:B,Deck!H:H,Economy!A2)+SUMIFS(Deck!B:B,Deck!I:I,Economy!A2)</f>
        <v>0</v>
      </c>
      <c r="E2" s="16">
        <f t="shared" ref="E2:E13" si="0">IF(ISNUMBER(B2/C2),B2/C2,"")</f>
        <v>1.3333333333333333</v>
      </c>
      <c r="F2" s="17">
        <f t="shared" ref="F2:F13" si="1">IF(ISNUMBER(1/E2), 1/E2,"")</f>
        <v>0.75</v>
      </c>
      <c r="G2" s="16">
        <f t="shared" ref="G2:G13" si="2">SUM(B:B)/B2</f>
        <v>5.375</v>
      </c>
      <c r="H2" s="16">
        <f>1-POWER(B2/SUM(B:B),0.5)</f>
        <v>0.5686689071862463</v>
      </c>
      <c r="I2" s="16">
        <f>1+H2</f>
        <v>1.5686689071862463</v>
      </c>
    </row>
    <row r="3" spans="1:9" x14ac:dyDescent="0.25">
      <c r="A3" s="20" t="s">
        <v>14</v>
      </c>
      <c r="B3" s="9">
        <f>SUMIFS(Deck!B:B,Deck!D:D,Economy!A3)+SUMIFS(Deck!B:B,Deck!E:E,Economy!A3)</f>
        <v>12</v>
      </c>
      <c r="C3" s="3">
        <f>SUMIFS(Deck!B:B,Deck!F:F,Economy!A3)+SUMIFS(Deck!B:B,Deck!G:G,Economy!A3)</f>
        <v>8</v>
      </c>
      <c r="D3" s="3">
        <f>SUMIFS(Deck!B:B,Deck!H:H,Economy!A3)+SUMIFS(Deck!B:B,Deck!I:I,Economy!A3)</f>
        <v>0</v>
      </c>
      <c r="E3" s="17">
        <f t="shared" si="0"/>
        <v>1.5</v>
      </c>
      <c r="F3" s="17">
        <f t="shared" si="1"/>
        <v>0.66666666666666663</v>
      </c>
      <c r="G3" s="17">
        <f t="shared" si="2"/>
        <v>7.166666666666667</v>
      </c>
      <c r="H3" s="21">
        <f t="shared" ref="H3:H13" si="3">1-POWER(B3/SUM(B:B),0.5)</f>
        <v>0.6264563161811858</v>
      </c>
      <c r="I3" s="17">
        <f t="shared" ref="I3:I13" si="4">1+H3</f>
        <v>1.6264563161811858</v>
      </c>
    </row>
    <row r="4" spans="1:9" x14ac:dyDescent="0.25">
      <c r="A4" s="20" t="s">
        <v>23</v>
      </c>
      <c r="B4" s="9">
        <f>SUMIFS(Deck!B:B,Deck!D:D,Economy!A4)+SUMIFS(Deck!B:B,Deck!E:E,Economy!A4)</f>
        <v>11</v>
      </c>
      <c r="C4" s="3">
        <f>SUMIFS(Deck!B:B,Deck!F:F,Economy!A4)+SUMIFS(Deck!B:B,Deck!G:G,Economy!A4)</f>
        <v>4</v>
      </c>
      <c r="D4" s="3">
        <f>SUMIFS(Deck!B:B,Deck!H:H,Economy!A4)+SUMIFS(Deck!B:B,Deck!I:I,Economy!A4)</f>
        <v>0</v>
      </c>
      <c r="E4" s="17">
        <f t="shared" si="0"/>
        <v>2.75</v>
      </c>
      <c r="F4" s="17">
        <f t="shared" si="1"/>
        <v>0.36363636363636365</v>
      </c>
      <c r="G4" s="17">
        <f t="shared" si="2"/>
        <v>7.8181818181818183</v>
      </c>
      <c r="H4" s="21">
        <f t="shared" si="3"/>
        <v>0.64235915118070475</v>
      </c>
      <c r="I4" s="17">
        <f t="shared" si="4"/>
        <v>1.6423591511807047</v>
      </c>
    </row>
    <row r="5" spans="1:9" x14ac:dyDescent="0.25">
      <c r="A5" s="20" t="s">
        <v>12</v>
      </c>
      <c r="B5" s="9">
        <f>SUMIFS(Deck!B:B,Deck!D:D,Economy!A5)+SUMIFS(Deck!B:B,Deck!E:E,Economy!A5)</f>
        <v>11</v>
      </c>
      <c r="C5" s="3">
        <f>SUMIFS(Deck!B:B,Deck!F:F,Economy!A5)+SUMIFS(Deck!B:B,Deck!G:G,Economy!A5)</f>
        <v>4</v>
      </c>
      <c r="D5" s="3">
        <f>SUMIFS(Deck!B:B,Deck!H:H,Economy!A5)+SUMIFS(Deck!B:B,Deck!I:I,Economy!A5)</f>
        <v>0</v>
      </c>
      <c r="E5" s="17">
        <f t="shared" si="0"/>
        <v>2.75</v>
      </c>
      <c r="F5" s="17">
        <f t="shared" si="1"/>
        <v>0.36363636363636365</v>
      </c>
      <c r="G5" s="17">
        <f t="shared" si="2"/>
        <v>7.8181818181818183</v>
      </c>
      <c r="H5" s="21">
        <f t="shared" si="3"/>
        <v>0.64235915118070475</v>
      </c>
      <c r="I5" s="17">
        <f t="shared" si="4"/>
        <v>1.6423591511807047</v>
      </c>
    </row>
    <row r="6" spans="1:9" x14ac:dyDescent="0.25">
      <c r="A6" s="20" t="s">
        <v>11</v>
      </c>
      <c r="B6" s="9">
        <f>SUMIFS(Deck!B:B,Deck!D:D,Economy!A6)+SUMIFS(Deck!B:B,Deck!E:E,Economy!A6)</f>
        <v>7</v>
      </c>
      <c r="C6" s="3">
        <f>SUMIFS(Deck!B:B,Deck!F:F,Economy!A6)+SUMIFS(Deck!B:B,Deck!G:G,Economy!A6)</f>
        <v>12</v>
      </c>
      <c r="D6" s="3">
        <f>SUMIFS(Deck!B:B,Deck!H:H,Economy!A6)+SUMIFS(Deck!B:B,Deck!I:I,Economy!A6)</f>
        <v>0</v>
      </c>
      <c r="E6" s="17">
        <f t="shared" si="0"/>
        <v>0.58333333333333337</v>
      </c>
      <c r="F6" s="17">
        <f t="shared" si="1"/>
        <v>1.7142857142857142</v>
      </c>
      <c r="G6" s="17">
        <f t="shared" si="2"/>
        <v>12.285714285714286</v>
      </c>
      <c r="H6" s="21">
        <f t="shared" si="3"/>
        <v>0.71470129892127221</v>
      </c>
      <c r="I6" s="17">
        <f t="shared" si="4"/>
        <v>1.7147012989212722</v>
      </c>
    </row>
    <row r="7" spans="1:9" x14ac:dyDescent="0.25">
      <c r="A7" s="20" t="s">
        <v>13</v>
      </c>
      <c r="B7" s="9">
        <f>SUMIFS(Deck!B:B,Deck!D:D,Economy!A7)+SUMIFS(Deck!B:B,Deck!E:E,Economy!A7)</f>
        <v>7</v>
      </c>
      <c r="C7" s="3">
        <f>SUMIFS(Deck!B:B,Deck!F:F,Economy!A7)+SUMIFS(Deck!B:B,Deck!G:G,Economy!A7)</f>
        <v>2</v>
      </c>
      <c r="D7" s="3">
        <f>SUMIFS(Deck!B:B,Deck!H:H,Economy!A7)+SUMIFS(Deck!B:B,Deck!I:I,Economy!A7)</f>
        <v>0</v>
      </c>
      <c r="E7" s="17">
        <f t="shared" si="0"/>
        <v>3.5</v>
      </c>
      <c r="F7" s="17">
        <f t="shared" si="1"/>
        <v>0.2857142857142857</v>
      </c>
      <c r="G7" s="17">
        <f t="shared" si="2"/>
        <v>12.285714285714286</v>
      </c>
      <c r="H7" s="21">
        <f t="shared" si="3"/>
        <v>0.71470129892127221</v>
      </c>
      <c r="I7" s="17">
        <f t="shared" si="4"/>
        <v>1.7147012989212722</v>
      </c>
    </row>
    <row r="8" spans="1:9" x14ac:dyDescent="0.25">
      <c r="A8" s="20" t="s">
        <v>120</v>
      </c>
      <c r="B8" s="9">
        <f>SUMIFS(Deck!B:B,Deck!D:D,Economy!A13)+SUMIFS(Deck!B:B,Deck!E:E,Economy!A13)</f>
        <v>3</v>
      </c>
      <c r="C8" s="3">
        <f>SUMIFS(Deck!B:B,Deck!F:F,Economy!A13)+SUMIFS(Deck!B:B,Deck!G:G,Economy!A13)</f>
        <v>2</v>
      </c>
      <c r="D8" s="3">
        <f>SUMIFS(Deck!B:B,Deck!H:H,Economy!A13)+SUMIFS(Deck!B:B,Deck!I:I,Economy!A13)</f>
        <v>0</v>
      </c>
      <c r="E8" s="17">
        <f t="shared" si="0"/>
        <v>1.5</v>
      </c>
      <c r="F8" s="17">
        <f t="shared" si="1"/>
        <v>0.66666666666666663</v>
      </c>
      <c r="G8" s="17">
        <f t="shared" si="2"/>
        <v>28.666666666666668</v>
      </c>
      <c r="H8" s="21">
        <f t="shared" si="3"/>
        <v>0.8132281580905929</v>
      </c>
      <c r="I8" s="17">
        <f t="shared" si="4"/>
        <v>1.8132281580905929</v>
      </c>
    </row>
    <row r="9" spans="1:9" x14ac:dyDescent="0.25">
      <c r="A9" s="20" t="s">
        <v>27</v>
      </c>
      <c r="B9" s="9">
        <f>SUMIFS(Deck!B:B,Deck!D:D,Economy!A8)+SUMIFS(Deck!B:B,Deck!E:E,Economy!A8)</f>
        <v>6</v>
      </c>
      <c r="C9" s="3">
        <f>SUMIFS(Deck!B:B,Deck!F:F,Economy!A8)+SUMIFS(Deck!B:B,Deck!G:G,Economy!A8)</f>
        <v>3</v>
      </c>
      <c r="D9" s="3">
        <f>SUMIFS(Deck!B:B,Deck!H:H,Economy!A8)+SUMIFS(Deck!B:B,Deck!I:I,Economy!A8)</f>
        <v>0</v>
      </c>
      <c r="E9" s="17">
        <f t="shared" si="0"/>
        <v>2</v>
      </c>
      <c r="F9" s="17">
        <f t="shared" si="1"/>
        <v>0.5</v>
      </c>
      <c r="G9" s="17">
        <f t="shared" si="2"/>
        <v>14.333333333333334</v>
      </c>
      <c r="H9" s="21">
        <f t="shared" si="3"/>
        <v>0.73586472810231285</v>
      </c>
      <c r="I9" s="17">
        <f t="shared" si="4"/>
        <v>1.735864728102313</v>
      </c>
    </row>
    <row r="10" spans="1:9" x14ac:dyDescent="0.25">
      <c r="A10" s="20" t="s">
        <v>26</v>
      </c>
      <c r="B10" s="9">
        <f>SUMIFS(Deck!B:B,Deck!D:D,Economy!A9)+SUMIFS(Deck!B:B,Deck!E:E,Economy!A9)</f>
        <v>4</v>
      </c>
      <c r="C10" s="3">
        <f>SUMIFS(Deck!B:B,Deck!F:F,Economy!A9)+SUMIFS(Deck!B:B,Deck!G:G,Economy!A9)</f>
        <v>0</v>
      </c>
      <c r="D10" s="3">
        <f>SUMIFS(Deck!B:B,Deck!H:H,Economy!A9)+SUMIFS(Deck!B:B,Deck!I:I,Economy!A9)</f>
        <v>0</v>
      </c>
      <c r="E10" s="17" t="str">
        <f t="shared" si="0"/>
        <v/>
      </c>
      <c r="F10" s="17" t="str">
        <f t="shared" si="1"/>
        <v/>
      </c>
      <c r="G10" s="17">
        <f t="shared" si="2"/>
        <v>21.5</v>
      </c>
      <c r="H10" s="21">
        <f t="shared" si="3"/>
        <v>0.78433445359312315</v>
      </c>
      <c r="I10" s="17">
        <f t="shared" si="4"/>
        <v>1.7843344535931231</v>
      </c>
    </row>
    <row r="11" spans="1:9" x14ac:dyDescent="0.25">
      <c r="A11" s="20" t="s">
        <v>16</v>
      </c>
      <c r="B11" s="9">
        <f>SUMIFS(Deck!B:B,Deck!D:D,Economy!A10)+SUMIFS(Deck!B:B,Deck!E:E,Economy!A10)</f>
        <v>3</v>
      </c>
      <c r="C11" s="3">
        <f>SUMIFS(Deck!B:B,Deck!F:F,Economy!A10)+SUMIFS(Deck!B:B,Deck!G:G,Economy!A10)</f>
        <v>0</v>
      </c>
      <c r="D11" s="3">
        <f>SUMIFS(Deck!B:B,Deck!H:H,Economy!A10)+SUMIFS(Deck!B:B,Deck!I:I,Economy!A10)</f>
        <v>0</v>
      </c>
      <c r="E11" s="17" t="str">
        <f t="shared" si="0"/>
        <v/>
      </c>
      <c r="F11" s="17" t="str">
        <f t="shared" si="1"/>
        <v/>
      </c>
      <c r="G11" s="17">
        <f t="shared" si="2"/>
        <v>28.666666666666668</v>
      </c>
      <c r="H11" s="21">
        <f t="shared" si="3"/>
        <v>0.8132281580905929</v>
      </c>
      <c r="I11" s="17">
        <f t="shared" si="4"/>
        <v>1.8132281580905929</v>
      </c>
    </row>
    <row r="12" spans="1:9" x14ac:dyDescent="0.25">
      <c r="A12" s="20" t="s">
        <v>25</v>
      </c>
      <c r="B12" s="9">
        <f>SUMIFS(Deck!B:B,Deck!D:D,Economy!A11)+SUMIFS(Deck!B:B,Deck!E:E,Economy!A11)</f>
        <v>3</v>
      </c>
      <c r="C12" s="3">
        <f>SUMIFS(Deck!B:B,Deck!F:F,Economy!A11)+SUMIFS(Deck!B:B,Deck!G:G,Economy!A11)</f>
        <v>0</v>
      </c>
      <c r="D12" s="3">
        <f>SUMIFS(Deck!B:B,Deck!H:H,Economy!A11)+SUMIFS(Deck!B:B,Deck!I:I,Economy!A11)</f>
        <v>0</v>
      </c>
      <c r="E12" s="17" t="str">
        <f t="shared" si="0"/>
        <v/>
      </c>
      <c r="F12" s="17" t="str">
        <f t="shared" si="1"/>
        <v/>
      </c>
      <c r="G12" s="17">
        <f t="shared" si="2"/>
        <v>28.666666666666668</v>
      </c>
      <c r="H12" s="21">
        <f t="shared" si="3"/>
        <v>0.8132281580905929</v>
      </c>
      <c r="I12" s="17">
        <f t="shared" si="4"/>
        <v>1.8132281580905929</v>
      </c>
    </row>
    <row r="13" spans="1:9" x14ac:dyDescent="0.25">
      <c r="A13" s="20" t="s">
        <v>15</v>
      </c>
      <c r="B13" s="9">
        <f>SUMIFS(Deck!B:B,Deck!D:D,Economy!A12)+SUMIFS(Deck!B:B,Deck!E:E,Economy!A12)</f>
        <v>3</v>
      </c>
      <c r="C13" s="3">
        <f>SUMIFS(Deck!B:B,Deck!F:F,Economy!A12)+SUMIFS(Deck!B:B,Deck!G:G,Economy!A12)</f>
        <v>0</v>
      </c>
      <c r="D13" s="3">
        <f>SUMIFS(Deck!B:B,Deck!H:H,Economy!A12)+SUMIFS(Deck!B:B,Deck!I:I,Economy!A12)</f>
        <v>0</v>
      </c>
      <c r="E13" s="17" t="str">
        <f t="shared" si="0"/>
        <v/>
      </c>
      <c r="F13" s="17" t="str">
        <f t="shared" si="1"/>
        <v/>
      </c>
      <c r="G13" s="17">
        <f t="shared" si="2"/>
        <v>28.666666666666668</v>
      </c>
      <c r="H13" s="21">
        <f t="shared" si="3"/>
        <v>0.8132281580905929</v>
      </c>
      <c r="I13" s="17">
        <f t="shared" si="4"/>
        <v>1.8132281580905929</v>
      </c>
    </row>
  </sheetData>
  <sortState ref="A2:G14">
    <sortCondition descending="1" ref="B2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Economy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2015-02-07T06:29:56Z</dcterms:modified>
</cp:coreProperties>
</file>