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s - Pump &amp; injection pressu" sheetId="1" r:id="rId4"/>
    <sheet name="Calcs - Parts" sheetId="2" r:id="rId5"/>
    <sheet name="Calcs - Volumes" sheetId="3" r:id="rId6"/>
    <sheet name="Calcs - Rack &amp; pinion, vertical" sheetId="4" r:id="rId7"/>
    <sheet name="Calcs - Shaft calcs on chosen o" sheetId="5" r:id="rId8"/>
    <sheet name="Calcs - Shaft calcs on motor sh" sheetId="6" r:id="rId9"/>
    <sheet name="Calcs - Drawings" sheetId="7" r:id="rId10"/>
    <sheet name="BoM - Plunger parts" sheetId="8" r:id="rId11"/>
    <sheet name="BoM - T-mech parts (moving side" sheetId="9" r:id="rId12"/>
    <sheet name="BoM - Electrical parts" sheetId="10" r:id="rId13"/>
    <sheet name="BoM - floor mount" sheetId="11" r:id="rId14"/>
    <sheet name="BoM - Frame" sheetId="12" r:id="rId15"/>
    <sheet name="BoM - Screws" sheetId="13" r:id="rId16"/>
    <sheet name="BoM - Electronic parts" sheetId="14" r:id="rId17"/>
    <sheet name="BoM - Mano de obra y consumible" sheetId="15" r:id="rId18"/>
    <sheet name="BoM - Totales" sheetId="16" r:id="rId19"/>
    <sheet name="Machine controls - Table 1" sheetId="17" r:id="rId20"/>
    <sheet name="Machine controls - Table 2" sheetId="18" r:id="rId21"/>
    <sheet name="Consumos electronica - 3.3v and" sheetId="19" r:id="rId22"/>
    <sheet name="Consumos electronica - 3.3v, LL" sheetId="20" r:id="rId23"/>
    <sheet name="State machine for injector Stat" sheetId="21" r:id="rId24"/>
    <sheet name="State Machine for serial input" sheetId="22" r:id="rId25"/>
    <sheet name="Encoder calcs" sheetId="23" r:id="rId26"/>
  </sheets>
</workbook>
</file>

<file path=xl/comments1.xml><?xml version="1.0" encoding="utf-8"?>
<comments xmlns="http://schemas.openxmlformats.org/spreadsheetml/2006/main">
  <authors>
    <author>Andrew Middleton</author>
  </authors>
  <commentList>
    <comment ref="B6" authorId="0">
      <text>
        <r>
          <rPr>
            <sz val="11"/>
            <color indexed="8"/>
            <rFont val="Helvetica Neue"/>
          </rPr>
          <t>Andrew Middleton:
Quiero un volumen util (tirada maxima) lo mas grande posible, pero a la vez que se puede calentar mas rápido… cuanto mas largo y fino, mas rápido se calienta, pero menos volumen.. cuanto mas ancho, mas volumen, pero mas tiempo de calentar 🧐</t>
        </r>
      </text>
    </comment>
  </commentList>
</comments>
</file>

<file path=xl/sharedStrings.xml><?xml version="1.0" encoding="utf-8"?>
<sst xmlns="http://schemas.openxmlformats.org/spreadsheetml/2006/main" uniqueCount="648">
  <si>
    <t>Pump &amp; injection pressures</t>
  </si>
  <si>
    <t>Concepto</t>
  </si>
  <si>
    <t>example</t>
  </si>
  <si>
    <t>Dia embolo/cm</t>
  </si>
  <si>
    <t>Area embolo/cm2</t>
  </si>
  <si>
    <t>Paso movimiento embolo/cm</t>
  </si>
  <si>
    <t>Volumen util/cm3</t>
  </si>
  <si>
    <t>volume/s injection speed/cm3/s</t>
  </si>
  <si>
    <t>Tamaño orificio inyección/cm</t>
  </si>
  <si>
    <t>Area orificio/cm2</t>
  </si>
  <si>
    <t>circumference</t>
  </si>
  <si>
    <t>rev/full shot</t>
  </si>
  <si>
    <t>Spur gear D1/mm</t>
  </si>
  <si>
    <t>radius/m</t>
  </si>
  <si>
    <t>rev gear/25cm3 shot</t>
  </si>
  <si>
    <t>power motor/Nm</t>
  </si>
  <si>
    <t>power on spur gear/N</t>
  </si>
  <si>
    <t>length of piston move/mm</t>
  </si>
  <si>
    <t>power on spur gear/kg</t>
  </si>
  <si>
    <t>Nema 34 rpm</t>
  </si>
  <si>
    <t>rps</t>
  </si>
  <si>
    <t>reduce from 15rps to 0.2498rps (shot 25cm3/s)</t>
  </si>
  <si>
    <t>mechanical advantage gained from reducer/kg:</t>
  </si>
  <si>
    <t>ideal reducer by:
(NOT actually used, just a nice calc!)</t>
  </si>
  <si>
    <t>Nm</t>
  </si>
  <si>
    <t xml:space="preserve">🔼 after adding calcs for spur &amp; shaft, this value seriously passes max values for both spur teeth and shaft torsion, so reduced majorly </t>
  </si>
  <si>
    <t>pressure embolo en/ kg/cm2</t>
  </si>
  <si>
    <t>punta embolo</t>
  </si>
  <si>
    <t>Parts</t>
  </si>
  <si>
    <t>part</t>
  </si>
  <si>
    <t>code</t>
  </si>
  <si>
    <t>price</t>
  </si>
  <si>
    <t>value</t>
  </si>
  <si>
    <t>unit</t>
  </si>
  <si>
    <t>Nema34 closed loop stepper</t>
  </si>
  <si>
    <r>
      <rPr>
        <u val="single"/>
        <sz val="10"/>
        <color indexed="8"/>
        <rFont val="Helvetica Neue"/>
      </rPr>
      <t>https://robotdigg.com/product/1228/Two-phase-NEMA34-closed-loop-stepper-motor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>SS86P2156</t>
    </r>
  </si>
  <si>
    <t>shaft 14mm
12Nm holding torque
approx 900rpm=15rps</t>
  </si>
  <si>
    <t xml:space="preserve">driver </t>
  </si>
  <si>
    <r>
      <rPr>
        <u val="single"/>
        <sz val="10"/>
        <color indexed="8"/>
        <rFont val="Helvetica Neue"/>
      </rPr>
      <t>https://www.robotdigg.com/product/1229</t>
    </r>
  </si>
  <si>
    <t>included above..?</t>
  </si>
  <si>
    <t>REDUCTOR RSTV050 TAMAÑO MOTOR 71 EJE DE ENTRADA 14 MM
ratio i:20 would seem max for this setup</t>
  </si>
  <si>
    <r>
      <rPr>
        <u val="single"/>
        <sz val="10"/>
        <color indexed="8"/>
        <rFont val="Helvetica Neue"/>
      </rPr>
      <t>https://www.zuendo.com/corona-sin-fin/5166-reductor-rstv050-tamano-motor-71-eje-de-entrada-14-mm.html#/840-elige_brida-b14/13-relacion-i_20</t>
    </r>
  </si>
  <si>
    <t>ratio i:20</t>
  </si>
  <si>
    <t>:1 ratio</t>
  </si>
  <si>
    <t>output after reductor</t>
  </si>
  <si>
    <t>EJE SIMPLE DE SALIDA PARA REDUCTOR RSTV50 25 mm</t>
  </si>
  <si>
    <r>
      <rPr>
        <u val="single"/>
        <sz val="10"/>
        <color indexed="8"/>
        <rFont val="Helvetica Neue"/>
      </rPr>
      <t>https://www.zuendo.com/accesorios-para-reductores/3110-eje-simple-de-salida-para-reductor-todos-los-tamanos.html#/818-tipo_de_eje-25_mm_rstv50</t>
    </r>
  </si>
  <si>
    <t>diameter shaft</t>
  </si>
  <si>
    <t>m</t>
  </si>
  <si>
    <t>Spur gear mod 2.5, D1 60, hardened teeth</t>
  </si>
  <si>
    <t>22401-0125250024</t>
  </si>
  <si>
    <t>60mm D1
14mm D2</t>
  </si>
  <si>
    <t xml:space="preserve"> radius / m</t>
  </si>
  <si>
    <t>power from spur gear onto gear rack</t>
  </si>
  <si>
    <t>N/radius spur</t>
  </si>
  <si>
    <t>Gear rack 25 OD, mod 2.5</t>
  </si>
  <si>
    <t>22425-025150X1000</t>
  </si>
  <si>
    <t>Tube ID 26 OD 30</t>
  </si>
  <si>
    <t>29050-0130X1000</t>
  </si>
  <si>
    <t>kg</t>
  </si>
  <si>
    <t>pressure/cm2 plunger PUMP PRESSURE</t>
  </si>
  <si>
    <t>kg/cm2  /  bar</t>
  </si>
  <si>
    <t>pressure/cm2 nozzle hole INJECTION PRESSURE</t>
  </si>
  <si>
    <t>max rev Nema/ rps</t>
  </si>
  <si>
    <t>25cm3 shot ratio to full shot</t>
  </si>
  <si>
    <t>steps/s</t>
  </si>
  <si>
    <t>rev/spur full shot</t>
  </si>
  <si>
    <t>full  = 50cm</t>
  </si>
  <si>
    <t>rpm</t>
  </si>
  <si>
    <t>time for full shot</t>
  </si>
  <si>
    <t>s</t>
  </si>
  <si>
    <t>rev Nema AFTER reductor /rps</t>
  </si>
  <si>
    <t>circumference spur</t>
  </si>
  <si>
    <t>cm</t>
  </si>
  <si>
    <t>rpm gear</t>
  </si>
  <si>
    <t>steps / circ spur / cml</t>
  </si>
  <si>
    <t>pulse/rev Nema  // gear</t>
  </si>
  <si>
    <t xml:space="preserve">cm3/ cir spur </t>
  </si>
  <si>
    <t>cm3</t>
  </si>
  <si>
    <t>max pulse = rps / gear rps</t>
  </si>
  <si>
    <t>cm circ spur/s</t>
  </si>
  <si>
    <t>encoder pulses/ rev Nema</t>
  </si>
  <si>
    <t>encoder pulses / max rps</t>
  </si>
  <si>
    <t>25cm3 = cml / steps</t>
  </si>
  <si>
    <t>cm3/ s</t>
  </si>
  <si>
    <t>1cm3 = cml /steps</t>
  </si>
  <si>
    <t>rev</t>
  </si>
  <si>
    <t>1cm lineal embolo = vol cm3 / steps</t>
  </si>
  <si>
    <t>s/25cm3 shot</t>
  </si>
  <si>
    <t>50cm linear plunger heated zone/ plastic full stroke = vol cm3/ steps</t>
  </si>
  <si>
    <t>67cm linear plunger full range move to topendstop
50cm stroke + 2cm cold + 6cm opening + 16cm clamp - 7cm plunger tip</t>
  </si>
  <si>
    <t>&lt;- RefillOffset steps= 16cm clamp - 7cm plunger tip x steps/cml
sum of lengths to topendstop -&gt;</t>
  </si>
  <si>
    <t>heated full stroke offset from topendstop,-&gt;
 and from refill —&gt;</t>
  </si>
  <si>
    <t>Volumes</t>
  </si>
  <si>
    <t>Injection Volumen = pi*radius^2*stroke</t>
  </si>
  <si>
    <t>ej1, buscar volumen</t>
  </si>
  <si>
    <t>ej2 buscar paso</t>
  </si>
  <si>
    <t>EJEMPLOS de Calculos SOLO</t>
  </si>
  <si>
    <t>Dia embolo / cm</t>
  </si>
  <si>
    <t>Paso embolo / cm</t>
  </si>
  <si>
    <t>Volumen inyectado /cm3</t>
  </si>
  <si>
    <t>Rack &amp; pinion, vertical</t>
  </si>
  <si>
    <t>concept</t>
  </si>
  <si>
    <t>Tangential force on rack</t>
  </si>
  <si>
    <t>Torque on pinion</t>
  </si>
  <si>
    <t>max calculated for heat hardened steel gear teeth</t>
  </si>
  <si>
    <t>moved mass / kg</t>
  </si>
  <si>
    <t>S=400Pa, w=25mm</t>
  </si>
  <si>
    <t>gravitational constant / m/s2</t>
  </si>
  <si>
    <t>g</t>
  </si>
  <si>
    <t>mod 2.5, 60mm Dp</t>
  </si>
  <si>
    <t>coefficient of friction / u</t>
  </si>
  <si>
    <t>u</t>
  </si>
  <si>
    <t>-</t>
  </si>
  <si>
    <t>maximum acceleration / m/s2</t>
  </si>
  <si>
    <t>a</t>
  </si>
  <si>
    <t>max load N</t>
  </si>
  <si>
    <t>pressing Force due to application / N</t>
  </si>
  <si>
    <t>Fe</t>
  </si>
  <si>
    <t>with 50:1 reduction, about 1/2 the expected 😬</t>
  </si>
  <si>
    <t>with 20:1 reduction, about 3% SF over the expected 🧐😰</t>
  </si>
  <si>
    <t>Force on Rack / N</t>
  </si>
  <si>
    <t>Fr</t>
  </si>
  <si>
    <t>Torque on pinion / Nm</t>
  </si>
  <si>
    <r>
      <rPr>
        <u val="single"/>
        <sz val="10"/>
        <color indexed="8"/>
        <rFont val="Helvetica Neue"/>
      </rPr>
      <t>https://www.engineersedge.com/calculators/gear-tooth-strength-calculator.htm</t>
    </r>
  </si>
  <si>
    <t>Shaft calcs on chosen output shaft</t>
  </si>
  <si>
    <t>Shear stress on solid shaft</t>
  </si>
  <si>
    <t>t = Tr/J</t>
  </si>
  <si>
    <t xml:space="preserve">for 25mm OD </t>
  </si>
  <si>
    <t>angular deflection</t>
  </si>
  <si>
    <t>a=L*T/(J*G)</t>
  </si>
  <si>
    <t>for Iron 63 GaP Shear modulus</t>
  </si>
  <si>
    <t>Mpa</t>
  </si>
  <si>
    <t>degrees</t>
  </si>
  <si>
    <t>shear stress / t</t>
  </si>
  <si>
    <t>Pa</t>
  </si>
  <si>
    <t>angular shaft deflection / a</t>
  </si>
  <si>
    <t>radians</t>
  </si>
  <si>
    <t>twisting moment / T</t>
  </si>
  <si>
    <t>length of shaft / L</t>
  </si>
  <si>
    <t>radius from center to stressed surface / r</t>
  </si>
  <si>
    <t>🔼 length of shaft “as-theoretical-held-at-1-end”, whilst in reality, the reductor holds along 93mm of total 153mm, so torsion possibly only on last 53mm? = 0.3 degrees 🧐</t>
  </si>
  <si>
    <t>polar moment of inertia of area / J</t>
  </si>
  <si>
    <t>m4</t>
  </si>
  <si>
    <t>Shear modulus of rigidity / G</t>
  </si>
  <si>
    <t>J =  (pi*Dˆ4/32)</t>
  </si>
  <si>
    <t>🔼 as per Zuendo, axle is Iron, not steel!</t>
  </si>
  <si>
    <t>Shaft calcs on motor shaft, 14mm</t>
  </si>
  <si>
    <t xml:space="preserve">for 14mm OD </t>
  </si>
  <si>
    <t>for steel 75 GaP Shear modulus</t>
  </si>
  <si>
    <t>Plunger parts</t>
  </si>
  <si>
    <t>description</t>
  </si>
  <si>
    <t>web</t>
  </si>
  <si>
    <t>reference</t>
  </si>
  <si>
    <t>price (sin IGIC)</t>
  </si>
  <si>
    <t>price € (con IGIC)</t>
  </si>
  <si>
    <t>units</t>
  </si>
  <si>
    <t>subtotal</t>
  </si>
  <si>
    <t>CL86H2156</t>
  </si>
  <si>
    <r>
      <rPr>
        <u val="single"/>
        <sz val="10"/>
        <color indexed="8"/>
        <rFont val="Helvetica Neue"/>
      </rPr>
      <t>https://www.robotdigg.com/product/1285/DM542,-DM556-or-DM860H-stepper-motor-driver</t>
    </r>
  </si>
  <si>
    <t>DM860HJK</t>
  </si>
  <si>
    <r>
      <rPr>
        <u val="single"/>
        <sz val="10"/>
        <color indexed="8"/>
        <rFont val="Helvetica Neue"/>
      </rPr>
      <t>https://www.robotdigg.com/product/976/80VDC-7.2A-DSP-Stepper-Motor-Driver</t>
    </r>
  </si>
  <si>
    <t>PSU 80v DC for Nema</t>
  </si>
  <si>
    <r>
      <rPr>
        <u val="single"/>
        <sz val="10"/>
        <color indexed="8"/>
        <rFont val="Helvetica Neue"/>
      </rPr>
      <t>https://www.robotdigg.com/product/1564/60V-or-80V-DC-output-500W-or-1000W-power-supply</t>
    </r>
  </si>
  <si>
    <t>S-1000-80</t>
  </si>
  <si>
    <t>B14, i=20..?
could go to i:30 if decide that Nema is not reaching top speed with actual i:20, but this means more torque, and certain mechanical calcs indicate overload of gear teeth or axle 😬</t>
  </si>
  <si>
    <t>RSTV050</t>
  </si>
  <si>
    <t>60mm D1
14mm D2, hollow out to 25mm, add keyhole</t>
  </si>
  <si>
    <r>
      <rPr>
        <u val="single"/>
        <sz val="10"/>
        <color indexed="8"/>
        <rFont val="Helvetica Neue"/>
      </rPr>
      <t>norelem.es</t>
    </r>
  </si>
  <si>
    <t>Bearing opposing spur gear</t>
  </si>
  <si>
    <t>35-15-19 bearing to retain gear rack against spur gear, have to carve out 25mm radius on outer surface with radial!</t>
  </si>
  <si>
    <r>
      <rPr>
        <u val="single"/>
        <sz val="10"/>
        <color indexed="8"/>
        <rFont val="Helvetica Neue"/>
      </rPr>
      <t>https://www.123rodamiento.es/rodamiento-cojinete/rodamiento-rodillos/leva/natr15a</t>
    </r>
  </si>
  <si>
    <t>NATR15A</t>
  </si>
  <si>
    <t>Aro suplemento</t>
  </si>
  <si>
    <t>Aro 12mm-15mm, 22.5mm long, to suplement M12 bolt which holds bearing!</t>
  </si>
  <si>
    <r>
      <rPr>
        <u val="single"/>
        <sz val="10"/>
        <color indexed="8"/>
        <rFont val="Helvetica Neue"/>
      </rPr>
      <t>https://www.123rodamiento.es/rodamiento-cojinete/rodamiento-agujas/aros-interiores/ir12-15-22.5</t>
    </r>
  </si>
  <si>
    <t>IR12-15-22.5</t>
  </si>
  <si>
    <t>Bearing opposing spur gear, alternative</t>
  </si>
  <si>
    <t>32-12-14 bearing alternative smaller, does not need aro suplemento</t>
  </si>
  <si>
    <r>
      <rPr>
        <u val="single"/>
        <sz val="10"/>
        <color indexed="8"/>
        <rFont val="Helvetica Neue"/>
      </rPr>
      <t>https://www.123rodamiento.es/rodamiento-cojinete/rodamiento-rodillos/leva/natv12-pp</t>
    </r>
  </si>
  <si>
    <t>NATV12-PP</t>
  </si>
  <si>
    <t>880mm, with 70mm bronze tip 26mm OD</t>
  </si>
  <si>
    <t>Bronze plunger tip</t>
  </si>
  <si>
    <t>26mm OD, 70mm long, buy oversize and turn on lathe</t>
  </si>
  <si>
    <t>Asencio y hijos, o Graubassas</t>
  </si>
  <si>
    <t>1” male-male union</t>
  </si>
  <si>
    <t>end of barrel to nozzle tip, solder to barrel to avoid plastic leakage (repass interior barrel)</t>
  </si>
  <si>
    <t>Bolsa de Aguas La Cuesta</t>
  </si>
  <si>
    <t>1” male plug</t>
  </si>
  <si>
    <t>nozzle tip, turn 45˚ tip, perforate to 5.5mm, tap to M6</t>
  </si>
  <si>
    <t>T-mech parts (moving side)</t>
  </si>
  <si>
    <t>code variant</t>
  </si>
  <si>
    <t>750mm, 530mm below 60mm opening (120˚)</t>
  </si>
  <si>
    <t>12mm linear bearings</t>
  </si>
  <si>
    <t>4x 12mm linear blocks</t>
  </si>
  <si>
    <r>
      <rPr>
        <u val="single"/>
        <sz val="10"/>
        <color indexed="8"/>
        <rFont val="Helvetica Neue"/>
      </rPr>
      <t>https://robotdigg.com/product/417/SCS12UU-Linear-Block</t>
    </r>
  </si>
  <si>
    <t>SCS12UU</t>
  </si>
  <si>
    <t>12mm smooth bar</t>
  </si>
  <si>
    <t>2x 230mm, cut from one 500mm length</t>
  </si>
  <si>
    <r>
      <rPr>
        <u val="single"/>
        <sz val="10"/>
        <color indexed="8"/>
        <rFont val="Helvetica Neue"/>
      </rPr>
      <t>https://robotdigg.com/product/920/8mm,-10mm-or-12mm-linear-shaft-or-smooth-rod-in-lengths</t>
    </r>
  </si>
  <si>
    <t>SR12_500</t>
  </si>
  <si>
    <t>springs</t>
  </si>
  <si>
    <t>2x 44mm long, 12.5mm ID, 25mm OD</t>
  </si>
  <si>
    <t>26000-2512044</t>
  </si>
  <si>
    <t>shaft collars</t>
  </si>
  <si>
    <t xml:space="preserve">2x 12mm </t>
  </si>
  <si>
    <t>07800-301202</t>
  </si>
  <si>
    <t>Ceramic wool insolation</t>
  </si>
  <si>
    <t>515mm long, + Kapton tape &amp; cylindrical metal mesh cover</t>
  </si>
  <si>
    <t>poligono el rosario</t>
  </si>
  <si>
    <t>Kapton tape</t>
  </si>
  <si>
    <t xml:space="preserve">200mm wide, overlapped </t>
  </si>
  <si>
    <r>
      <rPr>
        <u val="single"/>
        <sz val="10"/>
        <color indexed="8"/>
        <rFont val="Helvetica Neue"/>
      </rPr>
      <t>https://robotdigg.com/product/35/Kapton-Tape-5mm-to-300mm-width</t>
    </r>
  </si>
  <si>
    <t>KPTape-200mm</t>
  </si>
  <si>
    <t>Protection heated barrel, 515mm long, perforated mesh</t>
  </si>
  <si>
    <t>515mm long, 398mm OD, + 15mm tabs</t>
  </si>
  <si>
    <t>cortes y pliegues</t>
  </si>
  <si>
    <t>Cork, 2mm or 4mm</t>
  </si>
  <si>
    <t>clamp isolation material</t>
  </si>
  <si>
    <t>leroy merlin</t>
  </si>
  <si>
    <t>Electrical parts</t>
  </si>
  <si>
    <t>band heaters</t>
  </si>
  <si>
    <t>5x 3070 240w
1x 4040 210w
total 1410w
2 zones:
barrel 960w (4.35A)
nozzle 450w (2.05A)</t>
  </si>
  <si>
    <r>
      <rPr>
        <u val="single"/>
        <sz val="10"/>
        <color indexed="8"/>
        <rFont val="Helvetica Neue"/>
      </rPr>
      <t>https://robotdigg.com/product/1810/Electric-Copper-or-Brass-Band-Heater-for-Extrusion-or-Injection</t>
    </r>
  </si>
  <si>
    <t>3070-220V240W
4040-220V210W</t>
  </si>
  <si>
    <t>PID temp controller</t>
  </si>
  <si>
    <t>2x, barrel &amp; nozzle zones</t>
  </si>
  <si>
    <r>
      <rPr>
        <u val="single"/>
        <sz val="10"/>
        <color indexed="8"/>
        <rFont val="Helvetica Neue"/>
      </rPr>
      <t>https://robotdigg.com/product/1801/Digital-Adjustable-PID-Temperature-Controller-Panel-Thermostat</t>
    </r>
  </si>
  <si>
    <t>REX-C100</t>
  </si>
  <si>
    <t>SSR 25A</t>
  </si>
  <si>
    <t>3x SSR 1 for pairs, 1 for nozzle, 2 for barrel</t>
  </si>
  <si>
    <r>
      <rPr>
        <u val="single"/>
        <sz val="10"/>
        <color indexed="8"/>
        <rFont val="Helvetica Neue"/>
      </rPr>
      <t>https://robotdigg.com/product/1240/Single-phase-slim-solid-state-relay</t>
    </r>
  </si>
  <si>
    <t>S-SSR25A</t>
  </si>
  <si>
    <t>Thermocouple</t>
  </si>
  <si>
    <t>2 for PID temp controller,</t>
  </si>
  <si>
    <r>
      <rPr>
        <u val="single"/>
        <sz val="10"/>
        <color indexed="8"/>
        <rFont val="Helvetica Neue"/>
      </rPr>
      <t>https://robotdigg.com/product/58/K-type-Thermocouple-0-to-600C</t>
    </r>
  </si>
  <si>
    <t>KTC320</t>
  </si>
  <si>
    <t>1 + breakout board for Arduino, screwed into barrel collar for temp check before moving plunger</t>
  </si>
  <si>
    <r>
      <rPr>
        <u val="single"/>
        <sz val="10"/>
        <color indexed="8"/>
        <rFont val="Helvetica Neue"/>
      </rPr>
      <t>https://robotdigg.com/product/911/1.2-meters-screw-head-K-type-Thermocouple</t>
    </r>
  </si>
  <si>
    <t>M3KTC</t>
  </si>
  <si>
    <t>+ breakout board for Arduino</t>
  </si>
  <si>
    <r>
      <rPr>
        <u val="single"/>
        <sz val="10"/>
        <color indexed="8"/>
        <rFont val="Helvetica Neue"/>
      </rPr>
      <t>https://robotdigg.com/product/1256/3D-Printer-thermocouple-or-thermo-sensor-Breakout-Board</t>
    </r>
  </si>
  <si>
    <t>MKS31855</t>
  </si>
  <si>
    <t>Caja eléctrica con back board</t>
  </si>
  <si>
    <t>400x300 caja poliéster + fondo</t>
  </si>
  <si>
    <t>Coelca</t>
  </si>
  <si>
    <t>PIN-630318
PIN-161002</t>
  </si>
  <si>
    <t>Prensaestopas</t>
  </si>
  <si>
    <t>M20 x2
M16 x6</t>
  </si>
  <si>
    <t>GEW-GW52044
GEW-GW52043</t>
  </si>
  <si>
    <t>Repartidor bipolar</t>
  </si>
  <si>
    <t>GEW-GW44691</t>
  </si>
  <si>
    <t>cable 3G2.5</t>
  </si>
  <si>
    <t>enchufe aérea 16A</t>
  </si>
  <si>
    <t>floor mount</t>
  </si>
  <si>
    <t>bottom laterales</t>
  </si>
  <si>
    <t>bottom en medio</t>
  </si>
  <si>
    <t>rear verticales</t>
  </si>
  <si>
    <t>front verticales</t>
  </si>
  <si>
    <t>(1147.8 with 82degree cuts at each end)</t>
  </si>
  <si>
    <t>1st cut both profiles @:</t>
  </si>
  <si>
    <t>leaves</t>
  </si>
  <si>
    <t>2nd cut all 4 profiles, 2 @:</t>
  </si>
  <si>
    <t>x2</t>
  </si>
  <si>
    <t>other 2@:</t>
  </si>
  <si>
    <t xml:space="preserve">halfway, leaves </t>
  </si>
  <si>
    <t>x4</t>
  </si>
  <si>
    <t>Frame</t>
  </si>
  <si>
    <t>base square 30x30x3</t>
  </si>
  <si>
    <t>6ml</t>
  </si>
  <si>
    <t>reductor support profiles</t>
  </si>
  <si>
    <t>top main support (&amp; bottom!)</t>
  </si>
  <si>
    <t>side diagonal supports</t>
  </si>
  <si>
    <t>t-mech support profiles</t>
  </si>
  <si>
    <t>rect 50x30x3</t>
  </si>
  <si>
    <t>bearing housing</t>
  </si>
  <si>
    <t>centrales plataforma</t>
  </si>
  <si>
    <t>L-angle 30x3</t>
  </si>
  <si>
    <t>30mm</t>
  </si>
  <si>
    <t>t-mech shafts supports</t>
  </si>
  <si>
    <t>floor mount  40x40cm
30x30x3</t>
  </si>
  <si>
    <t>al final usé angels L, a ver como van!</t>
  </si>
  <si>
    <t>bottom stand outer laterals</t>
  </si>
  <si>
    <t>bottom stand outer struts</t>
  </si>
  <si>
    <t>back verticals</t>
  </si>
  <si>
    <t>front diagonals</t>
  </si>
  <si>
    <t>plataforma giratoria 150x150x10</t>
  </si>
  <si>
    <t>corona</t>
  </si>
  <si>
    <t>approx</t>
  </si>
  <si>
    <t>tuerca M36</t>
  </si>
  <si>
    <t>tornillo cabeza hex M36 x40mm</t>
  </si>
  <si>
    <t>wall mount for 300mm moulds 50x30x3</t>
  </si>
  <si>
    <t>267mm</t>
  </si>
  <si>
    <t>spacer profiles</t>
  </si>
  <si>
    <t>wall mount L-angle 30x3</t>
  </si>
  <si>
    <t>wall mount angles</t>
  </si>
  <si>
    <t>Screws</t>
  </si>
  <si>
    <t>M4 countersunk allen 25mm</t>
  </si>
  <si>
    <t>linear bearings to rear clamp</t>
  </si>
  <si>
    <t>toycasa</t>
  </si>
  <si>
    <t>M5 20mm allen head + washers</t>
  </si>
  <si>
    <t>linear shafts fixation to frame</t>
  </si>
  <si>
    <t>M8 20mm + washers + nuts welded to rear clamp (to avoid crashing with linear shaft)</t>
  </si>
  <si>
    <t>clamps for barrel with cork in between</t>
  </si>
  <si>
    <t>M12 50mm partial thread, 20mm thread, + 4 wide washers, + 1 locknut</t>
  </si>
  <si>
    <t xml:space="preserve">Bearing against plunger, IMPORTANT 30mm NO THREAD, can get a longer partial threaded screw and cut shorter </t>
  </si>
  <si>
    <t>M8 20-25mm 10.9, + washers &amp; locknut</t>
  </si>
  <si>
    <t>Reductor to frame - will have to make a util to hold nut at end of 140mm interior profile!</t>
  </si>
  <si>
    <t>M8 90mm partial thread 10.9</t>
  </si>
  <si>
    <t>Plunger tip to plunger, empty 13mm ID x 8.5mm cavity, and all thru 8mm hole in tip, and 30-32mm deep 8mm hole in rack</t>
  </si>
  <si>
    <t>Electronic parts</t>
  </si>
  <si>
    <t xml:space="preserve">PSU Arduino 5v </t>
  </si>
  <si>
    <t>power supply, regulated 5v,</t>
  </si>
  <si>
    <r>
      <rPr>
        <u val="single"/>
        <sz val="10"/>
        <color indexed="8"/>
        <rFont val="Helvetica Neue"/>
      </rPr>
      <t>https://robotdigg.com/product/1200/5V-2A-or-4A-Miniature-Switching-Power-Supply</t>
    </r>
  </si>
  <si>
    <t>PS5V4A</t>
  </si>
  <si>
    <t>PSU ESP32 3.3v</t>
  </si>
  <si>
    <t>3A, connect to ESP32 3.3v pin</t>
  </si>
  <si>
    <t xml:space="preserve">Nalber </t>
  </si>
  <si>
    <t>Arduino ESP32</t>
  </si>
  <si>
    <t>Miqueas</t>
  </si>
  <si>
    <t>ESP32 breakout terminals</t>
  </si>
  <si>
    <t>Temu</t>
  </si>
  <si>
    <t>TFT display</t>
  </si>
  <si>
    <t>To show info about pots, sensors, actions, etc</t>
  </si>
  <si>
    <t>3  buttons Omron 12x12</t>
  </si>
  <si>
    <t>To adjust variables and initiate actions</t>
  </si>
  <si>
    <t>3 LEDs WS2812B</t>
  </si>
  <si>
    <t>light buttons</t>
  </si>
  <si>
    <t>35 LED ring for nozzle lighting</t>
  </si>
  <si>
    <t>Miqueas / Temu</t>
  </si>
  <si>
    <t>ESP32-S3 with 5” touchscreen</t>
  </si>
  <si>
    <r>
      <rPr>
        <u val="single"/>
        <sz val="10"/>
        <color indexed="8"/>
        <rFont val="Helvetica Neue"/>
      </rPr>
      <t>https://www.elecrow.com/esp32-display-5-inch-hmi-display-rgb-tft-lcd-touch-screen-support-lvgl.html</t>
    </r>
  </si>
  <si>
    <t>+ breakout board</t>
  </si>
  <si>
    <t>sensor inductivo 4mm dista</t>
  </si>
  <si>
    <t>detection of plunger top &amp; bottom end stop</t>
  </si>
  <si>
    <r>
      <rPr>
        <u val="single"/>
        <sz val="10"/>
        <color indexed="8"/>
        <rFont val="Helvetica Neue"/>
      </rPr>
      <t>https://electronicaelfaro.com/index.php?route=product/product&amp;product_id=47599&amp;search=1631</t>
    </r>
  </si>
  <si>
    <t>LJ12A3-4-Z/BX</t>
  </si>
  <si>
    <t>sensor inductivo 2mm dista</t>
  </si>
  <si>
    <t>detection barrel move</t>
  </si>
  <si>
    <t>Mano de obra y consumibles</t>
  </si>
  <si>
    <t>concepto</t>
  </si>
  <si>
    <t>cost</t>
  </si>
  <si>
    <t>USD/€</t>
  </si>
  <si>
    <t>horas apuntadas</t>
  </si>
  <si>
    <t>horas soldando</t>
  </si>
  <si>
    <t>hilo soldar</t>
  </si>
  <si>
    <t>electricidad</t>
  </si>
  <si>
    <t>transporte y despacho RobotDigg</t>
  </si>
  <si>
    <t>transporte y despacho Norelem</t>
  </si>
  <si>
    <t>Transporte y despacho Zuendo</t>
  </si>
  <si>
    <t>Transporte y despacho 123Rodamientos</t>
  </si>
  <si>
    <t>Transporte y despacho Elcrow</t>
  </si>
  <si>
    <t>Totales</t>
  </si>
  <si>
    <t>Table</t>
  </si>
  <si>
    <t>Subtotal</t>
  </si>
  <si>
    <t>total cost, no margen (only MO)</t>
  </si>
  <si>
    <t>Table 1</t>
  </si>
  <si>
    <t>Control</t>
  </si>
  <si>
    <t>reason</t>
  </si>
  <si>
    <t>how?</t>
  </si>
  <si>
    <t>4x20 screen</t>
  </si>
  <si>
    <t xml:space="preserve">show info about machine, temp, %amps to motor (pressure), amount to move next injection, </t>
  </si>
  <si>
    <t>ESP32</t>
  </si>
  <si>
    <t>MCU to control everything</t>
  </si>
  <si>
    <t>Speed of motor / plunger descent</t>
  </si>
  <si>
    <t>faster filling better?</t>
  </si>
  <si>
    <t>Pot1 to arduino variable</t>
  </si>
  <si>
    <t>Force of motor /plunger</t>
  </si>
  <si>
    <t>more pressure assures filling?</t>
  </si>
  <si>
    <t>Pot2 to arduino variable</t>
  </si>
  <si>
    <t>Time of movement</t>
  </si>
  <si>
    <t>how long to descend plunger for…?</t>
  </si>
  <si>
    <t>OR</t>
  </si>
  <si>
    <t>Amount of movement</t>
  </si>
  <si>
    <t>how MUCH to descend plunger… exact amount of plastic to fill!</t>
  </si>
  <si>
    <t>Pot3 to arduino variable</t>
  </si>
  <si>
    <t>Purge</t>
  </si>
  <si>
    <t>make sure before injection that plastic in nozzle is not cold, but hot and fresh</t>
  </si>
  <si>
    <r>
      <rPr>
        <b val="1"/>
        <sz val="10"/>
        <color indexed="8"/>
        <rFont val="Helvetica Neue"/>
      </rPr>
      <t>Button</t>
    </r>
    <r>
      <rPr>
        <sz val="10"/>
        <color indexed="8"/>
        <rFont val="Helvetica Neue"/>
      </rPr>
      <t xml:space="preserve"> or </t>
    </r>
    <r>
      <rPr>
        <i val="1"/>
        <sz val="10"/>
        <color indexed="8"/>
        <rFont val="Helvetica Neue"/>
      </rPr>
      <t>pot</t>
    </r>
    <r>
      <rPr>
        <sz val="10"/>
        <color indexed="8"/>
        <rFont val="Helvetica Neue"/>
      </rPr>
      <t>?</t>
    </r>
  </si>
  <si>
    <t>ex: press button, purge slowly, release button marks 0 for next injection, but if backing up is needed (to avoid dripping, sucks a small amount per sec back up), this is included in 0..?</t>
  </si>
  <si>
    <t>Back movement after purging</t>
  </si>
  <si>
    <t>exactly how much back movement after purge is needed, is this a variable depending on type &amp; temp of plastic, so needs pot, or can be programmed in..?</t>
  </si>
  <si>
    <t>Pot4 first, program later..?</t>
  </si>
  <si>
    <t>holding pressure after the injection</t>
  </si>
  <si>
    <t>after injection, pressure must be maintained 2-15s to avoid sink marks, depending on wall thickness/ part design</t>
  </si>
  <si>
    <t>pot5, or possible programmed % time depending on temp and amount injected..?</t>
  </si>
  <si>
    <t>Heat check</t>
  </si>
  <si>
    <t>CANNOT move plunger when cold</t>
  </si>
  <si>
    <t>Thermocouple with daughter board to Arduino, if TEMP=LOW, DO NOT MOVE</t>
  </si>
  <si>
    <t>Barrel position check</t>
  </si>
  <si>
    <t>if barrel slides down, moulds will no longer fit underneath nozzle with pre-made-for-each-mould shims</t>
  </si>
  <si>
    <t>End stop against top end of barrel..? If barrel moves down, end stop becomes empty (NC to HIGH?)</t>
  </si>
  <si>
    <t>Mould presence check</t>
  </si>
  <si>
    <t>Make sure mould is present before injecting</t>
  </si>
  <si>
    <t>End stop?</t>
  </si>
  <si>
    <t>Do we need to assure exact lining..? All moulds are different, cannot assure via end stop only that this particular mould is correctly lined up..</t>
  </si>
  <si>
    <t>INJECT!</t>
  </si>
  <si>
    <t>All is in order, proceed with automatic injection</t>
  </si>
  <si>
    <t>Button</t>
  </si>
  <si>
    <t>On pressing INJECT, code should copy all variables to int fixed vales, to avoid any changes in variables during injection may otherwise cause issues..?</t>
  </si>
  <si>
    <t>Table 2</t>
  </si>
  <si>
    <t>5” or 7” 800x480 ESP32-S3 touchscreen</t>
  </si>
  <si>
    <r>
      <rPr>
        <u val="single"/>
        <sz val="10"/>
        <color indexed="8"/>
        <rFont val="Helvetica Neue"/>
      </rPr>
      <t>https://www.elecrow.com/display/esp-hmi-display.html</t>
    </r>
  </si>
  <si>
    <t>Touch control1</t>
  </si>
  <si>
    <t>Touch control2</t>
  </si>
  <si>
    <t>Touch control3</t>
  </si>
  <si>
    <r>
      <rPr>
        <b val="1"/>
        <sz val="10"/>
        <color indexed="8"/>
        <rFont val="Helvetica Neue"/>
      </rPr>
      <t>Button</t>
    </r>
    <r>
      <rPr>
        <sz val="10"/>
        <color indexed="8"/>
        <rFont val="Helvetica Neue"/>
      </rPr>
      <t xml:space="preserve"> or touch control?</t>
    </r>
  </si>
  <si>
    <t>Touch control4, can be hidden later</t>
  </si>
  <si>
    <t>touch control5, or possible programmed % time depending on temp and amount injected..?</t>
  </si>
  <si>
    <t>3.3v and 5v consumos PSU</t>
  </si>
  <si>
    <t>item</t>
  </si>
  <si>
    <t>3.3v consumo mA</t>
  </si>
  <si>
    <t>5v consumo mA</t>
  </si>
  <si>
    <t>signal to/from STM32? (LLC 3.3v - 5v, pins)</t>
  </si>
  <si>
    <t>Inductive LJ12A3-4-Z/BX</t>
  </si>
  <si>
    <t>FINDA inductive</t>
  </si>
  <si>
    <t>Step &amp; pulse</t>
  </si>
  <si>
    <t>Encoder</t>
  </si>
  <si>
    <t>?</t>
  </si>
  <si>
    <t>AMS1117 buck down</t>
  </si>
  <si>
    <t>current sensor x2, phA &amp; phB for inline sensing</t>
  </si>
  <si>
    <t>Max31855 thermocouple</t>
  </si>
  <si>
    <t>WS2812B LEDs 35 ring</t>
  </si>
  <si>
    <t>WS2812B LEDs 3 buttons</t>
  </si>
  <si>
    <t>Elecrow 5” display</t>
  </si>
  <si>
    <t>5v 7A PSU</t>
  </si>
  <si>
    <t>extra mA…</t>
  </si>
  <si>
    <t>3.3v, LLC, 5v power &amp; signals</t>
  </si>
  <si>
    <t>3.3v power</t>
  </si>
  <si>
    <t>3.3v signals</t>
  </si>
  <si>
    <t>5v power</t>
  </si>
  <si>
    <t>5v LLC signals</t>
  </si>
  <si>
    <t>Pins on ESP32</t>
  </si>
  <si>
    <t>motor Step/Dir</t>
  </si>
  <si>
    <t>2, Step &amp; Dir</t>
  </si>
  <si>
    <t>Gnd</t>
  </si>
  <si>
    <t>pin 23 &amp; 22</t>
  </si>
  <si>
    <t>Encoder (should be 5v, works with 3.3v🤷)</t>
  </si>
  <si>
    <t>Vcc, Gnd</t>
  </si>
  <si>
    <t>2, A &amp; B</t>
  </si>
  <si>
    <t>pin 34 &amp; 35</t>
  </si>
  <si>
    <t>AMS1117 buck down 5v - 3.3v</t>
  </si>
  <si>
    <t>3V3, Gnd</t>
  </si>
  <si>
    <t>USART3 to ESP32 (serial pass thru)</t>
  </si>
  <si>
    <t>2, TX, RX</t>
  </si>
  <si>
    <t>pin 17 &amp; 16</t>
  </si>
  <si>
    <t>Button select</t>
  </si>
  <si>
    <t>Gnd Shared via continuation of button itself</t>
  </si>
  <si>
    <t>1 Pullup</t>
  </si>
  <si>
    <t>pin 25</t>
  </si>
  <si>
    <t>Button up</t>
  </si>
  <si>
    <t>pin 26</t>
  </si>
  <si>
    <t>button down</t>
  </si>
  <si>
    <t>pin 27</t>
  </si>
  <si>
    <t>LLC</t>
  </si>
  <si>
    <t>VccA</t>
  </si>
  <si>
    <t>VccB, Gnd</t>
  </si>
  <si>
    <t>Inductive LJ12A3-4-Z/BX TopEndstop</t>
  </si>
  <si>
    <t>1 Pullup*</t>
  </si>
  <si>
    <t>Vcc, Gnd Shared</t>
  </si>
  <si>
    <t>pin 19</t>
  </si>
  <si>
    <t>Inductive LJ12A3-4-Z/BX BottomEndstop</t>
  </si>
  <si>
    <t>pin 18</t>
  </si>
  <si>
    <t>FINDA inductive BarrelEndstop</t>
  </si>
  <si>
    <t>1 Pulldown*</t>
  </si>
  <si>
    <t>pin 5</t>
  </si>
  <si>
    <t>NozzleBlockEndstop</t>
  </si>
  <si>
    <t>1 Pullup* or analog..?</t>
  </si>
  <si>
    <t>(pin 15)</t>
  </si>
  <si>
    <t>EmergencyEndstop</t>
  </si>
  <si>
    <t>pin 0 * boot failure if pulled LOW</t>
  </si>
  <si>
    <t>current sensor, phA for inline sensing 1K resistor to analog</t>
  </si>
  <si>
    <t>analog**</t>
  </si>
  <si>
    <t>(pin 4)</t>
  </si>
  <si>
    <t>current sensor, phB for inline sensing</t>
  </si>
  <si>
    <t>(pin 2)</t>
  </si>
  <si>
    <t>3, MOSI, SCK, MISO</t>
  </si>
  <si>
    <t>pin 13, 14, 12</t>
  </si>
  <si>
    <t>timer..?</t>
  </si>
  <si>
    <t>pin 33</t>
  </si>
  <si>
    <t>WS2812B LEDs 35 ring, Vcc, Gnd direct to 2nd PSU</t>
  </si>
  <si>
    <t>pin 32</t>
  </si>
  <si>
    <t>PSU 5v 7A</t>
  </si>
  <si>
    <t>3.3v distribution</t>
  </si>
  <si>
    <t>5v distribucion</t>
  </si>
  <si>
    <t>LLC spare</t>
  </si>
  <si>
    <t>vcc</t>
  </si>
  <si>
    <t>gnd</t>
  </si>
  <si>
    <t>Could divide distribution board (15 pins) in 3.3v side (7 entries) and</t>
  </si>
  <si>
    <t xml:space="preserve"> 5v side (8 entries)</t>
  </si>
  <si>
    <t>Power sharing only possible for similar components, thick enough to grimp (inductive)</t>
  </si>
  <si>
    <t>or max 2 male dupont (ACS)</t>
  </si>
  <si>
    <t>* check signal from inductive is NO (active LOW with pullup) or NC (active LOW with pulldown)</t>
  </si>
  <si>
    <t>** not sure how to use yet, but although 5v, as are 20A sensor, and motor will not pull more than</t>
  </si>
  <si>
    <t xml:space="preserve">7.2A, should not be a problem to use 3.3v analog, as voltage range should be well below 3.3v </t>
  </si>
  <si>
    <t>(approx 1.8v).. HOWEVER, I think they use 2.5v offset to be able to show +ve &amp; -ve current 🤦</t>
  </si>
  <si>
    <t>so maybe need resistors to not burn ESP32 ADC input..?</t>
  </si>
  <si>
    <t>Current State</t>
  </si>
  <si>
    <t>Input</t>
  </si>
  <si>
    <t>ERROR_STATE</t>
  </si>
  <si>
    <t>INIT_HEATING</t>
  </si>
  <si>
    <t>INIT_HOT_NOT_HOMED</t>
  </si>
  <si>
    <t>INIT_HOMED_ENCODER_ZEROED</t>
  </si>
  <si>
    <t>REFILL</t>
  </si>
  <si>
    <t>COMPRESSION</t>
  </si>
  <si>
    <t>READY_TO_INJECT</t>
  </si>
  <si>
    <t>PURGE_ZERO</t>
  </si>
  <si>
    <t>ANTIDRIP</t>
  </si>
  <si>
    <t>INJECT</t>
  </si>
  <si>
    <t>HOLD_INJECTION</t>
  </si>
  <si>
    <t>RELEASE</t>
  </si>
  <si>
    <t>CONFIRM_MOULD_REMOVAL</t>
  </si>
  <si>
    <t>EmergencyStop -</t>
  </si>
  <si>
    <t>ignore, 
state unchanged</t>
  </si>
  <si>
    <t>ignore, heating is independent of code, code should not let any movement</t>
  </si>
  <si>
    <t>new state = ERROR_STATE</t>
  </si>
  <si>
    <t>Temp &lt; 170</t>
  </si>
  <si>
    <t>temp below threshold, USER MUST CHECK HEATING CIRCUIT if was previously above threshold, otherwise error should clear once above again</t>
  </si>
  <si>
    <t>if NOT during INIT_HEATING,
- heating failure..? Stop machine
new state = ERROR_STATE</t>
  </si>
  <si>
    <t>Temp &gt;= 170</t>
  </si>
  <si>
    <t>ignore, state unchanged, temp is independent of code</t>
  </si>
  <si>
    <t>Process, new state = INIT_HOT_NOT_HOMED</t>
  </si>
  <si>
    <t>EndstopTop</t>
  </si>
  <si>
    <t>Revise reason for error and give exit - StopMove, confirm with user goto Refill</t>
  </si>
  <si>
    <t>ignore, heating is independent of code, code should not let any movement
state unchanged</t>
  </si>
  <si>
    <t>Once ButtonUp pressed and Homing started, finish Homing when triggered second time
new state = INIT_HOMED_ENCODER_ZEROED</t>
  </si>
  <si>
    <t>goto RefillOffset
new state = REFILL</t>
  </si>
  <si>
    <t>error: should ALREADY have triggered in state INIT_HOT_NOT_HOMED
new state = ERROR_STATE</t>
  </si>
  <si>
    <t>error: should not be possible
new state = ERROR_STATE</t>
  </si>
  <si>
    <t>EndstopBottom</t>
  </si>
  <si>
    <t>Revise reason for error and give exit - reached bottom of plunger stroke, either user can move only up, or only Home</t>
  </si>
  <si>
    <t>EndstopBarrel</t>
  </si>
  <si>
    <t>Revise reason for error and give exit - barrel has moved, stop machine, require repositioning and program reset</t>
  </si>
  <si>
    <t>EndstopNozzleBlock</t>
  </si>
  <si>
    <t>Revise reason for error and give exit - no block in place, confirm user has placed block</t>
  </si>
  <si>
    <t>new state = ERROR_STATE
user must invert blocking part to NozzleBlock</t>
  </si>
  <si>
    <t>new state = ERROR_STATE
user must invert blocking part to BarrelOnlyBlock</t>
  </si>
  <si>
    <t>ignore, AS YET DO NOT HAVE CHECK FOR MOULD_PRESENT, only user CONFIRMING from previous state
state unchanged</t>
  </si>
  <si>
    <t>ButtonSelect</t>
  </si>
  <si>
    <r>
      <rPr>
        <sz val="10"/>
        <color indexed="8"/>
        <rFont val="Helvetica Neue"/>
      </rPr>
      <t xml:space="preserve">Confirm error displayed has been fixed, return, or reset as per reason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 FLASHING
</t>
    </r>
    <r>
      <rPr>
        <sz val="10"/>
        <color indexed="8"/>
        <rFont val="Helvetica Neue"/>
      </rPr>
      <t xml:space="preserve">(possibly certain combo as per sensor/error detected)
</t>
    </r>
    <r>
      <rPr>
        <sz val="15"/>
        <color indexed="8"/>
        <rFont val="Apple Color Emoji"/>
      </rPr>
      <t>🛑🛑🛑</t>
    </r>
  </si>
  <si>
    <r>
      <rPr>
        <sz val="10"/>
        <color indexed="8"/>
        <rFont val="Helvetica Neue"/>
      </rPr>
      <t xml:space="preserve">ignore, heating is independent of code, code should not let any movement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 
</t>
    </r>
    <r>
      <rPr>
        <sz val="15"/>
        <color indexed="8"/>
        <rFont val="Apple Color Emoji"/>
      </rPr>
      <t>🛑🛑🛑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</si>
  <si>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5"/>
        <color indexed="8"/>
        <rFont val="Apple Color Emoji"/>
      </rPr>
      <t>🟡🟡🟡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</si>
  <si>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0"/>
        <color indexed="8"/>
        <rFont val="Helvetica Neue"/>
      </rPr>
      <t xml:space="preserve">Select solid
</t>
    </r>
    <r>
      <rPr>
        <sz val="15"/>
        <color indexed="8"/>
        <rFont val="Apple Color Emoji"/>
      </rPr>
      <t>🟡🟡🟡</t>
    </r>
  </si>
  <si>
    <r>
      <rPr>
        <sz val="10"/>
        <color indexed="8"/>
        <rFont val="Helvetica Neue"/>
      </rPr>
      <t xml:space="preserve">Confirm user Refill and NozzleBlockPresent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COMPRESSION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🟢🌑🌑/🟢🔵🔵</t>
    </r>
  </si>
  <si>
    <r>
      <rPr>
        <sz val="10"/>
        <color indexed="8"/>
        <rFont val="Helvetica Neue"/>
      </rPr>
      <t xml:space="preserve">StopMove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REFILL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 
</t>
    </r>
    <r>
      <rPr>
        <sz val="15"/>
        <color indexed="8"/>
        <rFont val="Apple Color Emoji"/>
      </rPr>
      <t>🛑🌑🛑</t>
    </r>
  </si>
  <si>
    <r>
      <rPr>
        <sz val="10"/>
        <color indexed="8"/>
        <rFont val="Helvetica Neue"/>
      </rPr>
      <t xml:space="preserve">together with ButtonDown, new state = PURGE_ZERO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🟢🟡🟢</t>
    </r>
  </si>
  <si>
    <r>
      <rPr>
        <sz val="10"/>
        <color indexed="8"/>
        <rFont val="Helvetica Neue"/>
      </rPr>
      <t xml:space="preserve">user confirms Purge_Zero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ANTIDRIP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🟢🟡🟡</t>
    </r>
  </si>
  <si>
    <r>
      <rPr>
        <sz val="10"/>
        <color indexed="8"/>
        <rFont val="Helvetica Neue"/>
      </rPr>
      <t xml:space="preserve">StopMove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READY_TO_INJECT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
</t>
    </r>
    <r>
      <rPr>
        <sz val="15"/>
        <color indexed="8"/>
        <rFont val="Apple Color Emoji"/>
      </rPr>
      <t>🛑🟢🟢</t>
    </r>
  </si>
  <si>
    <r>
      <rPr>
        <sz val="10"/>
        <color indexed="8"/>
        <rFont val="Helvetica Neue"/>
      </rPr>
      <t xml:space="preserve">StopMove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RELEASE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
</t>
    </r>
    <r>
      <rPr>
        <sz val="15"/>
        <color indexed="8"/>
        <rFont val="Apple Color Emoji"/>
      </rPr>
      <t>🛑🟢🌑</t>
    </r>
  </si>
  <si>
    <r>
      <rPr>
        <sz val="10"/>
        <color indexed="8"/>
        <rFont val="Helvetica Neue"/>
      </rPr>
      <t xml:space="preserve">StopMove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new state = RELEASE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
</t>
    </r>
    <r>
      <rPr>
        <sz val="15"/>
        <color indexed="8"/>
        <rFont val="Apple Color Emoji"/>
      </rPr>
      <t>🛑🟢🟢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</si>
  <si>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 SOLID
</t>
    </r>
    <r>
      <rPr>
        <sz val="15"/>
        <color indexed="8"/>
        <rFont val="Apple Color Emoji"/>
      </rPr>
      <t>🟢🟢🟢</t>
    </r>
  </si>
  <si>
    <r>
      <rPr>
        <sz val="10"/>
        <color indexed="8"/>
        <rFont val="Helvetica Neue"/>
      </rPr>
      <t xml:space="preserve">if EndOfDayFlag==1, new state = READY_TO_INJECT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 if ==0, new state = REFILL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 SOLID
</t>
    </r>
    <r>
      <rPr>
        <sz val="15"/>
        <color indexed="8"/>
        <rFont val="Apple Color Emoji"/>
      </rPr>
      <t>🟢🟢🟢</t>
    </r>
  </si>
  <si>
    <t>ButtonUp</t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</si>
  <si>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 FLASHING
</t>
    </r>
    <r>
      <rPr>
        <sz val="10"/>
        <color indexed="8"/>
        <rFont val="Helvetica Neue"/>
      </rPr>
      <t xml:space="preserve">(possibly certain combo as per sensor/error detected)
</t>
    </r>
    <r>
      <rPr>
        <sz val="15"/>
        <color indexed="8"/>
        <rFont val="Apple Color Emoji"/>
      </rPr>
      <t>🛑🛑🛑</t>
    </r>
  </si>
  <si>
    <r>
      <rPr>
        <sz val="10"/>
        <color indexed="8"/>
        <rFont val="Helvetica Neue"/>
      </rPr>
      <t xml:space="preserve">ignore, heating is independent of code, code should not let any movement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RED
</t>
    </r>
    <r>
      <rPr>
        <sz val="15"/>
        <color indexed="8"/>
        <rFont val="Apple Color Emoji"/>
      </rPr>
      <t>🛑🛑🛑</t>
    </r>
  </si>
  <si>
    <r>
      <rPr>
        <b val="1"/>
        <sz val="10"/>
        <color indexed="8"/>
        <rFont val="Helvetica Neue"/>
      </rPr>
      <t xml:space="preserve">Process HomingMove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5"/>
        <color indexed="8"/>
        <rFont val="Apple Color Emoji"/>
      </rPr>
      <t>🟡🟡🟡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</si>
  <si>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0"/>
        <color indexed="8"/>
        <rFont val="Helvetica Neue"/>
      </rPr>
      <t xml:space="preserve">Up flashing
</t>
    </r>
    <r>
      <rPr>
        <sz val="15"/>
        <color indexed="8"/>
        <rFont val="Apple Color Emoji"/>
      </rPr>
      <t>🟡🟡🟡</t>
    </r>
  </si>
  <si>
    <r>
      <rPr>
        <sz val="10"/>
        <color indexed="8"/>
        <rFont val="Helvetica Neue"/>
      </rPr>
      <t xml:space="preserve">together with ButtonDown, toggles EndOfDayFlag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OFF or BLUE
</t>
    </r>
    <r>
      <rPr>
        <sz val="15"/>
        <color indexed="8"/>
        <rFont val="Apple Color Emoji"/>
      </rPr>
      <t>🟢🌑🌑/🟢🔵🔵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</si>
  <si>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OFF
</t>
    </r>
    <r>
      <rPr>
        <sz val="15"/>
        <color indexed="8"/>
        <rFont val="Apple Color Emoji"/>
      </rPr>
      <t>🛑🌑🟡</t>
    </r>
  </si>
  <si>
    <r>
      <rPr>
        <sz val="10"/>
        <color indexed="8"/>
        <rFont val="Helvetica Neue"/>
      </rPr>
      <t xml:space="preserve">new state = REFILL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5"/>
        <color indexed="8"/>
        <rFont val="Apple Color Emoji"/>
      </rPr>
      <t>🟢🟡🟢</t>
    </r>
  </si>
  <si>
    <r>
      <rPr>
        <sz val="10"/>
        <color indexed="8"/>
        <rFont val="Helvetica Neue"/>
      </rPr>
      <t xml:space="preserve">move plunger Up slow continuous 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ignore,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5"/>
        <color indexed="8"/>
        <rFont val="Apple Color Emoji"/>
      </rPr>
      <t>🟢🟡🟡</t>
    </r>
  </si>
  <si>
    <r>
      <rPr>
        <sz val="10"/>
        <color indexed="8"/>
        <rFont val="Helvetica Neue"/>
      </rPr>
      <t xml:space="preserve">together with ButtonDown, new state = INJECT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🛑🟢🟢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</si>
  <si>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 FLASHING
</t>
    </r>
    <r>
      <rPr>
        <sz val="15"/>
        <color indexed="8"/>
        <rFont val="Apple Color Emoji"/>
      </rPr>
      <t>🛑🟢🌑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</si>
  <si>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 SOLID
</t>
    </r>
    <r>
      <rPr>
        <sz val="15"/>
        <color indexed="8"/>
        <rFont val="Apple Color Emoji"/>
      </rPr>
      <t>🛑🟢🟢</t>
    </r>
  </si>
  <si>
    <t>ButtonDown</t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</si>
  <si>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0"/>
        <color indexed="8"/>
        <rFont val="Helvetica Neue"/>
      </rPr>
      <t xml:space="preserve">Down solid
</t>
    </r>
    <r>
      <rPr>
        <sz val="15"/>
        <color indexed="8"/>
        <rFont val="Apple Color Emoji"/>
      </rPr>
      <t>🟡🟡🟡</t>
    </r>
  </si>
  <si>
    <r>
      <rPr>
        <sz val="10"/>
        <color indexed="8"/>
        <rFont val="Helvetica Neue"/>
      </rPr>
      <t xml:space="preserve">together with ButtonUp, toggles EndOfDayFlag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OFF or BLUE
</t>
    </r>
    <r>
      <rPr>
        <sz val="15"/>
        <color indexed="8"/>
        <rFont val="Apple Color Emoji"/>
      </rPr>
      <t>🟢🌑🌑/🟢🔵🔵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</si>
  <si>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changes colour and flashes as per Comparison slows Compression speed and finishes 
</t>
    </r>
    <r>
      <rPr>
        <sz val="15"/>
        <color indexed="8"/>
        <rFont val="Apple Color Emoji"/>
      </rPr>
      <t xml:space="preserve">🛑🌑🛑/🟡/🟢
</t>
    </r>
  </si>
  <si>
    <r>
      <rPr>
        <sz val="10"/>
        <color indexed="8"/>
        <rFont val="Helvetica Neue"/>
      </rPr>
      <t xml:space="preserve">together with ButtonSelect, new state = PURGE_ZERO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🟢🟡🟢</t>
    </r>
  </si>
  <si>
    <r>
      <rPr>
        <sz val="10"/>
        <color indexed="8"/>
        <rFont val="Helvetica Neue"/>
      </rPr>
      <t xml:space="preserve">move plunger down slow continuous 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ignore,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YELLOW
</t>
    </r>
    <r>
      <rPr>
        <sz val="15"/>
        <color indexed="8"/>
        <rFont val="Apple Color Emoji"/>
      </rPr>
      <t>🟢🟡🟡</t>
    </r>
  </si>
  <si>
    <r>
      <rPr>
        <sz val="10"/>
        <color indexed="8"/>
        <rFont val="Helvetica Neue"/>
      </rPr>
      <t xml:space="preserve">together with ButtonUp, new state = INJECT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
</t>
    </r>
    <r>
      <rPr>
        <sz val="15"/>
        <color indexed="8"/>
        <rFont val="Apple Color Emoji"/>
      </rPr>
      <t>🛑🟢🟢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</si>
  <si>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OFF
</t>
    </r>
    <r>
      <rPr>
        <sz val="15"/>
        <color indexed="8"/>
        <rFont val="Apple Color Emoji"/>
      </rPr>
      <t>🛑🟢🌑</t>
    </r>
  </si>
  <si>
    <r>
      <rPr>
        <sz val="10"/>
        <color indexed="8"/>
        <rFont val="Helvetica Neue"/>
      </rPr>
      <t xml:space="preserve">ignore, 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state unchanged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LED GREEN FLASHING
</t>
    </r>
    <r>
      <rPr>
        <sz val="15"/>
        <color indexed="8"/>
        <rFont val="Apple Color Emoji"/>
      </rPr>
      <t>🛑🟢🟢</t>
    </r>
  </si>
  <si>
    <t>SerialChangeState - only certain States available from Display via Serial:
Home, Refill, ReadyToInject</t>
  </si>
  <si>
    <t>ignore, 
state unchanged</t>
  </si>
  <si>
    <r>
      <rPr>
        <b val="1"/>
        <sz val="10"/>
        <color indexed="8"/>
        <rFont val="Helvetica Neue"/>
      </rPr>
      <t xml:space="preserve">Process HomingMove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>state unchanged</t>
    </r>
  </si>
  <si>
    <t>new state = 
INIT_HOT_NOT_HOMED (&amp; home machine with Encoder zero, for testing ONLY)
or 
COMPRESSION
or
READY_TO_INJECT
ALSO can TOGGLE EndOfDayFlag</t>
  </si>
  <si>
    <t>StopMove
new state = READY_TO_INJECT
or
REFILL</t>
  </si>
  <si>
    <t>new state = 
INIT_HOT_NOT_HOMED (will home machine with Encoder zero, for testing ONLY)
or
REFILL
or
COMPRESSION</t>
  </si>
  <si>
    <t>StopMove
new state = READY_TO_INJECT</t>
  </si>
  <si>
    <t xml:space="preserve">StopMove
new state = RELEASE
</t>
  </si>
  <si>
    <t>new state = 
INIT_HOT_NOT_HOMED (will home machine with Encoder zero, for testing ONLY)
or
READY_TO_INJECT
or
REFILL</t>
  </si>
  <si>
    <t>SerialChangeActualValues</t>
  </si>
  <si>
    <t>Update Actual Params and return new values
state unchanged</t>
  </si>
  <si>
    <t>Before user button Press: Update Actual Parameters and return new values
during Move function: Ignore should not change any Parameters during any type of move
state unchanged</t>
  </si>
  <si>
    <t>SerialChangeCommonValues</t>
  </si>
  <si>
    <t>Update Common Params and return new values
state unchanged</t>
  </si>
  <si>
    <t>Other (finishing a previous State)</t>
  </si>
  <si>
    <t>stopMove, goto Release, option/possibly Home (depends if emergency stop pressed requires only release pressure, or complete plunger homing..?)</t>
  </si>
  <si>
    <t>new state = READY_TO_INJECT</t>
  </si>
  <si>
    <t>new state = HOLD_INJECTION</t>
  </si>
  <si>
    <t>new state = RELEASE</t>
  </si>
  <si>
    <t>new state = CONFIRM_MOULD_REMOVAL</t>
  </si>
  <si>
    <t>ActualVariables used in this State</t>
  </si>
  <si>
    <r>
      <rPr>
        <sz val="10"/>
        <color indexed="8"/>
        <rFont val="Helvetica Neue"/>
      </rPr>
      <t xml:space="preserve">FillMouldMoveSpeed
</t>
    </r>
    <r>
      <rPr>
        <sz val="10"/>
        <color indexed="8"/>
        <rFont val="Helvetica Neue"/>
      </rPr>
      <t>FillMouldMoveDist</t>
    </r>
  </si>
  <si>
    <r>
      <rPr>
        <sz val="10"/>
        <color indexed="8"/>
        <rFont val="Helvetica Neue"/>
      </rPr>
      <t xml:space="preserve">HoldMouldMoveSpeed
</t>
    </r>
    <r>
      <rPr>
        <sz val="10"/>
        <color indexed="8"/>
        <rFont val="Helvetica Neue"/>
      </rPr>
      <t>HoldMouldMoveDist</t>
    </r>
  </si>
  <si>
    <t>CommonVariables used in this State</t>
  </si>
  <si>
    <t>minTemp</t>
  </si>
  <si>
    <r>
      <rPr>
        <sz val="10"/>
        <color indexed="8"/>
        <rFont val="Helvetica Neue"/>
      </rPr>
      <t xml:space="preserve">-  maxHomingStepsDist
</t>
    </r>
    <r>
      <rPr>
        <sz val="10"/>
        <color indexed="8"/>
        <rFont val="Helvetica Neue"/>
      </rPr>
      <t xml:space="preserve">GeneralFastSpeed
</t>
    </r>
    <r>
      <rPr>
        <sz val="10"/>
        <color indexed="8"/>
        <rFont val="Helvetica Neue"/>
      </rPr>
      <t xml:space="preserve">(HomingDirection)
</t>
    </r>
    <r>
      <rPr>
        <sz val="10"/>
        <color indexed="8"/>
        <rFont val="Helvetica Neue"/>
      </rPr>
      <t xml:space="preserve">HomeOffSetDist
</t>
    </r>
    <r>
      <rPr>
        <sz val="10"/>
        <color indexed="8"/>
        <rFont val="Helvetica Neue"/>
      </rPr>
      <t xml:space="preserve">HomeOffSetAccel
</t>
    </r>
    <r>
      <rPr>
        <sz val="10"/>
        <color indexed="8"/>
        <rFont val="Helvetica Neue"/>
      </rPr>
      <t xml:space="preserve">HomeOffsetSpeed
</t>
    </r>
    <r>
      <rPr>
        <sz val="10"/>
        <color indexed="8"/>
        <rFont val="Helvetica Neue"/>
      </rPr>
      <t>HomingSlowSpeed</t>
    </r>
  </si>
  <si>
    <r>
      <rPr>
        <sz val="10"/>
        <color indexed="8"/>
        <rFont val="Helvetica Neue"/>
      </rPr>
      <t xml:space="preserve">- GeneralFastSpeed
</t>
    </r>
    <r>
      <rPr>
        <sz val="10"/>
        <color indexed="8"/>
        <rFont val="Helvetica Neue"/>
      </rPr>
      <t xml:space="preserve">refillOpeningOffsetDist
</t>
    </r>
    <r>
      <rPr>
        <sz val="10"/>
        <color indexed="8"/>
        <rFont val="Helvetica Neue"/>
      </rPr>
      <t>EndOfDayFlag toggle</t>
    </r>
  </si>
  <si>
    <r>
      <rPr>
        <sz val="10"/>
        <color indexed="8"/>
        <rFont val="Helvetica Neue"/>
      </rPr>
      <t xml:space="preserve">nozzleBlockPresentEndstopActive
</t>
    </r>
    <r>
      <rPr>
        <sz val="10"/>
        <color indexed="8"/>
        <rFont val="Helvetica Neue"/>
      </rPr>
      <t xml:space="preserve">initialCompressionSpeed (could be GeneralFastSpeed, maybe divided by 2..?)
</t>
    </r>
    <r>
      <rPr>
        <sz val="10"/>
        <color indexed="8"/>
        <rFont val="Helvetica Neue"/>
      </rPr>
      <t>minCompressionSpeed</t>
    </r>
  </si>
  <si>
    <r>
      <rPr>
        <sz val="10"/>
        <color indexed="8"/>
        <rFont val="Helvetica Neue"/>
      </rPr>
      <t xml:space="preserve">nozzleBlockPresentEndstopActive
</t>
    </r>
    <r>
      <rPr>
        <sz val="10"/>
        <color indexed="8"/>
        <rFont val="Helvetica Neue"/>
      </rPr>
      <t xml:space="preserve">PurgeSpeed
</t>
    </r>
    <r>
      <rPr>
        <sz val="10"/>
        <color indexed="8"/>
        <rFont val="Helvetica Neue"/>
      </rPr>
      <t>MotorPosition</t>
    </r>
  </si>
  <si>
    <r>
      <rPr>
        <sz val="10"/>
        <color indexed="8"/>
        <rFont val="Helvetica Neue"/>
      </rPr>
      <t xml:space="preserve">AntiDripReverseSpeed
</t>
    </r>
    <r>
      <rPr>
        <sz val="10"/>
        <color indexed="8"/>
        <rFont val="Helvetica Neue"/>
      </rPr>
      <t xml:space="preserve">AntiDripReverseDist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>or AntiDripReverseTimer if using ContMotorMove</t>
    </r>
  </si>
  <si>
    <r>
      <rPr>
        <sz val="10"/>
        <color indexed="8"/>
        <rFont val="Helvetica Neue"/>
      </rPr>
      <t xml:space="preserve">ReleaseMouldMoveSpeed
</t>
    </r>
    <r>
      <rPr>
        <sz val="10"/>
        <color indexed="8"/>
        <rFont val="Helvetica Neue"/>
      </rPr>
      <t>ReleaseMouldMoveDist</t>
    </r>
  </si>
  <si>
    <t>- EndOfDayFlag check</t>
  </si>
  <si>
    <t>Functions used in this State</t>
  </si>
  <si>
    <t>StopMachineReasons, could include check of all Endstops, and be included in loop() so as to check before and during any and every move.. or possible with a mills delay of 10ms..?</t>
  </si>
  <si>
    <r>
      <rPr>
        <sz val="10"/>
        <color indexed="8"/>
        <rFont val="Helvetica Neue"/>
      </rPr>
      <t xml:space="preserve">HomeMove, uses 
</t>
    </r>
    <r>
      <rPr>
        <sz val="10"/>
        <color indexed="8"/>
        <rFont val="Helvetica Neue"/>
      </rPr>
      <t xml:space="preserve">ContinuousMotorMoveBackward
</t>
    </r>
    <r>
      <rPr>
        <sz val="10"/>
        <color indexed="8"/>
        <rFont val="Helvetica Neue"/>
      </rPr>
      <t>ProgrammedMotorMove</t>
    </r>
  </si>
  <si>
    <t>- ResetEncoderZero</t>
  </si>
  <si>
    <t>- ProgrammedMotorMove</t>
  </si>
  <si>
    <r>
      <rPr>
        <sz val="10"/>
        <color indexed="8"/>
        <rFont val="Helvetica Neue"/>
      </rPr>
      <t xml:space="preserve">compressionFunction, includes:
</t>
    </r>
    <r>
      <rPr>
        <sz val="10"/>
        <color indexed="8"/>
        <rFont val="Helvetica Neue"/>
      </rPr>
      <t xml:space="preserve">ContinuousMotorMoveForward
</t>
    </r>
    <r>
      <rPr>
        <sz val="10"/>
        <color indexed="29"/>
        <rFont val="Helvetica Neue"/>
      </rPr>
      <t>C</t>
    </r>
    <r>
      <rPr>
        <sz val="10"/>
        <color indexed="8"/>
        <rFont val="Helvetica Neue"/>
      </rPr>
      <t xml:space="preserve">omparisonFunction to check when MotorEncoder de-sync means compression is at max </t>
    </r>
  </si>
  <si>
    <r>
      <rPr>
        <sz val="10"/>
        <color indexed="8"/>
        <rFont val="Helvetica Neue"/>
      </rPr>
      <t xml:space="preserve">ContinuousMotorMoveForward
</t>
    </r>
    <r>
      <rPr>
        <sz val="10"/>
        <color indexed="8"/>
        <rFont val="Helvetica Neue"/>
      </rPr>
      <t>ContinuousMotorMoveBackward</t>
    </r>
  </si>
  <si>
    <r>
      <rPr>
        <sz val="10"/>
        <color indexed="8"/>
        <rFont val="Helvetica Neue"/>
      </rPr>
      <t xml:space="preserve">ProgrammedMotorMove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 xml:space="preserve">if ProgrammedMotorMove completes WITHOUT user confirming INJECT, should go back to READY_TO_INJECT..
</t>
    </r>
    <r>
      <rPr>
        <sz val="10"/>
        <color indexed="8"/>
        <rFont val="Helvetica Neue"/>
      </rPr>
      <t xml:space="preserve">
</t>
    </r>
    <r>
      <rPr>
        <sz val="10"/>
        <color indexed="8"/>
        <rFont val="Helvetica Neue"/>
      </rPr>
      <t>POSSIBLE better ContinuousMotorMoveBackward, with Timer that when TimeOuts, automatically cancels Injection Process and goes back to READY_TO_INJECT - how to confirm then that nozzle block is placed..?</t>
    </r>
  </si>
  <si>
    <t>mechanical checks done in this State (bool)</t>
  </si>
  <si>
    <t>EmergencyStop,
TopEndstop,
BottomEndstop,
BarrelEndstop</t>
  </si>
  <si>
    <t>- TopEndstop
- tempNozzle &gt; minTemp</t>
  </si>
  <si>
    <t>- SelectButton LP = confirm Refill done
- both Top&amp;BottomButtons LP = toggle EndOfDayFlag</t>
  </si>
  <si>
    <r>
      <rPr>
        <sz val="10"/>
        <color indexed="8"/>
        <rFont val="Helvetica Neue"/>
      </rPr>
      <t xml:space="preserve">NOZZLEBlockForCompressOrPurge
</t>
    </r>
    <r>
      <rPr>
        <sz val="10"/>
        <color indexed="8"/>
        <rFont val="Helvetica Neue"/>
      </rPr>
      <t>SelectButton SP = Stop COMPRESSION and go back to REFILL</t>
    </r>
  </si>
  <si>
    <t>- Both Select&amp;BottomButtons LP = PURGE_ZERO
- UpButton = go back to REFILL</t>
  </si>
  <si>
    <r>
      <rPr>
        <sz val="10"/>
        <color indexed="8"/>
        <rFont val="Helvetica Neue"/>
      </rPr>
      <t xml:space="preserve">NOZZLEBlockForCompressOrPurge
</t>
    </r>
    <r>
      <rPr>
        <sz val="10"/>
        <color indexed="8"/>
        <rFont val="Helvetica Neue"/>
      </rPr>
      <t xml:space="preserve">SelectButton LP = zeroMotorPosition &amp; goto ANTIDRIP
</t>
    </r>
    <r>
      <rPr>
        <sz val="10"/>
        <color indexed="8"/>
        <rFont val="Helvetica Neue"/>
      </rPr>
      <t xml:space="preserve">UpButtom = ContinuousMotorMoveBackward
</t>
    </r>
    <r>
      <rPr>
        <sz val="10"/>
        <color indexed="8"/>
        <rFont val="Helvetica Neue"/>
      </rPr>
      <t>DownButton = ContinuousMotorMoveForward</t>
    </r>
  </si>
  <si>
    <t>- SelectButton SP = back to READY_TO_INJECT
- both Top&amp;BottomButtons LP = INJECT</t>
  </si>
  <si>
    <t>- SelectButton = cancel injection and goto RELEASE</t>
  </si>
  <si>
    <t>- ANY button press will go to either REFILL or READY_TO_INJECT, depending in EndOfDayFlag</t>
  </si>
  <si>
    <t>Colour Fills =</t>
  </si>
  <si>
    <t>CORRECT STATE PROGRESS THRU SENSORS OR USER BUTTON INPUT</t>
  </si>
  <si>
    <t>USER BUTTON INPUT GOES BACK TO PREVIOUS STATE, CHOICE</t>
  </si>
  <si>
    <t>USER BUTTON GOES TO OTHER STATE, CANCEL ACTUAL STATE</t>
  </si>
  <si>
    <t>state progress but from Serial/ Display</t>
  </si>
  <si>
    <t>previous state but from Serial/ Display</t>
  </si>
  <si>
    <t>other state, cancel but from Serial/ Display</t>
  </si>
  <si>
    <t>TOGGLE EndOfDayFlag</t>
  </si>
  <si>
    <t>state alternatives from Serial/ Display</t>
  </si>
  <si>
    <t>update params via Serial - ONLY when motor is NOT moving</t>
  </si>
  <si>
    <t>ignore any button or serial input</t>
  </si>
  <si>
    <t>ERROR, something is not correct, revise reasons and fix, then reset machine if necessary</t>
  </si>
  <si>
    <t>rps   /  PPR -&gt;</t>
  </si>
  <si>
    <t>steps motor/rot</t>
  </si>
  <si>
    <t>steps encoder/rot</t>
  </si>
  <si>
    <t>detected PPR/s</t>
  </si>
  <si>
    <t>min timer interrupt freq = max PPR/s x2 (or more!)</t>
  </si>
  <si>
    <t>ms</t>
  </si>
  <si>
    <t>us</t>
  </si>
  <si>
    <t>20KHz</t>
  </si>
  <si>
    <t>max clock timer STM32</t>
  </si>
  <si>
    <t>72MHz</t>
  </si>
  <si>
    <t>max31855 sampling time</t>
  </si>
  <si>
    <t>100ns</t>
  </si>
  <si>
    <t>10khz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</si>
</sst>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"/>
    <numFmt numFmtId="60" formatCode="0.0"/>
    <numFmt numFmtId="61" formatCode="[$$-409] 0.00"/>
    <numFmt numFmtId="62" formatCode="[$€-2] 0.00"/>
    <numFmt numFmtId="63" formatCode="[$€-2] #,##0.00"/>
  </numFmts>
  <fonts count="11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  <font>
      <u val="single"/>
      <sz val="10"/>
      <color indexed="8"/>
      <name val="Helvetica Neue"/>
    </font>
    <font>
      <sz val="14"/>
      <color indexed="8"/>
      <name val="Helvetica Neue"/>
    </font>
    <font>
      <i val="1"/>
      <sz val="14"/>
      <color indexed="8"/>
      <name val="Helvetica Neue"/>
    </font>
    <font>
      <i val="1"/>
      <sz val="10"/>
      <color indexed="8"/>
      <name val="Helvetica Neue"/>
    </font>
    <font>
      <b val="1"/>
      <i val="1"/>
      <sz val="10"/>
      <color indexed="8"/>
      <name val="Helvetica Neue"/>
    </font>
    <font>
      <sz val="15"/>
      <color indexed="8"/>
      <name val="Apple Color Emoji"/>
    </font>
    <font>
      <sz val="10"/>
      <color indexed="29"/>
      <name val="Helvetica Neue"/>
    </font>
  </fonts>
  <fills count="2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gradientFill type="linear" degree="0">
        <stop position="0">
          <color rgb="ffecfffa"/>
        </stop>
        <stop position="1">
          <color rgb="fffaebfa"/>
        </stop>
      </gradient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15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59" fontId="2" fillId="2" borderId="2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0" fillId="3" borderId="7" applyNumberFormat="1" applyFont="1" applyFill="1" applyBorder="1" applyAlignment="1" applyProtection="0">
      <alignment vertical="top" wrapText="1"/>
    </xf>
    <xf numFmtId="59" fontId="0" borderId="8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59" fontId="0" borderId="9" applyNumberFormat="1" applyFont="1" applyFill="0" applyBorder="1" applyAlignment="1" applyProtection="0">
      <alignment vertical="top" wrapText="1"/>
    </xf>
    <xf numFmtId="49" fontId="2" fillId="3" borderId="10" applyNumberFormat="1" applyFont="1" applyFill="1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  <xf numFmtId="1" fontId="0" borderId="4" applyNumberFormat="1" applyFont="1" applyFill="0" applyBorder="1" applyAlignment="1" applyProtection="0">
      <alignment vertical="top" wrapText="1"/>
    </xf>
    <xf numFmtId="0" fontId="2" fillId="3" borderId="7" applyNumberFormat="0" applyFont="1" applyFill="1" applyBorder="1" applyAlignment="1" applyProtection="0">
      <alignment vertical="top" wrapText="1"/>
    </xf>
    <xf numFmtId="1" fontId="0" borderId="12" applyNumberFormat="1" applyFont="1" applyFill="0" applyBorder="1" applyAlignment="1" applyProtection="0">
      <alignment vertical="top" wrapText="1"/>
    </xf>
    <xf numFmtId="59" fontId="0" borderId="13" applyNumberFormat="1" applyFont="1" applyFill="0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15" applyNumberFormat="1" applyFont="1" applyFill="1" applyBorder="1" applyAlignment="1" applyProtection="0">
      <alignment vertical="top" wrapText="1"/>
    </xf>
    <xf numFmtId="49" fontId="0" borderId="1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49" fontId="0" borderId="18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49" fontId="0" borderId="20" applyNumberFormat="1" applyFont="1" applyFill="0" applyBorder="1" applyAlignment="1" applyProtection="0">
      <alignment vertical="top" wrapText="1"/>
    </xf>
    <xf numFmtId="1" fontId="0" borderId="21" applyNumberFormat="1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1" fontId="0" borderId="9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60" fontId="0" borderId="9" applyNumberFormat="1" applyFont="1" applyFill="0" applyBorder="1" applyAlignment="1" applyProtection="0">
      <alignment vertical="top" wrapText="1"/>
    </xf>
    <xf numFmtId="60" fontId="2" borderId="9" applyNumberFormat="1" applyFont="1" applyFill="0" applyBorder="1" applyAlignment="1" applyProtection="0">
      <alignment vertical="top" wrapText="1"/>
    </xf>
    <xf numFmtId="1" fontId="2" borderId="9" applyNumberFormat="1" applyFont="1" applyFill="0" applyBorder="1" applyAlignment="1" applyProtection="0">
      <alignment vertical="top" wrapText="1"/>
    </xf>
    <xf numFmtId="0" fontId="2" fillId="3" borderId="23" applyNumberFormat="0" applyFont="1" applyFill="1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2" fillId="3" borderId="26" applyNumberFormat="1" applyFont="1" applyFill="1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2" fontId="2" borderId="9" applyNumberFormat="1" applyFont="1" applyFill="0" applyBorder="1" applyAlignment="1" applyProtection="0">
      <alignment vertical="top" wrapText="1"/>
    </xf>
    <xf numFmtId="59" fontId="2" borderId="14" applyNumberFormat="1" applyFont="1" applyFill="0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  <xf numFmtId="59" fontId="2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28" applyNumberFormat="1" applyFont="1" applyFill="1" applyBorder="1" applyAlignment="1" applyProtection="0">
      <alignment vertical="top" wrapText="1"/>
    </xf>
    <xf numFmtId="49" fontId="2" fillId="2" borderId="29" applyNumberFormat="1" applyFont="1" applyFill="1" applyBorder="1" applyAlignment="1" applyProtection="0">
      <alignment vertical="top" wrapText="1"/>
    </xf>
    <xf numFmtId="0" fontId="2" fillId="3" borderId="15" applyNumberFormat="0" applyFont="1" applyFill="1" applyBorder="1" applyAlignment="1" applyProtection="0">
      <alignment vertical="top" wrapText="1"/>
    </xf>
    <xf numFmtId="0" fontId="2" borderId="30" applyNumberFormat="1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0" fontId="2" borderId="1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61" fontId="0" borderId="9" applyNumberFormat="1" applyFont="1" applyFill="0" applyBorder="1" applyAlignment="1" applyProtection="0">
      <alignment vertical="top" wrapText="1"/>
    </xf>
    <xf numFmtId="62" fontId="0" borderId="9" applyNumberFormat="1" applyFont="1" applyFill="0" applyBorder="1" applyAlignment="1" applyProtection="0">
      <alignment vertical="top" wrapText="1"/>
    </xf>
    <xf numFmtId="2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7" applyNumberFormat="1" applyFont="1" applyFill="1" applyBorder="1" applyAlignment="1" applyProtection="0">
      <alignment vertical="top" wrapText="1"/>
    </xf>
    <xf numFmtId="63" fontId="0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1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3" borderId="15" applyNumberFormat="1" applyFont="1" applyFill="1" applyBorder="1" applyAlignment="1" applyProtection="0">
      <alignment horizontal="center" vertical="top" wrapText="1"/>
    </xf>
    <xf numFmtId="49" fontId="1" fillId="3" borderId="7" applyNumberFormat="1" applyFont="1" applyFill="1" applyBorder="1" applyAlignment="1" applyProtection="0">
      <alignment horizontal="center" vertical="top" wrapText="1"/>
    </xf>
    <xf numFmtId="62" fontId="0" borderId="14" applyNumberFormat="1" applyFont="1" applyFill="0" applyBorder="1" applyAlignment="1" applyProtection="0">
      <alignment vertical="top" wrapText="1"/>
    </xf>
    <xf numFmtId="63" fontId="0" borderId="1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7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8" borderId="9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14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2" fillId="3" borderId="19" applyNumberFormat="1" applyFont="1" applyFill="1" applyBorder="1" applyAlignment="1" applyProtection="0">
      <alignment vertical="top" wrapText="1"/>
    </xf>
    <xf numFmtId="49" fontId="0" borderId="32" applyNumberFormat="1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49" fontId="0" fillId="4" borderId="2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borderId="19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49" fontId="0" borderId="35" applyNumberFormat="1" applyFont="1" applyFill="0" applyBorder="1" applyAlignment="1" applyProtection="0">
      <alignment vertical="top" wrapText="1"/>
    </xf>
    <xf numFmtId="0" fontId="0" borderId="32" applyNumberFormat="0" applyFont="1" applyFill="0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0" fillId="5" borderId="9" applyNumberFormat="1" applyFont="1" applyFill="1" applyBorder="1" applyAlignment="1" applyProtection="0">
      <alignment vertical="top" wrapText="1"/>
    </xf>
    <xf numFmtId="49" fontId="0" fillId="6" borderId="9" applyNumberFormat="1" applyFont="1" applyFill="1" applyBorder="1" applyAlignment="1" applyProtection="0">
      <alignment vertical="top" wrapText="1"/>
    </xf>
    <xf numFmtId="49" fontId="0" fillId="7" borderId="9" applyNumberFormat="1" applyFont="1" applyFill="1" applyBorder="1" applyAlignment="1" applyProtection="0">
      <alignment vertical="top" wrapText="1"/>
    </xf>
    <xf numFmtId="49" fontId="0" fillId="8" borderId="9" applyNumberFormat="1" applyFont="1" applyFill="1" applyBorder="1" applyAlignment="1" applyProtection="0">
      <alignment vertical="top" wrapText="1"/>
    </xf>
    <xf numFmtId="49" fontId="0" fillId="9" borderId="9" applyNumberFormat="1" applyFont="1" applyFill="1" applyBorder="1" applyAlignment="1" applyProtection="0">
      <alignment vertical="top" wrapText="1"/>
    </xf>
    <xf numFmtId="49" fontId="0" fillId="10" borderId="9" applyNumberFormat="1" applyFont="1" applyFill="1" applyBorder="1" applyAlignment="1" applyProtection="0">
      <alignment vertical="top" wrapText="1"/>
    </xf>
    <xf numFmtId="49" fontId="0" fillId="11" borderId="9" applyNumberFormat="1" applyFont="1" applyFill="1" applyBorder="1" applyAlignment="1" applyProtection="0">
      <alignment vertical="top" wrapText="1"/>
    </xf>
    <xf numFmtId="49" fontId="0" fillId="12" borderId="9" applyNumberFormat="1" applyFont="1" applyFill="1" applyBorder="1" applyAlignment="1" applyProtection="0">
      <alignment vertical="top" wrapText="1"/>
    </xf>
    <xf numFmtId="49" fontId="0" fillId="13" borderId="9" applyNumberFormat="1" applyFont="1" applyFill="1" applyBorder="1" applyAlignment="1" applyProtection="0">
      <alignment vertical="top" wrapText="1"/>
    </xf>
    <xf numFmtId="49" fontId="0" fillId="14" borderId="9" applyNumberFormat="1" applyFont="1" applyFill="1" applyBorder="1" applyAlignment="1" applyProtection="0">
      <alignment vertical="top" wrapText="1"/>
    </xf>
    <xf numFmtId="49" fontId="0" fillId="15" borderId="14" applyNumberFormat="1" applyFont="1" applyFill="1" applyBorder="1" applyAlignment="1" applyProtection="0">
      <alignment vertical="top" wrapText="1"/>
    </xf>
    <xf numFmtId="0" fontId="0" fillId="16" borderId="9" applyNumberFormat="0" applyFont="1" applyFill="1" applyBorder="1" applyAlignment="1" applyProtection="0">
      <alignment vertical="top" wrapText="1"/>
    </xf>
    <xf numFmtId="49" fontId="0" fillId="16" borderId="9" applyNumberFormat="1" applyFont="1" applyFill="1" applyBorder="1" applyAlignment="1" applyProtection="0">
      <alignment vertical="top" indent="1" wrapText="1"/>
    </xf>
    <xf numFmtId="49" fontId="0" fillId="8" borderId="14" applyNumberFormat="1" applyFont="1" applyFill="1" applyBorder="1" applyAlignment="1" applyProtection="0">
      <alignment vertical="top" wrapText="1"/>
    </xf>
    <xf numFmtId="49" fontId="0" fillId="15" borderId="9" applyNumberFormat="1" applyFont="1" applyFill="1" applyBorder="1" applyAlignment="1" applyProtection="0">
      <alignment vertical="top" wrapText="1"/>
    </xf>
    <xf numFmtId="49" fontId="0" fillId="17" borderId="9" applyNumberFormat="1" applyFont="1" applyFill="1" applyBorder="1" applyAlignment="1" applyProtection="0">
      <alignment vertical="top" wrapText="1"/>
    </xf>
    <xf numFmtId="49" fontId="0" fillId="18" borderId="9" applyNumberFormat="1" applyFont="1" applyFill="1" applyBorder="1" applyAlignment="1" applyProtection="0">
      <alignment vertical="top" wrapText="1"/>
    </xf>
    <xf numFmtId="49" fontId="0" fillId="19" borderId="9" applyNumberFormat="1" applyFont="1" applyFill="1" applyBorder="1" applyAlignment="1" applyProtection="0">
      <alignment vertical="top" wrapText="1"/>
    </xf>
    <xf numFmtId="49" fontId="0" fillId="20" borderId="9" applyNumberFormat="1" applyFont="1" applyFill="1" applyBorder="1" applyAlignment="1" applyProtection="0">
      <alignment vertical="top" wrapText="1"/>
    </xf>
    <xf numFmtId="49" fontId="0" fillId="21" borderId="9" applyNumberFormat="1" applyFont="1" applyFill="1" applyBorder="1" applyAlignment="1" applyProtection="0">
      <alignment vertical="top" wrapText="1"/>
    </xf>
    <xf numFmtId="49" fontId="0" fillId="22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1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3">
    <dxf>
      <font>
        <b val="1"/>
        <color rgb="00000000"/>
      </font>
      <fill>
        <patternFill patternType="solid">
          <fgColor indexed="14"/>
          <bgColor indexed="15"/>
        </patternFill>
      </fill>
    </dxf>
    <dxf>
      <font>
        <i val="1"/>
        <color rgb="00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dfe8d"/>
      <rgbColor rgb="00000000"/>
      <rgbColor rgb="fff2f2f2"/>
      <rgbColor rgb="49befdee"/>
      <rgbColor rgb="22e45fd7"/>
      <rgbColor rgb="ff27fe1f"/>
      <rgbColor rgb="ffb5d5ff"/>
      <rgbColor rgb="fff4bdb6"/>
      <rgbColor rgb="ff7efe1d"/>
      <rgbColor rgb="ffcca9ff"/>
      <rgbColor rgb="fffefe8a"/>
      <rgbColor rgb="fffefea4"/>
      <rgbColor rgb="ffa9fefc"/>
      <rgbColor rgb="fff9d9d5"/>
      <rgbColor rgb="fff1c4c2"/>
      <rgbColor rgb="fffdfef9"/>
      <rgbColor rgb="ff4e5b61"/>
      <rgbColor rgb="ffcefec9"/>
      <rgbColor rgb="fff7dedd"/>
      <rgbColor rgb="ffccb1ff"/>
      <rgbColor rgb="fffaebfa"/>
      <rgbColor rgb="ffecfff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54595</xdr:colOff>
      <xdr:row>69</xdr:row>
      <xdr:rowOff>123061</xdr:rowOff>
    </xdr:from>
    <xdr:to>
      <xdr:col>3</xdr:col>
      <xdr:colOff>372870</xdr:colOff>
      <xdr:row>78</xdr:row>
      <xdr:rowOff>151583</xdr:rowOff>
    </xdr:to>
    <xdr:sp>
      <xdr:nvSpPr>
        <xdr:cNvPr id="3" name="Injection Volumen = pi*radius^2*stroke…"/>
        <xdr:cNvSpPr txBox="1"/>
      </xdr:nvSpPr>
      <xdr:spPr>
        <a:xfrm>
          <a:off x="54595" y="11514961"/>
          <a:ext cx="2604276" cy="1514423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Injection Volumen = pi*radius^2*stroke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ej, stroke = 165mm, dia 42mm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volume = pi*21^2*165=3.1415*441*165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volume	 = 228597mm3 = 228.6cm3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for a volume of 150cm3, stroke?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150000/3.1415*441 = 108mm</a:t>
          </a:r>
        </a:p>
      </xdr:txBody>
    </xdr:sp>
    <xdr:clientData/>
  </xdr:twoCellAnchor>
  <xdr:twoCellAnchor>
    <xdr:from>
      <xdr:col>0</xdr:col>
      <xdr:colOff>0</xdr:colOff>
      <xdr:row>149</xdr:row>
      <xdr:rowOff>98739</xdr:rowOff>
    </xdr:from>
    <xdr:to>
      <xdr:col>7</xdr:col>
      <xdr:colOff>62699</xdr:colOff>
      <xdr:row>182</xdr:row>
      <xdr:rowOff>123601</xdr:rowOff>
    </xdr:to>
    <xdr:pic>
      <xdr:nvPicPr>
        <xdr:cNvPr id="4" name="Screenshot 2024-01-02 at 19.18.19.png" descr="Screenshot 2024-01-02 at 19.18.19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09150" y="24698639"/>
          <a:ext cx="5396700" cy="54731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480045</xdr:colOff>
      <xdr:row>149</xdr:row>
      <xdr:rowOff>108892</xdr:rowOff>
    </xdr:from>
    <xdr:to>
      <xdr:col>13</xdr:col>
      <xdr:colOff>629150</xdr:colOff>
      <xdr:row>173</xdr:row>
      <xdr:rowOff>101248</xdr:rowOff>
    </xdr:to>
    <xdr:pic>
      <xdr:nvPicPr>
        <xdr:cNvPr id="5" name="Screenshot 2024-01-02 at 19.18.33.png" descr="Screenshot 2024-01-02 at 19.18.33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5052045" y="24708792"/>
          <a:ext cx="5483106" cy="395475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480045</xdr:colOff>
      <xdr:row>172</xdr:row>
      <xdr:rowOff>110430</xdr:rowOff>
    </xdr:from>
    <xdr:to>
      <xdr:col>14</xdr:col>
      <xdr:colOff>78007</xdr:colOff>
      <xdr:row>195</xdr:row>
      <xdr:rowOff>106244</xdr:rowOff>
    </xdr:to>
    <xdr:pic>
      <xdr:nvPicPr>
        <xdr:cNvPr id="6" name="Screenshot 2024-01-02 at 19.18.54.png" descr="Screenshot 2024-01-02 at 19.18.54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5052045" y="28507630"/>
          <a:ext cx="5693963" cy="379311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367108</xdr:colOff>
      <xdr:row>103</xdr:row>
      <xdr:rowOff>6709</xdr:rowOff>
    </xdr:from>
    <xdr:to>
      <xdr:col>17</xdr:col>
      <xdr:colOff>404925</xdr:colOff>
      <xdr:row>115</xdr:row>
      <xdr:rowOff>114024</xdr:rowOff>
    </xdr:to>
    <xdr:sp>
      <xdr:nvSpPr>
        <xdr:cNvPr id="7" name="Problem seems to be that a wider barrel should give less injection pressure, but requiring larger reductor, larger shaft, larger modulus teeth, and larger reductor is not available with lower ratios etc, but a thinner barrel obliges a geared rack to have"/>
        <xdr:cNvSpPr txBox="1"/>
      </xdr:nvSpPr>
      <xdr:spPr>
        <a:xfrm>
          <a:off x="5701108" y="17012009"/>
          <a:ext cx="7657818" cy="208851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Problem seems to be that a wider barrel </a:t>
          </a:r>
          <a:r>
            <a:rPr b="0" baseline="0" cap="none" i="1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should</a:t>
          </a:r>
          <a:r>
            <a:rPr b="0" baseline="0" cap="none" i="0" spc="0" strike="noStrike" sz="14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give less injection pressure, but requiring larger reductor, larger shaft, larger modulus teeth, and larger reductor is not available with lower ratios etc, but a thinner barrel obliges a geared rack to have a smaller modulus of teeth, so reducing the max shear stress that the teeth can take, and therefore the max pressure that can apply… a thinner barrel allows faster heating of material, a thicker barrel, even thou could apply more pressure (large modulus gear rack, larger shaft), would not heat up fast enough… also, as larger reductor is not available with a low ratio, min force output rapidly goes above the max shear stress pressure again 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robotdigg.com/product/1810/Electric-Copper-or-Brass-Band-Heater-for-Extrusion-or-Injection" TargetMode="External"/><Relationship Id="rId2" Type="http://schemas.openxmlformats.org/officeDocument/2006/relationships/hyperlink" Target="https://robotdigg.com/product/1801/Digital-Adjustable-PID-Temperature-Controller-Panel-Thermostat" TargetMode="External"/><Relationship Id="rId3" Type="http://schemas.openxmlformats.org/officeDocument/2006/relationships/hyperlink" Target="https://robotdigg.com/product/1240/Single-phase-slim-solid-state-relay" TargetMode="External"/><Relationship Id="rId4" Type="http://schemas.openxmlformats.org/officeDocument/2006/relationships/hyperlink" Target="https://robotdigg.com/product/58/K-type-Thermocouple-0-to-600C" TargetMode="External"/><Relationship Id="rId5" Type="http://schemas.openxmlformats.org/officeDocument/2006/relationships/hyperlink" Target="https://robotdigg.com/product/911/1.2-meters-screw-head-K-type-Thermocouple" TargetMode="External"/><Relationship Id="rId6" Type="http://schemas.openxmlformats.org/officeDocument/2006/relationships/hyperlink" Target="https://robotdigg.com/product/1256/3D-Printer-thermocouple-or-thermo-sensor-Breakout-Board" TargetMode="External"/></Relationships>
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robotdigg.com/product/1200/5V-2A-or-4A-Miniature-Switching-Power-Supply" TargetMode="External"/><Relationship Id="rId2" Type="http://schemas.openxmlformats.org/officeDocument/2006/relationships/hyperlink" Target="https://www.elecrow.com/esp32-display-5-inch-hmi-display-rgb-tft-lcd-touch-screen-support-lvgl.html" TargetMode="External"/><Relationship Id="rId3" Type="http://schemas.openxmlformats.org/officeDocument/2006/relationships/hyperlink" Target="https://robotdigg.com/product/911/1.2-meters-screw-head-K-type-Thermocouple" TargetMode="External"/><Relationship Id="rId4" Type="http://schemas.openxmlformats.org/officeDocument/2006/relationships/hyperlink" Target="https://robotdigg.com/product/1256/3D-Printer-thermocouple-or-thermo-sensor-Breakout-Board" TargetMode="External"/><Relationship Id="rId5" Type="http://schemas.openxmlformats.org/officeDocument/2006/relationships/hyperlink" Target="https://electronicaelfaro.com/index.php?route=product/product&amp;product_id=47599&amp;search=1631" TargetMode="External"/></Relationships>
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s://www.elecrow.com/display/esp-hmi-display.html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obotdigg.com/product/1228/Two-phase-NEMA34-closed-loop-stepper-motor" TargetMode="External"/><Relationship Id="rId2" Type="http://schemas.openxmlformats.org/officeDocument/2006/relationships/hyperlink" Target="https://www.robotdigg.com/product/1229" TargetMode="External"/><Relationship Id="rId3" Type="http://schemas.openxmlformats.org/officeDocument/2006/relationships/hyperlink" Target="https://www.zuendo.com/corona-sin-fin/5166-reductor-rstv050-tamano-motor-71-eje-de-entrada-14-mm.html#/840-elige_brida-b14/13-relacion-i_20" TargetMode="External"/><Relationship Id="rId4" Type="http://schemas.openxmlformats.org/officeDocument/2006/relationships/hyperlink" Target="https://www.zuendo.com/accesorios-para-reductores/3110-eje-simple-de-salida-para-reductor-todos-los-tamanos.html#/818-tipo_de_eje-25_mm_rstv50" TargetMode="Externa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engineersedge.com/calculators/gear-tooth-strength-calculator.htm" TargetMode="Externa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robotdigg.com/product/1228/Two-phase-NEMA34-closed-loop-stepper-motor" TargetMode="External"/><Relationship Id="rId2" Type="http://schemas.openxmlformats.org/officeDocument/2006/relationships/hyperlink" Target="https://www.robotdigg.com/product/1285/DM542,-DM556-or-DM860H-stepper-motor-driver" TargetMode="External"/><Relationship Id="rId3" Type="http://schemas.openxmlformats.org/officeDocument/2006/relationships/hyperlink" Target="https://www.robotdigg.com/product/976/80VDC-7.2A-DSP-Stepper-Motor-Driver" TargetMode="External"/><Relationship Id="rId4" Type="http://schemas.openxmlformats.org/officeDocument/2006/relationships/hyperlink" Target="https://www.robotdigg.com/product/1564/60V-or-80V-DC-output-500W-or-1000W-power-supply" TargetMode="External"/><Relationship Id="rId5" Type="http://schemas.openxmlformats.org/officeDocument/2006/relationships/hyperlink" Target="https://www.zuendo.com/corona-sin-fin/5166-reductor-rstv050-tamano-motor-71-eje-de-entrada-14-mm.html#/840-elige_brida-b14/13-relacion-i_20" TargetMode="External"/><Relationship Id="rId6" Type="http://schemas.openxmlformats.org/officeDocument/2006/relationships/hyperlink" Target="https://www.zuendo.com/accesorios-para-reductores/3110-eje-simple-de-salida-para-reductor-todos-los-tamanos.html#/818-tipo_de_eje-25_mm_rstv50" TargetMode="External"/><Relationship Id="rId7" Type="http://schemas.openxmlformats.org/officeDocument/2006/relationships/hyperlink" Target="http://norelem.es" TargetMode="External"/><Relationship Id="rId8" Type="http://schemas.openxmlformats.org/officeDocument/2006/relationships/hyperlink" Target="https://www.123rodamiento.es/rodamiento-cojinete/rodamiento-rodillos/leva/natr15a" TargetMode="External"/><Relationship Id="rId9" Type="http://schemas.openxmlformats.org/officeDocument/2006/relationships/hyperlink" Target="https://www.123rodamiento.es/rodamiento-cojinete/rodamiento-agujas/aros-interiores/ir12-15-22.5" TargetMode="External"/><Relationship Id="rId10" Type="http://schemas.openxmlformats.org/officeDocument/2006/relationships/hyperlink" Target="https://www.123rodamiento.es/rodamiento-cojinete/rodamiento-rodillos/leva/natv12-pp" TargetMode="External"/><Relationship Id="rId11" Type="http://schemas.openxmlformats.org/officeDocument/2006/relationships/hyperlink" Target="http://norelem.es" TargetMode="Externa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norelem.es" TargetMode="External"/><Relationship Id="rId2" Type="http://schemas.openxmlformats.org/officeDocument/2006/relationships/hyperlink" Target="https://robotdigg.com/product/417/SCS12UU-Linear-Block" TargetMode="External"/><Relationship Id="rId3" Type="http://schemas.openxmlformats.org/officeDocument/2006/relationships/hyperlink" Target="https://robotdigg.com/product/920/8mm,-10mm-or-12mm-linear-shaft-or-smooth-rod-in-lengths" TargetMode="External"/><Relationship Id="rId4" Type="http://schemas.openxmlformats.org/officeDocument/2006/relationships/hyperlink" Target="http://norelem.es" TargetMode="External"/><Relationship Id="rId5" Type="http://schemas.openxmlformats.org/officeDocument/2006/relationships/hyperlink" Target="http://norelem.es" TargetMode="External"/><Relationship Id="rId6" Type="http://schemas.openxmlformats.org/officeDocument/2006/relationships/hyperlink" Target="https://robotdigg.com/product/35/Kapton-Tape-5mm-to-300mm-width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D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0.8828" style="1" customWidth="1"/>
    <col min="5" max="16384" width="16.3516" style="1" customWidth="1"/>
  </cols>
  <sheetData>
    <row r="1" ht="27.65" customHeight="1">
      <c r="A1" t="s" s="2">
        <v>0</v>
      </c>
      <c r="B1" s="2"/>
      <c r="C1" s="2"/>
      <c r="D1" s="2"/>
    </row>
    <row r="2" ht="21.35" customHeight="1">
      <c r="A2" t="s" s="3">
        <v>1</v>
      </c>
      <c r="B2" s="4"/>
      <c r="C2" s="5"/>
      <c r="D2" t="s" s="3">
        <v>2</v>
      </c>
    </row>
    <row r="3" ht="22.7" customHeight="1">
      <c r="A3" t="s" s="6">
        <v>3</v>
      </c>
      <c r="B3" s="7">
        <v>2.6</v>
      </c>
      <c r="C3" s="8"/>
      <c r="D3" s="9">
        <v>4.5</v>
      </c>
    </row>
    <row r="4" ht="22.7" customHeight="1">
      <c r="A4" t="s" s="10">
        <v>4</v>
      </c>
      <c r="B4" s="11">
        <f>PI()*SUMSQ(B3/2)</f>
        <v>5.30929158456675</v>
      </c>
      <c r="C4" s="12"/>
      <c r="D4" s="13">
        <f>PI()*SUMSQ(D3/2)</f>
        <v>15.9043128087983</v>
      </c>
    </row>
    <row r="5" ht="34.7" customHeight="1">
      <c r="A5" t="s" s="14">
        <v>5</v>
      </c>
      <c r="B5" s="15">
        <v>50</v>
      </c>
      <c r="C5" s="16"/>
      <c r="D5" s="13">
        <v>50</v>
      </c>
    </row>
    <row r="6" ht="22.7" customHeight="1">
      <c r="A6" t="s" s="17">
        <v>6</v>
      </c>
      <c r="B6" s="11">
        <f>PI()*SUMSQ(B3/2)*B5</f>
        <v>265.464579228338</v>
      </c>
      <c r="C6" s="12"/>
      <c r="D6" s="13">
        <f>PI()*SUMSQ(D3/2)*D5</f>
        <v>795.215640439916</v>
      </c>
    </row>
    <row r="7" ht="34.7" customHeight="1">
      <c r="A7" t="s" s="14">
        <v>7</v>
      </c>
      <c r="B7" s="18">
        <v>25</v>
      </c>
      <c r="C7" s="16"/>
      <c r="D7" s="13"/>
    </row>
    <row r="8" ht="21.35" customHeight="1">
      <c r="A8" s="19"/>
      <c r="B8" s="20"/>
      <c r="C8" s="12"/>
      <c r="D8" s="13"/>
    </row>
    <row r="9" ht="21.35" customHeight="1">
      <c r="A9" s="19"/>
      <c r="B9" s="21"/>
      <c r="C9" s="12"/>
      <c r="D9" s="13"/>
    </row>
    <row r="10" ht="34.7" customHeight="1">
      <c r="A10" t="s" s="14">
        <v>8</v>
      </c>
      <c r="B10" s="7">
        <v>0.55</v>
      </c>
      <c r="C10" s="16"/>
      <c r="D10" s="13">
        <v>0.5</v>
      </c>
    </row>
    <row r="11" ht="21.35" customHeight="1">
      <c r="A11" t="s" s="10">
        <v>9</v>
      </c>
      <c r="B11" s="22">
        <f>PI()*SUMSQ(B10/2)</f>
        <v>0.237582944427728</v>
      </c>
      <c r="C11" s="12"/>
      <c r="D11" s="13">
        <f>PI()*SUMSQ(D10/2)</f>
        <v>0.196349540849362</v>
      </c>
    </row>
    <row r="12" ht="20.05" customHeight="1">
      <c r="A12" s="19"/>
      <c r="B12" s="23"/>
      <c r="C12" s="12"/>
      <c r="D12" s="12"/>
    </row>
    <row r="13" ht="21.35" customHeight="1">
      <c r="A13" s="19"/>
      <c r="B13" s="21"/>
      <c r="C13" t="s" s="24">
        <v>10</v>
      </c>
      <c r="D13" t="s" s="24">
        <v>11</v>
      </c>
    </row>
    <row r="14" ht="22.7" customHeight="1">
      <c r="A14" t="s" s="14">
        <v>12</v>
      </c>
      <c r="B14" s="18">
        <v>60</v>
      </c>
      <c r="C14" s="25">
        <f>2*(PI()*(B14/2))</f>
        <v>188.495559215388</v>
      </c>
      <c r="D14" s="26">
        <f>B5*10/C14</f>
        <v>2.65258238486492</v>
      </c>
    </row>
    <row r="15" ht="22.7" customHeight="1">
      <c r="A15" t="s" s="17">
        <v>13</v>
      </c>
      <c r="B15" s="11">
        <f>B14/2000</f>
        <v>0.03</v>
      </c>
      <c r="C15" s="12"/>
      <c r="D15" t="s" s="24">
        <v>14</v>
      </c>
    </row>
    <row r="16" ht="22.7" customHeight="1">
      <c r="A16" t="s" s="14">
        <v>15</v>
      </c>
      <c r="B16" s="15">
        <v>12</v>
      </c>
      <c r="C16" s="16"/>
      <c r="D16" s="26">
        <f>D14/(B6/B7)</f>
        <v>0.249805679591562</v>
      </c>
    </row>
    <row r="17" ht="33.35" customHeight="1">
      <c r="A17" t="s" s="17">
        <v>16</v>
      </c>
      <c r="B17" s="22">
        <f>1/B15*B16</f>
        <v>400</v>
      </c>
      <c r="C17" s="12"/>
      <c r="D17" t="s" s="24">
        <v>17</v>
      </c>
    </row>
    <row r="18" ht="32.05" customHeight="1">
      <c r="A18" t="s" s="17">
        <v>18</v>
      </c>
      <c r="B18" s="23">
        <f>B17*0.1019716213</f>
        <v>40.78864852</v>
      </c>
      <c r="C18" s="12"/>
      <c r="D18" s="26">
        <f>C14*D16</f>
        <v>47.0872612697915</v>
      </c>
    </row>
    <row r="19" ht="20.05" customHeight="1">
      <c r="A19" t="s" s="17">
        <v>19</v>
      </c>
      <c r="B19" s="27">
        <v>900</v>
      </c>
      <c r="C19" t="s" s="24">
        <v>20</v>
      </c>
      <c r="D19" s="26">
        <f>B19/60</f>
        <v>15</v>
      </c>
    </row>
    <row r="20" ht="32.05" customHeight="1">
      <c r="A20" s="19"/>
      <c r="B20" s="23"/>
      <c r="C20" s="12"/>
      <c r="D20" t="s" s="24">
        <f>"reduce from "&amp;D19&amp;"rps to "&amp;ROUND(D16,4)&amp;"rps (shot 25cm3/s)"</f>
        <v>21</v>
      </c>
    </row>
    <row r="21" ht="44.05" customHeight="1">
      <c r="A21" t="s" s="17">
        <v>22</v>
      </c>
      <c r="B21" s="23">
        <f>B18*D21</f>
        <v>2449.358343626</v>
      </c>
      <c r="C21" t="s" s="24">
        <v>23</v>
      </c>
      <c r="D21" s="26">
        <f>ROUND(D19/D16,2)</f>
        <v>60.05</v>
      </c>
    </row>
    <row r="22" ht="85.35" customHeight="1">
      <c r="A22" t="s" s="17">
        <v>24</v>
      </c>
      <c r="B22" s="23">
        <f>B21/0.1019716213</f>
        <v>24020</v>
      </c>
      <c r="C22" s="12"/>
      <c r="D22" t="s" s="24">
        <v>25</v>
      </c>
    </row>
    <row r="23" ht="32.05" customHeight="1">
      <c r="A23" t="s" s="17">
        <v>26</v>
      </c>
      <c r="B23" s="23">
        <f>B21/B4</f>
        <v>461.334305078645</v>
      </c>
      <c r="C23" s="12"/>
      <c r="D23" s="12"/>
    </row>
    <row r="24" ht="20.05" customHeight="1">
      <c r="A24" t="s" s="17">
        <v>27</v>
      </c>
      <c r="B24" s="23">
        <f>B23*B4</f>
        <v>2449.358343626</v>
      </c>
      <c r="C24" s="12"/>
      <c r="D24" s="12"/>
    </row>
    <row r="25" ht="20.05" customHeight="1">
      <c r="A25" s="19"/>
      <c r="B25" s="23"/>
      <c r="C25" s="12"/>
      <c r="D25" s="12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83" customWidth="1"/>
    <col min="5" max="6" width="10.75" style="83" customWidth="1"/>
    <col min="7" max="7" width="5.40625" style="83" customWidth="1"/>
    <col min="8" max="8" width="8.07812" style="83" customWidth="1"/>
    <col min="9" max="16384" width="16.3516" style="83" customWidth="1"/>
  </cols>
  <sheetData>
    <row r="1" ht="27.65" customHeight="1">
      <c r="A1" t="s" s="2">
        <v>220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191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104.25" customHeight="1">
      <c r="A3" t="s" s="84">
        <v>221</v>
      </c>
      <c r="B3" t="s" s="30">
        <v>222</v>
      </c>
      <c r="C3" t="s" s="32">
        <v>223</v>
      </c>
      <c r="D3" t="s" s="32">
        <v>224</v>
      </c>
      <c r="E3" s="77">
        <v>10</v>
      </c>
      <c r="F3" s="78">
        <f>($E3*'BoM - Mano de obra y consumible'!$B$3)*1.07</f>
        <v>10.16714</v>
      </c>
      <c r="G3" s="31">
        <v>8</v>
      </c>
      <c r="H3" s="78">
        <f>F3*G3</f>
        <v>81.33712</v>
      </c>
    </row>
    <row r="4" ht="92.05" customHeight="1">
      <c r="A4" t="s" s="17">
        <v>225</v>
      </c>
      <c r="B4" t="s" s="33">
        <v>226</v>
      </c>
      <c r="C4" t="s" s="24">
        <v>227</v>
      </c>
      <c r="D4" t="s" s="24">
        <v>228</v>
      </c>
      <c r="E4" s="79">
        <v>10</v>
      </c>
      <c r="F4" s="80">
        <f>($E4*'BoM - Mano de obra y consumible'!$B$3)*1.07</f>
        <v>10.16714</v>
      </c>
      <c r="G4" s="26">
        <v>2</v>
      </c>
      <c r="H4" s="80">
        <f>F4*G4</f>
        <v>20.33428</v>
      </c>
    </row>
    <row r="5" ht="68.05" customHeight="1">
      <c r="A5" t="s" s="17">
        <v>229</v>
      </c>
      <c r="B5" t="s" s="33">
        <v>230</v>
      </c>
      <c r="C5" t="s" s="24">
        <v>231</v>
      </c>
      <c r="D5" t="s" s="24">
        <v>232</v>
      </c>
      <c r="E5" s="79">
        <v>10</v>
      </c>
      <c r="F5" s="80">
        <f>($E5*'BoM - Mano de obra y consumible'!$B$3)*1.07</f>
        <v>10.16714</v>
      </c>
      <c r="G5" s="26">
        <v>3</v>
      </c>
      <c r="H5" s="80">
        <f>F5*G5</f>
        <v>30.50142</v>
      </c>
    </row>
    <row r="6" ht="68.05" customHeight="1">
      <c r="A6" t="s" s="17">
        <v>233</v>
      </c>
      <c r="B6" t="s" s="33">
        <v>234</v>
      </c>
      <c r="C6" t="s" s="24">
        <v>235</v>
      </c>
      <c r="D6" t="s" s="24">
        <v>236</v>
      </c>
      <c r="E6" s="79">
        <v>1</v>
      </c>
      <c r="F6" s="80">
        <f>($E6*'BoM - Mano de obra y consumible'!$B$3)*1.07</f>
        <v>1.016714</v>
      </c>
      <c r="G6" s="26">
        <v>2</v>
      </c>
      <c r="H6" s="80">
        <f>F6*G6</f>
        <v>2.033428</v>
      </c>
    </row>
    <row r="7" ht="80.05" customHeight="1">
      <c r="A7" s="19"/>
      <c r="B7" t="s" s="33">
        <v>237</v>
      </c>
      <c r="C7" t="s" s="24">
        <v>238</v>
      </c>
      <c r="D7" t="s" s="24">
        <v>239</v>
      </c>
      <c r="E7" s="79">
        <v>4</v>
      </c>
      <c r="F7" s="80">
        <f>($E7*'BoM - Mano de obra y consumible'!$B$3)*1.07</f>
        <v>4.066856</v>
      </c>
      <c r="G7" s="26">
        <v>1</v>
      </c>
      <c r="H7" s="80">
        <f>F7*G7</f>
        <v>4.066856</v>
      </c>
    </row>
    <row r="8" ht="92.05" customHeight="1">
      <c r="A8" s="19"/>
      <c r="B8" t="s" s="33">
        <v>240</v>
      </c>
      <c r="C8" t="s" s="24">
        <v>241</v>
      </c>
      <c r="D8" t="s" s="24">
        <v>242</v>
      </c>
      <c r="E8" s="79">
        <v>6</v>
      </c>
      <c r="F8" s="80">
        <f>($E8*'BoM - Mano de obra y consumible'!$B$3)*1.07</f>
        <v>6.100284</v>
      </c>
      <c r="G8" s="26">
        <v>1</v>
      </c>
      <c r="H8" s="80">
        <f>F8*G8</f>
        <v>6.100284</v>
      </c>
    </row>
    <row r="9" ht="32.05" customHeight="1">
      <c r="A9" t="s" s="17">
        <v>243</v>
      </c>
      <c r="B9" t="s" s="33">
        <v>244</v>
      </c>
      <c r="C9" t="s" s="24">
        <v>245</v>
      </c>
      <c r="D9" t="s" s="24">
        <v>246</v>
      </c>
      <c r="E9" s="80">
        <f>56.58+5.68</f>
        <v>62.26</v>
      </c>
      <c r="F9" s="80">
        <f>$E9*1.07</f>
        <v>66.6182</v>
      </c>
      <c r="G9" s="26">
        <v>1</v>
      </c>
      <c r="H9" s="80">
        <f>F9*G9</f>
        <v>66.6182</v>
      </c>
    </row>
    <row r="10" ht="32.05" customHeight="1">
      <c r="A10" t="s" s="17">
        <v>247</v>
      </c>
      <c r="B10" t="s" s="33">
        <v>248</v>
      </c>
      <c r="C10" t="s" s="24">
        <v>245</v>
      </c>
      <c r="D10" t="s" s="24">
        <v>249</v>
      </c>
      <c r="E10" s="80">
        <v>1</v>
      </c>
      <c r="F10" s="80">
        <f>$E10*1.07</f>
        <v>1.07</v>
      </c>
      <c r="G10" s="26">
        <v>10</v>
      </c>
      <c r="H10" s="80">
        <f>F10*G10</f>
        <v>10.7</v>
      </c>
    </row>
    <row r="11" ht="20.05" customHeight="1">
      <c r="A11" t="s" s="17">
        <v>250</v>
      </c>
      <c r="B11" s="38"/>
      <c r="C11" s="12"/>
      <c r="D11" t="s" s="24">
        <v>251</v>
      </c>
      <c r="E11" s="80">
        <v>15.25</v>
      </c>
      <c r="F11" s="80">
        <f>$E11*1.07</f>
        <v>16.3175</v>
      </c>
      <c r="G11" s="26">
        <v>1</v>
      </c>
      <c r="H11" s="80">
        <f>F11*G11</f>
        <v>16.3175</v>
      </c>
    </row>
    <row r="12" ht="20.05" customHeight="1">
      <c r="A12" t="s" s="17">
        <v>252</v>
      </c>
      <c r="B12" s="38"/>
      <c r="C12" s="12"/>
      <c r="D12" s="26">
        <v>5551150</v>
      </c>
      <c r="E12" s="80">
        <v>1.34</v>
      </c>
      <c r="F12" s="80">
        <f>$E12*1.07</f>
        <v>1.4338</v>
      </c>
      <c r="G12" s="26">
        <v>8</v>
      </c>
      <c r="H12" s="80">
        <f>F12*G12</f>
        <v>11.4704</v>
      </c>
    </row>
    <row r="13" ht="20.05" customHeight="1">
      <c r="A13" t="s" s="17">
        <v>253</v>
      </c>
      <c r="B13" s="38"/>
      <c r="C13" s="12"/>
      <c r="D13" s="12"/>
      <c r="E13" s="80">
        <v>2.41</v>
      </c>
      <c r="F13" s="80">
        <f>$E13*1.07</f>
        <v>2.5787</v>
      </c>
      <c r="G13" s="26">
        <v>1</v>
      </c>
      <c r="H13" s="80">
        <f>F13*G13</f>
        <v>2.5787</v>
      </c>
    </row>
    <row r="14" ht="20.05" customHeight="1">
      <c r="A14" s="19"/>
      <c r="B14" s="38"/>
      <c r="C14" s="12"/>
      <c r="D14" s="12"/>
      <c r="E14" s="80"/>
      <c r="F14" s="80"/>
      <c r="G14" s="12"/>
      <c r="H14" s="12"/>
    </row>
    <row r="15" ht="20.05" customHeight="1">
      <c r="A15" s="19"/>
      <c r="B15" s="38"/>
      <c r="C15" s="12"/>
      <c r="D15" s="12"/>
      <c r="E15" s="80"/>
      <c r="F15" s="80"/>
      <c r="G15" s="12"/>
      <c r="H15" s="80">
        <f>SUM(H3:H13)</f>
        <v>252.058188</v>
      </c>
    </row>
  </sheetData>
  <mergeCells count="1">
    <mergeCell ref="A1:H1"/>
  </mergeCells>
  <hyperlinks>
    <hyperlink ref="C3" r:id="rId1" location="" tooltip="" display="https://robotdigg.com/product/1810/Electric-Copper-or-Brass-Band-Heater-for-Extrusion-or-Injection"/>
    <hyperlink ref="C4" r:id="rId2" location="" tooltip="" display="https://robotdigg.com/product/1801/Digital-Adjustable-PID-Temperature-Controller-Panel-Thermostat"/>
    <hyperlink ref="C5" r:id="rId3" location="" tooltip="" display="https://robotdigg.com/product/1240/Single-phase-slim-solid-state-relay"/>
    <hyperlink ref="C6" r:id="rId4" location="" tooltip="" display="https://robotdigg.com/product/58/K-type-Thermocouple-0-to-600C"/>
    <hyperlink ref="C7" r:id="rId5" location="" tooltip="" display="https://robotdigg.com/product/911/1.2-meters-screw-head-K-type-Thermocouple"/>
    <hyperlink ref="C8" r:id="rId6" location="" tooltip="" display="https://robotdigg.com/product/1256/3D-Printer-thermocouple-or-thermo-sensor-Breakout-Board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85" customWidth="1"/>
    <col min="6" max="16384" width="16.3516" style="85" customWidth="1"/>
  </cols>
  <sheetData>
    <row r="1" ht="27.65" customHeight="1">
      <c r="A1" t="s" s="2">
        <v>254</v>
      </c>
      <c r="B1" s="2"/>
      <c r="C1" s="2"/>
      <c r="D1" s="2"/>
      <c r="E1" s="2"/>
    </row>
    <row r="2" ht="20.25" customHeight="1">
      <c r="A2" s="5"/>
      <c r="B2" s="5"/>
      <c r="C2" s="5"/>
      <c r="D2" s="5"/>
      <c r="E2" s="5"/>
    </row>
    <row r="3" ht="20.25" customHeight="1">
      <c r="A3" t="s" s="29">
        <v>255</v>
      </c>
      <c r="B3" s="86">
        <v>327</v>
      </c>
      <c r="C3" s="31">
        <v>2</v>
      </c>
      <c r="D3" s="31">
        <f>B3*C3</f>
        <v>654</v>
      </c>
      <c r="E3" s="65"/>
    </row>
    <row r="4" ht="20.05" customHeight="1">
      <c r="A4" t="s" s="17">
        <v>256</v>
      </c>
      <c r="B4" s="27">
        <v>267</v>
      </c>
      <c r="C4" s="26">
        <v>5</v>
      </c>
      <c r="D4" s="26">
        <f>B4*C4</f>
        <v>1335</v>
      </c>
      <c r="E4" s="12"/>
    </row>
    <row r="5" ht="20.05" customHeight="1">
      <c r="A5" t="s" s="17">
        <v>257</v>
      </c>
      <c r="B5" s="27">
        <v>1136.5</v>
      </c>
      <c r="C5" s="26">
        <v>2</v>
      </c>
      <c r="D5" s="26">
        <f>B5*C5</f>
        <v>2273</v>
      </c>
      <c r="E5" s="12"/>
    </row>
    <row r="6" ht="44.05" customHeight="1">
      <c r="A6" t="s" s="17">
        <v>258</v>
      </c>
      <c r="B6" s="27">
        <v>1151.9</v>
      </c>
      <c r="C6" s="26">
        <v>2</v>
      </c>
      <c r="D6" s="26">
        <f>B6*C6</f>
        <v>2303.8</v>
      </c>
      <c r="E6" t="s" s="24">
        <v>259</v>
      </c>
    </row>
    <row r="7" ht="20.05" customHeight="1">
      <c r="A7" s="19"/>
      <c r="B7" s="38"/>
      <c r="C7" s="12"/>
      <c r="D7" s="26">
        <f>SUM(D5:D6)</f>
        <v>4576.8</v>
      </c>
      <c r="E7" s="12"/>
    </row>
    <row r="8" ht="20.05" customHeight="1">
      <c r="A8" s="19"/>
      <c r="B8" s="27">
        <f>SUM(B5:B6)</f>
        <v>2288.4</v>
      </c>
      <c r="C8" s="12"/>
      <c r="D8" s="26">
        <f>SUM(D3:D6)</f>
        <v>6565.8</v>
      </c>
      <c r="E8" s="12"/>
    </row>
    <row r="9" ht="20.05" customHeight="1">
      <c r="A9" s="19"/>
      <c r="B9" s="38"/>
      <c r="C9" s="12"/>
      <c r="D9" s="12"/>
      <c r="E9" s="12"/>
    </row>
    <row r="10" ht="32.05" customHeight="1">
      <c r="A10" t="s" s="17">
        <v>260</v>
      </c>
      <c r="B10" s="27">
        <v>2300</v>
      </c>
      <c r="C10" s="26">
        <v>2</v>
      </c>
      <c r="D10" s="26">
        <f>6000-B10</f>
        <v>3700</v>
      </c>
      <c r="E10" s="26">
        <f>D10-D4</f>
        <v>2365</v>
      </c>
    </row>
    <row r="11" ht="20.05" customHeight="1">
      <c r="A11" s="19"/>
      <c r="B11" s="38"/>
      <c r="C11" t="s" s="24">
        <v>261</v>
      </c>
      <c r="D11" s="12"/>
      <c r="E11" s="12"/>
    </row>
    <row r="12" ht="32.05" customHeight="1">
      <c r="A12" t="s" s="17">
        <v>262</v>
      </c>
      <c r="B12" s="27">
        <v>1140</v>
      </c>
      <c r="C12" s="26">
        <f>B10-B12</f>
        <v>1160</v>
      </c>
      <c r="D12" t="s" s="24">
        <v>263</v>
      </c>
      <c r="E12" s="12"/>
    </row>
    <row r="13" ht="20.05" customHeight="1">
      <c r="A13" t="s" s="17">
        <v>264</v>
      </c>
      <c r="B13" t="s" s="33">
        <v>265</v>
      </c>
      <c r="C13" s="26">
        <f>D10/2</f>
        <v>1850</v>
      </c>
      <c r="D13" t="s" s="24">
        <v>266</v>
      </c>
      <c r="E13" s="12"/>
    </row>
    <row r="14" ht="20.05" customHeight="1">
      <c r="A14" s="19"/>
      <c r="B14" s="38"/>
      <c r="C14" s="12"/>
      <c r="D14" s="12"/>
      <c r="E14" s="12"/>
    </row>
    <row r="15" ht="20.05" customHeight="1">
      <c r="A15" s="19"/>
      <c r="B15" s="38"/>
      <c r="C15" s="12"/>
      <c r="D15" s="12"/>
      <c r="E15" s="12"/>
    </row>
    <row r="16" ht="20.05" customHeight="1">
      <c r="A16" s="19"/>
      <c r="B16" s="38"/>
      <c r="C16" s="12"/>
      <c r="D16" s="12"/>
      <c r="E16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3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87" customWidth="1"/>
    <col min="5" max="6" width="10.75" style="87" customWidth="1"/>
    <col min="7" max="7" width="5.40625" style="87" customWidth="1"/>
    <col min="8" max="8" width="8.07812" style="87" customWidth="1"/>
    <col min="9" max="16384" width="16.3516" style="87" customWidth="1"/>
  </cols>
  <sheetData>
    <row r="1" ht="27.65" customHeight="1">
      <c r="A1" t="s" s="2">
        <v>267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191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32.25" customHeight="1">
      <c r="A3" t="s" s="29">
        <v>268</v>
      </c>
      <c r="B3" t="s" s="30">
        <v>269</v>
      </c>
      <c r="C3" s="65"/>
      <c r="D3" s="65"/>
      <c r="E3" s="31">
        <v>20</v>
      </c>
      <c r="F3" s="31">
        <f>E3/6</f>
        <v>3.33333333333333</v>
      </c>
      <c r="G3" s="65"/>
      <c r="H3" s="65"/>
    </row>
    <row r="4" ht="32.05" customHeight="1">
      <c r="A4" s="88">
        <v>139.5</v>
      </c>
      <c r="B4" t="s" s="33">
        <v>270</v>
      </c>
      <c r="C4" s="12"/>
      <c r="D4" s="26">
        <f>$A4*G4</f>
        <v>558</v>
      </c>
      <c r="E4" s="26">
        <f>$F$3*($D4/1000)</f>
        <v>1.86</v>
      </c>
      <c r="F4" s="80">
        <f>$E4*1.07</f>
        <v>1.9902</v>
      </c>
      <c r="G4" s="26">
        <v>4</v>
      </c>
      <c r="H4" s="12"/>
    </row>
    <row r="5" ht="32.05" customHeight="1">
      <c r="A5" s="88">
        <v>267</v>
      </c>
      <c r="B5" t="s" s="33">
        <v>271</v>
      </c>
      <c r="C5" s="12"/>
      <c r="D5" s="26">
        <f>$A5*G5</f>
        <v>801</v>
      </c>
      <c r="E5" s="26">
        <f>$F$3*($D5/1000)</f>
        <v>2.67</v>
      </c>
      <c r="F5" s="80">
        <f>$E5*1.07</f>
        <v>2.8569</v>
      </c>
      <c r="G5" s="26">
        <v>3</v>
      </c>
      <c r="H5" s="12"/>
    </row>
    <row r="6" ht="32.05" customHeight="1">
      <c r="A6" s="88">
        <v>296</v>
      </c>
      <c r="B6" t="s" s="33">
        <v>272</v>
      </c>
      <c r="C6" s="12"/>
      <c r="D6" s="26">
        <f>$A6*G6</f>
        <v>592</v>
      </c>
      <c r="E6" s="26">
        <f>$F$3*($D6/1000)</f>
        <v>1.97333333333333</v>
      </c>
      <c r="F6" s="80">
        <f>$E6*1.07</f>
        <v>2.11146666666666</v>
      </c>
      <c r="G6" s="26">
        <v>2</v>
      </c>
      <c r="H6" s="12"/>
    </row>
    <row r="7" ht="32.05" customHeight="1">
      <c r="A7" s="88">
        <v>270.5</v>
      </c>
      <c r="B7" t="s" s="33">
        <v>273</v>
      </c>
      <c r="C7" s="12"/>
      <c r="D7" s="26">
        <f>$A7*G7</f>
        <v>541</v>
      </c>
      <c r="E7" s="26">
        <f>$F$3*($D7/1000)</f>
        <v>1.80333333333333</v>
      </c>
      <c r="F7" s="80">
        <f>$E7*1.07</f>
        <v>1.92956666666666</v>
      </c>
      <c r="G7" s="26">
        <v>2</v>
      </c>
      <c r="H7" s="12"/>
    </row>
    <row r="8" ht="20.05" customHeight="1">
      <c r="A8" s="19"/>
      <c r="B8" s="38"/>
      <c r="C8" s="12"/>
      <c r="D8" s="26">
        <f>SUM(D4:D7)</f>
        <v>2492</v>
      </c>
      <c r="E8" s="26">
        <f>$F$3*($D8/1000)</f>
        <v>8.30666666666666</v>
      </c>
      <c r="F8" s="80">
        <f>$E8*1.07</f>
        <v>8.888133333333331</v>
      </c>
      <c r="G8" s="26">
        <v>1</v>
      </c>
      <c r="H8" s="80">
        <f>F8*G8</f>
        <v>8.888133333333331</v>
      </c>
    </row>
    <row r="9" ht="20.05" customHeight="1">
      <c r="A9" s="19"/>
      <c r="B9" s="38"/>
      <c r="C9" s="12"/>
      <c r="D9" s="12"/>
      <c r="E9" s="12"/>
      <c r="F9" s="12"/>
      <c r="G9" s="12"/>
      <c r="H9" s="12"/>
    </row>
    <row r="10" ht="20.05" customHeight="1">
      <c r="A10" t="s" s="17">
        <v>274</v>
      </c>
      <c r="B10" t="s" s="33">
        <v>269</v>
      </c>
      <c r="C10" s="12"/>
      <c r="D10" s="12"/>
      <c r="E10" s="26">
        <v>35</v>
      </c>
      <c r="F10" s="26">
        <f>E10/6</f>
        <v>5.83333333333333</v>
      </c>
      <c r="G10" s="12"/>
      <c r="H10" s="12"/>
    </row>
    <row r="11" ht="20.05" customHeight="1">
      <c r="A11" s="88">
        <v>110</v>
      </c>
      <c r="B11" t="s" s="33">
        <v>275</v>
      </c>
      <c r="C11" s="12"/>
      <c r="D11" s="26">
        <f>$A11*G11</f>
        <v>110</v>
      </c>
      <c r="E11" s="26">
        <f>$F$10*($D11/1000)</f>
        <v>0.6416666666666661</v>
      </c>
      <c r="F11" s="80">
        <f>$E11*1.07</f>
        <v>0.686583333333333</v>
      </c>
      <c r="G11" s="26">
        <v>1</v>
      </c>
      <c r="H11" s="12"/>
    </row>
    <row r="12" ht="32.05" customHeight="1">
      <c r="A12" s="88">
        <v>340</v>
      </c>
      <c r="B12" t="s" s="33">
        <v>276</v>
      </c>
      <c r="C12" s="12"/>
      <c r="D12" s="26">
        <f>$A12*G12</f>
        <v>680</v>
      </c>
      <c r="E12" s="26">
        <f>$F$10*($D12/1000)</f>
        <v>3.96666666666666</v>
      </c>
      <c r="F12" s="80">
        <f>$E12*1.07</f>
        <v>4.24433333333333</v>
      </c>
      <c r="G12" s="26">
        <v>2</v>
      </c>
      <c r="H12" s="12"/>
    </row>
    <row r="13" ht="20.05" customHeight="1">
      <c r="A13" s="19"/>
      <c r="B13" s="38"/>
      <c r="C13" s="12"/>
      <c r="D13" s="12"/>
      <c r="E13" s="12"/>
      <c r="F13" s="80">
        <f>SUM(F11:F12)</f>
        <v>4.93091666666666</v>
      </c>
      <c r="G13" s="26">
        <v>1</v>
      </c>
      <c r="H13" s="80">
        <f>F13*G13</f>
        <v>4.93091666666666</v>
      </c>
    </row>
    <row r="14" ht="20.05" customHeight="1">
      <c r="A14" s="19"/>
      <c r="B14" s="38"/>
      <c r="C14" s="12"/>
      <c r="D14" s="12"/>
      <c r="E14" s="12"/>
      <c r="F14" s="12"/>
      <c r="G14" s="12"/>
      <c r="H14" s="12"/>
    </row>
    <row r="15" ht="20.05" customHeight="1">
      <c r="A15" t="s" s="17">
        <v>277</v>
      </c>
      <c r="B15" t="s" s="33">
        <v>269</v>
      </c>
      <c r="C15" s="12"/>
      <c r="D15" s="26">
        <f>E15/6</f>
        <v>2.83333333333333</v>
      </c>
      <c r="E15" s="26">
        <v>17</v>
      </c>
      <c r="F15" s="26">
        <f>E15/6</f>
        <v>2.83333333333333</v>
      </c>
      <c r="G15" s="12"/>
      <c r="H15" s="12"/>
    </row>
    <row r="16" ht="32.05" customHeight="1">
      <c r="A16" t="s" s="17">
        <v>278</v>
      </c>
      <c r="B16" t="s" s="33">
        <v>279</v>
      </c>
      <c r="C16" s="12"/>
      <c r="D16" s="12"/>
      <c r="E16" s="12"/>
      <c r="F16" s="12"/>
      <c r="G16" s="26">
        <v>4</v>
      </c>
      <c r="H16" s="12"/>
    </row>
    <row r="17" ht="20.05" customHeight="1">
      <c r="A17" s="19"/>
      <c r="B17" s="38"/>
      <c r="C17" s="12"/>
      <c r="D17" s="12"/>
      <c r="E17" s="12"/>
      <c r="F17" s="12"/>
      <c r="G17" s="12"/>
      <c r="H17" s="12"/>
    </row>
    <row r="18" ht="20.05" customHeight="1">
      <c r="A18" s="19"/>
      <c r="B18" s="38"/>
      <c r="C18" s="12"/>
      <c r="D18" s="12"/>
      <c r="E18" s="12"/>
      <c r="F18" s="12"/>
      <c r="G18" s="12"/>
      <c r="H18" s="12"/>
    </row>
    <row r="19" ht="44.05" customHeight="1">
      <c r="A19" t="s" s="17">
        <v>280</v>
      </c>
      <c r="B19" t="s" s="33">
        <v>281</v>
      </c>
      <c r="C19" s="12"/>
      <c r="D19" s="12"/>
      <c r="E19" s="12"/>
      <c r="F19" s="12"/>
      <c r="G19" s="12"/>
      <c r="H19" s="12"/>
    </row>
    <row r="20" ht="32.05" customHeight="1">
      <c r="A20" s="88">
        <v>400</v>
      </c>
      <c r="B20" t="s" s="33">
        <v>282</v>
      </c>
      <c r="C20" s="12"/>
      <c r="D20" s="26">
        <f>$A20*G20</f>
        <v>800</v>
      </c>
      <c r="E20" s="26">
        <f>$F$3*($D20/1000)</f>
        <v>2.66666666666666</v>
      </c>
      <c r="F20" s="80">
        <f>$E20*1.07</f>
        <v>2.85333333333333</v>
      </c>
      <c r="G20" s="26">
        <v>2</v>
      </c>
      <c r="H20" s="12"/>
    </row>
    <row r="21" ht="32.05" customHeight="1">
      <c r="A21" s="88">
        <v>340</v>
      </c>
      <c r="B21" t="s" s="33">
        <v>283</v>
      </c>
      <c r="C21" s="12"/>
      <c r="D21" s="26">
        <f>$A21*G21</f>
        <v>680</v>
      </c>
      <c r="E21" s="26">
        <f>$F$3*($D21/1000)</f>
        <v>2.26666666666666</v>
      </c>
      <c r="F21" s="80">
        <f>$E21*1.07</f>
        <v>2.42533333333333</v>
      </c>
      <c r="G21" s="26">
        <v>2</v>
      </c>
      <c r="H21" s="12"/>
    </row>
    <row r="22" ht="20.05" customHeight="1">
      <c r="A22" s="88">
        <v>1136</v>
      </c>
      <c r="B22" t="s" s="33">
        <v>284</v>
      </c>
      <c r="C22" s="12"/>
      <c r="D22" s="26">
        <f>$A22*G22</f>
        <v>2272</v>
      </c>
      <c r="E22" s="26">
        <f>$F$3*($D22/1000)</f>
        <v>7.57333333333333</v>
      </c>
      <c r="F22" s="80">
        <f>$E22*1.07</f>
        <v>8.103466666666661</v>
      </c>
      <c r="G22" s="26">
        <v>2</v>
      </c>
      <c r="H22" s="12"/>
    </row>
    <row r="23" ht="20.05" customHeight="1">
      <c r="A23" s="88">
        <v>1148</v>
      </c>
      <c r="B23" t="s" s="33">
        <v>285</v>
      </c>
      <c r="C23" s="12"/>
      <c r="D23" s="26">
        <f>$A23*G23</f>
        <v>2296</v>
      </c>
      <c r="E23" s="26">
        <f>$F$3*($D23/1000)</f>
        <v>7.65333333333333</v>
      </c>
      <c r="F23" s="80">
        <f>$E23*1.07</f>
        <v>8.18906666666666</v>
      </c>
      <c r="G23" s="26">
        <v>2</v>
      </c>
      <c r="H23" s="12"/>
    </row>
    <row r="24" ht="20.05" customHeight="1">
      <c r="A24" s="19"/>
      <c r="B24" s="38"/>
      <c r="C24" s="12"/>
      <c r="D24" s="12"/>
      <c r="E24" s="12"/>
      <c r="F24" s="80">
        <f>SUM(F20:F23)</f>
        <v>21.5712</v>
      </c>
      <c r="G24" s="26">
        <v>1</v>
      </c>
      <c r="H24" s="80">
        <f>F24*G24</f>
        <v>21.5712</v>
      </c>
    </row>
    <row r="25" ht="20.05" customHeight="1">
      <c r="A25" s="19"/>
      <c r="B25" s="38"/>
      <c r="C25" s="12"/>
      <c r="D25" s="12"/>
      <c r="E25" s="12"/>
      <c r="F25" s="12"/>
      <c r="G25" s="12"/>
      <c r="H25" s="12"/>
    </row>
    <row r="26" ht="44.05" customHeight="1">
      <c r="A26" t="s" s="17">
        <v>286</v>
      </c>
      <c r="B26" s="38"/>
      <c r="C26" t="s" s="24">
        <v>287</v>
      </c>
      <c r="D26" t="s" s="24">
        <v>288</v>
      </c>
      <c r="E26" s="26">
        <v>25</v>
      </c>
      <c r="F26" s="12"/>
      <c r="G26" s="26">
        <v>1</v>
      </c>
      <c r="H26" s="12"/>
    </row>
    <row r="27" ht="20.05" customHeight="1">
      <c r="A27" t="s" s="17">
        <v>289</v>
      </c>
      <c r="B27" s="38"/>
      <c r="C27" s="12"/>
      <c r="D27" s="12"/>
      <c r="E27" s="12"/>
      <c r="F27" s="12"/>
      <c r="G27" s="12"/>
      <c r="H27" s="12"/>
    </row>
    <row r="28" ht="32.05" customHeight="1">
      <c r="A28" t="s" s="17">
        <v>290</v>
      </c>
      <c r="B28" s="38"/>
      <c r="C28" s="12"/>
      <c r="D28" s="12"/>
      <c r="E28" s="12"/>
      <c r="F28" s="12"/>
      <c r="G28" s="12"/>
      <c r="H28" s="12"/>
    </row>
    <row r="29" ht="20.05" customHeight="1">
      <c r="A29" s="19"/>
      <c r="B29" s="38"/>
      <c r="C29" s="12"/>
      <c r="D29" s="12"/>
      <c r="E29" s="12"/>
      <c r="F29" s="12"/>
      <c r="G29" s="12"/>
      <c r="H29" s="12"/>
    </row>
    <row r="30" ht="20.05" customHeight="1">
      <c r="A30" s="19"/>
      <c r="B30" s="38"/>
      <c r="C30" s="12"/>
      <c r="D30" s="12"/>
      <c r="E30" s="12"/>
      <c r="F30" s="12"/>
      <c r="G30" s="12"/>
      <c r="H30" s="12"/>
    </row>
    <row r="31" ht="44.05" customHeight="1">
      <c r="A31" t="s" s="17">
        <v>291</v>
      </c>
      <c r="B31" s="38"/>
      <c r="C31" s="12"/>
      <c r="D31" s="12"/>
      <c r="E31" s="12"/>
      <c r="F31" s="12"/>
      <c r="G31" s="12"/>
      <c r="H31" s="12"/>
    </row>
    <row r="32" ht="20.05" customHeight="1">
      <c r="A32" t="s" s="17">
        <v>292</v>
      </c>
      <c r="B32" t="s" s="33">
        <v>293</v>
      </c>
      <c r="C32" s="12"/>
      <c r="D32" s="12"/>
      <c r="E32" s="12"/>
      <c r="F32" s="12"/>
      <c r="G32" s="26">
        <v>2</v>
      </c>
      <c r="H32" s="12"/>
    </row>
    <row r="33" ht="20.05" customHeight="1">
      <c r="A33" s="19"/>
      <c r="B33" s="38"/>
      <c r="C33" s="12"/>
      <c r="D33" s="12"/>
      <c r="E33" s="12"/>
      <c r="F33" s="12"/>
      <c r="G33" s="12"/>
      <c r="H33" s="12"/>
    </row>
    <row r="34" ht="20.05" customHeight="1">
      <c r="A34" s="19"/>
      <c r="B34" s="38"/>
      <c r="C34" s="12"/>
      <c r="D34" s="12"/>
      <c r="E34" s="12"/>
      <c r="F34" s="12"/>
      <c r="G34" s="12"/>
      <c r="H34" s="12"/>
    </row>
    <row r="35" ht="32.05" customHeight="1">
      <c r="A35" t="s" s="17">
        <v>294</v>
      </c>
      <c r="B35" s="38"/>
      <c r="C35" s="12"/>
      <c r="D35" s="12"/>
      <c r="E35" s="12"/>
      <c r="F35" s="12"/>
      <c r="G35" s="12"/>
      <c r="H35" s="12"/>
    </row>
    <row r="36" ht="20.05" customHeight="1">
      <c r="A36" t="s" s="17">
        <v>278</v>
      </c>
      <c r="B36" t="s" s="33">
        <v>295</v>
      </c>
      <c r="C36" s="12"/>
      <c r="D36" s="12"/>
      <c r="E36" s="12"/>
      <c r="F36" s="12"/>
      <c r="G36" s="26">
        <v>7</v>
      </c>
      <c r="H36" s="12"/>
    </row>
    <row r="37" ht="20.05" customHeight="1">
      <c r="A37" s="19"/>
      <c r="B37" s="38"/>
      <c r="C37" s="12"/>
      <c r="D37" s="12"/>
      <c r="E37" s="12"/>
      <c r="F37" s="12"/>
      <c r="G37" s="12"/>
      <c r="H37" s="12"/>
    </row>
    <row r="38" ht="20.05" customHeight="1">
      <c r="A38" s="19"/>
      <c r="B38" s="38"/>
      <c r="C38" s="12"/>
      <c r="D38" s="12"/>
      <c r="E38" s="12"/>
      <c r="F38" s="12"/>
      <c r="G38" s="12"/>
      <c r="H38" s="89">
        <f>SUM(H3:H36)</f>
        <v>35.39025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90" customWidth="1"/>
    <col min="5" max="6" width="10.7188" style="90" customWidth="1"/>
    <col min="7" max="7" width="5.40625" style="90" customWidth="1"/>
    <col min="8" max="8" width="8.07812" style="90" customWidth="1"/>
    <col min="9" max="16384" width="16.3516" style="90" customWidth="1"/>
  </cols>
  <sheetData>
    <row r="1" ht="27.65" customHeight="1">
      <c r="A1" t="s" s="2">
        <v>296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191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32.25" customHeight="1">
      <c r="A3" t="s" s="29">
        <v>297</v>
      </c>
      <c r="B3" t="s" s="30">
        <v>298</v>
      </c>
      <c r="C3" t="s" s="32">
        <v>299</v>
      </c>
      <c r="D3" s="65"/>
      <c r="E3" s="65"/>
      <c r="F3" s="78">
        <f>$E3*1.07</f>
        <v>0</v>
      </c>
      <c r="G3" s="31">
        <v>16</v>
      </c>
      <c r="H3" s="78">
        <f>F3*G3</f>
        <v>0</v>
      </c>
    </row>
    <row r="4" ht="32.05" customHeight="1">
      <c r="A4" t="s" s="17">
        <v>300</v>
      </c>
      <c r="B4" t="s" s="33">
        <v>301</v>
      </c>
      <c r="C4" t="s" s="24">
        <v>299</v>
      </c>
      <c r="D4" s="12"/>
      <c r="E4" s="12"/>
      <c r="F4" s="80">
        <f>$E4*1.07</f>
        <v>0</v>
      </c>
      <c r="G4" s="26">
        <v>4</v>
      </c>
      <c r="H4" s="80">
        <f>F4*G4</f>
        <v>0</v>
      </c>
    </row>
    <row r="5" ht="80.05" customHeight="1">
      <c r="A5" t="s" s="17">
        <v>302</v>
      </c>
      <c r="B5" t="s" s="33">
        <v>303</v>
      </c>
      <c r="C5" t="s" s="24">
        <v>299</v>
      </c>
      <c r="D5" s="12"/>
      <c r="E5" s="12"/>
      <c r="F5" s="80">
        <f>$E5*1.07</f>
        <v>0</v>
      </c>
      <c r="G5" s="26">
        <v>6</v>
      </c>
      <c r="H5" s="80">
        <f>F5*G5</f>
        <v>0</v>
      </c>
    </row>
    <row r="6" ht="92.05" customHeight="1">
      <c r="A6" t="s" s="17">
        <v>304</v>
      </c>
      <c r="B6" t="s" s="33">
        <v>305</v>
      </c>
      <c r="C6" t="s" s="24">
        <v>299</v>
      </c>
      <c r="D6" s="12"/>
      <c r="E6" s="12"/>
      <c r="F6" s="80">
        <f>$E6*1.07</f>
        <v>0</v>
      </c>
      <c r="G6" s="26">
        <v>1</v>
      </c>
      <c r="H6" s="80">
        <f>F6*G6</f>
        <v>0</v>
      </c>
    </row>
    <row r="7" ht="68.05" customHeight="1">
      <c r="A7" t="s" s="17">
        <v>306</v>
      </c>
      <c r="B7" t="s" s="33">
        <v>307</v>
      </c>
      <c r="C7" t="s" s="24">
        <v>299</v>
      </c>
      <c r="D7" s="12"/>
      <c r="E7" s="12"/>
      <c r="F7" s="80">
        <f>$E7*1.07</f>
        <v>0</v>
      </c>
      <c r="G7" s="26">
        <v>4</v>
      </c>
      <c r="H7" s="80">
        <f>F7*G7</f>
        <v>0</v>
      </c>
    </row>
    <row r="8" ht="92.05" customHeight="1">
      <c r="A8" t="s" s="17">
        <v>308</v>
      </c>
      <c r="B8" t="s" s="33">
        <v>309</v>
      </c>
      <c r="C8" t="s" s="24">
        <v>299</v>
      </c>
      <c r="D8" s="12"/>
      <c r="E8" s="12"/>
      <c r="F8" s="80">
        <f>$E8*1.07</f>
        <v>0</v>
      </c>
      <c r="G8" s="12"/>
      <c r="H8" s="80">
        <f>F8*G8</f>
        <v>0</v>
      </c>
    </row>
    <row r="9" ht="20.05" customHeight="1">
      <c r="A9" s="19"/>
      <c r="B9" s="38"/>
      <c r="C9" s="12"/>
      <c r="D9" s="12"/>
      <c r="E9" s="12"/>
      <c r="F9" s="12"/>
      <c r="G9" s="12"/>
      <c r="H9" s="12"/>
    </row>
    <row r="10" ht="20.05" customHeight="1">
      <c r="A10" s="19"/>
      <c r="B10" s="38"/>
      <c r="C10" s="12"/>
      <c r="D10" s="12"/>
      <c r="E10" s="12"/>
      <c r="F10" s="12"/>
      <c r="G10" s="12"/>
      <c r="H10" s="80">
        <f>SUM(H3:H8)</f>
        <v>0</v>
      </c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91" customWidth="1"/>
    <col min="5" max="6" width="10.75" style="91" customWidth="1"/>
    <col min="7" max="7" width="5.40625" style="91" customWidth="1"/>
    <col min="8" max="8" width="8.07812" style="91" customWidth="1"/>
    <col min="9" max="16384" width="16.3516" style="91" customWidth="1"/>
  </cols>
  <sheetData>
    <row r="1" ht="27.65" customHeight="1">
      <c r="A1" t="s" s="2">
        <v>310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191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92.25" customHeight="1">
      <c r="A3" t="s" s="29">
        <v>311</v>
      </c>
      <c r="B3" t="s" s="30">
        <v>312</v>
      </c>
      <c r="C3" t="s" s="32">
        <v>313</v>
      </c>
      <c r="D3" t="s" s="32">
        <v>314</v>
      </c>
      <c r="E3" s="77">
        <v>3.2</v>
      </c>
      <c r="F3" s="78">
        <f>$E3*1.07</f>
        <v>3.424</v>
      </c>
      <c r="G3" s="31">
        <v>1</v>
      </c>
      <c r="H3" s="78">
        <f>F3*G3</f>
        <v>3.424</v>
      </c>
    </row>
    <row r="4" ht="32.05" customHeight="1">
      <c r="A4" t="s" s="17">
        <v>315</v>
      </c>
      <c r="B4" t="s" s="33">
        <v>316</v>
      </c>
      <c r="C4" t="s" s="24">
        <v>317</v>
      </c>
      <c r="D4" s="12"/>
      <c r="E4" s="80">
        <v>11</v>
      </c>
      <c r="F4" s="80">
        <f>$E4*1.07</f>
        <v>11.77</v>
      </c>
      <c r="G4" s="26">
        <v>1</v>
      </c>
      <c r="H4" s="80">
        <f>F4*G4</f>
        <v>11.77</v>
      </c>
    </row>
    <row r="5" ht="20.05" customHeight="1">
      <c r="A5" t="s" s="17">
        <v>318</v>
      </c>
      <c r="B5" s="38"/>
      <c r="C5" t="s" s="24">
        <v>319</v>
      </c>
      <c r="D5" s="12"/>
      <c r="E5" s="80">
        <v>11</v>
      </c>
      <c r="F5" s="80">
        <f>$E5*1.07</f>
        <v>11.77</v>
      </c>
      <c r="G5" s="26">
        <v>1</v>
      </c>
      <c r="H5" s="80">
        <f>F5*G5</f>
        <v>11.77</v>
      </c>
    </row>
    <row r="6" ht="32.05" customHeight="1">
      <c r="A6" t="s" s="17">
        <v>320</v>
      </c>
      <c r="B6" s="38"/>
      <c r="C6" t="s" s="24">
        <v>321</v>
      </c>
      <c r="D6" s="12"/>
      <c r="E6" s="80">
        <v>4</v>
      </c>
      <c r="F6" s="80">
        <f>$E6*1.07</f>
        <v>4.28</v>
      </c>
      <c r="G6" s="26">
        <v>1</v>
      </c>
      <c r="H6" s="80">
        <f>F6*G6</f>
        <v>4.28</v>
      </c>
    </row>
    <row r="7" ht="44.05" customHeight="1">
      <c r="A7" t="s" s="17">
        <v>322</v>
      </c>
      <c r="B7" t="s" s="33">
        <v>323</v>
      </c>
      <c r="C7" t="s" s="24">
        <v>319</v>
      </c>
      <c r="D7" s="12"/>
      <c r="E7" s="12"/>
      <c r="F7" s="80">
        <f>$E7*1.07</f>
        <v>0</v>
      </c>
      <c r="G7" s="12"/>
      <c r="H7" s="80">
        <f>F7*G7</f>
        <v>0</v>
      </c>
    </row>
    <row r="8" ht="32.05" customHeight="1">
      <c r="A8" t="s" s="17">
        <v>324</v>
      </c>
      <c r="B8" t="s" s="33">
        <v>325</v>
      </c>
      <c r="C8" t="s" s="24">
        <v>319</v>
      </c>
      <c r="D8" s="12"/>
      <c r="E8" s="80">
        <v>0.16</v>
      </c>
      <c r="F8" s="80">
        <f>$E8*1.07</f>
        <v>0.1712</v>
      </c>
      <c r="G8" s="26">
        <v>3</v>
      </c>
      <c r="H8" s="80">
        <f>F8*G8</f>
        <v>0.5135999999999999</v>
      </c>
    </row>
    <row r="9" ht="20.05" customHeight="1">
      <c r="A9" t="s" s="17">
        <v>326</v>
      </c>
      <c r="B9" t="s" s="33">
        <v>327</v>
      </c>
      <c r="C9" t="s" s="24">
        <v>319</v>
      </c>
      <c r="D9" s="12"/>
      <c r="E9" s="26">
        <v>0.32</v>
      </c>
      <c r="F9" s="80">
        <f>$E9*1.07</f>
        <v>0.3424</v>
      </c>
      <c r="G9" s="26">
        <v>3</v>
      </c>
      <c r="H9" s="80">
        <f>F9*G9</f>
        <v>1.0272</v>
      </c>
    </row>
    <row r="10" ht="32.05" customHeight="1">
      <c r="A10" t="s" s="17">
        <v>328</v>
      </c>
      <c r="B10" s="38"/>
      <c r="C10" t="s" s="24">
        <v>329</v>
      </c>
      <c r="D10" s="12"/>
      <c r="E10" s="26">
        <v>18.5</v>
      </c>
      <c r="F10" s="80">
        <f>$E10*1.07</f>
        <v>19.795</v>
      </c>
      <c r="G10" s="26">
        <v>1</v>
      </c>
      <c r="H10" s="80">
        <f>F10*G10</f>
        <v>19.795</v>
      </c>
    </row>
    <row r="11" ht="92.05" customHeight="1">
      <c r="A11" t="s" s="17">
        <v>330</v>
      </c>
      <c r="B11" s="38"/>
      <c r="C11" t="s" s="24">
        <v>331</v>
      </c>
      <c r="D11" s="12"/>
      <c r="E11" s="79">
        <v>27.13</v>
      </c>
      <c r="F11" s="80">
        <f>($E11*'BoM - Mano de obra y consumible'!$B$3)*1.07</f>
        <v>27.58345082</v>
      </c>
      <c r="G11" s="26">
        <v>1</v>
      </c>
      <c r="H11" s="80">
        <f>F11*G11</f>
        <v>27.58345082</v>
      </c>
    </row>
    <row r="12" ht="80.05" customHeight="1">
      <c r="A12" t="s" s="17">
        <v>233</v>
      </c>
      <c r="B12" t="s" s="33">
        <v>237</v>
      </c>
      <c r="C12" t="s" s="24">
        <v>238</v>
      </c>
      <c r="D12" t="s" s="24">
        <v>239</v>
      </c>
      <c r="E12" s="79">
        <v>4</v>
      </c>
      <c r="F12" s="80">
        <f>($E12*'BoM - Mano de obra y consumible'!$B$3)*1.07</f>
        <v>4.066856</v>
      </c>
      <c r="G12" s="26">
        <v>1</v>
      </c>
      <c r="H12" s="80">
        <f>F12*G12</f>
        <v>4.066856</v>
      </c>
    </row>
    <row r="13" ht="92.05" customHeight="1">
      <c r="A13" t="s" s="17">
        <v>332</v>
      </c>
      <c r="B13" t="s" s="33">
        <v>240</v>
      </c>
      <c r="C13" t="s" s="24">
        <v>241</v>
      </c>
      <c r="D13" t="s" s="24">
        <v>242</v>
      </c>
      <c r="E13" s="79">
        <f>6</f>
        <v>6</v>
      </c>
      <c r="F13" s="80">
        <f>($E13*'BoM - Mano de obra y consumible'!$B$3)*1.07</f>
        <v>6.100284</v>
      </c>
      <c r="G13" s="26">
        <v>1</v>
      </c>
      <c r="H13" s="80">
        <f>F13*G13</f>
        <v>6.100284</v>
      </c>
    </row>
    <row r="14" ht="92.05" customHeight="1">
      <c r="A14" t="s" s="17">
        <v>333</v>
      </c>
      <c r="B14" t="s" s="33">
        <v>334</v>
      </c>
      <c r="C14" t="s" s="24">
        <v>335</v>
      </c>
      <c r="D14" t="s" s="24">
        <v>336</v>
      </c>
      <c r="E14" s="79"/>
      <c r="F14" s="80">
        <v>7.95</v>
      </c>
      <c r="G14" s="26">
        <v>2</v>
      </c>
      <c r="H14" s="80">
        <f>F14*G14</f>
        <v>15.9</v>
      </c>
    </row>
    <row r="15" ht="32.05" customHeight="1">
      <c r="A15" t="s" s="17">
        <v>337</v>
      </c>
      <c r="B15" t="s" s="33">
        <v>338</v>
      </c>
      <c r="C15" s="12"/>
      <c r="D15" s="12"/>
      <c r="E15" s="79"/>
      <c r="F15" s="80">
        <f>($E15*'BoM - Mano de obra y consumible'!$B$3)*1.07</f>
        <v>0</v>
      </c>
      <c r="G15" s="12"/>
      <c r="H15" s="80">
        <f>F15*G15</f>
        <v>0</v>
      </c>
    </row>
    <row r="16" ht="20.05" customHeight="1">
      <c r="A16" s="19"/>
      <c r="B16" s="38"/>
      <c r="C16" s="12"/>
      <c r="D16" s="12"/>
      <c r="E16" s="79"/>
      <c r="F16" s="80">
        <f>($E16*'BoM - Mano de obra y consumible'!$B$3)*1.07</f>
        <v>0</v>
      </c>
      <c r="G16" s="12"/>
      <c r="H16" s="80">
        <f>F16*G16</f>
        <v>0</v>
      </c>
    </row>
    <row r="17" ht="20.05" customHeight="1">
      <c r="A17" s="19"/>
      <c r="B17" s="38"/>
      <c r="C17" s="12"/>
      <c r="D17" s="12"/>
      <c r="E17" s="12"/>
      <c r="F17" s="12"/>
      <c r="G17" s="12"/>
      <c r="H17" s="80"/>
    </row>
    <row r="18" ht="20.05" customHeight="1">
      <c r="A18" s="19"/>
      <c r="B18" s="38"/>
      <c r="C18" s="12"/>
      <c r="D18" s="12"/>
      <c r="E18" s="12"/>
      <c r="F18" s="12"/>
      <c r="G18" s="12"/>
      <c r="H18" s="80">
        <f>SUM(H3:H13)</f>
        <v>90.33039082000001</v>
      </c>
    </row>
  </sheetData>
  <mergeCells count="1">
    <mergeCell ref="A1:H1"/>
  </mergeCells>
  <hyperlinks>
    <hyperlink ref="C3" r:id="rId1" location="" tooltip="" display="https://robotdigg.com/product/1200/5V-2A-or-4A-Miniature-Switching-Power-Supply"/>
    <hyperlink ref="C11" r:id="rId2" location="" tooltip="" display="https://www.elecrow.com/esp32-display-5-inch-hmi-display-rgb-tft-lcd-touch-screen-support-lvgl.html"/>
    <hyperlink ref="C12" r:id="rId3" location="" tooltip="" display="https://robotdigg.com/product/911/1.2-meters-screw-head-K-type-Thermocouple"/>
    <hyperlink ref="C13" r:id="rId4" location="" tooltip="" display="https://robotdigg.com/product/1256/3D-Printer-thermocouple-or-thermo-sensor-Breakout-Board"/>
    <hyperlink ref="C14" r:id="rId5" location="" tooltip="" display="https://electronicaelfaro.com/index.php?route=product/product&amp;product_id=47599&amp;search=163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92" customWidth="1"/>
    <col min="5" max="16384" width="16.3516" style="92" customWidth="1"/>
  </cols>
  <sheetData>
    <row r="1" ht="27.65" customHeight="1">
      <c r="A1" t="s" s="2">
        <v>339</v>
      </c>
      <c r="B1" s="2"/>
      <c r="C1" s="2"/>
      <c r="D1" s="2"/>
    </row>
    <row r="2" ht="20.25" customHeight="1">
      <c r="A2" t="s" s="3">
        <v>340</v>
      </c>
      <c r="B2" t="s" s="3">
        <v>341</v>
      </c>
      <c r="C2" t="s" s="3">
        <v>156</v>
      </c>
      <c r="D2" t="s" s="3">
        <v>157</v>
      </c>
    </row>
    <row r="3" ht="20.25" customHeight="1">
      <c r="A3" t="s" s="29">
        <v>342</v>
      </c>
      <c r="B3" s="93">
        <v>0.9502</v>
      </c>
      <c r="C3" s="65"/>
      <c r="D3" s="65"/>
    </row>
    <row r="4" ht="20.05" customHeight="1">
      <c r="A4" t="s" s="17">
        <v>343</v>
      </c>
      <c r="B4" s="27">
        <v>20</v>
      </c>
      <c r="C4" s="26">
        <f>3+5+3+5+5+7+6+2.5+2+2+3+4+1+5+6</f>
        <v>59.5</v>
      </c>
      <c r="D4" s="26">
        <f>B4*C4</f>
        <v>1190</v>
      </c>
    </row>
    <row r="5" ht="20.05" customHeight="1">
      <c r="A5" t="s" s="17">
        <v>344</v>
      </c>
      <c r="B5" s="38"/>
      <c r="C5" s="12"/>
      <c r="D5" s="26">
        <f>B5*C5</f>
        <v>0</v>
      </c>
    </row>
    <row r="6" ht="20.05" customHeight="1">
      <c r="A6" t="s" s="17">
        <v>345</v>
      </c>
      <c r="B6" s="27">
        <v>35</v>
      </c>
      <c r="C6" s="26">
        <v>1</v>
      </c>
      <c r="D6" s="26">
        <f>B6*C6</f>
        <v>35</v>
      </c>
    </row>
    <row r="7" ht="20.05" customHeight="1">
      <c r="A7" t="s" s="17">
        <v>346</v>
      </c>
      <c r="B7" s="38"/>
      <c r="C7" s="12"/>
      <c r="D7" s="26">
        <f>B7*C7</f>
        <v>0</v>
      </c>
    </row>
    <row r="8" ht="44.05" customHeight="1">
      <c r="A8" t="s" s="17">
        <v>347</v>
      </c>
      <c r="B8" s="27">
        <f>200+60</f>
        <v>260</v>
      </c>
      <c r="C8" s="26">
        <v>1</v>
      </c>
      <c r="D8" s="26">
        <f>B8*C8</f>
        <v>260</v>
      </c>
    </row>
    <row r="9" ht="44.05" customHeight="1">
      <c r="A9" t="s" s="17">
        <v>348</v>
      </c>
      <c r="B9" s="27">
        <f>40+60</f>
        <v>100</v>
      </c>
      <c r="C9" s="26">
        <v>1</v>
      </c>
      <c r="D9" s="26">
        <f>B9*C9</f>
        <v>100</v>
      </c>
    </row>
    <row r="10" ht="32.05" customHeight="1">
      <c r="A10" t="s" s="17">
        <v>349</v>
      </c>
      <c r="B10" s="27">
        <f>14.5+23</f>
        <v>37.5</v>
      </c>
      <c r="C10" s="26">
        <v>1</v>
      </c>
      <c r="D10" s="26">
        <f>B10*C10</f>
        <v>37.5</v>
      </c>
    </row>
    <row r="11" ht="44.05" customHeight="1">
      <c r="A11" t="s" s="17">
        <v>350</v>
      </c>
      <c r="B11" s="38"/>
      <c r="C11" s="26">
        <v>1</v>
      </c>
      <c r="D11" s="26">
        <f>B11*C11</f>
        <v>0</v>
      </c>
    </row>
    <row r="12" ht="32.05" customHeight="1">
      <c r="A12" t="s" s="17">
        <v>351</v>
      </c>
      <c r="B12" s="38"/>
      <c r="C12" s="26">
        <v>1</v>
      </c>
      <c r="D12" s="26">
        <f>B12*C12</f>
        <v>0</v>
      </c>
    </row>
    <row r="13" ht="20.05" customHeight="1">
      <c r="A13" s="19"/>
      <c r="B13" s="38"/>
      <c r="C13" s="12"/>
      <c r="D13" s="12"/>
    </row>
    <row r="14" ht="20.05" customHeight="1">
      <c r="A14" s="19"/>
      <c r="B14" s="38"/>
      <c r="C14" s="12"/>
      <c r="D14" s="26">
        <f>SUM(D3:D12)</f>
        <v>1622.5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94" customWidth="1"/>
    <col min="6" max="16384" width="16.3516" style="94" customWidth="1"/>
  </cols>
  <sheetData>
    <row r="1" ht="27.65" customHeight="1">
      <c r="A1" t="s" s="2">
        <v>352</v>
      </c>
      <c r="B1" s="2"/>
      <c r="C1" s="2"/>
      <c r="D1" s="2"/>
      <c r="E1" s="2"/>
    </row>
    <row r="2" ht="20.25" customHeight="1">
      <c r="A2" t="s" s="3">
        <v>353</v>
      </c>
      <c r="B2" t="s" s="3">
        <v>354</v>
      </c>
      <c r="C2" s="5"/>
      <c r="D2" s="5"/>
      <c r="E2" s="5"/>
    </row>
    <row r="3" ht="22.2" customHeight="1">
      <c r="A3" t="s" s="95">
        <v>150</v>
      </c>
      <c r="B3" s="93">
        <f>'BoM - Plunger parts'!$H$18</f>
        <v>533.976361950413</v>
      </c>
      <c r="C3" s="65"/>
      <c r="D3" s="65"/>
      <c r="E3" s="65"/>
    </row>
    <row r="4" ht="36" customHeight="1">
      <c r="A4" t="s" s="96">
        <v>190</v>
      </c>
      <c r="B4" s="97">
        <f>'BoM - T-mech parts (moving side'!$H$13</f>
        <v>125.0620066</v>
      </c>
      <c r="C4" s="12"/>
      <c r="D4" s="12"/>
      <c r="E4" s="12"/>
    </row>
    <row r="5" ht="22" customHeight="1">
      <c r="A5" t="s" s="96">
        <v>220</v>
      </c>
      <c r="B5" s="97">
        <f>'BoM - Electrical parts'!$H$15</f>
        <v>252.058188</v>
      </c>
      <c r="C5" s="12"/>
      <c r="D5" s="12"/>
      <c r="E5" s="12"/>
    </row>
    <row r="6" ht="22" customHeight="1">
      <c r="A6" t="s" s="96">
        <v>267</v>
      </c>
      <c r="B6" s="98">
        <f>'BoM - Frame'!$H$38</f>
        <v>35.39025</v>
      </c>
      <c r="C6" s="12"/>
      <c r="D6" s="12"/>
      <c r="E6" s="12"/>
    </row>
    <row r="7" ht="22" customHeight="1">
      <c r="A7" t="s" s="96">
        <v>296</v>
      </c>
      <c r="B7" s="97">
        <f>'BoM - Screws'!$H$10</f>
        <v>0</v>
      </c>
      <c r="C7" s="12"/>
      <c r="D7" s="12"/>
      <c r="E7" s="12"/>
    </row>
    <row r="8" ht="22" customHeight="1">
      <c r="A8" t="s" s="96">
        <v>310</v>
      </c>
      <c r="B8" s="97">
        <f>'BoM - Electronic parts'!$H$18</f>
        <v>90.33039082000001</v>
      </c>
      <c r="C8" s="12"/>
      <c r="D8" s="12"/>
      <c r="E8" s="12"/>
    </row>
    <row r="9" ht="36" customHeight="1">
      <c r="A9" t="s" s="96">
        <v>339</v>
      </c>
      <c r="B9" s="27">
        <f>'BoM - Mano de obra y consumible'!$D$14</f>
        <v>1622.5</v>
      </c>
      <c r="C9" s="12"/>
      <c r="D9" s="12"/>
      <c r="E9" s="12"/>
    </row>
    <row r="10" ht="20.05" customHeight="1">
      <c r="A10" s="19"/>
      <c r="B10" s="38"/>
      <c r="C10" s="12"/>
      <c r="D10" s="12"/>
      <c r="E10" s="12"/>
    </row>
    <row r="11" ht="32.05" customHeight="1">
      <c r="A11" t="s" s="17">
        <v>355</v>
      </c>
      <c r="B11" s="27">
        <f>SUM(B3:B9)</f>
        <v>2659.317197370410</v>
      </c>
      <c r="C11" s="12"/>
      <c r="D11" s="12"/>
      <c r="E11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99" customWidth="1"/>
    <col min="2" max="2" width="25.7812" style="99" customWidth="1"/>
    <col min="3" max="3" width="30.0625" style="99" customWidth="1"/>
    <col min="4" max="4" width="34.5312" style="99" customWidth="1"/>
    <col min="5" max="16384" width="16.3516" style="99" customWidth="1"/>
  </cols>
  <sheetData>
    <row r="1" ht="27.65" customHeight="1">
      <c r="A1" t="s" s="2">
        <v>356</v>
      </c>
      <c r="B1" s="2"/>
      <c r="C1" s="2"/>
      <c r="D1" s="2"/>
    </row>
    <row r="2" ht="20.25" customHeight="1">
      <c r="A2" t="s" s="3">
        <v>357</v>
      </c>
      <c r="B2" t="s" s="3">
        <v>358</v>
      </c>
      <c r="C2" t="s" s="3">
        <v>359</v>
      </c>
      <c r="D2" s="5"/>
    </row>
    <row r="3" ht="20.25" customHeight="1">
      <c r="A3" s="71"/>
      <c r="B3" s="64"/>
      <c r="C3" s="65"/>
      <c r="D3" s="65"/>
    </row>
    <row r="4" ht="44.05" customHeight="1">
      <c r="A4" t="s" s="17">
        <v>360</v>
      </c>
      <c r="B4" t="s" s="33">
        <v>361</v>
      </c>
      <c r="C4" s="12"/>
      <c r="D4" s="12"/>
    </row>
    <row r="5" ht="20.05" customHeight="1">
      <c r="A5" s="19"/>
      <c r="B5" s="38"/>
      <c r="C5" s="12"/>
      <c r="D5" s="12"/>
    </row>
    <row r="6" ht="20.05" customHeight="1">
      <c r="A6" t="s" s="17">
        <v>362</v>
      </c>
      <c r="B6" t="s" s="33">
        <v>363</v>
      </c>
      <c r="C6" s="12"/>
      <c r="D6" s="12"/>
    </row>
    <row r="7" ht="20.05" customHeight="1">
      <c r="A7" s="19"/>
      <c r="B7" s="38"/>
      <c r="C7" s="12"/>
      <c r="D7" s="12"/>
    </row>
    <row r="8" ht="32.05" customHeight="1">
      <c r="A8" t="s" s="17">
        <v>364</v>
      </c>
      <c r="B8" t="s" s="33">
        <v>365</v>
      </c>
      <c r="C8" t="s" s="24">
        <v>366</v>
      </c>
      <c r="D8" s="12"/>
    </row>
    <row r="9" ht="20.05" customHeight="1">
      <c r="A9" s="19"/>
      <c r="B9" s="38"/>
      <c r="C9" s="12"/>
      <c r="D9" s="12"/>
    </row>
    <row r="10" ht="32.05" customHeight="1">
      <c r="A10" t="s" s="17">
        <v>367</v>
      </c>
      <c r="B10" t="s" s="33">
        <v>368</v>
      </c>
      <c r="C10" t="s" s="24">
        <v>369</v>
      </c>
      <c r="D10" s="12"/>
    </row>
    <row r="11" ht="20.05" customHeight="1">
      <c r="A11" s="19"/>
      <c r="B11" s="38"/>
      <c r="C11" s="12"/>
      <c r="D11" s="12"/>
    </row>
    <row r="12" ht="32.05" customHeight="1">
      <c r="A12" t="s" s="17">
        <v>370</v>
      </c>
      <c r="B12" t="s" s="33">
        <v>371</v>
      </c>
      <c r="C12" s="12"/>
      <c r="D12" s="12"/>
    </row>
    <row r="13" ht="20.05" customHeight="1">
      <c r="A13" t="s" s="100">
        <v>372</v>
      </c>
      <c r="B13" s="38"/>
      <c r="C13" s="12"/>
      <c r="D13" s="12"/>
    </row>
    <row r="14" ht="44.05" customHeight="1">
      <c r="A14" t="s" s="17">
        <v>373</v>
      </c>
      <c r="B14" t="s" s="33">
        <v>374</v>
      </c>
      <c r="C14" t="s" s="24">
        <v>375</v>
      </c>
      <c r="D14" s="12"/>
    </row>
    <row r="15" ht="20.05" customHeight="1">
      <c r="A15" s="19"/>
      <c r="B15" s="38"/>
      <c r="C15" s="12"/>
      <c r="D15" s="12"/>
    </row>
    <row r="16" ht="68.05" customHeight="1">
      <c r="A16" t="s" s="17">
        <v>376</v>
      </c>
      <c r="B16" t="s" s="33">
        <v>377</v>
      </c>
      <c r="C16" t="s" s="24">
        <v>378</v>
      </c>
      <c r="D16" t="s" s="24">
        <v>379</v>
      </c>
    </row>
    <row r="17" ht="20.05" customHeight="1">
      <c r="A17" s="19"/>
      <c r="B17" s="38"/>
      <c r="C17" s="12"/>
      <c r="D17" s="12"/>
    </row>
    <row r="18" ht="80.05" customHeight="1">
      <c r="A18" t="s" s="17">
        <v>380</v>
      </c>
      <c r="B18" t="s" s="33">
        <v>381</v>
      </c>
      <c r="C18" t="s" s="24">
        <v>382</v>
      </c>
      <c r="D18" s="12"/>
    </row>
    <row r="19" ht="20.05" customHeight="1">
      <c r="A19" s="19"/>
      <c r="B19" s="38"/>
      <c r="C19" s="12"/>
      <c r="D19" s="12"/>
    </row>
    <row r="20" ht="56.05" customHeight="1">
      <c r="A20" t="s" s="17">
        <v>383</v>
      </c>
      <c r="B20" t="s" s="33">
        <v>384</v>
      </c>
      <c r="C20" t="s" s="24">
        <v>385</v>
      </c>
      <c r="D20" s="12"/>
    </row>
    <row r="21" ht="20.05" customHeight="1">
      <c r="A21" s="19"/>
      <c r="B21" s="38"/>
      <c r="C21" s="12"/>
      <c r="D21" s="12"/>
    </row>
    <row r="22" ht="44.05" customHeight="1">
      <c r="A22" t="s" s="17">
        <v>386</v>
      </c>
      <c r="B22" t="s" s="33">
        <v>387</v>
      </c>
      <c r="C22" t="s" s="24">
        <v>388</v>
      </c>
      <c r="D22" s="12"/>
    </row>
    <row r="23" ht="20.05" customHeight="1">
      <c r="A23" s="19"/>
      <c r="B23" s="38"/>
      <c r="C23" s="12"/>
      <c r="D23" s="12"/>
    </row>
    <row r="24" ht="56.05" customHeight="1">
      <c r="A24" t="s" s="17">
        <v>389</v>
      </c>
      <c r="B24" t="s" s="33">
        <v>390</v>
      </c>
      <c r="C24" t="s" s="24">
        <v>391</v>
      </c>
      <c r="D24" s="12"/>
    </row>
    <row r="25" ht="20.05" customHeight="1">
      <c r="A25" s="19"/>
      <c r="B25" s="38"/>
      <c r="C25" s="12"/>
      <c r="D25" s="12"/>
    </row>
    <row r="26" ht="56.05" customHeight="1">
      <c r="A26" t="s" s="17">
        <v>392</v>
      </c>
      <c r="B26" t="s" s="33">
        <v>393</v>
      </c>
      <c r="C26" t="s" s="24">
        <v>394</v>
      </c>
      <c r="D26" t="s" s="24">
        <v>395</v>
      </c>
    </row>
    <row r="27" ht="20.05" customHeight="1">
      <c r="A27" s="19"/>
      <c r="B27" s="38"/>
      <c r="C27" s="12"/>
      <c r="D27" s="12"/>
    </row>
    <row r="28" ht="56.05" customHeight="1">
      <c r="A28" t="s" s="17">
        <v>396</v>
      </c>
      <c r="B28" t="s" s="33">
        <v>397</v>
      </c>
      <c r="C28" t="s" s="24">
        <v>398</v>
      </c>
      <c r="D28" t="s" s="24">
        <v>399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01" customWidth="1"/>
    <col min="2" max="2" width="21.4531" style="101" customWidth="1"/>
    <col min="3" max="3" width="23.2188" style="101" customWidth="1"/>
    <col min="4" max="4" width="33.8906" style="101" customWidth="1"/>
    <col min="5" max="16384" width="16.3516" style="101" customWidth="1"/>
  </cols>
  <sheetData>
    <row r="1" ht="27.65" customHeight="1">
      <c r="A1" t="s" s="2">
        <v>400</v>
      </c>
      <c r="B1" s="2"/>
      <c r="C1" s="2"/>
      <c r="D1" s="2"/>
    </row>
    <row r="2" ht="20.25" customHeight="1">
      <c r="A2" t="s" s="3">
        <v>357</v>
      </c>
      <c r="B2" t="s" s="3">
        <v>358</v>
      </c>
      <c r="C2" t="s" s="3">
        <v>359</v>
      </c>
      <c r="D2" s="5"/>
    </row>
    <row r="3" ht="20.25" customHeight="1">
      <c r="A3" s="71"/>
      <c r="B3" s="64"/>
      <c r="C3" s="65"/>
      <c r="D3" s="65"/>
    </row>
    <row r="4" ht="56.05" customHeight="1">
      <c r="A4" t="s" s="17">
        <v>401</v>
      </c>
      <c r="B4" t="s" s="33">
        <v>361</v>
      </c>
      <c r="C4" s="12"/>
      <c r="D4" t="s" s="24">
        <v>402</v>
      </c>
    </row>
    <row r="5" ht="20.05" customHeight="1">
      <c r="A5" s="19"/>
      <c r="B5" s="38"/>
      <c r="C5" s="12"/>
      <c r="D5" s="12"/>
    </row>
    <row r="6" ht="32.05" customHeight="1">
      <c r="A6" t="s" s="17">
        <v>364</v>
      </c>
      <c r="B6" t="s" s="33">
        <v>365</v>
      </c>
      <c r="C6" t="s" s="24">
        <v>403</v>
      </c>
      <c r="D6" s="12"/>
    </row>
    <row r="7" ht="20.05" customHeight="1">
      <c r="A7" s="19"/>
      <c r="B7" s="38"/>
      <c r="C7" s="12"/>
      <c r="D7" s="12"/>
    </row>
    <row r="8" ht="32.05" customHeight="1">
      <c r="A8" t="s" s="17">
        <v>367</v>
      </c>
      <c r="B8" t="s" s="33">
        <v>368</v>
      </c>
      <c r="C8" t="s" s="24">
        <v>404</v>
      </c>
      <c r="D8" s="12"/>
    </row>
    <row r="9" ht="20.05" customHeight="1">
      <c r="A9" s="19"/>
      <c r="B9" s="38"/>
      <c r="C9" s="12"/>
      <c r="D9" s="12"/>
    </row>
    <row r="10" ht="32.05" customHeight="1">
      <c r="A10" t="s" s="17">
        <v>370</v>
      </c>
      <c r="B10" t="s" s="33">
        <v>371</v>
      </c>
      <c r="C10" s="12"/>
      <c r="D10" s="12"/>
    </row>
    <row r="11" ht="20.05" customHeight="1">
      <c r="A11" t="s" s="100">
        <v>372</v>
      </c>
      <c r="B11" s="38"/>
      <c r="C11" s="12"/>
      <c r="D11" s="12"/>
    </row>
    <row r="12" ht="44.05" customHeight="1">
      <c r="A12" t="s" s="17">
        <v>373</v>
      </c>
      <c r="B12" t="s" s="33">
        <v>374</v>
      </c>
      <c r="C12" t="s" s="24">
        <v>405</v>
      </c>
      <c r="D12" s="12"/>
    </row>
    <row r="13" ht="20.05" customHeight="1">
      <c r="A13" s="19"/>
      <c r="B13" s="38"/>
      <c r="C13" s="12"/>
      <c r="D13" s="12"/>
    </row>
    <row r="14" ht="68.05" customHeight="1">
      <c r="A14" t="s" s="17">
        <v>376</v>
      </c>
      <c r="B14" t="s" s="33">
        <v>377</v>
      </c>
      <c r="C14" t="s" s="24">
        <v>406</v>
      </c>
      <c r="D14" t="s" s="24">
        <v>379</v>
      </c>
    </row>
    <row r="15" ht="20.05" customHeight="1">
      <c r="A15" s="19"/>
      <c r="B15" s="38"/>
      <c r="C15" s="12"/>
      <c r="D15" s="12"/>
    </row>
    <row r="16" ht="80.05" customHeight="1">
      <c r="A16" t="s" s="17">
        <v>380</v>
      </c>
      <c r="B16" t="s" s="33">
        <v>381</v>
      </c>
      <c r="C16" t="s" s="24">
        <v>407</v>
      </c>
      <c r="D16" s="12"/>
    </row>
    <row r="17" ht="20.05" customHeight="1">
      <c r="A17" s="19"/>
      <c r="B17" s="38"/>
      <c r="C17" s="12"/>
      <c r="D17" s="12"/>
    </row>
    <row r="18" ht="68.05" customHeight="1">
      <c r="A18" t="s" s="17">
        <v>383</v>
      </c>
      <c r="B18" t="s" s="33">
        <v>384</v>
      </c>
      <c r="C18" t="s" s="24">
        <v>408</v>
      </c>
      <c r="D18" s="12"/>
    </row>
    <row r="19" ht="20.05" customHeight="1">
      <c r="A19" s="19"/>
      <c r="B19" s="38"/>
      <c r="C19" s="12"/>
      <c r="D19" s="12"/>
    </row>
    <row r="20" ht="44.05" customHeight="1">
      <c r="A20" t="s" s="17">
        <v>386</v>
      </c>
      <c r="B20" t="s" s="33">
        <v>387</v>
      </c>
      <c r="C20" t="s" s="24">
        <v>388</v>
      </c>
      <c r="D20" s="12"/>
    </row>
    <row r="21" ht="20.05" customHeight="1">
      <c r="A21" s="19"/>
      <c r="B21" s="38"/>
      <c r="C21" s="12"/>
      <c r="D21" s="12"/>
    </row>
    <row r="22" ht="68.05" customHeight="1">
      <c r="A22" t="s" s="17">
        <v>389</v>
      </c>
      <c r="B22" t="s" s="33">
        <v>390</v>
      </c>
      <c r="C22" t="s" s="24">
        <v>391</v>
      </c>
      <c r="D22" s="12"/>
    </row>
    <row r="23" ht="20.05" customHeight="1">
      <c r="A23" s="19"/>
      <c r="B23" s="38"/>
      <c r="C23" s="12"/>
      <c r="D23" s="12"/>
    </row>
    <row r="24" ht="32.05" customHeight="1">
      <c r="A24" t="s" s="17">
        <v>392</v>
      </c>
      <c r="B24" t="s" s="33">
        <v>393</v>
      </c>
      <c r="C24" t="s" s="24">
        <v>394</v>
      </c>
      <c r="D24" s="12"/>
    </row>
    <row r="25" ht="20.05" customHeight="1">
      <c r="A25" s="19"/>
      <c r="B25" s="38"/>
      <c r="C25" s="12"/>
      <c r="D25" s="12"/>
    </row>
    <row r="26" ht="32.05" customHeight="1">
      <c r="A26" t="s" s="17">
        <v>396</v>
      </c>
      <c r="B26" t="s" s="33">
        <v>397</v>
      </c>
      <c r="C26" t="s" s="24">
        <v>398</v>
      </c>
      <c r="D26" s="12"/>
    </row>
    <row r="27" ht="20.05" customHeight="1">
      <c r="A27" s="19"/>
      <c r="B27" s="38"/>
      <c r="C27" s="12"/>
      <c r="D27" s="12"/>
    </row>
    <row r="28" ht="20.05" customHeight="1">
      <c r="A28" s="19"/>
      <c r="B28" s="38"/>
      <c r="C28" s="12"/>
      <c r="D28" s="12"/>
    </row>
  </sheetData>
  <mergeCells count="1">
    <mergeCell ref="A1:D1"/>
  </mergeCells>
  <hyperlinks>
    <hyperlink ref="D4" r:id="rId1" location="" tooltip="" display="https://www.elecrow.com/display/esp-hmi-display.html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02" customWidth="1"/>
    <col min="2" max="2" width="9.375" style="102" customWidth="1"/>
    <col min="3" max="3" width="9.07031" style="102" customWidth="1"/>
    <col min="4" max="4" width="12.4688" style="102" customWidth="1"/>
    <col min="5" max="16384" width="16.3516" style="102" customWidth="1"/>
  </cols>
  <sheetData>
    <row r="1" ht="27.65" customHeight="1">
      <c r="A1" t="s" s="2">
        <v>409</v>
      </c>
      <c r="B1" s="2"/>
      <c r="C1" s="2"/>
      <c r="D1" s="2"/>
    </row>
    <row r="2" ht="56.25" customHeight="1">
      <c r="A2" t="s" s="3">
        <v>410</v>
      </c>
      <c r="B2" t="s" s="3">
        <v>411</v>
      </c>
      <c r="C2" t="s" s="3">
        <v>412</v>
      </c>
      <c r="D2" t="s" s="3">
        <v>413</v>
      </c>
    </row>
    <row r="3" ht="20.25" customHeight="1">
      <c r="A3" t="s" s="29">
        <v>362</v>
      </c>
      <c r="B3" s="86">
        <v>-240</v>
      </c>
      <c r="C3" s="31">
        <v>-160</v>
      </c>
      <c r="D3" s="65"/>
    </row>
    <row r="4" ht="32.05" customHeight="1">
      <c r="A4" t="s" s="17">
        <v>414</v>
      </c>
      <c r="B4" s="38"/>
      <c r="C4" s="26">
        <v>-300</v>
      </c>
      <c r="D4" s="103">
        <v>1</v>
      </c>
    </row>
    <row r="5" ht="32.05" customHeight="1">
      <c r="A5" t="s" s="17">
        <v>414</v>
      </c>
      <c r="B5" s="38"/>
      <c r="C5" s="26">
        <v>-300</v>
      </c>
      <c r="D5" s="103">
        <v>1</v>
      </c>
    </row>
    <row r="6" ht="20.05" customHeight="1">
      <c r="A6" t="s" s="17">
        <v>415</v>
      </c>
      <c r="B6" s="38"/>
      <c r="C6" s="26">
        <v>-50</v>
      </c>
      <c r="D6" s="103">
        <v>1</v>
      </c>
    </row>
    <row r="7" ht="20.05" customHeight="1">
      <c r="A7" t="s" s="17">
        <v>416</v>
      </c>
      <c r="B7" s="38"/>
      <c r="C7" s="12"/>
      <c r="D7" s="26">
        <v>2</v>
      </c>
    </row>
    <row r="8" ht="20.05" customHeight="1">
      <c r="A8" t="s" s="17">
        <v>417</v>
      </c>
      <c r="B8" s="38"/>
      <c r="C8" t="s" s="24">
        <v>418</v>
      </c>
      <c r="D8" s="26">
        <v>2</v>
      </c>
    </row>
    <row r="9" ht="32.05" customHeight="1">
      <c r="A9" t="s" s="17">
        <v>419</v>
      </c>
      <c r="B9" s="27">
        <v>800</v>
      </c>
      <c r="C9" s="26">
        <v>-10</v>
      </c>
      <c r="D9" s="26">
        <v>2</v>
      </c>
    </row>
    <row r="10" ht="44.05" customHeight="1">
      <c r="A10" t="s" s="17">
        <v>420</v>
      </c>
      <c r="B10" s="38"/>
      <c r="C10" s="26">
        <v>-10</v>
      </c>
      <c r="D10" s="26">
        <v>2</v>
      </c>
    </row>
    <row r="11" ht="32.05" customHeight="1">
      <c r="A11" t="s" s="17">
        <v>421</v>
      </c>
      <c r="B11" s="27">
        <v>-1.5</v>
      </c>
      <c r="C11" s="12"/>
      <c r="D11" s="26">
        <v>3</v>
      </c>
    </row>
    <row r="12" ht="32.05" customHeight="1">
      <c r="A12" t="s" s="17">
        <v>422</v>
      </c>
      <c r="B12" s="38"/>
      <c r="C12" s="12"/>
      <c r="D12" s="26">
        <v>1</v>
      </c>
    </row>
    <row r="13" ht="32.05" customHeight="1">
      <c r="A13" t="s" s="17">
        <v>423</v>
      </c>
      <c r="B13" s="38"/>
      <c r="C13" s="26">
        <f>3*-60</f>
        <v>-180</v>
      </c>
      <c r="D13" s="26">
        <v>1</v>
      </c>
    </row>
    <row r="14" ht="32.05" customHeight="1">
      <c r="A14" t="s" s="17">
        <v>422</v>
      </c>
      <c r="B14" s="38"/>
      <c r="C14" s="26">
        <f>35*-60</f>
        <v>-2100</v>
      </c>
      <c r="D14" s="26">
        <v>1</v>
      </c>
    </row>
    <row r="15" ht="20.05" customHeight="1">
      <c r="A15" t="s" s="17">
        <v>424</v>
      </c>
      <c r="B15" s="38"/>
      <c r="C15" s="26">
        <v>-2000</v>
      </c>
      <c r="D15" s="26">
        <v>2</v>
      </c>
    </row>
    <row r="16" ht="20.05" customHeight="1">
      <c r="A16" t="s" s="17">
        <v>425</v>
      </c>
      <c r="B16" s="38"/>
      <c r="C16" s="26">
        <v>7000</v>
      </c>
      <c r="D16" s="12"/>
    </row>
    <row r="17" ht="20.05" customHeight="1">
      <c r="A17" s="19"/>
      <c r="B17" s="38"/>
      <c r="C17" s="12"/>
      <c r="D17" s="12"/>
    </row>
    <row r="18" ht="20.05" customHeight="1">
      <c r="A18" t="s" s="17">
        <v>426</v>
      </c>
      <c r="B18" s="27">
        <f>SUM(B3:B12)</f>
        <v>558.5</v>
      </c>
      <c r="C18" s="26">
        <f>SUM(C3:C16)</f>
        <v>1890</v>
      </c>
      <c r="D18" s="26">
        <f>SUM(D3:D13)</f>
        <v>16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2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8" customWidth="1"/>
    <col min="2" max="2" width="18.2891" style="28" customWidth="1"/>
    <col min="3" max="6" width="16.3516" style="28" customWidth="1"/>
    <col min="7" max="16384" width="16.3516" style="28" customWidth="1"/>
  </cols>
  <sheetData>
    <row r="1" ht="27.65" customHeight="1">
      <c r="A1" t="s" s="2">
        <v>28</v>
      </c>
      <c r="B1" s="2"/>
      <c r="C1" s="2"/>
      <c r="D1" s="2"/>
      <c r="E1" s="2"/>
      <c r="F1" s="2"/>
    </row>
    <row r="2" ht="20.25" customHeight="1">
      <c r="A2" t="s" s="3">
        <v>29</v>
      </c>
      <c r="B2" t="s" s="3">
        <v>30</v>
      </c>
      <c r="C2" t="s" s="3">
        <v>31</v>
      </c>
      <c r="D2" s="5"/>
      <c r="E2" t="s" s="3">
        <v>32</v>
      </c>
      <c r="F2" t="s" s="3">
        <v>33</v>
      </c>
    </row>
    <row r="3" ht="92.25" customHeight="1">
      <c r="A3" t="s" s="29">
        <v>34</v>
      </c>
      <c r="B3" t="s" s="30">
        <v>35</v>
      </c>
      <c r="C3" s="31">
        <v>120</v>
      </c>
      <c r="D3" t="s" s="32">
        <v>36</v>
      </c>
      <c r="E3" s="31">
        <f>'Calcs - Pump &amp; injection pressu'!B16</f>
        <v>12</v>
      </c>
      <c r="F3" t="s" s="32">
        <v>24</v>
      </c>
    </row>
    <row r="4" ht="45.35" customHeight="1">
      <c r="A4" t="s" s="17">
        <v>37</v>
      </c>
      <c r="B4" t="s" s="33">
        <v>38</v>
      </c>
      <c r="C4" t="s" s="24">
        <v>39</v>
      </c>
      <c r="D4" s="12"/>
      <c r="E4" s="34"/>
      <c r="F4" s="12"/>
    </row>
    <row r="5" ht="118.7" customHeight="1">
      <c r="A5" t="s" s="17">
        <v>40</v>
      </c>
      <c r="B5" t="s" s="33">
        <v>41</v>
      </c>
      <c r="C5" s="26">
        <v>97.02</v>
      </c>
      <c r="D5" t="s" s="35">
        <v>42</v>
      </c>
      <c r="E5" s="36">
        <v>20</v>
      </c>
      <c r="F5" t="s" s="37">
        <v>43</v>
      </c>
    </row>
    <row r="6" ht="33.35" customHeight="1">
      <c r="A6" s="19"/>
      <c r="B6" s="38"/>
      <c r="C6" s="12"/>
      <c r="D6" t="s" s="24">
        <v>44</v>
      </c>
      <c r="E6" s="39">
        <f>E3*E5</f>
        <v>240</v>
      </c>
      <c r="F6" t="s" s="24">
        <v>24</v>
      </c>
    </row>
    <row r="7" ht="128.05" customHeight="1">
      <c r="A7" t="s" s="17">
        <v>45</v>
      </c>
      <c r="B7" t="s" s="33">
        <v>46</v>
      </c>
      <c r="C7" s="26">
        <v>17.6</v>
      </c>
      <c r="D7" t="s" s="24">
        <v>47</v>
      </c>
      <c r="E7" s="26">
        <v>0.025</v>
      </c>
      <c r="F7" t="s" s="24">
        <v>48</v>
      </c>
    </row>
    <row r="8" ht="44.85" customHeight="1">
      <c r="A8" t="s" s="17">
        <v>49</v>
      </c>
      <c r="B8" t="s" s="33">
        <v>50</v>
      </c>
      <c r="C8" s="26">
        <v>34.32</v>
      </c>
      <c r="D8" t="s" s="40">
        <v>51</v>
      </c>
      <c r="E8" s="41">
        <f>'Calcs - Pump &amp; injection pressu'!B15</f>
        <v>0.03</v>
      </c>
      <c r="F8" t="s" s="40">
        <v>52</v>
      </c>
    </row>
    <row r="9" ht="32.85" customHeight="1">
      <c r="A9" s="19"/>
      <c r="B9" s="38"/>
      <c r="C9" s="42"/>
      <c r="D9" t="s" s="43">
        <v>53</v>
      </c>
      <c r="E9" s="44">
        <f>E6/E8</f>
        <v>8000</v>
      </c>
      <c r="F9" t="s" s="45">
        <v>54</v>
      </c>
    </row>
    <row r="10" ht="32.05" customHeight="1">
      <c r="A10" t="s" s="17">
        <v>55</v>
      </c>
      <c r="B10" t="s" s="33">
        <v>56</v>
      </c>
      <c r="C10" s="46">
        <v>130.67</v>
      </c>
      <c r="D10" s="47"/>
      <c r="E10" s="48"/>
      <c r="F10" s="12"/>
    </row>
    <row r="11" ht="32.05" customHeight="1">
      <c r="A11" t="s" s="17">
        <v>57</v>
      </c>
      <c r="B11" t="s" s="33">
        <v>58</v>
      </c>
      <c r="C11" s="46">
        <v>20.64</v>
      </c>
      <c r="D11" t="s" s="49">
        <v>53</v>
      </c>
      <c r="E11" s="50">
        <f>E9*0.1019716213</f>
        <v>815.7729704</v>
      </c>
      <c r="F11" t="s" s="24">
        <v>59</v>
      </c>
    </row>
    <row r="12" ht="44.05" customHeight="1">
      <c r="A12" s="19"/>
      <c r="B12" s="38"/>
      <c r="C12" s="42"/>
      <c r="D12" t="s" s="49">
        <v>60</v>
      </c>
      <c r="E12" s="51">
        <f>E11/'Calcs - Pump &amp; injection pressu'!B4</f>
        <v>153.650059976235</v>
      </c>
      <c r="F12" t="s" s="24">
        <v>61</v>
      </c>
    </row>
    <row r="13" ht="56.05" customHeight="1">
      <c r="A13" s="19"/>
      <c r="B13" s="38"/>
      <c r="C13" s="42"/>
      <c r="D13" t="s" s="49">
        <v>62</v>
      </c>
      <c r="E13" s="52">
        <f>'Calcs - Pump &amp; injection pressu'!B4/'Calcs - Pump &amp; injection pressu'!B11*E12</f>
        <v>3433.634398146610</v>
      </c>
      <c r="F13" t="s" s="24">
        <v>61</v>
      </c>
    </row>
    <row r="14" ht="20.85" customHeight="1">
      <c r="A14" s="53"/>
      <c r="B14" s="54"/>
      <c r="C14" s="55"/>
      <c r="D14" s="47"/>
      <c r="E14" s="26"/>
      <c r="F14" s="12"/>
    </row>
    <row r="15" ht="32.85" customHeight="1">
      <c r="A15" t="s" s="56">
        <v>63</v>
      </c>
      <c r="B15" s="57">
        <v>5</v>
      </c>
      <c r="C15" t="s" s="45">
        <v>20</v>
      </c>
      <c r="D15" t="s" s="24">
        <v>64</v>
      </c>
      <c r="E15" s="26">
        <f>'Calcs - Pump &amp; injection pressu'!B6/'Calcs - Pump &amp; injection pressu'!B7</f>
        <v>10.6185831691335</v>
      </c>
      <c r="F15" t="s" s="24">
        <v>43</v>
      </c>
    </row>
    <row r="16" ht="20.05" customHeight="1">
      <c r="A16" t="s" s="17">
        <v>65</v>
      </c>
      <c r="B16" s="27">
        <f>B15*400</f>
        <v>2000</v>
      </c>
      <c r="C16" s="12"/>
      <c r="D16" t="s" s="24">
        <v>66</v>
      </c>
      <c r="E16" s="26">
        <f>'Calcs - Pump &amp; injection pressu'!B5/E18</f>
        <v>2.65258238486492</v>
      </c>
      <c r="F16" t="s" s="24">
        <v>67</v>
      </c>
    </row>
    <row r="17" ht="20.05" customHeight="1">
      <c r="A17" t="s" s="17">
        <v>68</v>
      </c>
      <c r="B17" s="27">
        <f>B15*60</f>
        <v>300</v>
      </c>
      <c r="C17" t="s" s="24">
        <v>68</v>
      </c>
      <c r="D17" t="s" s="24">
        <v>69</v>
      </c>
      <c r="E17" s="26">
        <f>'Calcs - Pump &amp; injection pressu'!B5/E21</f>
        <v>10.6103295394597</v>
      </c>
      <c r="F17" t="s" s="24">
        <v>70</v>
      </c>
    </row>
    <row r="18" ht="32.05" customHeight="1">
      <c r="A18" t="s" s="17">
        <v>71</v>
      </c>
      <c r="B18" s="27">
        <f>B15/E5</f>
        <v>0.25</v>
      </c>
      <c r="C18" t="s" s="24">
        <v>20</v>
      </c>
      <c r="D18" t="s" s="24">
        <v>72</v>
      </c>
      <c r="E18" s="26">
        <f>2*(PI()*E8*100)</f>
        <v>18.8495559215388</v>
      </c>
      <c r="F18" t="s" s="24">
        <v>73</v>
      </c>
    </row>
    <row r="19" ht="32.05" customHeight="1">
      <c r="A19" t="s" s="17">
        <v>74</v>
      </c>
      <c r="B19" s="27">
        <f>B18*60</f>
        <v>15</v>
      </c>
      <c r="C19" t="s" s="24">
        <v>68</v>
      </c>
      <c r="D19" t="s" s="24">
        <v>75</v>
      </c>
      <c r="E19" s="26">
        <f>B20*E5</f>
        <v>8000</v>
      </c>
      <c r="F19" s="26">
        <f>E19/E18</f>
        <v>424.413181578387</v>
      </c>
    </row>
    <row r="20" ht="32.05" customHeight="1">
      <c r="A20" t="s" s="17">
        <v>76</v>
      </c>
      <c r="B20" s="27">
        <v>400</v>
      </c>
      <c r="C20" s="26">
        <f>B20*E5</f>
        <v>8000</v>
      </c>
      <c r="D20" t="s" s="24">
        <v>77</v>
      </c>
      <c r="E20" s="58">
        <f>E18*'Calcs - Pump &amp; injection pressu'!B4</f>
        <v>100.077788627046</v>
      </c>
      <c r="F20" t="s" s="24">
        <v>78</v>
      </c>
    </row>
    <row r="21" ht="32.05" customHeight="1">
      <c r="A21" t="s" s="17">
        <v>79</v>
      </c>
      <c r="B21" s="27">
        <f>B20*B15</f>
        <v>2000</v>
      </c>
      <c r="C21" s="26">
        <f>B21/B20/E5</f>
        <v>0.25</v>
      </c>
      <c r="D21" t="s" s="24">
        <v>80</v>
      </c>
      <c r="E21" s="26">
        <f>E18*B18</f>
        <v>4.7123889803847</v>
      </c>
      <c r="F21" t="s" s="24">
        <v>73</v>
      </c>
    </row>
    <row r="22" ht="32.05" customHeight="1">
      <c r="A22" t="s" s="17">
        <v>81</v>
      </c>
      <c r="B22" s="27">
        <v>2000</v>
      </c>
      <c r="C22" s="12"/>
      <c r="D22" s="12"/>
      <c r="E22" s="26"/>
      <c r="F22" s="12"/>
    </row>
    <row r="23" ht="32.05" customHeight="1">
      <c r="A23" t="s" s="17">
        <v>82</v>
      </c>
      <c r="B23" s="27">
        <f>B22*B15</f>
        <v>10000</v>
      </c>
      <c r="C23" s="12"/>
      <c r="D23" s="12"/>
      <c r="E23" s="26"/>
      <c r="F23" s="12"/>
    </row>
    <row r="24" ht="32.05" customHeight="1">
      <c r="A24" t="s" s="17">
        <v>83</v>
      </c>
      <c r="B24" s="27">
        <f>E18*E25</f>
        <v>4.70872612697915</v>
      </c>
      <c r="C24" s="26">
        <f>B21*(E25/B18)</f>
        <v>1998.4454367325</v>
      </c>
      <c r="D24" t="s" s="24">
        <v>84</v>
      </c>
      <c r="E24" s="26">
        <f>'Calcs - Pump &amp; injection pressu'!B6/E17</f>
        <v>25.0194471567615</v>
      </c>
      <c r="F24" t="s" s="24">
        <v>78</v>
      </c>
    </row>
    <row r="25" ht="32.05" customHeight="1">
      <c r="A25" t="s" s="17">
        <v>85</v>
      </c>
      <c r="B25" s="59">
        <f>E18/E20</f>
        <v>0.188349045079167</v>
      </c>
      <c r="C25" s="60">
        <f>C24/25</f>
        <v>79.9378174693</v>
      </c>
      <c r="D25" t="s" s="24">
        <v>14</v>
      </c>
      <c r="E25" s="61">
        <f>E16/E15</f>
        <v>0.249805679591562</v>
      </c>
      <c r="F25" t="s" s="24">
        <v>86</v>
      </c>
    </row>
    <row r="26" ht="32.05" customHeight="1">
      <c r="A26" t="s" s="17">
        <v>87</v>
      </c>
      <c r="B26" s="23">
        <f>'Calcs - Pump &amp; injection pressu'!B4</f>
        <v>5.30929158456675</v>
      </c>
      <c r="C26" s="26">
        <f>C25*B26</f>
        <v>424.413181578387</v>
      </c>
      <c r="D26" t="s" s="24">
        <v>88</v>
      </c>
      <c r="E26" s="26">
        <f>ROUND(25/E24,3)</f>
        <v>0.999</v>
      </c>
      <c r="F26" t="s" s="24">
        <v>70</v>
      </c>
    </row>
    <row r="27" ht="68.05" customHeight="1">
      <c r="A27" t="s" s="17">
        <v>89</v>
      </c>
      <c r="B27" s="27">
        <f>B26*'Calcs - Pump &amp; injection pressu'!B5</f>
        <v>265.464579228338</v>
      </c>
      <c r="C27" s="26">
        <f>'Calcs - Pump &amp; injection pressu'!B5*C26</f>
        <v>21220.6590789194</v>
      </c>
      <c r="D27" s="12"/>
      <c r="E27" s="26"/>
      <c r="F27" s="12"/>
    </row>
    <row r="28" ht="116.05" customHeight="1">
      <c r="A28" t="s" s="17">
        <v>90</v>
      </c>
      <c r="B28" s="38"/>
      <c r="C28" s="26">
        <f>67*C26</f>
        <v>28435.6831657519</v>
      </c>
      <c r="D28" s="26">
        <f>(16-7)*C26</f>
        <v>3819.718634205480</v>
      </c>
      <c r="E28" t="s" s="24">
        <v>91</v>
      </c>
      <c r="F28" s="26">
        <f>50+2+6+16-7</f>
        <v>67</v>
      </c>
    </row>
    <row r="29" ht="56.05" customHeight="1">
      <c r="A29" t="s" s="17">
        <v>92</v>
      </c>
      <c r="B29" s="38"/>
      <c r="C29" s="13">
        <f>C28-C27</f>
        <v>7215.0240868325</v>
      </c>
      <c r="D29" s="13">
        <f>C28-D28-C27</f>
        <v>3395.305452627020</v>
      </c>
      <c r="E29" s="12"/>
      <c r="F29" s="12"/>
    </row>
  </sheetData>
  <mergeCells count="1">
    <mergeCell ref="A1:F1"/>
  </mergeCells>
  <hyperlinks>
    <hyperlink ref="B3" r:id="rId1" location="" tooltip="" display="https://robotdigg.com/product/1228/Two-phase-NEMA34-closed-loop-stepper-motor"/>
    <hyperlink ref="B4" r:id="rId2" location="" tooltip="" display="https://www.robotdigg.com/product/1229"/>
    <hyperlink ref="B5" r:id="rId3" location="" tooltip="" display="https://www.zuendo.com/corona-sin-fin/5166-reductor-rstv050-tamano-motor-71-eje-de-entrada-14-mm.html#/840-elige_brida-b14/13-relacion-i_20"/>
    <hyperlink ref="B7" r:id="rId4" location="" tooltip="" display="https://www.zuendo.com/accesorios-para-reductores/3110-eje-simple-de-salida-para-reductor-todos-los-tamanos.html#/818-tipo_de_eje-25_mm_rstv50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1.0312" style="104" customWidth="1"/>
    <col min="2" max="2" width="11.4922" style="104" customWidth="1"/>
    <col min="3" max="3" width="10.7266" style="104" customWidth="1"/>
    <col min="4" max="4" width="12.1875" style="104" customWidth="1"/>
    <col min="5" max="5" width="10.9062" style="104" customWidth="1"/>
    <col min="6" max="6" width="12.2578" style="104" customWidth="1"/>
    <col min="7" max="16384" width="16.3516" style="104" customWidth="1"/>
  </cols>
  <sheetData>
    <row r="1" ht="27.65" customHeight="1">
      <c r="A1" t="s" s="2">
        <v>427</v>
      </c>
      <c r="B1" s="2"/>
      <c r="C1" s="2"/>
      <c r="D1" s="2"/>
      <c r="E1" s="2"/>
      <c r="F1" s="2"/>
    </row>
    <row r="2" ht="32.25" customHeight="1">
      <c r="A2" t="s" s="3">
        <v>410</v>
      </c>
      <c r="B2" t="s" s="3">
        <v>428</v>
      </c>
      <c r="C2" t="s" s="3">
        <v>429</v>
      </c>
      <c r="D2" t="s" s="3">
        <v>430</v>
      </c>
      <c r="E2" t="s" s="3">
        <v>431</v>
      </c>
      <c r="F2" t="s" s="3">
        <v>432</v>
      </c>
    </row>
    <row r="3" ht="32.25" customHeight="1">
      <c r="A3" t="s" s="29">
        <v>433</v>
      </c>
      <c r="B3" s="64"/>
      <c r="C3" t="s" s="32">
        <v>434</v>
      </c>
      <c r="D3" t="s" s="105">
        <v>435</v>
      </c>
      <c r="E3" s="65"/>
      <c r="F3" t="s" s="32">
        <v>436</v>
      </c>
    </row>
    <row r="4" ht="37.35" customHeight="1">
      <c r="A4" t="s" s="17">
        <v>437</v>
      </c>
      <c r="B4" t="s" s="33">
        <v>438</v>
      </c>
      <c r="C4" t="s" s="24">
        <v>439</v>
      </c>
      <c r="D4" s="12"/>
      <c r="E4" s="12"/>
      <c r="F4" t="s" s="24">
        <v>440</v>
      </c>
    </row>
    <row r="5" ht="32.05" customHeight="1">
      <c r="A5" t="s" s="17">
        <v>441</v>
      </c>
      <c r="B5" t="s" s="106">
        <v>438</v>
      </c>
      <c r="C5" s="12"/>
      <c r="D5" t="s" s="107">
        <v>438</v>
      </c>
      <c r="E5" s="12"/>
      <c r="F5" s="12"/>
    </row>
    <row r="6" ht="20.05" customHeight="1">
      <c r="A6" t="s" s="17">
        <v>362</v>
      </c>
      <c r="B6" t="s" s="33">
        <v>438</v>
      </c>
      <c r="C6" s="12"/>
      <c r="D6" s="12"/>
      <c r="E6" s="12"/>
      <c r="F6" t="s" s="24">
        <v>442</v>
      </c>
    </row>
    <row r="7" ht="32.85" customHeight="1">
      <c r="A7" t="s" s="17">
        <v>443</v>
      </c>
      <c r="B7" s="54"/>
      <c r="C7" t="s" s="24">
        <v>444</v>
      </c>
      <c r="D7" s="12"/>
      <c r="E7" s="12"/>
      <c r="F7" t="s" s="24">
        <v>445</v>
      </c>
    </row>
    <row r="8" ht="68.85" customHeight="1">
      <c r="A8" t="s" s="108">
        <v>446</v>
      </c>
      <c r="B8" t="s" s="109">
        <v>447</v>
      </c>
      <c r="C8" t="s" s="49">
        <v>448</v>
      </c>
      <c r="D8" s="12"/>
      <c r="E8" s="12"/>
      <c r="F8" t="s" s="24">
        <v>449</v>
      </c>
    </row>
    <row r="9" ht="20.05" customHeight="1">
      <c r="A9" t="s" s="108">
        <v>450</v>
      </c>
      <c r="B9" s="110"/>
      <c r="C9" t="s" s="49">
        <v>448</v>
      </c>
      <c r="D9" s="12"/>
      <c r="E9" s="12"/>
      <c r="F9" t="s" s="24">
        <v>451</v>
      </c>
    </row>
    <row r="10" ht="20.85" customHeight="1">
      <c r="A10" t="s" s="108">
        <v>452</v>
      </c>
      <c r="B10" s="111"/>
      <c r="C10" t="s" s="49">
        <v>448</v>
      </c>
      <c r="D10" s="12"/>
      <c r="E10" s="12"/>
      <c r="F10" t="s" s="24">
        <v>453</v>
      </c>
    </row>
    <row r="11" ht="21.7" customHeight="1">
      <c r="A11" t="s" s="17">
        <v>454</v>
      </c>
      <c r="B11" t="s" s="112">
        <v>455</v>
      </c>
      <c r="C11" s="12"/>
      <c r="D11" t="s" s="113">
        <v>456</v>
      </c>
      <c r="E11" s="26">
        <v>4</v>
      </c>
      <c r="F11" s="12"/>
    </row>
    <row r="12" ht="32.85" customHeight="1">
      <c r="A12" t="s" s="17">
        <v>457</v>
      </c>
      <c r="B12" s="38"/>
      <c r="C12" t="s" s="114">
        <v>458</v>
      </c>
      <c r="D12" t="s" s="109">
        <v>459</v>
      </c>
      <c r="E12" s="115">
        <v>-1</v>
      </c>
      <c r="F12" t="s" s="24">
        <v>460</v>
      </c>
    </row>
    <row r="13" ht="32.05" customHeight="1">
      <c r="A13" t="s" s="17">
        <v>461</v>
      </c>
      <c r="B13" s="38"/>
      <c r="C13" t="s" s="114">
        <v>458</v>
      </c>
      <c r="D13" s="110"/>
      <c r="E13" s="115">
        <v>-1</v>
      </c>
      <c r="F13" t="s" s="24">
        <v>462</v>
      </c>
    </row>
    <row r="14" ht="32.85" customHeight="1">
      <c r="A14" t="s" s="17">
        <v>463</v>
      </c>
      <c r="B14" s="38"/>
      <c r="C14" t="s" s="114">
        <v>464</v>
      </c>
      <c r="D14" s="111"/>
      <c r="E14" s="115">
        <v>-1</v>
      </c>
      <c r="F14" t="s" s="24">
        <v>465</v>
      </c>
    </row>
    <row r="15" ht="33.7" customHeight="1">
      <c r="A15" t="s" s="17">
        <v>466</v>
      </c>
      <c r="B15" s="38"/>
      <c r="C15" t="s" s="114">
        <v>467</v>
      </c>
      <c r="D15" s="116"/>
      <c r="E15" s="47"/>
      <c r="F15" t="s" s="24">
        <v>468</v>
      </c>
    </row>
    <row r="16" ht="45.7" customHeight="1">
      <c r="A16" t="s" s="17">
        <v>469</v>
      </c>
      <c r="B16" s="38"/>
      <c r="C16" t="s" s="114">
        <v>458</v>
      </c>
      <c r="D16" s="116"/>
      <c r="E16" s="47"/>
      <c r="F16" t="s" s="24">
        <v>470</v>
      </c>
    </row>
    <row r="17" ht="45.7" customHeight="1">
      <c r="A17" t="s" s="17">
        <v>471</v>
      </c>
      <c r="B17" s="38"/>
      <c r="C17" t="s" s="114">
        <v>472</v>
      </c>
      <c r="D17" t="s" s="117">
        <v>459</v>
      </c>
      <c r="E17" s="115">
        <v>0</v>
      </c>
      <c r="F17" t="s" s="24">
        <v>473</v>
      </c>
    </row>
    <row r="18" ht="32.85" customHeight="1">
      <c r="A18" t="s" s="17">
        <v>474</v>
      </c>
      <c r="B18" s="38"/>
      <c r="C18" t="s" s="114">
        <v>472</v>
      </c>
      <c r="D18" s="118"/>
      <c r="E18" s="115">
        <v>0</v>
      </c>
      <c r="F18" t="s" s="24">
        <v>475</v>
      </c>
    </row>
    <row r="19" ht="32.05" customHeight="1">
      <c r="A19" t="s" s="17">
        <v>421</v>
      </c>
      <c r="B19" t="s" s="106">
        <v>438</v>
      </c>
      <c r="C19" t="s" s="24">
        <v>476</v>
      </c>
      <c r="D19" s="12"/>
      <c r="E19" s="12"/>
      <c r="F19" t="s" s="24">
        <v>477</v>
      </c>
    </row>
    <row r="20" ht="32.05" customHeight="1">
      <c r="A20" t="s" s="17">
        <v>423</v>
      </c>
      <c r="B20" s="38"/>
      <c r="C20" t="s" s="24">
        <v>478</v>
      </c>
      <c r="D20" t="s" s="24">
        <v>438</v>
      </c>
      <c r="E20" s="12"/>
      <c r="F20" t="s" s="24">
        <v>479</v>
      </c>
    </row>
    <row r="21" ht="44.05" customHeight="1">
      <c r="A21" t="s" s="17">
        <v>480</v>
      </c>
      <c r="B21" s="38"/>
      <c r="C21" t="s" s="24">
        <v>478</v>
      </c>
      <c r="D21" t="s" s="24">
        <v>438</v>
      </c>
      <c r="E21" s="12"/>
      <c r="F21" t="s" s="24">
        <v>481</v>
      </c>
    </row>
    <row r="22" ht="20.05" customHeight="1">
      <c r="A22" t="s" s="17">
        <v>482</v>
      </c>
      <c r="B22" s="38"/>
      <c r="C22" s="12"/>
      <c r="D22" t="s" s="107">
        <v>438</v>
      </c>
      <c r="E22" s="12"/>
      <c r="F22" s="12"/>
    </row>
    <row r="23" ht="20.05" customHeight="1">
      <c r="A23" s="19"/>
      <c r="B23" s="38"/>
      <c r="C23" s="12"/>
      <c r="D23" s="12"/>
      <c r="E23" s="12"/>
      <c r="F23" s="12"/>
    </row>
    <row r="24" ht="32.05" customHeight="1">
      <c r="A24" s="19"/>
      <c r="B24" t="s" s="33">
        <v>483</v>
      </c>
      <c r="C24" s="12"/>
      <c r="D24" t="s" s="24">
        <v>484</v>
      </c>
      <c r="E24" t="s" s="24">
        <v>485</v>
      </c>
      <c r="F24" s="12"/>
    </row>
    <row r="25" ht="20.05" customHeight="1">
      <c r="A25" t="s" s="17">
        <v>486</v>
      </c>
      <c r="B25" s="27">
        <f>COUNTA(B3:B$23)-1</f>
        <v>5</v>
      </c>
      <c r="C25" s="12"/>
      <c r="D25" s="26">
        <f>COUNTA(D$3:D$23)-1</f>
        <v>7</v>
      </c>
      <c r="E25" s="26">
        <f>SUM(E3:E23)</f>
        <v>1</v>
      </c>
      <c r="F25" s="12"/>
    </row>
    <row r="26" ht="20.05" customHeight="1">
      <c r="A26" t="s" s="17">
        <v>487</v>
      </c>
      <c r="B26" s="27">
        <f>COUNTA(B4:B$23)-1</f>
        <v>5</v>
      </c>
      <c r="C26" s="12"/>
      <c r="D26" s="26">
        <f>COUNTA(D$3:D$23)</f>
        <v>8</v>
      </c>
      <c r="E26" s="12"/>
      <c r="F26" s="12"/>
    </row>
    <row r="27" ht="20.05" customHeight="1">
      <c r="A27" s="19"/>
      <c r="B27" s="38"/>
      <c r="C27" s="12"/>
      <c r="D27" s="12"/>
      <c r="E27" s="12"/>
      <c r="F27" s="12"/>
    </row>
    <row r="28" ht="20.05" customHeight="1">
      <c r="A28" t="s" s="119">
        <v>488</v>
      </c>
      <c r="B28" s="38"/>
      <c r="C28" s="12"/>
      <c r="D28" s="12"/>
      <c r="E28" s="12"/>
      <c r="F28" s="12"/>
    </row>
    <row r="29" ht="20.05" customHeight="1">
      <c r="A29" t="s" s="17">
        <v>489</v>
      </c>
      <c r="B29" s="38"/>
      <c r="C29" s="12"/>
      <c r="D29" s="12"/>
      <c r="E29" s="12"/>
      <c r="F29" s="12"/>
    </row>
    <row r="30" ht="20.05" customHeight="1">
      <c r="A30" s="19"/>
      <c r="B30" s="38"/>
      <c r="C30" s="12"/>
      <c r="D30" s="12"/>
      <c r="E30" s="12"/>
      <c r="F30" s="12"/>
    </row>
    <row r="31" ht="20.05" customHeight="1">
      <c r="A31" t="s" s="119">
        <v>490</v>
      </c>
      <c r="B31" s="38"/>
      <c r="C31" s="12"/>
      <c r="D31" s="12"/>
      <c r="E31" s="12"/>
      <c r="F31" s="12"/>
    </row>
    <row r="32" ht="20.05" customHeight="1">
      <c r="A32" t="s" s="119">
        <v>491</v>
      </c>
      <c r="B32" s="38"/>
      <c r="C32" s="12"/>
      <c r="D32" s="12"/>
      <c r="E32" s="12"/>
      <c r="F32" s="12"/>
    </row>
    <row r="33" ht="20.05" customHeight="1">
      <c r="A33" t="s" s="119">
        <v>492</v>
      </c>
      <c r="B33" s="38"/>
      <c r="C33" s="12"/>
      <c r="D33" s="12"/>
      <c r="E33" s="12"/>
      <c r="F33" s="12"/>
    </row>
    <row r="34" ht="20.05" customHeight="1">
      <c r="A34" t="s" s="119">
        <v>493</v>
      </c>
      <c r="B34" s="38"/>
      <c r="C34" s="12"/>
      <c r="D34" s="12"/>
      <c r="E34" s="12"/>
      <c r="F34" s="12"/>
    </row>
    <row r="35" ht="20.05" customHeight="1">
      <c r="A35" t="s" s="119">
        <v>494</v>
      </c>
      <c r="B35" s="38"/>
      <c r="C35" s="12"/>
      <c r="D35" s="12"/>
      <c r="E35" s="12"/>
      <c r="F35" s="12"/>
    </row>
    <row r="36" ht="20.05" customHeight="1">
      <c r="A36" t="s" s="119">
        <v>495</v>
      </c>
      <c r="B36" s="38"/>
      <c r="C36" s="12"/>
      <c r="D36" s="12"/>
      <c r="E36" s="12"/>
      <c r="F36" s="12"/>
    </row>
    <row r="37" ht="20.05" customHeight="1">
      <c r="A37" t="s" s="119">
        <v>496</v>
      </c>
      <c r="B37" s="38"/>
      <c r="C37" s="12"/>
      <c r="D37" s="12"/>
      <c r="E37" s="12"/>
      <c r="F37" s="12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N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9.1016" style="120" customWidth="1"/>
    <col min="2" max="2" width="23.7656" style="120" customWidth="1"/>
    <col min="3" max="3" width="31.1484" style="120" customWidth="1"/>
    <col min="4" max="4" width="27.9062" style="120" customWidth="1"/>
    <col min="5" max="5" width="17.6797" style="120" customWidth="1"/>
    <col min="6" max="6" width="30.3125" style="120" customWidth="1"/>
    <col min="7" max="7" width="30.8672" style="120" customWidth="1"/>
    <col min="8" max="8" width="17.8594" style="120" customWidth="1"/>
    <col min="9" max="9" width="30.2266" style="120" customWidth="1"/>
    <col min="10" max="10" width="22.5547" style="120" customWidth="1"/>
    <col min="11" max="11" width="22.0156" style="120" customWidth="1"/>
    <col min="12" max="12" width="21.7578" style="120" customWidth="1"/>
    <col min="13" max="13" width="22.8516" style="120" customWidth="1"/>
    <col min="14" max="14" width="21.6016" style="120" customWidth="1"/>
    <col min="15" max="16384" width="16.3516" style="120" customWidth="1"/>
  </cols>
  <sheetData>
    <row r="1" ht="27.65" customHeight="1">
      <c r="A1" t="s" s="2">
        <v>497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2.25" customHeight="1">
      <c r="A2" t="s" s="3">
        <v>498</v>
      </c>
      <c r="B2" t="s" s="3">
        <v>499</v>
      </c>
      <c r="C2" t="s" s="3">
        <v>500</v>
      </c>
      <c r="D2" t="s" s="3">
        <v>501</v>
      </c>
      <c r="E2" t="s" s="3">
        <v>502</v>
      </c>
      <c r="F2" t="s" s="3">
        <v>503</v>
      </c>
      <c r="G2" t="s" s="3">
        <v>504</v>
      </c>
      <c r="H2" t="s" s="3">
        <v>505</v>
      </c>
      <c r="I2" t="s" s="3">
        <v>506</v>
      </c>
      <c r="J2" t="s" s="3">
        <v>507</v>
      </c>
      <c r="K2" t="s" s="3">
        <v>508</v>
      </c>
      <c r="L2" t="s" s="3">
        <v>509</v>
      </c>
      <c r="M2" t="s" s="3">
        <v>510</v>
      </c>
      <c r="N2" t="s" s="3">
        <v>511</v>
      </c>
    </row>
    <row r="3" ht="44.25" customHeight="1">
      <c r="A3" t="s" s="29">
        <v>512</v>
      </c>
      <c r="B3" t="s" s="30">
        <v>513</v>
      </c>
      <c r="C3" t="s" s="32">
        <v>514</v>
      </c>
      <c r="D3" t="s" s="32">
        <v>515</v>
      </c>
      <c r="E3" t="s" s="32">
        <v>515</v>
      </c>
      <c r="F3" t="s" s="32">
        <v>515</v>
      </c>
      <c r="G3" t="s" s="32">
        <v>515</v>
      </c>
      <c r="H3" t="s" s="32">
        <v>515</v>
      </c>
      <c r="I3" t="s" s="32">
        <v>515</v>
      </c>
      <c r="J3" t="s" s="32">
        <v>515</v>
      </c>
      <c r="K3" t="s" s="32">
        <v>515</v>
      </c>
      <c r="L3" t="s" s="32">
        <v>515</v>
      </c>
      <c r="M3" t="s" s="32">
        <v>515</v>
      </c>
      <c r="N3" t="s" s="32">
        <v>515</v>
      </c>
    </row>
    <row r="4" ht="92.05" customHeight="1">
      <c r="A4" t="s" s="17">
        <v>516</v>
      </c>
      <c r="B4" t="s" s="33">
        <v>517</v>
      </c>
      <c r="C4" t="s" s="24">
        <v>513</v>
      </c>
      <c r="D4" t="s" s="24">
        <v>518</v>
      </c>
      <c r="E4" t="s" s="24">
        <v>518</v>
      </c>
      <c r="F4" t="s" s="24">
        <v>518</v>
      </c>
      <c r="G4" t="s" s="24">
        <v>518</v>
      </c>
      <c r="H4" t="s" s="24">
        <v>518</v>
      </c>
      <c r="I4" t="s" s="24">
        <v>518</v>
      </c>
      <c r="J4" t="s" s="24">
        <v>518</v>
      </c>
      <c r="K4" t="s" s="24">
        <v>518</v>
      </c>
      <c r="L4" t="s" s="24">
        <v>518</v>
      </c>
      <c r="M4" t="s" s="24">
        <v>518</v>
      </c>
      <c r="N4" t="s" s="24">
        <v>518</v>
      </c>
    </row>
    <row r="5" ht="44.05" customHeight="1">
      <c r="A5" t="s" s="17">
        <v>519</v>
      </c>
      <c r="B5" t="s" s="33">
        <v>520</v>
      </c>
      <c r="C5" t="s" s="121">
        <v>521</v>
      </c>
      <c r="D5" t="s" s="24">
        <v>513</v>
      </c>
      <c r="E5" t="s" s="24">
        <v>513</v>
      </c>
      <c r="F5" t="s" s="24">
        <v>513</v>
      </c>
      <c r="G5" t="s" s="24">
        <v>513</v>
      </c>
      <c r="H5" t="s" s="24">
        <v>513</v>
      </c>
      <c r="I5" t="s" s="24">
        <v>513</v>
      </c>
      <c r="J5" t="s" s="24">
        <v>513</v>
      </c>
      <c r="K5" t="s" s="24">
        <v>513</v>
      </c>
      <c r="L5" t="s" s="24">
        <v>513</v>
      </c>
      <c r="M5" t="s" s="24">
        <v>513</v>
      </c>
      <c r="N5" t="s" s="24">
        <v>513</v>
      </c>
    </row>
    <row r="6" ht="68.05" customHeight="1">
      <c r="A6" t="s" s="17">
        <v>522</v>
      </c>
      <c r="B6" t="s" s="33">
        <v>523</v>
      </c>
      <c r="C6" t="s" s="24">
        <v>524</v>
      </c>
      <c r="D6" t="s" s="121">
        <v>525</v>
      </c>
      <c r="E6" t="s" s="121">
        <v>526</v>
      </c>
      <c r="F6" t="s" s="24">
        <v>527</v>
      </c>
      <c r="G6" t="s" s="24">
        <v>528</v>
      </c>
      <c r="H6" t="s" s="24">
        <v>515</v>
      </c>
      <c r="I6" t="s" s="24">
        <v>515</v>
      </c>
      <c r="J6" t="s" s="24">
        <v>515</v>
      </c>
      <c r="K6" t="s" s="24">
        <v>515</v>
      </c>
      <c r="L6" t="s" s="24">
        <v>515</v>
      </c>
      <c r="M6" t="s" s="24">
        <v>515</v>
      </c>
      <c r="N6" t="s" s="24">
        <v>515</v>
      </c>
    </row>
    <row r="7" ht="68.05" customHeight="1">
      <c r="A7" t="s" s="17">
        <v>529</v>
      </c>
      <c r="B7" t="s" s="33">
        <v>530</v>
      </c>
      <c r="C7" t="s" s="24">
        <v>524</v>
      </c>
      <c r="D7" t="s" s="24">
        <v>515</v>
      </c>
      <c r="E7" t="s" s="24">
        <v>515</v>
      </c>
      <c r="F7" t="s" s="24">
        <v>515</v>
      </c>
      <c r="G7" t="s" s="24">
        <v>515</v>
      </c>
      <c r="H7" t="s" s="24">
        <v>515</v>
      </c>
      <c r="I7" t="s" s="24">
        <v>515</v>
      </c>
      <c r="J7" t="s" s="24">
        <v>515</v>
      </c>
      <c r="K7" t="s" s="24">
        <v>515</v>
      </c>
      <c r="L7" t="s" s="24">
        <v>515</v>
      </c>
      <c r="M7" t="s" s="24">
        <v>515</v>
      </c>
      <c r="N7" t="s" s="24">
        <v>515</v>
      </c>
    </row>
    <row r="8" ht="68.05" customHeight="1">
      <c r="A8" t="s" s="17">
        <v>531</v>
      </c>
      <c r="B8" t="s" s="33">
        <v>532</v>
      </c>
      <c r="C8" t="s" s="24">
        <v>524</v>
      </c>
      <c r="D8" t="s" s="24">
        <v>515</v>
      </c>
      <c r="E8" t="s" s="24">
        <v>515</v>
      </c>
      <c r="F8" t="s" s="24">
        <v>515</v>
      </c>
      <c r="G8" t="s" s="24">
        <v>515</v>
      </c>
      <c r="H8" t="s" s="24">
        <v>515</v>
      </c>
      <c r="I8" t="s" s="24">
        <v>515</v>
      </c>
      <c r="J8" t="s" s="24">
        <v>515</v>
      </c>
      <c r="K8" t="s" s="24">
        <v>515</v>
      </c>
      <c r="L8" t="s" s="24">
        <v>515</v>
      </c>
      <c r="M8" t="s" s="24">
        <v>515</v>
      </c>
      <c r="N8" t="s" s="24">
        <v>515</v>
      </c>
    </row>
    <row r="9" ht="92.05" customHeight="1">
      <c r="A9" t="s" s="17">
        <v>533</v>
      </c>
      <c r="B9" t="s" s="33">
        <v>534</v>
      </c>
      <c r="C9" t="s" s="24">
        <v>524</v>
      </c>
      <c r="D9" t="s" s="24">
        <v>513</v>
      </c>
      <c r="E9" t="s" s="24">
        <v>513</v>
      </c>
      <c r="F9" t="s" s="24">
        <v>513</v>
      </c>
      <c r="G9" t="s" s="24">
        <v>535</v>
      </c>
      <c r="H9" t="s" s="24">
        <v>513</v>
      </c>
      <c r="I9" t="s" s="24">
        <v>536</v>
      </c>
      <c r="J9" t="s" s="24">
        <v>513</v>
      </c>
      <c r="K9" t="s" s="24">
        <v>537</v>
      </c>
      <c r="L9" t="s" s="24">
        <v>537</v>
      </c>
      <c r="M9" t="s" s="24">
        <v>537</v>
      </c>
      <c r="N9" t="s" s="24">
        <v>513</v>
      </c>
    </row>
    <row r="10" ht="117.35" customHeight="1">
      <c r="A10" t="s" s="17">
        <v>538</v>
      </c>
      <c r="B10" t="s" s="33">
        <v>539</v>
      </c>
      <c r="C10" t="s" s="24">
        <v>540</v>
      </c>
      <c r="D10" t="s" s="24">
        <v>541</v>
      </c>
      <c r="E10" t="s" s="24">
        <v>542</v>
      </c>
      <c r="F10" t="s" s="121">
        <v>543</v>
      </c>
      <c r="G10" t="s" s="121">
        <v>544</v>
      </c>
      <c r="H10" t="s" s="121">
        <v>545</v>
      </c>
      <c r="I10" t="s" s="121">
        <v>546</v>
      </c>
      <c r="J10" t="s" s="122">
        <v>547</v>
      </c>
      <c r="K10" t="s" s="123">
        <v>548</v>
      </c>
      <c r="L10" t="s" s="123">
        <v>549</v>
      </c>
      <c r="M10" t="s" s="24">
        <v>550</v>
      </c>
      <c r="N10" t="s" s="121">
        <v>551</v>
      </c>
    </row>
    <row r="11" ht="117.35" customHeight="1">
      <c r="A11" t="s" s="17">
        <v>552</v>
      </c>
      <c r="B11" t="s" s="33">
        <v>553</v>
      </c>
      <c r="C11" t="s" s="24">
        <v>554</v>
      </c>
      <c r="D11" t="s" s="124">
        <v>555</v>
      </c>
      <c r="E11" t="s" s="24">
        <v>556</v>
      </c>
      <c r="F11" t="s" s="125">
        <v>557</v>
      </c>
      <c r="G11" t="s" s="24">
        <v>558</v>
      </c>
      <c r="H11" t="s" s="122">
        <v>559</v>
      </c>
      <c r="I11" t="s" s="24">
        <v>560</v>
      </c>
      <c r="J11" t="s" s="121">
        <v>561</v>
      </c>
      <c r="K11" t="s" s="24">
        <v>562</v>
      </c>
      <c r="L11" t="s" s="24">
        <v>563</v>
      </c>
      <c r="M11" t="s" s="24">
        <v>550</v>
      </c>
      <c r="N11" t="s" s="121">
        <v>551</v>
      </c>
    </row>
    <row r="12" ht="142.35" customHeight="1">
      <c r="A12" t="s" s="17">
        <v>564</v>
      </c>
      <c r="B12" t="s" s="33">
        <v>553</v>
      </c>
      <c r="C12" t="s" s="24">
        <v>554</v>
      </c>
      <c r="D12" t="s" s="24">
        <v>541</v>
      </c>
      <c r="E12" t="s" s="24">
        <v>565</v>
      </c>
      <c r="F12" t="s" s="125">
        <v>566</v>
      </c>
      <c r="G12" t="s" s="24">
        <v>567</v>
      </c>
      <c r="H12" t="s" s="121">
        <v>568</v>
      </c>
      <c r="I12" t="s" s="24">
        <v>569</v>
      </c>
      <c r="J12" t="s" s="121">
        <v>570</v>
      </c>
      <c r="K12" t="s" s="24">
        <v>571</v>
      </c>
      <c r="L12" t="s" s="24">
        <v>572</v>
      </c>
      <c r="M12" t="s" s="24">
        <v>550</v>
      </c>
      <c r="N12" t="s" s="121">
        <v>551</v>
      </c>
    </row>
    <row r="13" ht="176.05" customHeight="1">
      <c r="A13" t="s" s="17">
        <v>573</v>
      </c>
      <c r="B13" t="s" s="33">
        <v>574</v>
      </c>
      <c r="C13" t="s" s="24">
        <v>524</v>
      </c>
      <c r="D13" t="s" s="24">
        <v>575</v>
      </c>
      <c r="E13" t="s" s="24">
        <v>513</v>
      </c>
      <c r="F13" t="s" s="126">
        <v>576</v>
      </c>
      <c r="G13" t="s" s="127">
        <v>577</v>
      </c>
      <c r="H13" t="s" s="127">
        <v>578</v>
      </c>
      <c r="I13" t="s" s="128">
        <v>579</v>
      </c>
      <c r="J13" t="s" s="128">
        <v>579</v>
      </c>
      <c r="K13" t="s" s="129">
        <v>580</v>
      </c>
      <c r="L13" t="s" s="129">
        <v>580</v>
      </c>
      <c r="M13" t="s" s="24">
        <v>513</v>
      </c>
      <c r="N13" t="s" s="127">
        <v>581</v>
      </c>
    </row>
    <row r="14" ht="116.05" customHeight="1">
      <c r="A14" t="s" s="17">
        <v>582</v>
      </c>
      <c r="B14" t="s" s="33">
        <v>574</v>
      </c>
      <c r="C14" t="s" s="24">
        <v>583</v>
      </c>
      <c r="D14" t="s" s="130">
        <v>584</v>
      </c>
      <c r="E14" t="s" s="24">
        <v>513</v>
      </c>
      <c r="F14" t="s" s="24">
        <v>583</v>
      </c>
      <c r="G14" t="s" s="24">
        <v>513</v>
      </c>
      <c r="H14" t="s" s="24">
        <v>583</v>
      </c>
      <c r="I14" t="s" s="130">
        <v>584</v>
      </c>
      <c r="J14" t="s" s="24">
        <v>513</v>
      </c>
      <c r="K14" t="s" s="24">
        <v>513</v>
      </c>
      <c r="L14" t="s" s="24">
        <v>513</v>
      </c>
      <c r="M14" t="s" s="24">
        <v>513</v>
      </c>
      <c r="N14" t="s" s="24">
        <v>583</v>
      </c>
    </row>
    <row r="15" ht="116.05" customHeight="1">
      <c r="A15" t="s" s="17">
        <v>585</v>
      </c>
      <c r="B15" t="s" s="33">
        <v>574</v>
      </c>
      <c r="C15" t="s" s="24">
        <v>586</v>
      </c>
      <c r="D15" t="s" s="130">
        <v>584</v>
      </c>
      <c r="E15" t="s" s="24">
        <v>513</v>
      </c>
      <c r="F15" t="s" s="24">
        <v>586</v>
      </c>
      <c r="G15" t="s" s="24">
        <v>513</v>
      </c>
      <c r="H15" t="s" s="24">
        <v>586</v>
      </c>
      <c r="I15" t="s" s="130">
        <v>584</v>
      </c>
      <c r="J15" t="s" s="24">
        <v>513</v>
      </c>
      <c r="K15" t="s" s="24">
        <v>513</v>
      </c>
      <c r="L15" t="s" s="24">
        <v>513</v>
      </c>
      <c r="M15" t="s" s="24">
        <v>513</v>
      </c>
      <c r="N15" t="s" s="24">
        <v>586</v>
      </c>
    </row>
    <row r="16" ht="80.05" customHeight="1">
      <c r="A16" t="s" s="17">
        <v>587</v>
      </c>
      <c r="B16" t="s" s="131">
        <v>588</v>
      </c>
      <c r="C16" s="12"/>
      <c r="D16" s="12"/>
      <c r="E16" s="12"/>
      <c r="F16" s="12"/>
      <c r="G16" t="s" s="124">
        <v>589</v>
      </c>
      <c r="H16" s="12"/>
      <c r="I16" s="12"/>
      <c r="J16" s="12"/>
      <c r="K16" t="s" s="121">
        <v>590</v>
      </c>
      <c r="L16" t="s" s="121">
        <v>591</v>
      </c>
      <c r="M16" t="s" s="121">
        <v>592</v>
      </c>
      <c r="N16" s="12"/>
    </row>
    <row r="17" ht="20.05" customHeight="1">
      <c r="A17" s="19"/>
      <c r="B17" s="3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ht="20.05" customHeight="1">
      <c r="A18" s="19"/>
      <c r="B18" s="3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2"/>
      <c r="N18" s="12"/>
    </row>
    <row r="19" ht="32.05" customHeight="1">
      <c r="A19" t="s" s="17">
        <v>593</v>
      </c>
      <c r="B19" s="38"/>
      <c r="C19" s="12"/>
      <c r="D19" s="12"/>
      <c r="E19" s="12"/>
      <c r="F19" s="12"/>
      <c r="G19" s="12"/>
      <c r="H19" s="12"/>
      <c r="I19" s="12"/>
      <c r="J19" s="12"/>
      <c r="K19" t="s" s="24">
        <v>594</v>
      </c>
      <c r="L19" t="s" s="24">
        <v>595</v>
      </c>
      <c r="M19" s="132"/>
      <c r="N19" s="12"/>
    </row>
    <row r="20" ht="92.05" customHeight="1">
      <c r="A20" t="s" s="17">
        <v>596</v>
      </c>
      <c r="B20" s="38"/>
      <c r="C20" t="s" s="24">
        <v>597</v>
      </c>
      <c r="D20" t="s" s="24">
        <v>598</v>
      </c>
      <c r="E20" s="12"/>
      <c r="F20" t="s" s="24">
        <v>599</v>
      </c>
      <c r="G20" t="s" s="24">
        <v>600</v>
      </c>
      <c r="H20" s="12"/>
      <c r="I20" t="s" s="24">
        <v>601</v>
      </c>
      <c r="J20" t="s" s="24">
        <v>602</v>
      </c>
      <c r="K20" s="12"/>
      <c r="L20" s="12"/>
      <c r="M20" t="s" s="133">
        <v>603</v>
      </c>
      <c r="N20" t="s" s="24">
        <v>604</v>
      </c>
    </row>
    <row r="21" ht="212.05" customHeight="1">
      <c r="A21" t="s" s="17">
        <v>605</v>
      </c>
      <c r="B21" t="s" s="33">
        <v>606</v>
      </c>
      <c r="C21" s="12"/>
      <c r="D21" t="s" s="24">
        <v>607</v>
      </c>
      <c r="E21" t="s" s="24">
        <v>608</v>
      </c>
      <c r="F21" t="s" s="24">
        <v>609</v>
      </c>
      <c r="G21" t="s" s="24">
        <v>610</v>
      </c>
      <c r="H21" s="12"/>
      <c r="I21" t="s" s="24">
        <v>611</v>
      </c>
      <c r="J21" t="s" s="24">
        <v>612</v>
      </c>
      <c r="K21" t="s" s="24">
        <v>609</v>
      </c>
      <c r="L21" t="s" s="24">
        <v>609</v>
      </c>
      <c r="M21" t="s" s="24">
        <v>609</v>
      </c>
      <c r="N21" s="12"/>
    </row>
    <row r="22" ht="92.05" customHeight="1">
      <c r="A22" t="s" s="17">
        <v>613</v>
      </c>
      <c r="B22" t="s" s="33">
        <v>614</v>
      </c>
      <c r="C22" s="12"/>
      <c r="D22" t="s" s="24">
        <v>615</v>
      </c>
      <c r="E22" s="12"/>
      <c r="F22" t="s" s="24">
        <v>616</v>
      </c>
      <c r="G22" t="s" s="24">
        <v>617</v>
      </c>
      <c r="H22" t="s" s="24">
        <v>618</v>
      </c>
      <c r="I22" t="s" s="24">
        <v>619</v>
      </c>
      <c r="J22" t="s" s="24">
        <v>620</v>
      </c>
      <c r="K22" t="s" s="24">
        <v>621</v>
      </c>
      <c r="L22" t="s" s="24">
        <v>621</v>
      </c>
      <c r="M22" s="132"/>
      <c r="N22" t="s" s="24">
        <v>622</v>
      </c>
    </row>
    <row r="23" ht="20.05" customHeight="1">
      <c r="A23" s="19"/>
      <c r="B23" s="3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2"/>
      <c r="N23" s="12"/>
    </row>
    <row r="24" ht="56.05" customHeight="1">
      <c r="A24" t="s" s="17">
        <v>623</v>
      </c>
      <c r="B24" t="s" s="134">
        <v>624</v>
      </c>
      <c r="C24" t="s" s="122">
        <v>625</v>
      </c>
      <c r="D24" t="s" s="135">
        <v>626</v>
      </c>
      <c r="E24" t="s" s="136">
        <v>627</v>
      </c>
      <c r="F24" t="s" s="128">
        <v>628</v>
      </c>
      <c r="G24" t="s" s="137">
        <v>629</v>
      </c>
      <c r="H24" t="s" s="138">
        <v>630</v>
      </c>
      <c r="I24" t="s" s="127">
        <v>631</v>
      </c>
      <c r="J24" t="s" s="139">
        <v>632</v>
      </c>
      <c r="K24" t="s" s="140">
        <v>633</v>
      </c>
      <c r="L24" t="s" s="141">
        <v>634</v>
      </c>
      <c r="M24" s="132"/>
      <c r="N24" s="12"/>
    </row>
  </sheetData>
  <mergeCells count="1">
    <mergeCell ref="A1:N1"/>
  </mergeCells>
  <conditionalFormatting sqref="A2:N19 A20:A21 C20:D21 F20:N20 E21:N21 A22:N24">
    <cfRule type="containsText" dxfId="0" priority="1" stopIfTrue="1" text="new state = ERROR_STATE">
      <formula>NOT(ISERROR(FIND(UPPER("new state = ERROR_STATE"),UPPER(A2))))</formula>
      <formula>"new state = ERROR_STATE"</formula>
    </cfRule>
    <cfRule type="containsText" dxfId="1" priority="2" stopIfTrue="1" text="ignore,">
      <formula>NOT(ISERROR(FIND(UPPER("ignore,"),UPPER(A2))))</formula>
      <formula>"ignore,"</formula>
    </cfRule>
    <cfRule type="containsText" dxfId="2" priority="3" stopIfTrue="1" text="Params ">
      <formula>NOT(ISERROR(FIND(UPPER("Params "),UPPER(A2))))</formula>
      <formula>"Params 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42" customWidth="1"/>
    <col min="6" max="16384" width="16.3516" style="142" customWidth="1"/>
  </cols>
  <sheetData>
    <row r="1" ht="27.65" customHeight="1">
      <c r="A1" t="s" s="2">
        <v>356</v>
      </c>
      <c r="B1" s="2"/>
      <c r="C1" s="2"/>
      <c r="D1" s="2"/>
      <c r="E1" s="2"/>
    </row>
    <row r="2" ht="20.25" customHeight="1">
      <c r="A2" s="5"/>
      <c r="B2" s="5"/>
      <c r="C2" s="5"/>
      <c r="D2" s="5"/>
      <c r="E2" s="5"/>
    </row>
    <row r="3" ht="20.25" customHeight="1">
      <c r="A3" s="71"/>
      <c r="B3" s="64"/>
      <c r="C3" s="65"/>
      <c r="D3" s="65"/>
      <c r="E3" s="65"/>
    </row>
    <row r="4" ht="20.05" customHeight="1">
      <c r="A4" s="19"/>
      <c r="B4" s="38"/>
      <c r="C4" s="12"/>
      <c r="D4" s="12"/>
      <c r="E4" s="12"/>
    </row>
    <row r="5" ht="20.05" customHeight="1">
      <c r="A5" s="19"/>
      <c r="B5" s="38"/>
      <c r="C5" s="12"/>
      <c r="D5" s="12"/>
      <c r="E5" s="12"/>
    </row>
    <row r="6" ht="20.05" customHeight="1">
      <c r="A6" s="19"/>
      <c r="B6" s="38"/>
      <c r="C6" s="12"/>
      <c r="D6" s="12"/>
      <c r="E6" s="12"/>
    </row>
    <row r="7" ht="20.05" customHeight="1">
      <c r="A7" s="19"/>
      <c r="B7" s="38"/>
      <c r="C7" s="12"/>
      <c r="D7" s="12"/>
      <c r="E7" s="12"/>
    </row>
    <row r="8" ht="20.05" customHeight="1">
      <c r="A8" s="19"/>
      <c r="B8" s="38"/>
      <c r="C8" s="12"/>
      <c r="D8" s="12"/>
      <c r="E8" s="12"/>
    </row>
    <row r="9" ht="20.05" customHeight="1">
      <c r="A9" s="19"/>
      <c r="B9" s="38"/>
      <c r="C9" s="12"/>
      <c r="D9" s="12"/>
      <c r="E9" s="12"/>
    </row>
    <row r="10" ht="20.05" customHeight="1">
      <c r="A10" s="19"/>
      <c r="B10" s="38"/>
      <c r="C10" s="12"/>
      <c r="D10" s="12"/>
      <c r="E10" s="12"/>
    </row>
    <row r="11" ht="20.05" customHeight="1">
      <c r="A11" s="19"/>
      <c r="B11" s="38"/>
      <c r="C11" s="12"/>
      <c r="D11" s="12"/>
      <c r="E11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0.0156" style="143" customWidth="1"/>
    <col min="9" max="16384" width="16.3516" style="143" customWidth="1"/>
  </cols>
  <sheetData>
    <row r="1" ht="27.65" customHeight="1">
      <c r="A1" t="s" s="2">
        <v>356</v>
      </c>
      <c r="B1" s="2"/>
      <c r="C1" s="2"/>
      <c r="D1" s="2"/>
      <c r="E1" s="2"/>
      <c r="F1" s="2"/>
      <c r="G1" s="2"/>
      <c r="H1" s="2"/>
    </row>
    <row r="2" ht="68.25" customHeight="1">
      <c r="A2" t="s" s="3">
        <v>635</v>
      </c>
      <c r="B2" t="s" s="3">
        <v>636</v>
      </c>
      <c r="C2" t="s" s="3">
        <v>637</v>
      </c>
      <c r="D2" t="s" s="3">
        <v>638</v>
      </c>
      <c r="E2" s="5"/>
      <c r="F2" t="s" s="3">
        <v>639</v>
      </c>
      <c r="G2" t="s" s="3">
        <v>640</v>
      </c>
      <c r="H2" t="s" s="3">
        <v>641</v>
      </c>
    </row>
    <row r="3" ht="20.25" customHeight="1">
      <c r="A3" s="144">
        <v>1</v>
      </c>
      <c r="B3" s="86">
        <v>400</v>
      </c>
      <c r="C3" s="31">
        <v>1000</v>
      </c>
      <c r="D3" s="31">
        <v>2000</v>
      </c>
      <c r="E3" s="65"/>
      <c r="F3" s="65"/>
      <c r="G3" s="65"/>
      <c r="H3" s="65"/>
    </row>
    <row r="4" ht="20.05" customHeight="1">
      <c r="A4" s="88">
        <v>5</v>
      </c>
      <c r="B4" s="27">
        <f>B3*$A4</f>
        <v>2000</v>
      </c>
      <c r="C4" s="26">
        <f>C3*$A4</f>
        <v>5000</v>
      </c>
      <c r="D4" s="26">
        <f>D3*$A4</f>
        <v>10000</v>
      </c>
      <c r="E4" s="12"/>
      <c r="F4" s="26">
        <f>2*D4</f>
        <v>20000</v>
      </c>
      <c r="G4" s="26">
        <f>(1/F4)*1000</f>
        <v>0.05</v>
      </c>
      <c r="H4" s="26">
        <f>G4*1000</f>
        <v>50</v>
      </c>
    </row>
    <row r="5" ht="20.05" customHeight="1">
      <c r="A5" s="19"/>
      <c r="B5" s="38"/>
      <c r="C5" s="12"/>
      <c r="D5" s="12"/>
      <c r="E5" s="12"/>
      <c r="F5" t="s" s="24">
        <v>642</v>
      </c>
      <c r="G5" s="12"/>
      <c r="H5" s="12"/>
    </row>
    <row r="6" ht="44.05" customHeight="1">
      <c r="A6" s="19"/>
      <c r="B6" s="38"/>
      <c r="C6" s="12"/>
      <c r="D6" t="s" s="24">
        <v>643</v>
      </c>
      <c r="E6" s="12"/>
      <c r="F6" t="s" s="24">
        <v>644</v>
      </c>
      <c r="G6" s="12"/>
      <c r="H6" s="12"/>
    </row>
    <row r="7" ht="20.05" customHeight="1">
      <c r="A7" s="19"/>
      <c r="B7" s="38"/>
      <c r="C7" s="12"/>
      <c r="D7" s="12"/>
      <c r="E7" s="12"/>
      <c r="F7" s="26">
        <v>72000000</v>
      </c>
      <c r="G7" s="26">
        <f>(1/F7)*1000</f>
        <v>1.38888888888889e-05</v>
      </c>
      <c r="H7" s="26">
        <f>G7*1000</f>
        <v>0.0138888888888889</v>
      </c>
    </row>
    <row r="8" ht="20.05" customHeight="1">
      <c r="A8" s="19"/>
      <c r="B8" s="38"/>
      <c r="C8" s="12"/>
      <c r="D8" s="12"/>
      <c r="E8" s="12"/>
      <c r="F8" s="12"/>
      <c r="G8" s="12"/>
      <c r="H8" s="12"/>
    </row>
    <row r="9" ht="44.05" customHeight="1">
      <c r="A9" t="s" s="17">
        <v>645</v>
      </c>
      <c r="B9" t="s" s="33">
        <v>646</v>
      </c>
      <c r="C9" t="s" s="24">
        <v>647</v>
      </c>
      <c r="D9" s="12"/>
      <c r="E9" s="12"/>
      <c r="F9" s="12"/>
      <c r="G9" s="12"/>
      <c r="H9" s="12"/>
    </row>
    <row r="10" ht="20.05" customHeight="1">
      <c r="A10" s="19"/>
      <c r="B10" s="38"/>
      <c r="C10" s="12"/>
      <c r="D10" s="12"/>
      <c r="E10" s="12"/>
      <c r="F10" s="12"/>
      <c r="G10" s="12"/>
      <c r="H10" s="12"/>
    </row>
    <row r="11" ht="20.05" customHeight="1">
      <c r="A11" s="19"/>
      <c r="B11" s="38"/>
      <c r="C11" s="12"/>
      <c r="D11" s="12"/>
      <c r="E11" s="12"/>
      <c r="F11" s="12"/>
      <c r="G11" s="12"/>
      <c r="H11" s="12"/>
    </row>
    <row r="12" ht="20.05" customHeight="1">
      <c r="A12" s="19"/>
      <c r="B12" s="38"/>
      <c r="C12" s="12"/>
      <c r="D12" s="12"/>
      <c r="E12" s="12"/>
      <c r="F12" s="12"/>
      <c r="G12" s="12"/>
      <c r="H12" s="12"/>
    </row>
    <row r="13" ht="20.05" customHeight="1">
      <c r="A13" s="19"/>
      <c r="B13" s="38"/>
      <c r="C13" s="12"/>
      <c r="D13" s="12"/>
      <c r="E13" s="12"/>
      <c r="F13" s="12"/>
      <c r="G13" s="12"/>
      <c r="H13" s="12"/>
    </row>
    <row r="14" ht="20.05" customHeight="1">
      <c r="A14" s="19"/>
      <c r="B14" s="38"/>
      <c r="C14" s="12"/>
      <c r="D14" s="12"/>
      <c r="E14" s="12"/>
      <c r="F14" s="12"/>
      <c r="G14" s="12"/>
      <c r="H14" s="12"/>
    </row>
    <row r="15" ht="20.05" customHeight="1">
      <c r="A15" s="19"/>
      <c r="B15" s="38"/>
      <c r="C15" s="12"/>
      <c r="D15" s="12"/>
      <c r="E15" s="12"/>
      <c r="F15" s="12"/>
      <c r="G15" s="12"/>
      <c r="H15" s="12"/>
    </row>
    <row r="16" ht="20.05" customHeight="1">
      <c r="A16" s="19"/>
      <c r="B16" s="38"/>
      <c r="C16" s="12"/>
      <c r="D16" s="12"/>
      <c r="E16" s="12"/>
      <c r="F16" s="12"/>
      <c r="G16" s="12"/>
      <c r="H16" s="12"/>
    </row>
    <row r="17" ht="20.05" customHeight="1">
      <c r="A17" s="19"/>
      <c r="B17" s="38"/>
      <c r="C17" s="12"/>
      <c r="D17" s="12"/>
      <c r="E17" s="12"/>
      <c r="F17" s="12"/>
      <c r="G17" s="12"/>
      <c r="H17" s="12"/>
    </row>
    <row r="18" ht="20.05" customHeight="1">
      <c r="A18" s="19"/>
      <c r="B18" s="38"/>
      <c r="C18" s="12"/>
      <c r="D18" s="12"/>
      <c r="E18" s="12"/>
      <c r="F18" s="12"/>
      <c r="G18" s="12"/>
      <c r="H18" s="12"/>
    </row>
    <row r="19" ht="20.05" customHeight="1">
      <c r="A19" s="19"/>
      <c r="B19" s="38"/>
      <c r="C19" s="12"/>
      <c r="D19" s="12"/>
      <c r="E19" s="12"/>
      <c r="F19" s="12"/>
      <c r="G19" s="12"/>
      <c r="H19" s="12"/>
    </row>
    <row r="20" ht="20.05" customHeight="1">
      <c r="A20" s="19"/>
      <c r="B20" s="38"/>
      <c r="C20" s="12"/>
      <c r="D20" s="12"/>
      <c r="E20" s="12"/>
      <c r="F20" s="12"/>
      <c r="G20" s="12"/>
      <c r="H20" s="12"/>
    </row>
    <row r="21" ht="20.05" customHeight="1">
      <c r="A21" s="19"/>
      <c r="B21" s="38"/>
      <c r="C21" s="12"/>
      <c r="D21" s="12"/>
      <c r="E21" s="12"/>
      <c r="F21" s="12"/>
      <c r="G21" s="12"/>
      <c r="H21" s="12"/>
    </row>
    <row r="22" ht="20.05" customHeight="1">
      <c r="A22" s="19"/>
      <c r="B22" s="38"/>
      <c r="C22" s="12"/>
      <c r="D22" s="12"/>
      <c r="E22" s="12"/>
      <c r="F22" s="12"/>
      <c r="G22" s="12"/>
      <c r="H22" s="12"/>
    </row>
    <row r="23" ht="20.05" customHeight="1">
      <c r="A23" s="19"/>
      <c r="B23" s="38"/>
      <c r="C23" s="12"/>
      <c r="D23" s="12"/>
      <c r="E23" s="12"/>
      <c r="F23" s="12"/>
      <c r="G23" s="12"/>
      <c r="H23" s="12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C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1.6484" style="62" customWidth="1"/>
    <col min="2" max="2" width="18.6875" style="62" customWidth="1"/>
    <col min="3" max="3" width="15.9062" style="62" customWidth="1"/>
    <col min="4" max="16384" width="16.3516" style="62" customWidth="1"/>
  </cols>
  <sheetData>
    <row r="1" ht="27.65" customHeight="1">
      <c r="A1" t="s" s="2">
        <v>93</v>
      </c>
      <c r="B1" s="2"/>
      <c r="C1" s="2"/>
    </row>
    <row r="2" ht="32.2" customHeight="1">
      <c r="A2" t="s" s="63">
        <v>94</v>
      </c>
      <c r="B2" t="s" s="3">
        <v>95</v>
      </c>
      <c r="C2" t="s" s="3">
        <v>96</v>
      </c>
    </row>
    <row r="3" ht="32.25" customHeight="1">
      <c r="A3" t="s" s="29">
        <v>97</v>
      </c>
      <c r="B3" s="64"/>
      <c r="C3" s="65"/>
    </row>
    <row r="4" ht="20.05" customHeight="1">
      <c r="A4" t="s" s="17">
        <v>98</v>
      </c>
      <c r="B4" s="27">
        <v>2.6</v>
      </c>
      <c r="C4" s="26">
        <v>4.2</v>
      </c>
    </row>
    <row r="5" ht="20.05" customHeight="1">
      <c r="A5" t="s" s="17">
        <v>99</v>
      </c>
      <c r="B5" s="27">
        <v>50</v>
      </c>
      <c r="C5" s="26">
        <f>C6/(PI()*SUMSQ(C4/2))</f>
        <v>10.8268668769997</v>
      </c>
    </row>
    <row r="6" ht="20.05" customHeight="1">
      <c r="A6" t="s" s="17">
        <v>100</v>
      </c>
      <c r="B6" s="27">
        <f>PI()*SUMSQ(B4/2)*B5</f>
        <v>265.464579228338</v>
      </c>
      <c r="C6" s="26">
        <v>150</v>
      </c>
    </row>
    <row r="7" ht="20.05" customHeight="1">
      <c r="A7" s="19"/>
      <c r="B7" s="38"/>
      <c r="C7" s="12"/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G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7.4531" style="66" customWidth="1"/>
    <col min="2" max="6" width="16.3516" style="66" customWidth="1"/>
    <col min="7" max="7" width="21.1875" style="66" customWidth="1"/>
    <col min="8" max="16384" width="16.3516" style="66" customWidth="1"/>
  </cols>
  <sheetData>
    <row r="1" ht="27.65" customHeight="1">
      <c r="A1" t="s" s="2">
        <v>101</v>
      </c>
      <c r="B1" s="2"/>
      <c r="C1" s="2"/>
      <c r="D1" s="2"/>
      <c r="E1" s="2"/>
      <c r="F1" s="2"/>
      <c r="G1" s="2"/>
    </row>
    <row r="2" ht="44.25" customHeight="1">
      <c r="A2" t="s" s="3">
        <v>102</v>
      </c>
      <c r="B2" s="5"/>
      <c r="C2" t="s" s="3">
        <v>103</v>
      </c>
      <c r="D2" s="5"/>
      <c r="E2" t="s" s="3">
        <v>104</v>
      </c>
      <c r="F2" s="5"/>
      <c r="G2" t="s" s="3">
        <v>105</v>
      </c>
    </row>
    <row r="3" ht="20.25" customHeight="1">
      <c r="A3" t="s" s="29">
        <v>106</v>
      </c>
      <c r="B3" t="s" s="30">
        <v>48</v>
      </c>
      <c r="C3" s="31">
        <v>4</v>
      </c>
      <c r="D3" s="65"/>
      <c r="E3" s="65"/>
      <c r="F3" s="65"/>
      <c r="G3" t="s" s="32">
        <v>107</v>
      </c>
    </row>
    <row r="4" ht="20.05" customHeight="1">
      <c r="A4" t="s" s="17">
        <v>108</v>
      </c>
      <c r="B4" t="s" s="33">
        <v>109</v>
      </c>
      <c r="C4" s="26">
        <v>9.81</v>
      </c>
      <c r="D4" s="12"/>
      <c r="E4" s="12"/>
      <c r="F4" s="12"/>
      <c r="G4" t="s" s="24">
        <v>110</v>
      </c>
    </row>
    <row r="5" ht="20.05" customHeight="1">
      <c r="A5" t="s" s="17">
        <v>111</v>
      </c>
      <c r="B5" t="s" s="33">
        <v>112</v>
      </c>
      <c r="C5" t="s" s="24">
        <v>113</v>
      </c>
      <c r="D5" s="12"/>
      <c r="E5" s="12"/>
      <c r="F5" s="12"/>
      <c r="G5" s="12"/>
    </row>
    <row r="6" ht="20.05" customHeight="1">
      <c r="A6" t="s" s="17">
        <v>114</v>
      </c>
      <c r="B6" t="s" s="33">
        <v>115</v>
      </c>
      <c r="C6" s="26">
        <v>0.25</v>
      </c>
      <c r="D6" s="12"/>
      <c r="E6" s="12"/>
      <c r="F6" t="s" s="24">
        <v>116</v>
      </c>
      <c r="G6" s="60">
        <v>8225</v>
      </c>
    </row>
    <row r="7" ht="49.35" customHeight="1">
      <c r="A7" t="s" s="17">
        <v>117</v>
      </c>
      <c r="B7" t="s" s="33">
        <v>118</v>
      </c>
      <c r="C7" s="48">
        <f>'Calcs - Parts'!E9</f>
        <v>8000</v>
      </c>
      <c r="D7" s="12"/>
      <c r="E7" s="12"/>
      <c r="F7" s="12"/>
      <c r="G7" t="s" s="67">
        <v>119</v>
      </c>
    </row>
    <row r="8" ht="49.35" customHeight="1">
      <c r="A8" s="19"/>
      <c r="B8" s="38"/>
      <c r="C8" s="12"/>
      <c r="D8" s="12"/>
      <c r="E8" s="12"/>
      <c r="F8" s="12"/>
      <c r="G8" t="s" s="67">
        <v>120</v>
      </c>
    </row>
    <row r="9" ht="20.05" customHeight="1">
      <c r="A9" s="19"/>
      <c r="B9" s="38"/>
      <c r="C9" s="12"/>
      <c r="D9" s="12"/>
      <c r="E9" s="12"/>
      <c r="F9" s="12"/>
      <c r="G9" s="12"/>
    </row>
    <row r="10" ht="20.05" customHeight="1">
      <c r="A10" s="19"/>
      <c r="B10" s="38"/>
      <c r="C10" s="12"/>
      <c r="D10" s="12"/>
      <c r="E10" s="12"/>
      <c r="F10" s="12"/>
      <c r="G10" s="12"/>
    </row>
    <row r="11" ht="20.05" customHeight="1">
      <c r="A11" t="s" s="17">
        <v>121</v>
      </c>
      <c r="B11" t="s" s="33">
        <v>122</v>
      </c>
      <c r="C11" s="48">
        <f>(C3*C4)+(C3*C6)+C7</f>
        <v>8040.24</v>
      </c>
      <c r="D11" s="12"/>
      <c r="E11" s="12"/>
      <c r="F11" s="12"/>
      <c r="G11" s="12"/>
    </row>
    <row r="12" ht="20.05" customHeight="1">
      <c r="A12" t="s" s="17">
        <v>123</v>
      </c>
      <c r="B12" s="38"/>
      <c r="C12" s="12"/>
      <c r="D12" s="12"/>
      <c r="E12" s="26">
        <f>C11*'Calcs - Parts'!E8</f>
        <v>241.2072</v>
      </c>
      <c r="F12" s="12"/>
      <c r="G12" s="12"/>
    </row>
    <row r="13" ht="56.05" customHeight="1">
      <c r="A13" s="19"/>
      <c r="B13" s="38"/>
      <c r="C13" s="12"/>
      <c r="D13" s="12"/>
      <c r="E13" s="12"/>
      <c r="F13" s="12"/>
      <c r="G13" t="s" s="24">
        <v>124</v>
      </c>
    </row>
  </sheetData>
  <mergeCells count="1">
    <mergeCell ref="A1:G1"/>
  </mergeCells>
  <hyperlinks>
    <hyperlink ref="G13" r:id="rId1" location="" tooltip="" display="https://www.engineersedge.com/calculators/gear-tooth-strength-calculator.htm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5703" style="68" customWidth="1"/>
    <col min="2" max="5" width="16.3516" style="68" customWidth="1"/>
    <col min="6" max="6" width="27.8281" style="68" customWidth="1"/>
    <col min="7" max="16384" width="16.3516" style="68" customWidth="1"/>
  </cols>
  <sheetData>
    <row r="1" ht="27.65" customHeight="1">
      <c r="A1" t="s" s="2">
        <v>125</v>
      </c>
      <c r="B1" s="2"/>
      <c r="C1" s="2"/>
      <c r="D1" s="2"/>
      <c r="E1" s="2"/>
      <c r="F1" s="2"/>
    </row>
    <row r="2" ht="32.25" customHeight="1">
      <c r="A2" t="s" s="3">
        <v>126</v>
      </c>
      <c r="B2" t="s" s="3">
        <v>127</v>
      </c>
      <c r="C2" t="s" s="69">
        <v>128</v>
      </c>
      <c r="D2" t="s" s="70">
        <v>129</v>
      </c>
      <c r="E2" t="s" s="3">
        <v>130</v>
      </c>
      <c r="F2" t="s" s="3">
        <v>131</v>
      </c>
    </row>
    <row r="3" ht="20.25" customHeight="1">
      <c r="A3" s="71"/>
      <c r="B3" t="s" s="30">
        <v>132</v>
      </c>
      <c r="C3" s="72">
        <f>C4/1000000</f>
        <v>78.2278376285285</v>
      </c>
      <c r="D3" s="73"/>
      <c r="E3" t="s" s="32">
        <v>133</v>
      </c>
      <c r="F3" s="31">
        <f>F4*(180/PI())</f>
        <v>0.870812844815305</v>
      </c>
    </row>
    <row r="4" ht="32.05" customHeight="1">
      <c r="A4" t="s" s="17">
        <v>134</v>
      </c>
      <c r="B4" t="s" s="33">
        <v>135</v>
      </c>
      <c r="C4" s="74">
        <f>C5*C6/C7</f>
        <v>78227837.62852851</v>
      </c>
      <c r="D4" t="s" s="49">
        <v>136</v>
      </c>
      <c r="E4" t="s" s="24">
        <v>137</v>
      </c>
      <c r="F4" s="26">
        <f>F5*C5/(C7*F7)</f>
        <v>0.0151985513106855</v>
      </c>
    </row>
    <row r="5" ht="20.05" customHeight="1">
      <c r="A5" t="s" s="17">
        <v>138</v>
      </c>
      <c r="B5" t="s" s="33">
        <v>24</v>
      </c>
      <c r="C5" s="46">
        <f>'Calcs - Parts'!E6</f>
        <v>240</v>
      </c>
      <c r="D5" t="s" s="49">
        <v>139</v>
      </c>
      <c r="E5" t="s" s="24">
        <v>48</v>
      </c>
      <c r="F5" s="26">
        <v>0.153</v>
      </c>
    </row>
    <row r="6" ht="78.6" customHeight="1">
      <c r="A6" t="s" s="17">
        <v>140</v>
      </c>
      <c r="B6" t="s" s="33">
        <v>48</v>
      </c>
      <c r="C6" s="46">
        <f>'Calcs - Parts'!E7/2</f>
        <v>0.0125</v>
      </c>
      <c r="D6" s="47"/>
      <c r="E6" s="12"/>
      <c r="F6" t="s" s="24">
        <v>141</v>
      </c>
    </row>
    <row r="7" ht="32.05" customHeight="1">
      <c r="A7" t="s" s="17">
        <v>142</v>
      </c>
      <c r="B7" t="s" s="33">
        <v>143</v>
      </c>
      <c r="C7" s="46">
        <f>C8</f>
        <v>3.8349519697141e-08</v>
      </c>
      <c r="D7" t="s" s="49">
        <v>144</v>
      </c>
      <c r="E7" t="s" s="24">
        <v>135</v>
      </c>
      <c r="F7" s="26">
        <v>63000000000</v>
      </c>
    </row>
    <row r="8" ht="37.35" customHeight="1">
      <c r="A8" t="s" s="17">
        <v>145</v>
      </c>
      <c r="B8" s="38"/>
      <c r="C8" s="46">
        <f>PI()*POWER(C6*2,4)/32</f>
        <v>3.8349519697141e-08</v>
      </c>
      <c r="D8" s="47"/>
      <c r="E8" s="12"/>
      <c r="F8" t="s" s="24">
        <v>146</v>
      </c>
    </row>
    <row r="9" ht="20.05" customHeight="1">
      <c r="A9" s="19"/>
      <c r="B9" s="38"/>
      <c r="C9" s="42"/>
      <c r="D9" s="47"/>
      <c r="E9" s="12"/>
      <c r="F9" s="12"/>
    </row>
    <row r="10" ht="20.05" customHeight="1">
      <c r="A10" s="19"/>
      <c r="B10" s="38"/>
      <c r="C10" s="42"/>
      <c r="D10" s="47"/>
      <c r="E10" s="12"/>
      <c r="F10" s="12"/>
    </row>
    <row r="11" ht="20.05" customHeight="1">
      <c r="A11" s="19"/>
      <c r="B11" s="38"/>
      <c r="C11" s="42"/>
      <c r="D11" s="47"/>
      <c r="E11" s="12"/>
      <c r="F11" s="12"/>
    </row>
    <row r="12" ht="20.05" customHeight="1">
      <c r="A12" s="19"/>
      <c r="B12" s="38"/>
      <c r="C12" s="42"/>
      <c r="D12" s="47"/>
      <c r="E12" s="12"/>
      <c r="F12" s="12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F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0.5703" style="75" customWidth="1"/>
    <col min="2" max="6" width="16.3516" style="75" customWidth="1"/>
    <col min="7" max="16384" width="16.3516" style="75" customWidth="1"/>
  </cols>
  <sheetData>
    <row r="1" ht="27.65" customHeight="1">
      <c r="A1" t="s" s="2">
        <v>147</v>
      </c>
      <c r="B1" s="2"/>
      <c r="C1" s="2"/>
      <c r="D1" s="2"/>
      <c r="E1" s="2"/>
      <c r="F1" s="2"/>
    </row>
    <row r="2" ht="32.25" customHeight="1">
      <c r="A2" t="s" s="3">
        <v>126</v>
      </c>
      <c r="B2" t="s" s="3">
        <v>127</v>
      </c>
      <c r="C2" t="s" s="69">
        <v>148</v>
      </c>
      <c r="D2" t="s" s="70">
        <v>129</v>
      </c>
      <c r="E2" t="s" s="3">
        <v>130</v>
      </c>
      <c r="F2" t="s" s="3">
        <v>149</v>
      </c>
    </row>
    <row r="3" ht="20.25" customHeight="1">
      <c r="A3" s="71"/>
      <c r="B3" t="s" s="30">
        <v>132</v>
      </c>
      <c r="C3" s="72">
        <f>C4/1000000</f>
        <v>22.2724118612565</v>
      </c>
      <c r="D3" s="73"/>
      <c r="E3" t="s" s="32">
        <v>133</v>
      </c>
      <c r="F3" s="31">
        <f>F4*(180/PI())</f>
        <v>0.478847036662363</v>
      </c>
    </row>
    <row r="4" ht="32.05" customHeight="1">
      <c r="A4" t="s" s="17">
        <v>134</v>
      </c>
      <c r="B4" t="s" s="33">
        <v>135</v>
      </c>
      <c r="C4" s="74">
        <f>C5*C6/C7</f>
        <v>22272411.8612565</v>
      </c>
      <c r="D4" t="s" s="49">
        <v>136</v>
      </c>
      <c r="E4" t="s" s="24">
        <v>137</v>
      </c>
      <c r="F4" s="26">
        <f>F5*C5/(C7*F6)</f>
        <v>0.008357457403176239</v>
      </c>
    </row>
    <row r="5" ht="20.05" customHeight="1">
      <c r="A5" t="s" s="17">
        <v>138</v>
      </c>
      <c r="B5" t="s" s="33">
        <v>24</v>
      </c>
      <c r="C5" s="46">
        <v>12</v>
      </c>
      <c r="D5" t="s" s="49">
        <v>139</v>
      </c>
      <c r="E5" t="s" s="24">
        <v>48</v>
      </c>
      <c r="F5" s="26">
        <v>0.197</v>
      </c>
    </row>
    <row r="6" ht="32.05" customHeight="1">
      <c r="A6" t="s" s="17">
        <v>140</v>
      </c>
      <c r="B6" t="s" s="33">
        <v>48</v>
      </c>
      <c r="C6" s="46">
        <f>0.007</f>
        <v>0.007</v>
      </c>
      <c r="D6" t="s" s="49">
        <v>144</v>
      </c>
      <c r="E6" t="s" s="24">
        <v>135</v>
      </c>
      <c r="F6" s="26">
        <v>75000000000</v>
      </c>
    </row>
    <row r="7" ht="32.05" customHeight="1">
      <c r="A7" t="s" s="17">
        <v>142</v>
      </c>
      <c r="B7" t="s" s="33">
        <v>143</v>
      </c>
      <c r="C7" s="46">
        <f>C8</f>
        <v>3.77148198063455e-09</v>
      </c>
      <c r="D7" s="47"/>
      <c r="E7" s="12"/>
      <c r="F7" s="12"/>
    </row>
    <row r="8" ht="20.05" customHeight="1">
      <c r="A8" t="s" s="17">
        <v>145</v>
      </c>
      <c r="B8" s="38"/>
      <c r="C8" s="46">
        <f>PI()*POWER(C6*2,4)/32</f>
        <v>3.77148198063455e-09</v>
      </c>
      <c r="D8" s="47"/>
      <c r="E8" s="12"/>
      <c r="F8" s="12"/>
    </row>
    <row r="9" ht="20.05" customHeight="1">
      <c r="A9" s="19"/>
      <c r="B9" s="38"/>
      <c r="C9" s="42"/>
      <c r="D9" s="47"/>
      <c r="E9" s="12"/>
      <c r="F9" s="12"/>
    </row>
    <row r="10" ht="20.05" customHeight="1">
      <c r="A10" s="19"/>
      <c r="B10" s="38"/>
      <c r="C10" s="42"/>
      <c r="D10" s="47"/>
      <c r="E10" s="12"/>
      <c r="F10" s="12"/>
    </row>
    <row r="11" ht="20.05" customHeight="1">
      <c r="A11" s="19"/>
      <c r="B11" s="38"/>
      <c r="C11" s="42"/>
      <c r="D11" s="47"/>
      <c r="E11" s="12"/>
      <c r="F11" s="12"/>
    </row>
    <row r="12" ht="20.05" customHeight="1">
      <c r="A12" s="19"/>
      <c r="B12" s="38"/>
      <c r="C12" s="42"/>
      <c r="D12" s="47"/>
      <c r="E12" s="12"/>
      <c r="F12" s="12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76" customWidth="1"/>
    <col min="4" max="4" width="16.375" style="76" customWidth="1"/>
    <col min="5" max="6" width="10.8359" style="76" customWidth="1"/>
    <col min="7" max="7" width="5.40625" style="76" customWidth="1"/>
    <col min="8" max="8" width="8.07812" style="76" customWidth="1"/>
    <col min="9" max="16384" width="16.3516" style="76" customWidth="1"/>
  </cols>
  <sheetData>
    <row r="1" ht="27.65" customHeight="1">
      <c r="A1" t="s" s="2">
        <v>150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153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92.25" customHeight="1">
      <c r="A3" t="s" s="29">
        <f>'Calcs - Parts'!$A3</f>
        <v>34</v>
      </c>
      <c r="B3" t="s" s="30">
        <f>'Calcs - Parts'!D3</f>
        <v>36</v>
      </c>
      <c r="C3" t="s" s="32">
        <f>'Calcs - Parts'!B3</f>
        <v>35</v>
      </c>
      <c r="D3" t="s" s="32">
        <v>158</v>
      </c>
      <c r="E3" s="77">
        <v>75</v>
      </c>
      <c r="F3" s="78">
        <f>($E3*'BoM - Mano de obra y consumible'!$B$3)*1.07</f>
        <v>76.25355</v>
      </c>
      <c r="G3" s="31">
        <v>1</v>
      </c>
      <c r="H3" s="78">
        <f>F3*G3</f>
        <v>76.25355</v>
      </c>
    </row>
    <row r="4" ht="80.05" customHeight="1">
      <c r="A4" t="s" s="17">
        <v>37</v>
      </c>
      <c r="B4" s="38"/>
      <c r="C4" t="s" s="24">
        <v>159</v>
      </c>
      <c r="D4" t="s" s="24">
        <v>160</v>
      </c>
      <c r="E4" s="79">
        <v>29</v>
      </c>
      <c r="F4" s="80">
        <f>($E4*'BoM - Mano de obra y consumible'!$B$3)*1.07</f>
        <v>29.484706</v>
      </c>
      <c r="G4" s="26">
        <v>1</v>
      </c>
      <c r="H4" s="80">
        <f>F4*G4</f>
        <v>29.484706</v>
      </c>
    </row>
    <row r="5" ht="80.05" customHeight="1">
      <c r="A5" s="19"/>
      <c r="B5" s="38"/>
      <c r="C5" t="s" s="24">
        <v>161</v>
      </c>
      <c r="D5" s="12"/>
      <c r="E5" s="79">
        <v>42</v>
      </c>
      <c r="F5" s="80">
        <f>($E5*'BoM - Mano de obra y consumible'!$B$3)*1.07</f>
        <v>42.701988</v>
      </c>
      <c r="G5" s="12"/>
      <c r="H5" s="80">
        <f>F5*G5</f>
        <v>0</v>
      </c>
    </row>
    <row r="6" ht="92.05" customHeight="1">
      <c r="A6" t="s" s="17">
        <v>162</v>
      </c>
      <c r="B6" s="38"/>
      <c r="C6" t="s" s="24">
        <v>163</v>
      </c>
      <c r="D6" t="s" s="24">
        <v>164</v>
      </c>
      <c r="E6" s="79">
        <v>80</v>
      </c>
      <c r="F6" s="80">
        <f>($E6*'BoM - Mano de obra y consumible'!$B$3)*1.07</f>
        <v>81.33712</v>
      </c>
      <c r="G6" s="26">
        <v>1</v>
      </c>
      <c r="H6" s="80">
        <f>F6*G6</f>
        <v>81.33712</v>
      </c>
    </row>
    <row r="7" ht="157.35" customHeight="1">
      <c r="A7" t="s" s="17">
        <f>'Calcs - Parts'!$A5</f>
        <v>40</v>
      </c>
      <c r="B7" t="s" s="33">
        <f>'Calcs - Parts'!D5</f>
        <v>42</v>
      </c>
      <c r="C7" t="s" s="24">
        <f>'Calcs - Parts'!B5</f>
        <v>41</v>
      </c>
      <c r="D7" t="s" s="24">
        <v>165</v>
      </c>
      <c r="E7" s="80">
        <f>97/1.21</f>
        <v>80.16528925619831</v>
      </c>
      <c r="F7" s="80">
        <f>$E7*1.07</f>
        <v>85.7768595041322</v>
      </c>
      <c r="G7" s="26">
        <v>1</v>
      </c>
      <c r="H7" s="80">
        <f>F7*G7</f>
        <v>85.7768595041322</v>
      </c>
    </row>
    <row r="8" ht="140.05" customHeight="1">
      <c r="A8" t="s" s="17">
        <f>'Calcs - Parts'!$A7</f>
        <v>45</v>
      </c>
      <c r="B8" s="38"/>
      <c r="C8" t="s" s="24">
        <f>'Calcs - Parts'!B7</f>
        <v>46</v>
      </c>
      <c r="D8" t="s" s="24">
        <v>166</v>
      </c>
      <c r="E8" s="80">
        <v>17.6</v>
      </c>
      <c r="F8" s="80">
        <f>$E8*1.07</f>
        <v>18.832</v>
      </c>
      <c r="G8" s="26">
        <v>1</v>
      </c>
      <c r="H8" s="80">
        <f>F8*G8</f>
        <v>18.832</v>
      </c>
    </row>
    <row r="9" ht="56.05" customHeight="1">
      <c r="A9" t="s" s="17">
        <f>'Calcs - Parts'!$A8</f>
        <v>49</v>
      </c>
      <c r="B9" t="s" s="33">
        <v>167</v>
      </c>
      <c r="C9" t="s" s="24">
        <v>168</v>
      </c>
      <c r="D9" t="s" s="24">
        <f>'Calcs - Parts'!B8</f>
        <v>50</v>
      </c>
      <c r="E9" s="80">
        <v>34.48</v>
      </c>
      <c r="F9" s="80">
        <f>$E9*1.07</f>
        <v>36.8936</v>
      </c>
      <c r="G9" s="26">
        <v>1</v>
      </c>
      <c r="H9" s="80">
        <f>F9*G9</f>
        <v>36.8936</v>
      </c>
    </row>
    <row r="10" ht="92.05" customHeight="1">
      <c r="A10" t="s" s="17">
        <v>169</v>
      </c>
      <c r="B10" t="s" s="33">
        <v>170</v>
      </c>
      <c r="C10" t="s" s="24">
        <v>171</v>
      </c>
      <c r="D10" t="s" s="24">
        <v>172</v>
      </c>
      <c r="E10" s="80">
        <f>14.21/1.21</f>
        <v>11.7438016528926</v>
      </c>
      <c r="F10" s="80">
        <f>$E10*1.07</f>
        <v>12.5658677685951</v>
      </c>
      <c r="G10" s="81">
        <v>1</v>
      </c>
      <c r="H10" s="80">
        <f>F10*G10</f>
        <v>12.5658677685951</v>
      </c>
    </row>
    <row r="11" ht="92.05" customHeight="1">
      <c r="A11" t="s" s="17">
        <v>173</v>
      </c>
      <c r="B11" t="s" s="33">
        <v>174</v>
      </c>
      <c r="C11" t="s" s="24">
        <v>175</v>
      </c>
      <c r="D11" t="s" s="24">
        <v>176</v>
      </c>
      <c r="E11" s="80">
        <f>6.18/1.21</f>
        <v>5.10743801652893</v>
      </c>
      <c r="F11" s="80">
        <f>$E11*1.07</f>
        <v>5.46495867768596</v>
      </c>
      <c r="G11" s="81">
        <v>1</v>
      </c>
      <c r="H11" s="80">
        <f>F11*G11</f>
        <v>5.46495867768596</v>
      </c>
    </row>
    <row r="12" ht="92.05" customHeight="1">
      <c r="A12" t="s" s="17">
        <v>177</v>
      </c>
      <c r="B12" t="s" s="33">
        <v>178</v>
      </c>
      <c r="C12" t="s" s="24">
        <v>179</v>
      </c>
      <c r="D12" t="s" s="24">
        <v>180</v>
      </c>
      <c r="E12" s="80">
        <f>19.6/1.21</f>
        <v>16.198347107438</v>
      </c>
      <c r="F12" s="80">
        <f>$E12*1.07</f>
        <v>17.3322314049587</v>
      </c>
      <c r="G12" s="12"/>
      <c r="H12" s="80">
        <f>F12*G12</f>
        <v>0</v>
      </c>
    </row>
    <row r="13" ht="44.05" customHeight="1">
      <c r="A13" t="s" s="17">
        <f>'Calcs - Parts'!$A10</f>
        <v>55</v>
      </c>
      <c r="B13" t="s" s="33">
        <v>181</v>
      </c>
      <c r="C13" t="s" s="24">
        <v>168</v>
      </c>
      <c r="D13" t="s" s="24">
        <f>'Calcs - Parts'!B10</f>
        <v>56</v>
      </c>
      <c r="E13" s="80">
        <v>135.11</v>
      </c>
      <c r="F13" s="80">
        <f>$E13*1.07</f>
        <v>144.5677</v>
      </c>
      <c r="G13" s="26">
        <v>1</v>
      </c>
      <c r="H13" s="80">
        <f>F13*G13</f>
        <v>144.5677</v>
      </c>
    </row>
    <row r="14" ht="44.05" customHeight="1">
      <c r="A14" t="s" s="17">
        <v>182</v>
      </c>
      <c r="B14" t="s" s="33">
        <v>183</v>
      </c>
      <c r="C14" t="s" s="24">
        <v>184</v>
      </c>
      <c r="D14" s="12"/>
      <c r="E14" s="80">
        <v>30</v>
      </c>
      <c r="F14" s="80">
        <f>$E14*1.07</f>
        <v>32.1</v>
      </c>
      <c r="G14" s="26">
        <v>1</v>
      </c>
      <c r="H14" s="80">
        <f>F14*G14</f>
        <v>32.1</v>
      </c>
    </row>
    <row r="15" ht="80.05" customHeight="1">
      <c r="A15" t="s" s="17">
        <v>185</v>
      </c>
      <c r="B15" t="s" s="33">
        <v>186</v>
      </c>
      <c r="C15" t="s" s="24">
        <v>187</v>
      </c>
      <c r="D15" s="12"/>
      <c r="E15" s="26">
        <v>5</v>
      </c>
      <c r="F15" s="80">
        <f>$E15*1.07</f>
        <v>5.35</v>
      </c>
      <c r="G15" s="26">
        <v>1</v>
      </c>
      <c r="H15" s="80">
        <f>F15*G15</f>
        <v>5.35</v>
      </c>
    </row>
    <row r="16" ht="44.05" customHeight="1">
      <c r="A16" t="s" s="17">
        <v>188</v>
      </c>
      <c r="B16" t="s" s="33">
        <v>189</v>
      </c>
      <c r="C16" t="s" s="24">
        <v>187</v>
      </c>
      <c r="D16" s="12"/>
      <c r="E16" s="26">
        <v>5</v>
      </c>
      <c r="F16" s="80">
        <f>$E16*1.07</f>
        <v>5.35</v>
      </c>
      <c r="G16" s="26">
        <v>1</v>
      </c>
      <c r="H16" s="80">
        <f>F16*G16</f>
        <v>5.35</v>
      </c>
    </row>
    <row r="17" ht="20.05" customHeight="1">
      <c r="A17" s="19"/>
      <c r="B17" s="38"/>
      <c r="C17" s="12"/>
      <c r="D17" s="12"/>
      <c r="E17" s="12"/>
      <c r="F17" s="80"/>
      <c r="G17" s="12"/>
      <c r="H17" s="12"/>
    </row>
    <row r="18" ht="20.05" customHeight="1">
      <c r="A18" s="19"/>
      <c r="B18" s="38"/>
      <c r="C18" s="12"/>
      <c r="D18" s="12"/>
      <c r="E18" s="12"/>
      <c r="F18" s="80"/>
      <c r="G18" s="12"/>
      <c r="H18" s="80">
        <f>SUM(H3:H16)</f>
        <v>533.976361950413</v>
      </c>
    </row>
  </sheetData>
  <mergeCells count="1">
    <mergeCell ref="A1:H1"/>
  </mergeCells>
  <hyperlinks>
    <hyperlink ref="C3" r:id="rId1" location="" tooltip="" display="https://robotdigg.com/product/1228/Two-phase-NEMA34-closed-loop-stepper-motor"/>
    <hyperlink ref="C4" r:id="rId2" location="" tooltip="" display="https://www.robotdigg.com/product/1285/DM542,-DM556-or-DM860H-stepper-motor-driver"/>
    <hyperlink ref="C5" r:id="rId3" location="" tooltip="" display="https://www.robotdigg.com/product/976/80VDC-7.2A-DSP-Stepper-Motor-Driver"/>
    <hyperlink ref="C6" r:id="rId4" location="" tooltip="" display="https://www.robotdigg.com/product/1564/60V-or-80V-DC-output-500W-or-1000W-power-supply"/>
    <hyperlink ref="C7" r:id="rId5" location="" tooltip="" display="https://www.zuendo.com/corona-sin-fin/5166-reductor-rstv050-tamano-motor-71-eje-de-entrada-14-mm.html#/840-elige_brida-b14/13-relacion-i_20"/>
    <hyperlink ref="C8" r:id="rId6" location="" tooltip="" display="https://www.zuendo.com/accesorios-para-reductores/3110-eje-simple-de-salida-para-reductor-todos-los-tamanos.html#/818-tipo_de_eje-25_mm_rstv50"/>
    <hyperlink ref="C9" r:id="rId7" location="" tooltip="" display="norelem.es"/>
    <hyperlink ref="C10" r:id="rId8" location="" tooltip="" display="https://www.123rodamiento.es/rodamiento-cojinete/rodamiento-rodillos/leva/natr15a"/>
    <hyperlink ref="C11" r:id="rId9" location="" tooltip="" display="https://www.123rodamiento.es/rodamiento-cojinete/rodamiento-agujas/aros-interiores/ir12-15-22.5"/>
    <hyperlink ref="C12" r:id="rId10" location="" tooltip="" display="https://www.123rodamiento.es/rodamiento-cojinete/rodamiento-rodillos/leva/natv12-pp"/>
    <hyperlink ref="C13" r:id="rId11" location="" tooltip="" display="norelem.es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82" customWidth="1"/>
    <col min="5" max="6" width="10.7188" style="82" customWidth="1"/>
    <col min="7" max="7" width="5.40625" style="82" customWidth="1"/>
    <col min="8" max="8" width="8.07812" style="82" customWidth="1"/>
    <col min="9" max="16384" width="16.3516" style="82" customWidth="1"/>
  </cols>
  <sheetData>
    <row r="1" ht="27.65" customHeight="1">
      <c r="A1" t="s" s="2">
        <v>190</v>
      </c>
      <c r="B1" s="2"/>
      <c r="C1" s="2"/>
      <c r="D1" s="2"/>
      <c r="E1" s="2"/>
      <c r="F1" s="2"/>
      <c r="G1" s="2"/>
      <c r="H1" s="2"/>
    </row>
    <row r="2" ht="32.25" customHeight="1">
      <c r="A2" t="s" s="3">
        <v>29</v>
      </c>
      <c r="B2" t="s" s="3">
        <v>151</v>
      </c>
      <c r="C2" t="s" s="3">
        <v>152</v>
      </c>
      <c r="D2" t="s" s="3">
        <v>191</v>
      </c>
      <c r="E2" t="s" s="3">
        <v>154</v>
      </c>
      <c r="F2" t="s" s="3">
        <v>155</v>
      </c>
      <c r="G2" t="s" s="3">
        <v>156</v>
      </c>
      <c r="H2" t="s" s="3">
        <v>157</v>
      </c>
    </row>
    <row r="3" ht="44.25" customHeight="1">
      <c r="A3" t="s" s="29">
        <f>'Calcs - Parts'!$A11</f>
        <v>57</v>
      </c>
      <c r="B3" t="s" s="30">
        <v>192</v>
      </c>
      <c r="C3" t="s" s="32">
        <v>168</v>
      </c>
      <c r="D3" t="s" s="32">
        <f>'Calcs - Parts'!B11</f>
        <v>58</v>
      </c>
      <c r="E3" s="78">
        <v>24.54</v>
      </c>
      <c r="F3" s="78">
        <f>$E3*1.07</f>
        <v>26.2578</v>
      </c>
      <c r="G3" s="31">
        <v>1</v>
      </c>
      <c r="H3" s="78">
        <f>F3*G3</f>
        <v>26.2578</v>
      </c>
    </row>
    <row r="4" ht="68.05" customHeight="1">
      <c r="A4" t="s" s="17">
        <v>193</v>
      </c>
      <c r="B4" t="s" s="33">
        <v>194</v>
      </c>
      <c r="C4" t="s" s="24">
        <v>195</v>
      </c>
      <c r="D4" t="s" s="24">
        <v>196</v>
      </c>
      <c r="E4" s="79">
        <v>2</v>
      </c>
      <c r="F4" s="80">
        <f>($E4*'BoM - Mano de obra y consumible'!$B$3)*1.07</f>
        <v>2.033428</v>
      </c>
      <c r="G4" s="26">
        <v>4</v>
      </c>
      <c r="H4" s="80">
        <f>F4*G4</f>
        <v>8.133711999999999</v>
      </c>
    </row>
    <row r="5" ht="92.05" customHeight="1">
      <c r="A5" t="s" s="17">
        <v>197</v>
      </c>
      <c r="B5" t="s" s="33">
        <v>198</v>
      </c>
      <c r="C5" t="s" s="24">
        <v>199</v>
      </c>
      <c r="D5" t="s" s="24">
        <v>200</v>
      </c>
      <c r="E5" s="79">
        <v>2.9</v>
      </c>
      <c r="F5" s="80">
        <f>($E5*'BoM - Mano de obra y consumible'!$B$3)*1.07</f>
        <v>2.9484706</v>
      </c>
      <c r="G5" s="26">
        <v>1</v>
      </c>
      <c r="H5" s="80">
        <f>F5*G5</f>
        <v>2.9484706</v>
      </c>
    </row>
    <row r="6" ht="44.05" customHeight="1">
      <c r="A6" t="s" s="17">
        <v>201</v>
      </c>
      <c r="B6" t="s" s="33">
        <v>202</v>
      </c>
      <c r="C6" t="s" s="24">
        <v>168</v>
      </c>
      <c r="D6" t="s" s="24">
        <v>203</v>
      </c>
      <c r="E6" s="80">
        <v>5.72</v>
      </c>
      <c r="F6" s="80">
        <f>$E6*1.07</f>
        <v>6.1204</v>
      </c>
      <c r="G6" s="26">
        <v>2</v>
      </c>
      <c r="H6" s="80">
        <f>F6*G6</f>
        <v>12.2408</v>
      </c>
    </row>
    <row r="7" ht="20.05" customHeight="1">
      <c r="A7" t="s" s="17">
        <v>204</v>
      </c>
      <c r="B7" t="s" s="33">
        <v>205</v>
      </c>
      <c r="C7" t="s" s="24">
        <v>168</v>
      </c>
      <c r="D7" t="s" s="24">
        <v>206</v>
      </c>
      <c r="E7" s="80">
        <v>2.67</v>
      </c>
      <c r="F7" s="80">
        <f>$E7*1.07</f>
        <v>2.8569</v>
      </c>
      <c r="G7" s="26">
        <v>2</v>
      </c>
      <c r="H7" s="80">
        <f>F7*G7</f>
        <v>5.7138</v>
      </c>
    </row>
    <row r="8" ht="56.05" customHeight="1">
      <c r="A8" t="s" s="17">
        <v>207</v>
      </c>
      <c r="B8" t="s" s="33">
        <v>208</v>
      </c>
      <c r="C8" t="s" s="24">
        <v>209</v>
      </c>
      <c r="D8" s="12"/>
      <c r="E8" s="80">
        <v>20</v>
      </c>
      <c r="F8" s="80">
        <f>$E8*1.07</f>
        <v>21.4</v>
      </c>
      <c r="G8" s="26">
        <v>1</v>
      </c>
      <c r="H8" s="80">
        <f>F8*G8</f>
        <v>21.4</v>
      </c>
    </row>
    <row r="9" ht="68.05" customHeight="1">
      <c r="A9" t="s" s="17">
        <v>210</v>
      </c>
      <c r="B9" t="s" s="33">
        <v>211</v>
      </c>
      <c r="C9" t="s" s="24">
        <v>212</v>
      </c>
      <c r="D9" t="s" s="24">
        <v>213</v>
      </c>
      <c r="E9" s="79">
        <v>16</v>
      </c>
      <c r="F9" s="80">
        <f>($E9*'BoM - Mano de obra y consumible'!$B$3)*1.07</f>
        <v>16.267424</v>
      </c>
      <c r="G9" s="26">
        <v>1</v>
      </c>
      <c r="H9" s="80">
        <f>F9*G9</f>
        <v>16.267424</v>
      </c>
    </row>
    <row r="10" ht="56.05" customHeight="1">
      <c r="A10" t="s" s="17">
        <v>214</v>
      </c>
      <c r="B10" t="s" s="33">
        <v>215</v>
      </c>
      <c r="C10" t="s" s="24">
        <v>216</v>
      </c>
      <c r="D10" s="12"/>
      <c r="E10" s="80">
        <v>30</v>
      </c>
      <c r="F10" s="80">
        <f>$E10*1.07</f>
        <v>32.1</v>
      </c>
      <c r="G10" s="26">
        <v>1</v>
      </c>
      <c r="H10" s="80">
        <f>F10*G10</f>
        <v>32.1</v>
      </c>
    </row>
    <row r="11" ht="32.05" customHeight="1">
      <c r="A11" t="s" s="17">
        <v>217</v>
      </c>
      <c r="B11" t="s" s="33">
        <v>218</v>
      </c>
      <c r="C11" t="s" s="24">
        <v>219</v>
      </c>
      <c r="D11" s="12"/>
      <c r="E11" s="12"/>
      <c r="F11" s="80">
        <f>$E11*1.07</f>
        <v>0</v>
      </c>
      <c r="G11" s="12"/>
      <c r="H11" s="80">
        <f>F11*G11</f>
        <v>0</v>
      </c>
    </row>
    <row r="12" ht="20.05" customHeight="1">
      <c r="A12" s="19"/>
      <c r="B12" s="38"/>
      <c r="C12" s="12"/>
      <c r="D12" s="12"/>
      <c r="E12" s="12"/>
      <c r="F12" s="80"/>
      <c r="G12" s="12"/>
      <c r="H12" s="12"/>
    </row>
    <row r="13" ht="20.05" customHeight="1">
      <c r="A13" s="19"/>
      <c r="B13" s="38"/>
      <c r="C13" s="12"/>
      <c r="D13" s="12"/>
      <c r="E13" s="12"/>
      <c r="F13" s="80"/>
      <c r="G13" s="12"/>
      <c r="H13" s="80">
        <f>SUM(H3:H11)</f>
        <v>125.0620066</v>
      </c>
    </row>
  </sheetData>
  <mergeCells count="1">
    <mergeCell ref="A1:H1"/>
  </mergeCells>
  <hyperlinks>
    <hyperlink ref="C3" r:id="rId1" location="" tooltip="" display="norelem.es"/>
    <hyperlink ref="C4" r:id="rId2" location="" tooltip="" display="https://robotdigg.com/product/417/SCS12UU-Linear-Block"/>
    <hyperlink ref="C5" r:id="rId3" location="" tooltip="" display="https://robotdigg.com/product/920/8mm,-10mm-or-12mm-linear-shaft-or-smooth-rod-in-lengths"/>
    <hyperlink ref="C6" r:id="rId4" location="" tooltip="" display="norelem.es"/>
    <hyperlink ref="C7" r:id="rId5" location="" tooltip="" display="norelem.es"/>
    <hyperlink ref="C9" r:id="rId6" location="" tooltip="" display="https://robotdigg.com/product/35/Kapton-Tape-5mm-to-300mm-width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