
<file path=[Content_Types].xml><?xml version="1.0" encoding="utf-8"?>
<Types xmlns="http://schemas.openxmlformats.org/package/2006/content-types">
  <Default Extension="bin" ContentType="application/vnd.openxmlformats-officedocument.oleObject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printerSettings/printerSettings1.bin" ContentType="application/vnd.openxmlformats-officedocument.spreadsheetml.printerSettings"/>
  <Override PartName="/xl/drawings/drawing7.xml" ContentType="application/vnd.openxmlformats-officedocument.drawing+xml"/>
  <Override PartName="/xl/printerSettings/printerSettings2.bin" ContentType="application/vnd.openxmlformats-officedocument.spreadsheetml.printerSettings"/>
  <Override PartName="/xl/drawings/drawing8.xml" ContentType="application/vnd.openxmlformats-officedocument.drawing+xml"/>
  <Override PartName="/xl/drawings/drawing9.xml" ContentType="application/vnd.openxmlformats-officedocument.drawing+xml"/>
  <Override PartName="/xl/printerSettings/printerSettings3.bin" ContentType="application/vnd.openxmlformats-officedocument.spreadsheetml.printerSettings"/>
  <Override PartName="/xl/drawings/drawing10.xml" ContentType="application/vnd.openxmlformats-officedocument.drawing+xml"/>
  <Override PartName="/xl/drawings/drawing11.xml" ContentType="application/vnd.openxmlformats-officedocument.drawing+xml"/>
  <Override PartName="/xl/printerSettings/printerSettings4.bin" ContentType="application/vnd.openxmlformats-officedocument.spreadsheetml.printerSettings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 filterPrivacy="1"/>
  <xr:revisionPtr revIDLastSave="0" documentId="13_ncr:1_{96ACC582-946B-4A6F-8BCA-7DA9557C2506}" xr6:coauthVersionLast="47" xr6:coauthVersionMax="47" xr10:uidLastSave="{00000000-0000-0000-0000-000000000000}"/>
  <bookViews>
    <workbookView xWindow="-120" yWindow="-120" windowWidth="20730" windowHeight="11160" tabRatio="815" xr2:uid="{00000000-000D-0000-FFFF-FFFF00000000}"/>
  </bookViews>
  <sheets>
    <sheet name="Example1" sheetId="1" r:id="rId1"/>
    <sheet name="Example2" sheetId="2" r:id="rId2"/>
    <sheet name="Example3" sheetId="3" r:id="rId3"/>
    <sheet name="Example4" sheetId="4" r:id="rId4"/>
    <sheet name="Example5" sheetId="5" r:id="rId5"/>
    <sheet name="Example6" sheetId="6" r:id="rId6"/>
    <sheet name="Example7" sheetId="7" r:id="rId7"/>
    <sheet name="Example8" sheetId="8" r:id="rId8"/>
    <sheet name="Example9" sheetId="9" r:id="rId9"/>
    <sheet name="Example10" sheetId="10" r:id="rId10"/>
    <sheet name="SampleSize" sheetId="11" r:id="rId11"/>
    <sheet name="CIproportion" sheetId="12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" i="12" l="1"/>
  <c r="G8" i="12" s="1"/>
  <c r="H8" i="12" s="1"/>
  <c r="E7" i="12"/>
  <c r="G7" i="12" s="1"/>
  <c r="H7" i="12" s="1"/>
  <c r="E6" i="12"/>
  <c r="G6" i="12" s="1"/>
  <c r="H6" i="12" s="1"/>
  <c r="B4" i="12"/>
  <c r="B7" i="12" s="1"/>
  <c r="J8" i="12" l="1"/>
  <c r="J6" i="12"/>
  <c r="I6" i="12"/>
  <c r="J7" i="12"/>
  <c r="I7" i="12"/>
  <c r="I8" i="12"/>
  <c r="B6" i="12"/>
  <c r="J7" i="11"/>
  <c r="J9" i="11"/>
  <c r="B7" i="11"/>
  <c r="E5" i="10" l="1"/>
  <c r="H5" i="10" l="1"/>
  <c r="J5" i="10" s="1"/>
  <c r="F5" i="10"/>
  <c r="I5" i="10" s="1"/>
  <c r="K5" i="10" s="1"/>
  <c r="I8" i="9"/>
  <c r="J8" i="9" s="1"/>
  <c r="H8" i="9"/>
  <c r="H6" i="9"/>
  <c r="I6" i="9" s="1"/>
  <c r="C12" i="9"/>
  <c r="C11" i="9"/>
  <c r="C10" i="9"/>
  <c r="C9" i="9"/>
  <c r="F8" i="9"/>
  <c r="F7" i="9"/>
  <c r="H7" i="9" s="1"/>
  <c r="I7" i="9" s="1"/>
  <c r="F6" i="9"/>
  <c r="J7" i="9" l="1"/>
  <c r="K7" i="9"/>
  <c r="J6" i="9"/>
  <c r="K6" i="9"/>
  <c r="K8" i="9"/>
  <c r="M7" i="8"/>
  <c r="M6" i="8"/>
  <c r="M5" i="8"/>
  <c r="D5" i="8"/>
  <c r="D6" i="8"/>
  <c r="D7" i="8"/>
  <c r="D8" i="8"/>
  <c r="J6" i="8" s="1"/>
  <c r="D9" i="8"/>
  <c r="D4" i="8"/>
  <c r="J4" i="8" l="1"/>
  <c r="O5" i="8"/>
  <c r="P5" i="8" s="1"/>
  <c r="O6" i="8"/>
  <c r="P6" i="8" s="1"/>
  <c r="R6" i="8" s="1"/>
  <c r="O7" i="8"/>
  <c r="P7" i="8" s="1"/>
  <c r="J5" i="8"/>
  <c r="Q5" i="8" l="1"/>
  <c r="R7" i="8"/>
  <c r="Q6" i="8"/>
  <c r="Q7" i="8"/>
  <c r="R5" i="8"/>
  <c r="F9" i="7"/>
  <c r="F10" i="7" s="1"/>
  <c r="H5" i="7" s="1"/>
  <c r="I5" i="7" s="1"/>
  <c r="F7" i="7"/>
  <c r="F6" i="7"/>
  <c r="F5" i="7"/>
  <c r="H6" i="7" l="1"/>
  <c r="I6" i="7" s="1"/>
  <c r="H7" i="7"/>
  <c r="I7" i="7" s="1"/>
  <c r="K5" i="7"/>
  <c r="J5" i="7"/>
  <c r="M10" i="6"/>
  <c r="J7" i="7" l="1"/>
  <c r="K7" i="7"/>
  <c r="J6" i="7"/>
  <c r="K6" i="7"/>
  <c r="M8" i="6"/>
  <c r="O8" i="6" s="1"/>
  <c r="M7" i="6"/>
  <c r="O7" i="6" s="1"/>
  <c r="M6" i="6"/>
  <c r="O6" i="6" s="1"/>
  <c r="B15" i="5"/>
  <c r="B14" i="5"/>
  <c r="F7" i="5"/>
  <c r="F6" i="5"/>
  <c r="F5" i="5"/>
  <c r="H5" i="5" s="1"/>
  <c r="B6" i="4"/>
  <c r="B5" i="4"/>
  <c r="H5" i="4"/>
  <c r="J5" i="4" s="1"/>
  <c r="F7" i="4"/>
  <c r="F6" i="4"/>
  <c r="F5" i="4"/>
  <c r="H5" i="3"/>
  <c r="F7" i="3"/>
  <c r="H7" i="3" s="1"/>
  <c r="F6" i="3"/>
  <c r="H6" i="3" s="1"/>
  <c r="F5" i="3"/>
  <c r="H7" i="2"/>
  <c r="H5" i="2"/>
  <c r="F7" i="2"/>
  <c r="F6" i="2"/>
  <c r="H6" i="2" s="1"/>
  <c r="F5" i="2"/>
  <c r="H5" i="1"/>
  <c r="I5" i="1" s="1"/>
  <c r="F6" i="1"/>
  <c r="H6" i="1" s="1"/>
  <c r="F7" i="1"/>
  <c r="H7" i="1" s="1"/>
  <c r="J7" i="1" s="1"/>
  <c r="F5" i="1"/>
  <c r="J6" i="1" l="1"/>
  <c r="I6" i="1"/>
  <c r="H7" i="5"/>
  <c r="I7" i="5" s="1"/>
  <c r="H6" i="4"/>
  <c r="J6" i="4" s="1"/>
  <c r="H7" i="4"/>
  <c r="H6" i="5"/>
  <c r="I5" i="5"/>
  <c r="J5" i="5"/>
  <c r="J7" i="4"/>
  <c r="I7" i="4"/>
  <c r="J6" i="5"/>
  <c r="I6" i="5"/>
  <c r="I7" i="1"/>
  <c r="J5" i="1"/>
  <c r="I5" i="4"/>
  <c r="P7" i="6"/>
  <c r="Q7" i="6"/>
  <c r="Q8" i="6"/>
  <c r="P8" i="6"/>
  <c r="Q6" i="6"/>
  <c r="P6" i="6"/>
  <c r="J5" i="3"/>
  <c r="I5" i="3"/>
  <c r="J6" i="3"/>
  <c r="I6" i="3"/>
  <c r="I7" i="3"/>
  <c r="J7" i="3"/>
  <c r="J5" i="2"/>
  <c r="I5" i="2"/>
  <c r="J6" i="2"/>
  <c r="I6" i="2"/>
  <c r="I7" i="2"/>
  <c r="J7" i="2"/>
  <c r="I6" i="4" l="1"/>
  <c r="J7" i="5"/>
</calcChain>
</file>

<file path=xl/sharedStrings.xml><?xml version="1.0" encoding="utf-8"?>
<sst xmlns="http://schemas.openxmlformats.org/spreadsheetml/2006/main" count="231" uniqueCount="120">
  <si>
    <t>Example 1</t>
  </si>
  <si>
    <t>Population:</t>
  </si>
  <si>
    <t>Sample size:</t>
  </si>
  <si>
    <t>any</t>
  </si>
  <si>
    <t>Sample mean:</t>
  </si>
  <si>
    <r>
      <t xml:space="preserve">(1 - </t>
    </r>
    <r>
      <rPr>
        <b/>
        <sz val="10"/>
        <rFont val="Symbol"/>
        <family val="1"/>
        <charset val="2"/>
      </rPr>
      <t>a</t>
    </r>
    <r>
      <rPr>
        <b/>
        <sz val="10"/>
        <rFont val="Arial"/>
        <family val="2"/>
      </rPr>
      <t>)%</t>
    </r>
  </si>
  <si>
    <t>Confidence Intervals</t>
  </si>
  <si>
    <t>Sampling error</t>
  </si>
  <si>
    <r>
      <t>1-a/2</t>
    </r>
    <r>
      <rPr>
        <b/>
        <sz val="10"/>
        <rFont val="Arial"/>
        <family val="2"/>
      </rPr>
      <t>%</t>
    </r>
  </si>
  <si>
    <t>Confidence level</t>
  </si>
  <si>
    <t>Lower limit</t>
  </si>
  <si>
    <t>Upper limit</t>
  </si>
  <si>
    <t>Example 2</t>
  </si>
  <si>
    <t>?</t>
  </si>
  <si>
    <t>Sample variance:</t>
  </si>
  <si>
    <t>Pop. variance</t>
  </si>
  <si>
    <t>Pop. STD</t>
  </si>
  <si>
    <t>Normal</t>
  </si>
  <si>
    <t>Sample std:</t>
  </si>
  <si>
    <t>Example 3</t>
  </si>
  <si>
    <t>Example 4</t>
  </si>
  <si>
    <t>Populations:</t>
  </si>
  <si>
    <t>Pop. Variance 1:</t>
  </si>
  <si>
    <t>Pop. Variance 2:</t>
  </si>
  <si>
    <t>Equal pop. variances?</t>
  </si>
  <si>
    <r>
      <t>n</t>
    </r>
    <r>
      <rPr>
        <b/>
        <vertAlign val="subscript"/>
        <sz val="11"/>
        <color theme="1"/>
        <rFont val="Calibri"/>
        <family val="2"/>
        <scheme val="minor"/>
      </rPr>
      <t>1</t>
    </r>
    <r>
      <rPr>
        <b/>
        <sz val="11"/>
        <color theme="1"/>
        <rFont val="Calibri"/>
        <family val="2"/>
        <scheme val="minor"/>
      </rPr>
      <t xml:space="preserve"> =</t>
    </r>
  </si>
  <si>
    <r>
      <t>n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 xml:space="preserve"> =</t>
    </r>
  </si>
  <si>
    <t>Sample mean 1:</t>
  </si>
  <si>
    <t>Sample mean 2:</t>
  </si>
  <si>
    <t>Sample variance 1:</t>
  </si>
  <si>
    <t>Sample variance 2:</t>
  </si>
  <si>
    <t>yes</t>
  </si>
  <si>
    <t>known</t>
  </si>
  <si>
    <t>Example 5</t>
  </si>
  <si>
    <t>NO</t>
  </si>
  <si>
    <r>
      <t xml:space="preserve">Confidence Intervals for </t>
    </r>
    <r>
      <rPr>
        <b/>
        <sz val="10"/>
        <color theme="8"/>
        <rFont val="Symbol"/>
        <family val="1"/>
        <charset val="2"/>
      </rPr>
      <t>m</t>
    </r>
    <r>
      <rPr>
        <b/>
        <sz val="10"/>
        <color theme="8"/>
        <rFont val="Arial"/>
        <family val="2"/>
      </rPr>
      <t>2-</t>
    </r>
    <r>
      <rPr>
        <b/>
        <sz val="10"/>
        <color theme="8"/>
        <rFont val="Symbol"/>
        <family val="1"/>
        <charset val="2"/>
      </rPr>
      <t>m</t>
    </r>
    <r>
      <rPr>
        <b/>
        <sz val="10"/>
        <color theme="8"/>
        <rFont val="Arial"/>
        <family val="2"/>
      </rPr>
      <t>1</t>
    </r>
  </si>
  <si>
    <t>Speeding tickets amounts</t>
  </si>
  <si>
    <t>St. Paul</t>
  </si>
  <si>
    <t>Minneapolis</t>
  </si>
  <si>
    <r>
      <t xml:space="preserve">Confidence Intervals for </t>
    </r>
    <r>
      <rPr>
        <b/>
        <sz val="10"/>
        <color theme="8"/>
        <rFont val="Symbol"/>
        <family val="1"/>
        <charset val="2"/>
      </rPr>
      <t>m</t>
    </r>
    <r>
      <rPr>
        <b/>
        <sz val="10"/>
        <color theme="8"/>
        <rFont val="Arial"/>
        <family val="2"/>
      </rPr>
      <t>1-</t>
    </r>
    <r>
      <rPr>
        <b/>
        <sz val="10"/>
        <color theme="8"/>
        <rFont val="Symbol"/>
        <family val="1"/>
        <charset val="2"/>
      </rPr>
      <t>m</t>
    </r>
    <r>
      <rPr>
        <b/>
        <sz val="10"/>
        <color theme="8"/>
        <rFont val="Arial"/>
        <family val="2"/>
      </rPr>
      <t>2</t>
    </r>
  </si>
  <si>
    <r>
      <t>S'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 xml:space="preserve"> =</t>
    </r>
  </si>
  <si>
    <t>Descriptive Statistics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</si>
  <si>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</si>
  <si>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</si>
  <si>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</si>
  <si>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</si>
  <si>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</si>
  <si>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</si>
  <si>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</si>
  <si>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</si>
  <si>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</si>
  <si>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Maximum</t>
  </si>
  <si>
    <t>Minimum</t>
  </si>
  <si>
    <t>Sum</t>
  </si>
  <si>
    <t>Count</t>
  </si>
  <si>
    <t>Geometric Mean</t>
  </si>
  <si>
    <t>Harmonic Mean</t>
  </si>
  <si>
    <t>AAD</t>
  </si>
  <si>
    <t>MAD</t>
  </si>
  <si>
    <t>IQR</t>
  </si>
  <si>
    <t>Shapiro-Wilk Test</t>
  </si>
  <si>
    <t>W-stat</t>
  </si>
  <si>
    <t>p-value</t>
  </si>
  <si>
    <t>alpha</t>
  </si>
  <si>
    <t>normal</t>
  </si>
  <si>
    <t>d'Agostino-Pearson</t>
  </si>
  <si>
    <t>DA-stat</t>
  </si>
  <si>
    <t>no</t>
  </si>
  <si>
    <t>Example 7</t>
  </si>
  <si>
    <t>East offices (X)</t>
  </si>
  <si>
    <t>West offices (Y)</t>
  </si>
  <si>
    <t>Sample size</t>
  </si>
  <si>
    <t>Sample mean</t>
  </si>
  <si>
    <t>Sample variance</t>
  </si>
  <si>
    <t>r* =</t>
  </si>
  <si>
    <t>r =</t>
  </si>
  <si>
    <r>
      <t>t</t>
    </r>
    <r>
      <rPr>
        <b/>
        <vertAlign val="subscript"/>
        <sz val="11"/>
        <color theme="1"/>
        <rFont val="Calibri"/>
        <family val="2"/>
        <scheme val="minor"/>
      </rPr>
      <t>(r);1-</t>
    </r>
    <r>
      <rPr>
        <b/>
        <vertAlign val="subscript"/>
        <sz val="11"/>
        <color theme="1"/>
        <rFont val="Symbol"/>
        <family val="1"/>
        <charset val="2"/>
      </rPr>
      <t>a</t>
    </r>
    <r>
      <rPr>
        <b/>
        <vertAlign val="subscript"/>
        <sz val="11"/>
        <color theme="1"/>
        <rFont val="Calibri"/>
        <family val="2"/>
        <scheme val="minor"/>
      </rPr>
      <t>/2</t>
    </r>
  </si>
  <si>
    <t>Salesperson</t>
  </si>
  <si>
    <t>Before</t>
  </si>
  <si>
    <t>After</t>
  </si>
  <si>
    <t>Differences</t>
  </si>
  <si>
    <t>Mean of differences =</t>
  </si>
  <si>
    <t>Standard deviation of differences =</t>
  </si>
  <si>
    <r>
      <t>t</t>
    </r>
    <r>
      <rPr>
        <b/>
        <vertAlign val="subscript"/>
        <sz val="11"/>
        <color theme="1"/>
        <rFont val="Calibri"/>
        <family val="2"/>
        <scheme val="minor"/>
      </rPr>
      <t>(n-1);1-</t>
    </r>
    <r>
      <rPr>
        <b/>
        <vertAlign val="subscript"/>
        <sz val="11"/>
        <color theme="1"/>
        <rFont val="Symbol"/>
        <family val="1"/>
        <charset val="2"/>
      </rPr>
      <t>a</t>
    </r>
    <r>
      <rPr>
        <b/>
        <vertAlign val="subscript"/>
        <sz val="11"/>
        <color theme="1"/>
        <rFont val="Calibri"/>
        <family val="2"/>
        <scheme val="minor"/>
      </rPr>
      <t>/2</t>
    </r>
  </si>
  <si>
    <t>Sample size =</t>
  </si>
  <si>
    <t>Example 10</t>
  </si>
  <si>
    <t>Confidence Intervals for p1-p2</t>
  </si>
  <si>
    <t>Sample p1 =</t>
  </si>
  <si>
    <t>Sample p2 =</t>
  </si>
  <si>
    <t>Developing Section</t>
  </si>
  <si>
    <t>Rest of the City</t>
  </si>
  <si>
    <r>
      <t>n</t>
    </r>
    <r>
      <rPr>
        <b/>
        <vertAlign val="subscript"/>
        <sz val="11"/>
        <color theme="1"/>
        <rFont val="Calibri"/>
        <family val="2"/>
        <scheme val="minor"/>
      </rPr>
      <t>1</t>
    </r>
    <r>
      <rPr>
        <b/>
        <sz val="11"/>
        <color theme="1"/>
        <rFont val="Calibri"/>
        <family val="2"/>
        <scheme val="minor"/>
      </rPr>
      <t xml:space="preserve"> x p</t>
    </r>
    <r>
      <rPr>
        <b/>
        <vertAlign val="subscript"/>
        <sz val="11"/>
        <color theme="1"/>
        <rFont val="Calibri"/>
        <family val="2"/>
        <scheme val="minor"/>
      </rPr>
      <t>1</t>
    </r>
    <r>
      <rPr>
        <b/>
        <sz val="11"/>
        <color theme="1"/>
        <rFont val="Calibri"/>
        <family val="2"/>
        <scheme val="minor"/>
      </rPr>
      <t xml:space="preserve"> =</t>
    </r>
  </si>
  <si>
    <r>
      <t>n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 xml:space="preserve"> x q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 xml:space="preserve"> =</t>
    </r>
  </si>
  <si>
    <r>
      <t>n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 xml:space="preserve"> x p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 xml:space="preserve"> =</t>
    </r>
  </si>
  <si>
    <r>
      <t>n</t>
    </r>
    <r>
      <rPr>
        <b/>
        <vertAlign val="subscript"/>
        <sz val="11"/>
        <color theme="1"/>
        <rFont val="Calibri"/>
        <family val="2"/>
        <scheme val="minor"/>
      </rPr>
      <t>1</t>
    </r>
    <r>
      <rPr>
        <b/>
        <sz val="11"/>
        <color theme="1"/>
        <rFont val="Calibri"/>
        <family val="2"/>
        <scheme val="minor"/>
      </rPr>
      <t xml:space="preserve"> x q</t>
    </r>
    <r>
      <rPr>
        <b/>
        <vertAlign val="subscript"/>
        <sz val="11"/>
        <color theme="1"/>
        <rFont val="Calibri"/>
        <family val="2"/>
        <scheme val="minor"/>
      </rPr>
      <t>1</t>
    </r>
    <r>
      <rPr>
        <b/>
        <sz val="11"/>
        <color theme="1"/>
        <rFont val="Calibri"/>
        <family val="2"/>
        <scheme val="minor"/>
      </rPr>
      <t xml:space="preserve"> =</t>
    </r>
  </si>
  <si>
    <r>
      <t>Z</t>
    </r>
    <r>
      <rPr>
        <b/>
        <vertAlign val="subscript"/>
        <sz val="11"/>
        <color theme="1"/>
        <rFont val="Calibri"/>
        <family val="2"/>
        <scheme val="minor"/>
      </rPr>
      <t>1-</t>
    </r>
    <r>
      <rPr>
        <b/>
        <vertAlign val="subscript"/>
        <sz val="11"/>
        <color theme="1"/>
        <rFont val="Symbol"/>
        <family val="1"/>
        <charset val="2"/>
      </rPr>
      <t>a</t>
    </r>
    <r>
      <rPr>
        <b/>
        <vertAlign val="subscript"/>
        <sz val="11"/>
        <color theme="1"/>
        <rFont val="Calibri"/>
        <family val="2"/>
        <scheme val="minor"/>
      </rPr>
      <t>/2</t>
    </r>
  </si>
  <si>
    <t>n =</t>
  </si>
  <si>
    <r>
      <t>s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=</t>
    </r>
  </si>
  <si>
    <r>
      <t xml:space="preserve">Confidence Interval for </t>
    </r>
    <r>
      <rPr>
        <b/>
        <sz val="10"/>
        <color theme="8"/>
        <rFont val="Symbol"/>
        <family val="1"/>
        <charset val="2"/>
      </rPr>
      <t>s</t>
    </r>
    <r>
      <rPr>
        <b/>
        <vertAlign val="superscript"/>
        <sz val="10"/>
        <color theme="8"/>
        <rFont val="Arial"/>
        <family val="2"/>
      </rPr>
      <t>2</t>
    </r>
  </si>
  <si>
    <r>
      <rPr>
        <b/>
        <sz val="11"/>
        <color theme="1"/>
        <rFont val="Symbol"/>
        <family val="1"/>
        <charset val="2"/>
      </rPr>
      <t>C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vertAlign val="subscript"/>
        <sz val="11"/>
        <color theme="1"/>
        <rFont val="Calibri"/>
        <family val="2"/>
        <scheme val="minor"/>
      </rPr>
      <t>(n-1);1-</t>
    </r>
    <r>
      <rPr>
        <b/>
        <vertAlign val="subscript"/>
        <sz val="11"/>
        <color theme="1"/>
        <rFont val="Symbol"/>
        <family val="1"/>
        <charset val="2"/>
      </rPr>
      <t>a</t>
    </r>
    <r>
      <rPr>
        <b/>
        <vertAlign val="subscript"/>
        <sz val="11"/>
        <color theme="1"/>
        <rFont val="Calibri"/>
        <family val="2"/>
        <scheme val="minor"/>
      </rPr>
      <t>/2</t>
    </r>
  </si>
  <si>
    <r>
      <rPr>
        <b/>
        <sz val="11"/>
        <color theme="1"/>
        <rFont val="Symbol"/>
        <family val="1"/>
        <charset val="2"/>
      </rPr>
      <t>C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vertAlign val="subscript"/>
        <sz val="11"/>
        <color theme="1"/>
        <rFont val="Calibri"/>
        <family val="2"/>
        <scheme val="minor"/>
      </rPr>
      <t>(n-1);</t>
    </r>
    <r>
      <rPr>
        <b/>
        <vertAlign val="subscript"/>
        <sz val="11"/>
        <color theme="1"/>
        <rFont val="Symbol"/>
        <family val="1"/>
        <charset val="2"/>
      </rPr>
      <t>a</t>
    </r>
    <r>
      <rPr>
        <b/>
        <vertAlign val="subscript"/>
        <sz val="11"/>
        <color theme="1"/>
        <rFont val="Calibri"/>
        <family val="2"/>
        <scheme val="minor"/>
      </rPr>
      <t>/2</t>
    </r>
  </si>
  <si>
    <t>1-a/2</t>
  </si>
  <si>
    <t>a/2</t>
  </si>
  <si>
    <t>Example 9</t>
  </si>
  <si>
    <r>
      <t xml:space="preserve">Estimate for </t>
    </r>
    <r>
      <rPr>
        <b/>
        <sz val="11"/>
        <color theme="1"/>
        <rFont val="Symbol"/>
        <family val="1"/>
        <charset val="2"/>
      </rPr>
      <t>s</t>
    </r>
    <r>
      <rPr>
        <b/>
        <sz val="11"/>
        <color theme="1"/>
        <rFont val="Calibri"/>
        <family val="2"/>
        <scheme val="minor"/>
      </rPr>
      <t xml:space="preserve"> =</t>
    </r>
  </si>
  <si>
    <t>Confidence level desired =</t>
  </si>
  <si>
    <t>Required sample size is n =</t>
  </si>
  <si>
    <r>
      <t xml:space="preserve">Sample size required for estimating a population proportion </t>
    </r>
    <r>
      <rPr>
        <b/>
        <i/>
        <sz val="11"/>
        <color theme="5"/>
        <rFont val="Calibri"/>
        <family val="2"/>
        <scheme val="minor"/>
      </rPr>
      <t>p</t>
    </r>
  </si>
  <si>
    <r>
      <t xml:space="preserve">Sample size required for estimating a population mean </t>
    </r>
    <r>
      <rPr>
        <b/>
        <i/>
        <sz val="11"/>
        <color theme="5"/>
        <rFont val="Symbol"/>
        <family val="1"/>
        <charset val="2"/>
      </rPr>
      <t>m</t>
    </r>
  </si>
  <si>
    <t>Estimate for p =</t>
  </si>
  <si>
    <t>Conservative (unknown p) sample size is n =</t>
  </si>
  <si>
    <r>
      <t xml:space="preserve">Maximum sampling error </t>
    </r>
    <r>
      <rPr>
        <b/>
        <sz val="11"/>
        <color theme="1"/>
        <rFont val="Symbol"/>
        <family val="1"/>
        <charset val="2"/>
      </rPr>
      <t>e</t>
    </r>
    <r>
      <rPr>
        <b/>
        <sz val="11"/>
        <color theme="1"/>
        <rFont val="Calibri"/>
        <family val="2"/>
        <scheme val="minor"/>
      </rPr>
      <t xml:space="preserve"> =</t>
    </r>
  </si>
  <si>
    <r>
      <t>n</t>
    </r>
    <r>
      <rPr>
        <b/>
        <sz val="11"/>
        <color theme="1"/>
        <rFont val="Calibri"/>
        <family val="2"/>
        <scheme val="minor"/>
      </rPr>
      <t xml:space="preserve"> =</t>
    </r>
  </si>
  <si>
    <t>Sample p =</t>
  </si>
  <si>
    <t>Confidence Intervals for p</t>
  </si>
  <si>
    <r>
      <t>n</t>
    </r>
    <r>
      <rPr>
        <b/>
        <sz val="11"/>
        <color theme="1"/>
        <rFont val="Calibri"/>
        <family val="2"/>
        <scheme val="minor"/>
      </rPr>
      <t xml:space="preserve"> x p</t>
    </r>
    <r>
      <rPr>
        <b/>
        <sz val="11"/>
        <color theme="1"/>
        <rFont val="Calibri"/>
        <family val="2"/>
        <scheme val="minor"/>
      </rPr>
      <t xml:space="preserve"> =</t>
    </r>
  </si>
  <si>
    <r>
      <t>n</t>
    </r>
    <r>
      <rPr>
        <b/>
        <sz val="11"/>
        <color theme="1"/>
        <rFont val="Calibri"/>
        <family val="2"/>
        <scheme val="minor"/>
      </rPr>
      <t xml:space="preserve"> x q</t>
    </r>
    <r>
      <rPr>
        <b/>
        <sz val="11"/>
        <color theme="1"/>
        <rFont val="Calibri"/>
        <family val="2"/>
        <scheme val="minor"/>
      </rPr>
      <t xml:space="preserve"> =</t>
    </r>
  </si>
  <si>
    <t>CI for the Proportion</t>
  </si>
  <si>
    <t>The sample size is small, so assume normality of the population of differences</t>
  </si>
  <si>
    <t>Example 8: Sales (in thousands of dollars) before and after a motivational course on sales techniques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</si>
</sst>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name val="Symbol"/>
      <family val="1"/>
      <charset val="2"/>
    </font>
    <font>
      <b/>
      <sz val="10"/>
      <color theme="8"/>
      <name val="Arial"/>
      <family val="2"/>
    </font>
    <font>
      <sz val="11"/>
      <color theme="8"/>
      <name val="Calibri"/>
      <family val="2"/>
      <scheme val="minor"/>
    </font>
    <font>
      <b/>
      <sz val="11"/>
      <color theme="8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b/>
      <sz val="10"/>
      <color theme="8"/>
      <name val="Symbol"/>
      <family val="1"/>
      <charset val="2"/>
    </font>
    <font>
      <b/>
      <vertAlign val="superscript"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vertAlign val="subscript"/>
      <sz val="11"/>
      <color theme="1"/>
      <name val="Symbol"/>
      <family val="1"/>
      <charset val="2"/>
    </font>
    <font>
      <vertAlign val="superscript"/>
      <sz val="11"/>
      <color theme="1"/>
      <name val="Calibri"/>
      <family val="2"/>
      <scheme val="minor"/>
    </font>
    <font>
      <b/>
      <vertAlign val="superscript"/>
      <sz val="10"/>
      <color theme="8"/>
      <name val="Arial"/>
      <family val="2"/>
    </font>
    <font>
      <b/>
      <sz val="11"/>
      <color theme="1"/>
      <name val="Symbol"/>
      <family val="1"/>
      <charset val="2"/>
    </font>
    <font>
      <b/>
      <i/>
      <sz val="11"/>
      <color theme="5"/>
      <name val="Calibri"/>
      <family val="2"/>
      <scheme val="minor"/>
    </font>
    <font>
      <b/>
      <i/>
      <sz val="11"/>
      <color theme="5"/>
      <name val="Symbol"/>
      <family val="1"/>
      <charset val="2"/>
    </font>
    <font>
      <sz val="11"/>
      <color rgb="FF0070C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2">
    <xf numFmtId="0" fontId="0" fillId="0" borderId="0" xfId="0"/>
    <xf numFmtId="0" fontId="2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3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2" fontId="0" fillId="0" borderId="1" xfId="0" applyNumberFormat="1" applyBorder="1"/>
    <xf numFmtId="164" fontId="0" fillId="0" borderId="1" xfId="0" applyNumberFormat="1" applyBorder="1"/>
    <xf numFmtId="0" fontId="8" fillId="0" borderId="0" xfId="0" applyFont="1"/>
    <xf numFmtId="9" fontId="7" fillId="0" borderId="1" xfId="1" applyFont="1" applyBorder="1" applyAlignment="1">
      <alignment horizontal="center"/>
    </xf>
    <xf numFmtId="9" fontId="6" fillId="0" borderId="1" xfId="1" applyFont="1" applyBorder="1" applyAlignment="1">
      <alignment horizontal="center"/>
    </xf>
    <xf numFmtId="9" fontId="9" fillId="0" borderId="1" xfId="1" applyFont="1" applyBorder="1" applyAlignment="1">
      <alignment horizontal="center"/>
    </xf>
    <xf numFmtId="164" fontId="10" fillId="0" borderId="1" xfId="0" applyNumberFormat="1" applyFont="1" applyBorder="1"/>
    <xf numFmtId="2" fontId="10" fillId="0" borderId="1" xfId="0" applyNumberFormat="1" applyFont="1" applyBorder="1"/>
    <xf numFmtId="2" fontId="11" fillId="0" borderId="1" xfId="0" applyNumberFormat="1" applyFont="1" applyBorder="1"/>
    <xf numFmtId="0" fontId="8" fillId="0" borderId="0" xfId="0" applyFont="1" applyAlignment="1">
      <alignment vertical="center"/>
    </xf>
    <xf numFmtId="0" fontId="0" fillId="0" borderId="0" xfId="0" applyAlignment="1">
      <alignment vertical="center"/>
    </xf>
    <xf numFmtId="0" fontId="7" fillId="0" borderId="0" xfId="0" applyFont="1" applyAlignment="1">
      <alignment horizontal="center" vertical="center" wrapText="1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9" fontId="6" fillId="0" borderId="1" xfId="1" applyFont="1" applyBorder="1" applyAlignment="1">
      <alignment horizontal="center" vertical="center"/>
    </xf>
    <xf numFmtId="2" fontId="0" fillId="0" borderId="1" xfId="0" applyNumberFormat="1" applyBorder="1" applyAlignment="1">
      <alignment vertical="center"/>
    </xf>
    <xf numFmtId="164" fontId="0" fillId="0" borderId="1" xfId="0" applyNumberFormat="1" applyBorder="1" applyAlignment="1">
      <alignment vertical="center"/>
    </xf>
    <xf numFmtId="9" fontId="9" fillId="0" borderId="1" xfId="1" applyFont="1" applyBorder="1" applyAlignment="1">
      <alignment horizontal="center" vertical="center"/>
    </xf>
    <xf numFmtId="164" fontId="10" fillId="0" borderId="1" xfId="0" applyNumberFormat="1" applyFont="1" applyBorder="1" applyAlignment="1">
      <alignment vertical="center"/>
    </xf>
    <xf numFmtId="2" fontId="10" fillId="0" borderId="1" xfId="0" applyNumberFormat="1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15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right" vertical="center"/>
    </xf>
    <xf numFmtId="0" fontId="0" fillId="0" borderId="3" xfId="0" applyBorder="1" applyAlignment="1">
      <alignment vertical="center"/>
    </xf>
    <xf numFmtId="0" fontId="16" fillId="0" borderId="2" xfId="0" applyFont="1" applyBorder="1" applyAlignment="1">
      <alignment vertical="center"/>
    </xf>
    <xf numFmtId="0" fontId="16" fillId="0" borderId="2" xfId="0" applyFont="1" applyBorder="1" applyAlignment="1">
      <alignment horizontal="right" vertical="center"/>
    </xf>
    <xf numFmtId="0" fontId="17" fillId="0" borderId="2" xfId="0" applyFont="1" applyBorder="1" applyAlignment="1">
      <alignment horizontal="center" vertical="center"/>
    </xf>
    <xf numFmtId="0" fontId="16" fillId="0" borderId="0" xfId="0" applyFont="1" applyAlignment="1">
      <alignment vertical="center"/>
    </xf>
    <xf numFmtId="164" fontId="0" fillId="0" borderId="0" xfId="0" applyNumberFormat="1" applyAlignment="1">
      <alignment vertical="center"/>
    </xf>
    <xf numFmtId="164" fontId="16" fillId="0" borderId="0" xfId="0" applyNumberFormat="1" applyFont="1" applyAlignment="1">
      <alignment vertical="center"/>
    </xf>
    <xf numFmtId="164" fontId="0" fillId="0" borderId="3" xfId="0" applyNumberFormat="1" applyBorder="1" applyAlignment="1">
      <alignment vertical="center"/>
    </xf>
    <xf numFmtId="0" fontId="11" fillId="0" borderId="0" xfId="0" applyFont="1" applyAlignment="1">
      <alignment vertical="center"/>
    </xf>
    <xf numFmtId="164" fontId="11" fillId="0" borderId="0" xfId="0" applyNumberFormat="1" applyFont="1" applyAlignment="1">
      <alignment vertical="center"/>
    </xf>
    <xf numFmtId="0" fontId="7" fillId="0" borderId="0" xfId="0" applyFont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164" fontId="9" fillId="0" borderId="1" xfId="0" applyNumberFormat="1" applyFont="1" applyBorder="1" applyAlignment="1">
      <alignment vertical="center"/>
    </xf>
    <xf numFmtId="2" fontId="9" fillId="0" borderId="1" xfId="0" applyNumberFormat="1" applyFont="1" applyBorder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right" vertical="center"/>
    </xf>
    <xf numFmtId="164" fontId="11" fillId="0" borderId="1" xfId="0" applyNumberFormat="1" applyFont="1" applyBorder="1" applyAlignment="1">
      <alignment vertical="center"/>
    </xf>
    <xf numFmtId="2" fontId="11" fillId="0" borderId="1" xfId="0" applyNumberFormat="1" applyFont="1" applyBorder="1" applyAlignment="1">
      <alignment vertical="center"/>
    </xf>
    <xf numFmtId="0" fontId="7" fillId="0" borderId="0" xfId="0" applyFont="1" applyAlignment="1">
      <alignment horizontal="center" vertical="center" wrapText="1"/>
    </xf>
    <xf numFmtId="2" fontId="0" fillId="0" borderId="0" xfId="0" applyNumberFormat="1" applyBorder="1" applyAlignment="1">
      <alignment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right" vertical="center"/>
    </xf>
    <xf numFmtId="9" fontId="11" fillId="0" borderId="1" xfId="1" applyFont="1" applyBorder="1" applyAlignment="1">
      <alignment horizontal="center" vertical="center"/>
    </xf>
    <xf numFmtId="0" fontId="0" fillId="0" borderId="1" xfId="0" applyNumberFormat="1" applyBorder="1" applyAlignment="1">
      <alignment vertical="center"/>
    </xf>
    <xf numFmtId="0" fontId="0" fillId="0" borderId="1" xfId="0" applyNumberFormat="1" applyBorder="1"/>
    <xf numFmtId="0" fontId="7" fillId="0" borderId="0" xfId="0" applyFont="1" applyAlignment="1">
      <alignment horizontal="right"/>
    </xf>
    <xf numFmtId="0" fontId="7" fillId="0" borderId="0" xfId="0" applyNumberFormat="1" applyFont="1"/>
    <xf numFmtId="165" fontId="0" fillId="0" borderId="1" xfId="0" applyNumberFormat="1" applyBorder="1" applyAlignment="1">
      <alignment vertical="center"/>
    </xf>
    <xf numFmtId="0" fontId="11" fillId="0" borderId="1" xfId="0" applyNumberFormat="1" applyFont="1" applyBorder="1" applyAlignment="1">
      <alignment vertical="center"/>
    </xf>
    <xf numFmtId="2" fontId="11" fillId="0" borderId="0" xfId="0" applyNumberFormat="1" applyFont="1" applyBorder="1" applyAlignment="1">
      <alignment vertical="center"/>
    </xf>
    <xf numFmtId="0" fontId="5" fillId="0" borderId="1" xfId="0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0" fontId="7" fillId="0" borderId="2" xfId="0" applyFont="1" applyBorder="1" applyAlignment="1">
      <alignment horizontal="center" wrapText="1"/>
    </xf>
    <xf numFmtId="0" fontId="7" fillId="0" borderId="0" xfId="0" applyFont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24" fillId="0" borderId="0" xfId="0" applyFont="1" applyAlignment="1">
      <alignment horizontal="left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emf"/><Relationship Id="rId2" Type="http://schemas.openxmlformats.org/officeDocument/2006/relationships/image" Target="../media/image14.emf"/><Relationship Id="rId1" Type="http://schemas.openxmlformats.org/officeDocument/2006/relationships/image" Target="../media/image13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2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vmlDrawing6.vml.rels><?xml version="1.0" encoding="UTF-8" standalone="yes"?>
<Relationships xmlns="http://schemas.openxmlformats.org/package/2006/relationships"><Relationship Id="rId2" Type="http://schemas.openxmlformats.org/officeDocument/2006/relationships/image" Target="../media/image7.emf"/><Relationship Id="rId1" Type="http://schemas.openxmlformats.org/officeDocument/2006/relationships/image" Target="../media/image6.emf"/></Relationships>
</file>

<file path=xl/drawings/_rels/vmlDrawing7.vml.rels><?xml version="1.0" encoding="UTF-8" standalone="yes"?>
<Relationships xmlns="http://schemas.openxmlformats.org/package/2006/relationships"><Relationship Id="rId2" Type="http://schemas.openxmlformats.org/officeDocument/2006/relationships/image" Target="../media/image9.emf"/><Relationship Id="rId1" Type="http://schemas.openxmlformats.org/officeDocument/2006/relationships/image" Target="../media/image8.emf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0.emf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85725</xdr:colOff>
          <xdr:row>8</xdr:row>
          <xdr:rowOff>76200</xdr:rowOff>
        </xdr:from>
        <xdr:to>
          <xdr:col>9</xdr:col>
          <xdr:colOff>962025</xdr:colOff>
          <xdr:row>10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10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28575</xdr:colOff>
          <xdr:row>6</xdr:row>
          <xdr:rowOff>76200</xdr:rowOff>
        </xdr:from>
        <xdr:to>
          <xdr:col>11</xdr:col>
          <xdr:colOff>123825</xdr:colOff>
          <xdr:row>9</xdr:row>
          <xdr:rowOff>47625</xdr:rowOff>
        </xdr:to>
        <xdr:sp macro="" textlink="">
          <xdr:nvSpPr>
            <xdr:cNvPr id="10241" name="Object 1" hidden="1">
              <a:extLst>
                <a:ext uri="{63B3BB69-23CF-44E3-9099-C40C66FF867C}">
                  <a14:compatExt spid="_x0000_s10241"/>
                </a:ext>
                <a:ext uri="{FF2B5EF4-FFF2-40B4-BE49-F238E27FC236}">
                  <a16:creationId xmlns:a16="http://schemas.microsoft.com/office/drawing/2014/main" id="{00000000-0008-0000-0900-000001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533400</xdr:colOff>
      <xdr:row>7</xdr:row>
      <xdr:rowOff>85725</xdr:rowOff>
    </xdr:from>
    <xdr:to>
      <xdr:col>0</xdr:col>
      <xdr:colOff>1575906</xdr:colOff>
      <xdr:row>9</xdr:row>
      <xdr:rowOff>134531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3400" y="1419225"/>
          <a:ext cx="1042506" cy="429806"/>
        </a:xfrm>
        <a:prstGeom prst="rect">
          <a:avLst/>
        </a:prstGeom>
      </xdr:spPr>
    </xdr:pic>
    <xdr:clientData/>
  </xdr:twoCellAnchor>
  <xdr:twoCellAnchor editAs="oneCell">
    <xdr:from>
      <xdr:col>10</xdr:col>
      <xdr:colOff>342900</xdr:colOff>
      <xdr:row>5</xdr:row>
      <xdr:rowOff>0</xdr:rowOff>
    </xdr:from>
    <xdr:to>
      <xdr:col>12</xdr:col>
      <xdr:colOff>502741</xdr:colOff>
      <xdr:row>7</xdr:row>
      <xdr:rowOff>159620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2346"/>
        <a:stretch/>
      </xdr:blipFill>
      <xdr:spPr bwMode="auto">
        <a:xfrm>
          <a:off x="7629525" y="952500"/>
          <a:ext cx="1379041" cy="540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133350</xdr:colOff>
      <xdr:row>9</xdr:row>
      <xdr:rowOff>1</xdr:rowOff>
    </xdr:from>
    <xdr:to>
      <xdr:col>9</xdr:col>
      <xdr:colOff>552374</xdr:colOff>
      <xdr:row>12</xdr:row>
      <xdr:rowOff>28554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1714501"/>
          <a:ext cx="1028624" cy="600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276225</xdr:colOff>
      <xdr:row>9</xdr:row>
      <xdr:rowOff>38100</xdr:rowOff>
    </xdr:from>
    <xdr:to>
      <xdr:col>9</xdr:col>
      <xdr:colOff>476094</xdr:colOff>
      <xdr:row>12</xdr:row>
      <xdr:rowOff>38029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19775" y="1790700"/>
          <a:ext cx="1247619" cy="5714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571500</xdr:colOff>
          <xdr:row>8</xdr:row>
          <xdr:rowOff>76200</xdr:rowOff>
        </xdr:from>
        <xdr:to>
          <xdr:col>9</xdr:col>
          <xdr:colOff>447675</xdr:colOff>
          <xdr:row>10</xdr:row>
          <xdr:rowOff>133350</xdr:rowOff>
        </xdr:to>
        <xdr:sp macro="" textlink="">
          <xdr:nvSpPr>
            <xdr:cNvPr id="2050" name="Object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1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8</xdr:row>
          <xdr:rowOff>66675</xdr:rowOff>
        </xdr:from>
        <xdr:to>
          <xdr:col>9</xdr:col>
          <xdr:colOff>523875</xdr:colOff>
          <xdr:row>10</xdr:row>
          <xdr:rowOff>123825</xdr:rowOff>
        </xdr:to>
        <xdr:sp macro="" textlink="">
          <xdr:nvSpPr>
            <xdr:cNvPr id="3074" name="Object 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2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66675</xdr:colOff>
          <xdr:row>8</xdr:row>
          <xdr:rowOff>76200</xdr:rowOff>
        </xdr:from>
        <xdr:to>
          <xdr:col>9</xdr:col>
          <xdr:colOff>981075</xdr:colOff>
          <xdr:row>11</xdr:row>
          <xdr:rowOff>0</xdr:rowOff>
        </xdr:to>
        <xdr:sp macro="" textlink="">
          <xdr:nvSpPr>
            <xdr:cNvPr id="4098" name="Object 2" hidden="1">
              <a:extLst>
                <a:ext uri="{63B3BB69-23CF-44E3-9099-C40C66FF867C}">
                  <a14:compatExt spid="_x0000_s4098"/>
                </a:ext>
                <a:ext uri="{FF2B5EF4-FFF2-40B4-BE49-F238E27FC236}">
                  <a16:creationId xmlns:a16="http://schemas.microsoft.com/office/drawing/2014/main" id="{00000000-0008-0000-0300-00000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76200</xdr:colOff>
          <xdr:row>8</xdr:row>
          <xdr:rowOff>47625</xdr:rowOff>
        </xdr:from>
        <xdr:to>
          <xdr:col>9</xdr:col>
          <xdr:colOff>1009650</xdr:colOff>
          <xdr:row>10</xdr:row>
          <xdr:rowOff>161925</xdr:rowOff>
        </xdr:to>
        <xdr:sp macro="" textlink="">
          <xdr:nvSpPr>
            <xdr:cNvPr id="5122" name="Object 2" hidden="1">
              <a:extLst>
                <a:ext uri="{63B3BB69-23CF-44E3-9099-C40C66FF867C}">
                  <a14:compatExt spid="_x0000_s5122"/>
                </a:ext>
                <a:ext uri="{FF2B5EF4-FFF2-40B4-BE49-F238E27FC236}">
                  <a16:creationId xmlns:a16="http://schemas.microsoft.com/office/drawing/2014/main" id="{00000000-0008-0000-0400-00000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47625</xdr:colOff>
          <xdr:row>9</xdr:row>
          <xdr:rowOff>47625</xdr:rowOff>
        </xdr:from>
        <xdr:to>
          <xdr:col>16</xdr:col>
          <xdr:colOff>847725</xdr:colOff>
          <xdr:row>11</xdr:row>
          <xdr:rowOff>171450</xdr:rowOff>
        </xdr:to>
        <xdr:sp macro="" textlink="">
          <xdr:nvSpPr>
            <xdr:cNvPr id="6146" name="Object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5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85725</xdr:colOff>
          <xdr:row>13</xdr:row>
          <xdr:rowOff>28575</xdr:rowOff>
        </xdr:from>
        <xdr:to>
          <xdr:col>15</xdr:col>
          <xdr:colOff>752475</xdr:colOff>
          <xdr:row>15</xdr:row>
          <xdr:rowOff>38100</xdr:rowOff>
        </xdr:to>
        <xdr:sp macro="" textlink="">
          <xdr:nvSpPr>
            <xdr:cNvPr id="6147" name="Object 3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00000000-0008-0000-05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400050</xdr:colOff>
          <xdr:row>8</xdr:row>
          <xdr:rowOff>76200</xdr:rowOff>
        </xdr:from>
        <xdr:to>
          <xdr:col>10</xdr:col>
          <xdr:colOff>666750</xdr:colOff>
          <xdr:row>11</xdr:row>
          <xdr:rowOff>104775</xdr:rowOff>
        </xdr:to>
        <xdr:sp macro="" textlink="">
          <xdr:nvSpPr>
            <xdr:cNvPr id="7170" name="Object 2" hidden="1">
              <a:extLst>
                <a:ext uri="{63B3BB69-23CF-44E3-9099-C40C66FF867C}">
                  <a14:compatExt spid="_x0000_s7170"/>
                </a:ext>
                <a:ext uri="{FF2B5EF4-FFF2-40B4-BE49-F238E27FC236}">
                  <a16:creationId xmlns:a16="http://schemas.microsoft.com/office/drawing/2014/main" id="{00000000-0008-0000-0600-00000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542925</xdr:colOff>
          <xdr:row>11</xdr:row>
          <xdr:rowOff>47625</xdr:rowOff>
        </xdr:from>
        <xdr:to>
          <xdr:col>6</xdr:col>
          <xdr:colOff>114300</xdr:colOff>
          <xdr:row>15</xdr:row>
          <xdr:rowOff>19050</xdr:rowOff>
        </xdr:to>
        <xdr:sp macro="" textlink="">
          <xdr:nvSpPr>
            <xdr:cNvPr id="7171" name="Object 3" hidden="1">
              <a:extLst>
                <a:ext uri="{63B3BB69-23CF-44E3-9099-C40C66FF867C}">
                  <a14:compatExt spid="_x0000_s7171"/>
                </a:ext>
                <a:ext uri="{FF2B5EF4-FFF2-40B4-BE49-F238E27FC236}">
                  <a16:creationId xmlns:a16="http://schemas.microsoft.com/office/drawing/2014/main" id="{00000000-0008-0000-0600-00000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114300</xdr:colOff>
          <xdr:row>0</xdr:row>
          <xdr:rowOff>123825</xdr:rowOff>
        </xdr:from>
        <xdr:to>
          <xdr:col>15</xdr:col>
          <xdr:colOff>790575</xdr:colOff>
          <xdr:row>2</xdr:row>
          <xdr:rowOff>228600</xdr:rowOff>
        </xdr:to>
        <xdr:sp macro="" textlink="">
          <xdr:nvSpPr>
            <xdr:cNvPr id="8193" name="Object 1" hidden="1">
              <a:extLst>
                <a:ext uri="{63B3BB69-23CF-44E3-9099-C40C66FF867C}">
                  <a14:compatExt spid="_x0000_s8193"/>
                </a:ext>
                <a:ext uri="{FF2B5EF4-FFF2-40B4-BE49-F238E27FC236}">
                  <a16:creationId xmlns:a16="http://schemas.microsoft.com/office/drawing/2014/main" id="{00000000-0008-0000-0700-00000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304800</xdr:colOff>
          <xdr:row>9</xdr:row>
          <xdr:rowOff>85725</xdr:rowOff>
        </xdr:from>
        <xdr:to>
          <xdr:col>10</xdr:col>
          <xdr:colOff>657225</xdr:colOff>
          <xdr:row>11</xdr:row>
          <xdr:rowOff>95250</xdr:rowOff>
        </xdr:to>
        <xdr:sp macro="" textlink="">
          <xdr:nvSpPr>
            <xdr:cNvPr id="9218" name="Object 2" hidden="1">
              <a:extLst>
                <a:ext uri="{63B3BB69-23CF-44E3-9099-C40C66FF867C}">
                  <a14:compatExt spid="_x0000_s9218"/>
                </a:ext>
                <a:ext uri="{FF2B5EF4-FFF2-40B4-BE49-F238E27FC236}">
                  <a16:creationId xmlns:a16="http://schemas.microsoft.com/office/drawing/2014/main" id="{00000000-0008-0000-0800-000002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image" Target="../media/image1.emf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12.emf"/><Relationship Id="rId4" Type="http://schemas.openxmlformats.org/officeDocument/2006/relationships/oleObject" Target="../embeddings/oleObject1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2.bin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4" Type="http://schemas.openxmlformats.org/officeDocument/2006/relationships/image" Target="../media/image2.emf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3.bin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Relationship Id="rId4" Type="http://schemas.openxmlformats.org/officeDocument/2006/relationships/image" Target="../media/image3.emf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4.bin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Relationship Id="rId4" Type="http://schemas.openxmlformats.org/officeDocument/2006/relationships/image" Target="../media/image4.emf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5.bin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5.xml"/><Relationship Id="rId4" Type="http://schemas.openxmlformats.org/officeDocument/2006/relationships/image" Target="../media/image5.emf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6.bin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6.xml"/><Relationship Id="rId6" Type="http://schemas.openxmlformats.org/officeDocument/2006/relationships/image" Target="../media/image7.emf"/><Relationship Id="rId5" Type="http://schemas.openxmlformats.org/officeDocument/2006/relationships/oleObject" Target="../embeddings/oleObject7.bin"/><Relationship Id="rId4" Type="http://schemas.openxmlformats.org/officeDocument/2006/relationships/image" Target="../media/image6.emf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7" Type="http://schemas.openxmlformats.org/officeDocument/2006/relationships/image" Target="../media/image9.emf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9.bin"/><Relationship Id="rId5" Type="http://schemas.openxmlformats.org/officeDocument/2006/relationships/image" Target="../media/image8.emf"/><Relationship Id="rId4" Type="http://schemas.openxmlformats.org/officeDocument/2006/relationships/oleObject" Target="../embeddings/oleObject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0.emf"/><Relationship Id="rId4" Type="http://schemas.openxmlformats.org/officeDocument/2006/relationships/oleObject" Target="../embeddings/oleObject10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1.bin"/><Relationship Id="rId2" Type="http://schemas.openxmlformats.org/officeDocument/2006/relationships/vmlDrawing" Target="../drawings/vmlDrawing9.vml"/><Relationship Id="rId1" Type="http://schemas.openxmlformats.org/officeDocument/2006/relationships/drawing" Target="../drawings/drawing9.xml"/><Relationship Id="rId4" Type="http://schemas.openxmlformats.org/officeDocument/2006/relationships/image" Target="../media/image11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"/>
  <sheetViews>
    <sheetView tabSelected="1" workbookViewId="0">
      <selection activeCell="A2" sqref="A2"/>
    </sheetView>
  </sheetViews>
  <sheetFormatPr defaultRowHeight="15" x14ac:dyDescent="0.25"/>
  <cols>
    <col min="1" max="1" width="13.7109375" bestFit="1" customWidth="1"/>
    <col min="5" max="5" width="11.140625" customWidth="1"/>
    <col min="8" max="10" width="15.7109375" customWidth="1"/>
  </cols>
  <sheetData>
    <row r="1" spans="1:10" x14ac:dyDescent="0.25">
      <c r="A1" s="7" t="s">
        <v>0</v>
      </c>
    </row>
    <row r="2" spans="1:10" x14ac:dyDescent="0.25">
      <c r="E2" s="65" t="s">
        <v>9</v>
      </c>
    </row>
    <row r="3" spans="1:10" x14ac:dyDescent="0.25">
      <c r="A3" s="1" t="s">
        <v>1</v>
      </c>
      <c r="B3" s="2" t="s">
        <v>3</v>
      </c>
      <c r="E3" s="66"/>
      <c r="I3" s="64" t="s">
        <v>6</v>
      </c>
      <c r="J3" s="64"/>
    </row>
    <row r="4" spans="1:10" x14ac:dyDescent="0.25">
      <c r="A4" s="1" t="s">
        <v>16</v>
      </c>
      <c r="B4" s="2">
        <v>40</v>
      </c>
      <c r="E4" s="3" t="s">
        <v>5</v>
      </c>
      <c r="F4" s="4" t="s">
        <v>101</v>
      </c>
      <c r="H4" s="3" t="s">
        <v>7</v>
      </c>
      <c r="I4" s="3" t="s">
        <v>10</v>
      </c>
      <c r="J4" s="3" t="s">
        <v>11</v>
      </c>
    </row>
    <row r="5" spans="1:10" x14ac:dyDescent="0.25">
      <c r="A5" s="1" t="s">
        <v>2</v>
      </c>
      <c r="B5" s="2">
        <v>81</v>
      </c>
      <c r="E5" s="8">
        <v>0.9</v>
      </c>
      <c r="F5" s="58">
        <f>1-(1-E5)/2</f>
        <v>0.95</v>
      </c>
      <c r="H5" s="6">
        <f>_xlfn.NORM.S.INV(F5)*$B$4/SQRT($B$5)</f>
        <v>7.3104605642287623</v>
      </c>
      <c r="I5" s="5">
        <f>$B$7-H5</f>
        <v>352.68953943577122</v>
      </c>
      <c r="J5" s="5">
        <f>$B$7+H5</f>
        <v>367.31046056422878</v>
      </c>
    </row>
    <row r="6" spans="1:10" x14ac:dyDescent="0.25">
      <c r="E6" s="8">
        <v>0.95</v>
      </c>
      <c r="F6" s="58">
        <f t="shared" ref="F6:F7" si="0">1-(1-E6)/2</f>
        <v>0.97499999999999998</v>
      </c>
      <c r="H6" s="6">
        <f t="shared" ref="H6:H7" si="1">_xlfn.NORM.S.INV(F6)*$B$4/SQRT($B$5)</f>
        <v>8.7109510424002377</v>
      </c>
      <c r="I6" s="5">
        <f t="shared" ref="I6:I7" si="2">$B$7-H6</f>
        <v>351.28904895759979</v>
      </c>
      <c r="J6" s="5">
        <f t="shared" ref="J6:J7" si="3">$B$7+H6</f>
        <v>368.71095104240021</v>
      </c>
    </row>
    <row r="7" spans="1:10" x14ac:dyDescent="0.25">
      <c r="A7" s="1" t="s">
        <v>4</v>
      </c>
      <c r="B7">
        <v>360</v>
      </c>
      <c r="E7" s="8">
        <v>0.98</v>
      </c>
      <c r="F7" s="58">
        <f t="shared" si="0"/>
        <v>0.99</v>
      </c>
      <c r="H7" s="6">
        <f t="shared" si="1"/>
        <v>10.33932388462596</v>
      </c>
      <c r="I7" s="5">
        <f t="shared" si="2"/>
        <v>349.66067611537403</v>
      </c>
      <c r="J7" s="5">
        <f t="shared" si="3"/>
        <v>370.33932388462597</v>
      </c>
    </row>
  </sheetData>
  <mergeCells count="2">
    <mergeCell ref="I3:J3"/>
    <mergeCell ref="E2:E3"/>
  </mergeCell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shapeId="1025" r:id="rId3">
          <objectPr defaultSize="0" autoPict="0" r:id="rId4">
            <anchor moveWithCells="1">
              <from>
                <xdr:col>8</xdr:col>
                <xdr:colOff>85725</xdr:colOff>
                <xdr:row>8</xdr:row>
                <xdr:rowOff>76200</xdr:rowOff>
              </from>
              <to>
                <xdr:col>9</xdr:col>
                <xdr:colOff>962025</xdr:colOff>
                <xdr:row>10</xdr:row>
                <xdr:rowOff>114300</xdr:rowOff>
              </to>
            </anchor>
          </objectPr>
        </oleObject>
      </mc:Choice>
      <mc:Fallback>
        <oleObject shapeId="1025" r:id="rId3"/>
      </mc:Fallback>
    </mc:AlternateContent>
  </oleObject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5"/>
  <sheetViews>
    <sheetView workbookViewId="0"/>
  </sheetViews>
  <sheetFormatPr defaultRowHeight="15" x14ac:dyDescent="0.25"/>
  <cols>
    <col min="1" max="3" width="9.140625" style="15"/>
    <col min="4" max="4" width="11.7109375" style="15" customWidth="1"/>
    <col min="5" max="6" width="9.140625" style="15"/>
    <col min="7" max="7" width="7.28515625" style="15" customWidth="1"/>
    <col min="8" max="11" width="12.7109375" style="15" customWidth="1"/>
    <col min="12" max="16384" width="9.140625" style="15"/>
  </cols>
  <sheetData>
    <row r="1" spans="1:11" x14ac:dyDescent="0.25">
      <c r="A1" s="14" t="s">
        <v>85</v>
      </c>
    </row>
    <row r="3" spans="1:11" ht="32.25" customHeight="1" x14ac:dyDescent="0.25">
      <c r="D3" s="52" t="s">
        <v>9</v>
      </c>
      <c r="J3" s="69" t="s">
        <v>98</v>
      </c>
      <c r="K3" s="69"/>
    </row>
    <row r="4" spans="1:11" ht="18" x14ac:dyDescent="0.25">
      <c r="A4" s="55" t="s">
        <v>96</v>
      </c>
      <c r="B4" s="15">
        <v>25</v>
      </c>
      <c r="D4" s="19" t="s">
        <v>5</v>
      </c>
      <c r="E4" s="20" t="s">
        <v>101</v>
      </c>
      <c r="F4" s="20" t="s">
        <v>102</v>
      </c>
      <c r="H4" s="47" t="s">
        <v>99</v>
      </c>
      <c r="I4" s="47" t="s">
        <v>100</v>
      </c>
      <c r="J4" s="19" t="s">
        <v>10</v>
      </c>
      <c r="K4" s="19" t="s">
        <v>11</v>
      </c>
    </row>
    <row r="5" spans="1:11" ht="17.25" x14ac:dyDescent="0.25">
      <c r="A5" s="55" t="s">
        <v>97</v>
      </c>
      <c r="B5" s="15">
        <v>100</v>
      </c>
      <c r="D5" s="56">
        <v>0.95</v>
      </c>
      <c r="E5" s="57">
        <f>1-(1-D5)/2</f>
        <v>0.97499999999999998</v>
      </c>
      <c r="F5" s="57">
        <f>1-E5</f>
        <v>2.5000000000000022E-2</v>
      </c>
      <c r="H5" s="23">
        <f>_xlfn.CHISQ.INV(E5,B4-1)</f>
        <v>39.364077026603908</v>
      </c>
      <c r="I5" s="23">
        <f>_xlfn.CHISQ.INV(F5,B4-1)</f>
        <v>12.401150217444437</v>
      </c>
      <c r="J5" s="22">
        <f>(B4-1)*B5/H5</f>
        <v>60.969294374106077</v>
      </c>
      <c r="K5" s="22">
        <f>(B4-1)*B5/I5</f>
        <v>193.53043531590887</v>
      </c>
    </row>
  </sheetData>
  <mergeCells count="1">
    <mergeCell ref="J3:K3"/>
  </mergeCell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shapeId="10241" r:id="rId4">
          <objectPr defaultSize="0" autoPict="0" r:id="rId5">
            <anchor moveWithCells="1">
              <from>
                <xdr:col>9</xdr:col>
                <xdr:colOff>28575</xdr:colOff>
                <xdr:row>6</xdr:row>
                <xdr:rowOff>76200</xdr:rowOff>
              </from>
              <to>
                <xdr:col>11</xdr:col>
                <xdr:colOff>123825</xdr:colOff>
                <xdr:row>9</xdr:row>
                <xdr:rowOff>47625</xdr:rowOff>
              </to>
            </anchor>
          </objectPr>
        </oleObject>
      </mc:Choice>
      <mc:Fallback>
        <oleObject shapeId="10241" r:id="rId4"/>
      </mc:Fallback>
    </mc:AlternateContent>
  </oleObjec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9"/>
  <sheetViews>
    <sheetView workbookViewId="0">
      <selection activeCell="A2" sqref="A2"/>
    </sheetView>
  </sheetViews>
  <sheetFormatPr defaultRowHeight="15" x14ac:dyDescent="0.25"/>
  <cols>
    <col min="1" max="1" width="27" customWidth="1"/>
  </cols>
  <sheetData>
    <row r="1" spans="1:10" x14ac:dyDescent="0.25">
      <c r="A1" s="14" t="s">
        <v>108</v>
      </c>
      <c r="G1" s="14" t="s">
        <v>107</v>
      </c>
    </row>
    <row r="3" spans="1:10" x14ac:dyDescent="0.25">
      <c r="A3" s="1" t="s">
        <v>104</v>
      </c>
      <c r="B3">
        <v>400</v>
      </c>
      <c r="I3" s="1" t="s">
        <v>109</v>
      </c>
      <c r="J3">
        <v>0.5</v>
      </c>
    </row>
    <row r="4" spans="1:10" x14ac:dyDescent="0.25">
      <c r="A4" s="1" t="s">
        <v>111</v>
      </c>
      <c r="B4">
        <v>50</v>
      </c>
      <c r="I4" s="1" t="s">
        <v>111</v>
      </c>
      <c r="J4">
        <v>7.0000000000000007E-2</v>
      </c>
    </row>
    <row r="5" spans="1:10" x14ac:dyDescent="0.25">
      <c r="A5" s="1" t="s">
        <v>105</v>
      </c>
      <c r="B5">
        <v>0.95</v>
      </c>
      <c r="I5" s="1" t="s">
        <v>105</v>
      </c>
      <c r="J5">
        <v>0.95</v>
      </c>
    </row>
    <row r="7" spans="1:10" x14ac:dyDescent="0.25">
      <c r="A7" s="59" t="s">
        <v>106</v>
      </c>
      <c r="B7" s="60">
        <f>(_xlfn.NORM.S.INV(1-(1-B5)/2)*B3/B4)^2</f>
        <v>245.85336452442397</v>
      </c>
      <c r="I7" s="59" t="s">
        <v>106</v>
      </c>
      <c r="J7" s="60">
        <f>(_xlfn.NORM.S.INV(1-(1-J5)/2))^2*J3*(1-J3)/J4^2</f>
        <v>195.99279697418996</v>
      </c>
    </row>
    <row r="9" spans="1:10" x14ac:dyDescent="0.25">
      <c r="I9" s="59" t="s">
        <v>110</v>
      </c>
      <c r="J9" s="60">
        <f>(_xlfn.NORM.S.INV(1-(1-J5)/2)/(2*J4))^2</f>
        <v>195.9927969741899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14"/>
  <sheetViews>
    <sheetView workbookViewId="0">
      <selection activeCell="A2" sqref="A2"/>
    </sheetView>
  </sheetViews>
  <sheetFormatPr defaultRowHeight="15" x14ac:dyDescent="0.25"/>
  <cols>
    <col min="1" max="1" width="11.5703125" bestFit="1" customWidth="1"/>
    <col min="4" max="4" width="11" customWidth="1"/>
    <col min="8" max="8" width="14.85546875" bestFit="1" customWidth="1"/>
    <col min="9" max="10" width="15.7109375" customWidth="1"/>
  </cols>
  <sheetData>
    <row r="1" spans="1:10" x14ac:dyDescent="0.25">
      <c r="A1" s="14" t="s">
        <v>117</v>
      </c>
    </row>
    <row r="3" spans="1:10" x14ac:dyDescent="0.25">
      <c r="A3" s="54" t="s">
        <v>112</v>
      </c>
      <c r="B3" s="15">
        <v>100</v>
      </c>
      <c r="C3" s="15"/>
      <c r="D3" s="67" t="s">
        <v>9</v>
      </c>
      <c r="E3" s="15"/>
      <c r="F3" s="15"/>
      <c r="G3" s="15"/>
      <c r="H3" s="15"/>
      <c r="I3" s="15"/>
      <c r="J3" s="15"/>
    </row>
    <row r="4" spans="1:10" x14ac:dyDescent="0.25">
      <c r="A4" s="54" t="s">
        <v>113</v>
      </c>
      <c r="B4" s="15">
        <f>5/B3</f>
        <v>0.05</v>
      </c>
      <c r="C4" s="15"/>
      <c r="D4" s="68"/>
      <c r="E4" s="15"/>
      <c r="F4" s="15"/>
      <c r="G4" s="15"/>
      <c r="H4" s="15"/>
      <c r="I4" s="69" t="s">
        <v>114</v>
      </c>
      <c r="J4" s="69"/>
    </row>
    <row r="5" spans="1:10" ht="18" x14ac:dyDescent="0.25">
      <c r="A5" s="15"/>
      <c r="B5" s="15"/>
      <c r="C5" s="15"/>
      <c r="D5" s="19" t="s">
        <v>5</v>
      </c>
      <c r="E5" s="20" t="s">
        <v>8</v>
      </c>
      <c r="G5" s="47" t="s">
        <v>95</v>
      </c>
      <c r="H5" s="19" t="s">
        <v>7</v>
      </c>
      <c r="I5" s="19" t="s">
        <v>10</v>
      </c>
      <c r="J5" s="19" t="s">
        <v>11</v>
      </c>
    </row>
    <row r="6" spans="1:10" x14ac:dyDescent="0.25">
      <c r="A6" s="54" t="s">
        <v>115</v>
      </c>
      <c r="B6" s="15">
        <f>B3*B4</f>
        <v>5</v>
      </c>
      <c r="C6" s="15"/>
      <c r="D6" s="56">
        <v>0.9</v>
      </c>
      <c r="E6" s="57">
        <f>1-(1-D6)/2</f>
        <v>0.95</v>
      </c>
      <c r="F6" s="53"/>
      <c r="G6" s="23">
        <f>_xlfn.NORM.S.INV(E6)</f>
        <v>1.6448536269514715</v>
      </c>
      <c r="H6" s="23">
        <f>G6*SQRT($B$4*(1-$B$4)/$B$3)</f>
        <v>3.5848753683989071E-2</v>
      </c>
      <c r="I6" s="61">
        <f>$B$4-H6</f>
        <v>1.4151246316010932E-2</v>
      </c>
      <c r="J6" s="61">
        <f>$B$4+H6</f>
        <v>8.5848753683989074E-2</v>
      </c>
    </row>
    <row r="7" spans="1:10" x14ac:dyDescent="0.25">
      <c r="A7" s="54" t="s">
        <v>116</v>
      </c>
      <c r="B7" s="15">
        <f>B3*(1-B4)</f>
        <v>95</v>
      </c>
      <c r="C7" s="15"/>
      <c r="D7" s="56">
        <v>0.95</v>
      </c>
      <c r="E7" s="57">
        <f t="shared" ref="E7:E8" si="0">1-(1-D7)/2</f>
        <v>0.97499999999999998</v>
      </c>
      <c r="F7" s="53"/>
      <c r="G7" s="23">
        <f t="shared" ref="G7:G8" si="1">_xlfn.NORM.S.INV(E7)</f>
        <v>1.9599639845400536</v>
      </c>
      <c r="H7" s="23">
        <f t="shared" ref="H7:H8" si="2">G7*SQRT($B$4*(1-$B$4)/$B$3)</f>
        <v>4.2716424707947044E-2</v>
      </c>
      <c r="I7" s="61">
        <f t="shared" ref="I7:I8" si="3">$B$4-H7</f>
        <v>7.2835752920529587E-3</v>
      </c>
      <c r="J7" s="61">
        <f t="shared" ref="J7:J8" si="4">$B$4+H7</f>
        <v>9.2716424707947054E-2</v>
      </c>
    </row>
    <row r="8" spans="1:10" x14ac:dyDescent="0.25">
      <c r="A8" s="15"/>
      <c r="B8" s="15"/>
      <c r="C8" s="15"/>
      <c r="D8" s="56">
        <v>0.99</v>
      </c>
      <c r="E8" s="62">
        <f t="shared" si="0"/>
        <v>0.995</v>
      </c>
      <c r="F8" s="63"/>
      <c r="G8" s="50">
        <f t="shared" si="1"/>
        <v>2.5758293035488999</v>
      </c>
      <c r="H8" s="23">
        <f t="shared" si="2"/>
        <v>5.6138898149902042E-2</v>
      </c>
      <c r="I8" s="61">
        <f t="shared" si="3"/>
        <v>-6.138898149902039E-3</v>
      </c>
      <c r="J8" s="61">
        <f t="shared" si="4"/>
        <v>0.10613889814990204</v>
      </c>
    </row>
    <row r="9" spans="1:10" x14ac:dyDescent="0.25">
      <c r="C9" s="15"/>
      <c r="D9" s="15"/>
      <c r="E9" s="15"/>
      <c r="F9" s="15"/>
      <c r="G9" s="15"/>
      <c r="H9" s="15"/>
      <c r="I9" s="15"/>
      <c r="J9" s="15"/>
    </row>
    <row r="10" spans="1:10" x14ac:dyDescent="0.25">
      <c r="C10" s="15"/>
      <c r="D10" s="15"/>
      <c r="E10" s="15"/>
      <c r="F10" s="15"/>
      <c r="G10" s="15"/>
      <c r="H10" s="15"/>
      <c r="I10" s="15"/>
      <c r="J10" s="15"/>
    </row>
    <row r="11" spans="1:10" x14ac:dyDescent="0.25">
      <c r="B11" s="15"/>
      <c r="C11" s="15"/>
      <c r="D11" s="15"/>
      <c r="E11" s="15"/>
      <c r="F11" s="15"/>
      <c r="G11" s="15"/>
      <c r="H11" s="15"/>
      <c r="I11" s="15"/>
      <c r="J11" s="15"/>
    </row>
    <row r="12" spans="1:10" x14ac:dyDescent="0.25">
      <c r="B12" s="15"/>
      <c r="C12" s="15"/>
      <c r="D12" s="15"/>
      <c r="E12" s="15"/>
      <c r="F12" s="15"/>
      <c r="G12" s="15"/>
      <c r="H12" s="15"/>
      <c r="I12" s="15"/>
      <c r="J12" s="15"/>
    </row>
    <row r="13" spans="1:10" x14ac:dyDescent="0.25">
      <c r="B13" s="15"/>
      <c r="C13" s="15"/>
      <c r="D13" s="15"/>
      <c r="E13" s="15"/>
      <c r="F13" s="15"/>
      <c r="G13" s="15"/>
      <c r="H13" s="15"/>
      <c r="I13" s="15"/>
      <c r="J13" s="15"/>
    </row>
    <row r="14" spans="1:10" x14ac:dyDescent="0.25">
      <c r="B14" s="15"/>
      <c r="C14" s="15"/>
      <c r="D14" s="15"/>
      <c r="E14" s="15"/>
      <c r="F14" s="15"/>
      <c r="G14" s="15"/>
      <c r="H14" s="15"/>
      <c r="I14" s="15"/>
      <c r="J14" s="15"/>
    </row>
  </sheetData>
  <mergeCells count="2">
    <mergeCell ref="D3:D4"/>
    <mergeCell ref="I4:J4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8"/>
  <sheetViews>
    <sheetView workbookViewId="0">
      <selection activeCell="A2" sqref="A2"/>
    </sheetView>
  </sheetViews>
  <sheetFormatPr defaultRowHeight="15" x14ac:dyDescent="0.25"/>
  <cols>
    <col min="1" max="1" width="16.140625" bestFit="1" customWidth="1"/>
    <col min="5" max="5" width="11.140625" customWidth="1"/>
    <col min="8" max="10" width="15.7109375" customWidth="1"/>
  </cols>
  <sheetData>
    <row r="1" spans="1:10" x14ac:dyDescent="0.25">
      <c r="A1" s="7" t="s">
        <v>12</v>
      </c>
    </row>
    <row r="2" spans="1:10" x14ac:dyDescent="0.25">
      <c r="E2" s="65" t="s">
        <v>9</v>
      </c>
    </row>
    <row r="3" spans="1:10" x14ac:dyDescent="0.25">
      <c r="A3" s="1" t="s">
        <v>1</v>
      </c>
      <c r="B3" s="2" t="s">
        <v>3</v>
      </c>
      <c r="E3" s="66"/>
      <c r="I3" s="64" t="s">
        <v>6</v>
      </c>
      <c r="J3" s="64"/>
    </row>
    <row r="4" spans="1:10" x14ac:dyDescent="0.25">
      <c r="A4" s="1" t="s">
        <v>15</v>
      </c>
      <c r="B4" s="2" t="s">
        <v>13</v>
      </c>
      <c r="E4" s="3" t="s">
        <v>5</v>
      </c>
      <c r="F4" s="4" t="s">
        <v>101</v>
      </c>
      <c r="H4" s="3" t="s">
        <v>7</v>
      </c>
      <c r="I4" s="3" t="s">
        <v>10</v>
      </c>
      <c r="J4" s="3" t="s">
        <v>11</v>
      </c>
    </row>
    <row r="5" spans="1:10" x14ac:dyDescent="0.25">
      <c r="A5" s="1" t="s">
        <v>2</v>
      </c>
      <c r="B5" s="2">
        <v>36</v>
      </c>
      <c r="E5" s="9">
        <v>0.9</v>
      </c>
      <c r="F5" s="58">
        <f>1-(1-E5)/2</f>
        <v>0.95</v>
      </c>
      <c r="H5" s="6">
        <f>_xlfn.NORM.S.INV(F5)*SQRT($B$8)/SQRT($B$5)</f>
        <v>0.82242681347573576</v>
      </c>
      <c r="I5" s="5">
        <f>$B$7-H5</f>
        <v>15.177573186524263</v>
      </c>
      <c r="J5" s="5">
        <f>$B$7+H5</f>
        <v>16.822426813475737</v>
      </c>
    </row>
    <row r="6" spans="1:10" x14ac:dyDescent="0.25">
      <c r="E6" s="10">
        <v>0.95</v>
      </c>
      <c r="F6" s="58">
        <f t="shared" ref="F6:F7" si="0">1-(1-E6)/2</f>
        <v>0.97499999999999998</v>
      </c>
      <c r="H6" s="11">
        <f t="shared" ref="H6:H7" si="1">_xlfn.NORM.S.INV(F6)*SQRT($B$8)/SQRT($B$5)</f>
        <v>0.97998199227002691</v>
      </c>
      <c r="I6" s="12">
        <f t="shared" ref="I6:I7" si="2">$B$7-H6</f>
        <v>15.020018007729973</v>
      </c>
      <c r="J6" s="12">
        <f t="shared" ref="J6:J7" si="3">$B$7+H6</f>
        <v>16.979981992270027</v>
      </c>
    </row>
    <row r="7" spans="1:10" x14ac:dyDescent="0.25">
      <c r="A7" s="1" t="s">
        <v>4</v>
      </c>
      <c r="B7">
        <v>16</v>
      </c>
      <c r="E7" s="9">
        <v>0.98</v>
      </c>
      <c r="F7" s="58">
        <f t="shared" si="0"/>
        <v>0.99</v>
      </c>
      <c r="H7" s="6">
        <f t="shared" si="1"/>
        <v>1.1631739370204204</v>
      </c>
      <c r="I7" s="5">
        <f t="shared" si="2"/>
        <v>14.836826062979579</v>
      </c>
      <c r="J7" s="5">
        <f t="shared" si="3"/>
        <v>17.163173937020421</v>
      </c>
    </row>
    <row r="8" spans="1:10" x14ac:dyDescent="0.25">
      <c r="A8" s="1" t="s">
        <v>14</v>
      </c>
      <c r="B8">
        <v>9</v>
      </c>
    </row>
  </sheetData>
  <mergeCells count="2">
    <mergeCell ref="E2:E3"/>
    <mergeCell ref="I3:J3"/>
  </mergeCell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shapeId="2050" r:id="rId3">
          <objectPr defaultSize="0" autoPict="0" r:id="rId4">
            <anchor moveWithCells="1">
              <from>
                <xdr:col>8</xdr:col>
                <xdr:colOff>571500</xdr:colOff>
                <xdr:row>8</xdr:row>
                <xdr:rowOff>76200</xdr:rowOff>
              </from>
              <to>
                <xdr:col>9</xdr:col>
                <xdr:colOff>447675</xdr:colOff>
                <xdr:row>10</xdr:row>
                <xdr:rowOff>133350</xdr:rowOff>
              </to>
            </anchor>
          </objectPr>
        </oleObject>
      </mc:Choice>
      <mc:Fallback>
        <oleObject shapeId="2050" r:id="rId3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8"/>
  <sheetViews>
    <sheetView workbookViewId="0">
      <selection activeCell="A2" sqref="A2"/>
    </sheetView>
  </sheetViews>
  <sheetFormatPr defaultRowHeight="15" x14ac:dyDescent="0.25"/>
  <cols>
    <col min="1" max="1" width="16.140625" bestFit="1" customWidth="1"/>
    <col min="5" max="5" width="11.140625" customWidth="1"/>
    <col min="8" max="10" width="15.7109375" customWidth="1"/>
  </cols>
  <sheetData>
    <row r="1" spans="1:10" x14ac:dyDescent="0.25">
      <c r="A1" s="7" t="s">
        <v>19</v>
      </c>
    </row>
    <row r="2" spans="1:10" x14ac:dyDescent="0.25">
      <c r="E2" s="65" t="s">
        <v>9</v>
      </c>
    </row>
    <row r="3" spans="1:10" x14ac:dyDescent="0.25">
      <c r="A3" s="1" t="s">
        <v>1</v>
      </c>
      <c r="B3" s="2" t="s">
        <v>17</v>
      </c>
      <c r="E3" s="66"/>
      <c r="I3" s="64" t="s">
        <v>6</v>
      </c>
      <c r="J3" s="64"/>
    </row>
    <row r="4" spans="1:10" x14ac:dyDescent="0.25">
      <c r="A4" s="1" t="s">
        <v>15</v>
      </c>
      <c r="B4" s="2" t="s">
        <v>13</v>
      </c>
      <c r="E4" s="3" t="s">
        <v>5</v>
      </c>
      <c r="F4" s="4" t="s">
        <v>101</v>
      </c>
      <c r="H4" s="3" t="s">
        <v>7</v>
      </c>
      <c r="I4" s="3" t="s">
        <v>10</v>
      </c>
      <c r="J4" s="3" t="s">
        <v>11</v>
      </c>
    </row>
    <row r="5" spans="1:10" x14ac:dyDescent="0.25">
      <c r="A5" s="1" t="s">
        <v>2</v>
      </c>
      <c r="B5" s="2">
        <v>16</v>
      </c>
      <c r="E5" s="9">
        <v>0.9</v>
      </c>
      <c r="F5" s="58">
        <f>1-(1-E5)/2</f>
        <v>0.95</v>
      </c>
      <c r="H5" s="6">
        <f>_xlfn.T.INV(F5,$B$5-1)*$B$8/SQRT($B$5)</f>
        <v>8.7652517784628614</v>
      </c>
      <c r="I5" s="5">
        <f>$B$7-H5</f>
        <v>291.23474822153713</v>
      </c>
      <c r="J5" s="5">
        <f>$B$7+H5</f>
        <v>308.76525177846287</v>
      </c>
    </row>
    <row r="6" spans="1:10" x14ac:dyDescent="0.25">
      <c r="E6" s="9">
        <v>0.95</v>
      </c>
      <c r="F6" s="58">
        <f t="shared" ref="F6" si="0">1-(1-E6)/2</f>
        <v>0.97499999999999998</v>
      </c>
      <c r="H6" s="6">
        <f t="shared" ref="H6:H7" si="1">_xlfn.T.INV(F6,$B$5-1)*$B$8/SQRT($B$5)</f>
        <v>10.657247727798872</v>
      </c>
      <c r="I6" s="13">
        <f t="shared" ref="I6:I7" si="2">$B$7-H6</f>
        <v>289.34275227220115</v>
      </c>
      <c r="J6" s="13">
        <f t="shared" ref="J6:J7" si="3">$B$7+H6</f>
        <v>310.65724772779885</v>
      </c>
    </row>
    <row r="7" spans="1:10" x14ac:dyDescent="0.25">
      <c r="A7" s="1" t="s">
        <v>4</v>
      </c>
      <c r="B7">
        <v>300</v>
      </c>
      <c r="E7" s="9">
        <v>0.99</v>
      </c>
      <c r="F7" s="58">
        <f>1-(1-E7)/2</f>
        <v>0.995</v>
      </c>
      <c r="H7" s="6">
        <f t="shared" si="1"/>
        <v>14.733564417376183</v>
      </c>
      <c r="I7" s="5">
        <f t="shared" si="2"/>
        <v>285.26643558262384</v>
      </c>
      <c r="J7" s="5">
        <f t="shared" si="3"/>
        <v>314.73356441737616</v>
      </c>
    </row>
    <row r="8" spans="1:10" x14ac:dyDescent="0.25">
      <c r="A8" s="1" t="s">
        <v>18</v>
      </c>
      <c r="B8">
        <v>20</v>
      </c>
    </row>
  </sheetData>
  <mergeCells count="2">
    <mergeCell ref="E2:E3"/>
    <mergeCell ref="I3:J3"/>
  </mergeCell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shapeId="3074" r:id="rId3">
          <objectPr defaultSize="0" autoPict="0" r:id="rId4">
            <anchor moveWithCells="1">
              <from>
                <xdr:col>8</xdr:col>
                <xdr:colOff>419100</xdr:colOff>
                <xdr:row>8</xdr:row>
                <xdr:rowOff>66675</xdr:rowOff>
              </from>
              <to>
                <xdr:col>9</xdr:col>
                <xdr:colOff>523875</xdr:colOff>
                <xdr:row>10</xdr:row>
                <xdr:rowOff>123825</xdr:rowOff>
              </to>
            </anchor>
          </objectPr>
        </oleObject>
      </mc:Choice>
      <mc:Fallback>
        <oleObject shapeId="3074" r:id="rId3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5"/>
  <sheetViews>
    <sheetView workbookViewId="0">
      <selection activeCell="A2" sqref="A2"/>
    </sheetView>
  </sheetViews>
  <sheetFormatPr defaultRowHeight="15" x14ac:dyDescent="0.25"/>
  <cols>
    <col min="1" max="1" width="20.5703125" style="15" bestFit="1" customWidth="1"/>
    <col min="2" max="4" width="9.140625" style="15"/>
    <col min="5" max="5" width="11.140625" style="15" customWidth="1"/>
    <col min="6" max="7" width="9.140625" style="15"/>
    <col min="8" max="10" width="15.7109375" style="15" customWidth="1"/>
    <col min="11" max="16384" width="9.140625" style="15"/>
  </cols>
  <sheetData>
    <row r="1" spans="1:10" x14ac:dyDescent="0.25">
      <c r="A1" s="14" t="s">
        <v>20</v>
      </c>
    </row>
    <row r="2" spans="1:10" x14ac:dyDescent="0.25">
      <c r="E2" s="67" t="s">
        <v>9</v>
      </c>
    </row>
    <row r="3" spans="1:10" x14ac:dyDescent="0.25">
      <c r="A3" s="17" t="s">
        <v>21</v>
      </c>
      <c r="B3" s="18" t="s">
        <v>3</v>
      </c>
      <c r="E3" s="68"/>
      <c r="I3" s="69" t="s">
        <v>35</v>
      </c>
      <c r="J3" s="69"/>
    </row>
    <row r="4" spans="1:10" x14ac:dyDescent="0.25">
      <c r="A4" s="17" t="s">
        <v>24</v>
      </c>
      <c r="B4" s="18" t="s">
        <v>32</v>
      </c>
      <c r="E4" s="19" t="s">
        <v>5</v>
      </c>
      <c r="F4" s="20" t="s">
        <v>101</v>
      </c>
      <c r="H4" s="19" t="s">
        <v>7</v>
      </c>
      <c r="I4" s="19" t="s">
        <v>10</v>
      </c>
      <c r="J4" s="19" t="s">
        <v>11</v>
      </c>
    </row>
    <row r="5" spans="1:10" x14ac:dyDescent="0.25">
      <c r="A5" s="17" t="s">
        <v>22</v>
      </c>
      <c r="B5" s="18">
        <f>110^2</f>
        <v>12100</v>
      </c>
      <c r="E5" s="21">
        <v>0.9</v>
      </c>
      <c r="F5" s="57">
        <f>1-(1-E5)/2</f>
        <v>0.95</v>
      </c>
      <c r="H5" s="23">
        <f>_xlfn.NORM.S.INV(F5)*SQRT($B$5/$B$8 + $B$6/$B$9)</f>
        <v>22.159786481785357</v>
      </c>
      <c r="I5" s="22">
        <f>$B$12-$B$11-H5</f>
        <v>-5.1597864817853569</v>
      </c>
      <c r="J5" s="22">
        <f>$B$12-$B$11+H5</f>
        <v>39.15978648178536</v>
      </c>
    </row>
    <row r="6" spans="1:10" x14ac:dyDescent="0.25">
      <c r="A6" s="17" t="s">
        <v>23</v>
      </c>
      <c r="B6" s="18">
        <f>110^2</f>
        <v>12100</v>
      </c>
      <c r="E6" s="24">
        <v>0.95</v>
      </c>
      <c r="F6" s="57">
        <f t="shared" ref="F6:F7" si="0">1-(1-E6)/2</f>
        <v>0.97499999999999998</v>
      </c>
      <c r="H6" s="25">
        <f t="shared" ref="H6:H7" si="1">_xlfn.NORM.S.INV(F6)*SQRT($B$5/$B$8 + $B$6/$B$9)</f>
        <v>26.4050142199542</v>
      </c>
      <c r="I6" s="26">
        <f t="shared" ref="I6:I7" si="2">$B$12-$B$11-H6</f>
        <v>-9.4050142199542002</v>
      </c>
      <c r="J6" s="26">
        <f t="shared" ref="J6:J7" si="3">$B$12-$B$11+H6</f>
        <v>43.405014219954197</v>
      </c>
    </row>
    <row r="7" spans="1:10" x14ac:dyDescent="0.25">
      <c r="E7" s="21">
        <v>0.98</v>
      </c>
      <c r="F7" s="57">
        <f t="shared" si="0"/>
        <v>0.99</v>
      </c>
      <c r="H7" s="23">
        <f t="shared" si="1"/>
        <v>31.341008905846707</v>
      </c>
      <c r="I7" s="22">
        <f t="shared" si="2"/>
        <v>-14.341008905846707</v>
      </c>
      <c r="J7" s="22">
        <f t="shared" si="3"/>
        <v>48.341008905846707</v>
      </c>
    </row>
    <row r="8" spans="1:10" ht="18" x14ac:dyDescent="0.25">
      <c r="A8" s="17" t="s">
        <v>25</v>
      </c>
      <c r="B8" s="15">
        <v>120</v>
      </c>
    </row>
    <row r="9" spans="1:10" ht="18" x14ac:dyDescent="0.25">
      <c r="A9" s="17" t="s">
        <v>26</v>
      </c>
      <c r="B9" s="15">
        <v>150</v>
      </c>
    </row>
    <row r="11" spans="1:10" x14ac:dyDescent="0.25">
      <c r="A11" s="17" t="s">
        <v>27</v>
      </c>
      <c r="B11" s="15">
        <v>550</v>
      </c>
    </row>
    <row r="12" spans="1:10" x14ac:dyDescent="0.25">
      <c r="A12" s="17" t="s">
        <v>28</v>
      </c>
      <c r="B12" s="15">
        <v>567</v>
      </c>
    </row>
    <row r="14" spans="1:10" x14ac:dyDescent="0.25">
      <c r="A14" s="17" t="s">
        <v>29</v>
      </c>
    </row>
    <row r="15" spans="1:10" x14ac:dyDescent="0.25">
      <c r="A15" s="17" t="s">
        <v>30</v>
      </c>
    </row>
  </sheetData>
  <mergeCells count="2">
    <mergeCell ref="E2:E3"/>
    <mergeCell ref="I3:J3"/>
  </mergeCell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shapeId="4098" r:id="rId3">
          <objectPr defaultSize="0" autoPict="0" r:id="rId4">
            <anchor moveWithCells="1">
              <from>
                <xdr:col>8</xdr:col>
                <xdr:colOff>66675</xdr:colOff>
                <xdr:row>8</xdr:row>
                <xdr:rowOff>76200</xdr:rowOff>
              </from>
              <to>
                <xdr:col>9</xdr:col>
                <xdr:colOff>981075</xdr:colOff>
                <xdr:row>11</xdr:row>
                <xdr:rowOff>0</xdr:rowOff>
              </to>
            </anchor>
          </objectPr>
        </oleObject>
      </mc:Choice>
      <mc:Fallback>
        <oleObject shapeId="4098" r:id="rId3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5"/>
  <sheetViews>
    <sheetView workbookViewId="0">
      <selection activeCell="A2" sqref="A2"/>
    </sheetView>
  </sheetViews>
  <sheetFormatPr defaultRowHeight="15" x14ac:dyDescent="0.25"/>
  <cols>
    <col min="1" max="1" width="20.5703125" style="15" bestFit="1" customWidth="1"/>
    <col min="2" max="4" width="9.140625" style="15"/>
    <col min="5" max="5" width="11.140625" style="15" customWidth="1"/>
    <col min="6" max="7" width="9.140625" style="15"/>
    <col min="8" max="10" width="15.7109375" style="15" customWidth="1"/>
    <col min="11" max="16384" width="9.140625" style="15"/>
  </cols>
  <sheetData>
    <row r="1" spans="1:10" x14ac:dyDescent="0.25">
      <c r="A1" s="14" t="s">
        <v>33</v>
      </c>
    </row>
    <row r="2" spans="1:10" x14ac:dyDescent="0.25">
      <c r="E2" s="67" t="s">
        <v>9</v>
      </c>
    </row>
    <row r="3" spans="1:10" x14ac:dyDescent="0.25">
      <c r="A3" s="17" t="s">
        <v>21</v>
      </c>
      <c r="B3" s="18" t="s">
        <v>3</v>
      </c>
      <c r="E3" s="68"/>
      <c r="I3" s="69" t="s">
        <v>35</v>
      </c>
      <c r="J3" s="69"/>
    </row>
    <row r="4" spans="1:10" x14ac:dyDescent="0.25">
      <c r="A4" s="17" t="s">
        <v>24</v>
      </c>
      <c r="B4" s="18" t="s">
        <v>34</v>
      </c>
      <c r="E4" s="19" t="s">
        <v>5</v>
      </c>
      <c r="F4" s="20" t="s">
        <v>101</v>
      </c>
      <c r="H4" s="19" t="s">
        <v>7</v>
      </c>
      <c r="I4" s="19" t="s">
        <v>10</v>
      </c>
      <c r="J4" s="19" t="s">
        <v>11</v>
      </c>
    </row>
    <row r="5" spans="1:10" x14ac:dyDescent="0.25">
      <c r="A5" s="17" t="s">
        <v>22</v>
      </c>
      <c r="B5" s="18" t="s">
        <v>13</v>
      </c>
      <c r="E5" s="21">
        <v>0.9</v>
      </c>
      <c r="F5" s="57">
        <f>1-(1-E5)/2</f>
        <v>0.95</v>
      </c>
      <c r="H5" s="23">
        <f>_xlfn.NORM.S.INV(F5)*SQRT($B$14/$B$8+$B$15/$B$9)</f>
        <v>2335.8896815579578</v>
      </c>
      <c r="I5" s="22">
        <f>$B$12-$B$11-H5</f>
        <v>-635.88968155795783</v>
      </c>
      <c r="J5" s="22">
        <f>$B$12-$B$11+H5</f>
        <v>4035.8896815579578</v>
      </c>
    </row>
    <row r="6" spans="1:10" x14ac:dyDescent="0.25">
      <c r="A6" s="17" t="s">
        <v>23</v>
      </c>
      <c r="B6" s="18" t="s">
        <v>13</v>
      </c>
      <c r="E6" s="24">
        <v>0.95</v>
      </c>
      <c r="F6" s="57">
        <f t="shared" ref="F6:F7" si="0">1-(1-E6)/2</f>
        <v>0.97499999999999998</v>
      </c>
      <c r="H6" s="25">
        <f t="shared" ref="H6:H7" si="1">_xlfn.NORM.S.INV(F6)*SQRT($B$14/$B$8+$B$15/$B$9)</f>
        <v>2783.3842310926825</v>
      </c>
      <c r="I6" s="26">
        <f t="shared" ref="I6:I7" si="2">$B$12-$B$11-H6</f>
        <v>-1083.3842310926825</v>
      </c>
      <c r="J6" s="26">
        <f t="shared" ref="J6:J7" si="3">$B$12-$B$11+H6</f>
        <v>4483.384231092683</v>
      </c>
    </row>
    <row r="7" spans="1:10" x14ac:dyDescent="0.25">
      <c r="E7" s="21">
        <v>0.98</v>
      </c>
      <c r="F7" s="57">
        <f t="shared" si="0"/>
        <v>0.99</v>
      </c>
      <c r="H7" s="23">
        <f t="shared" si="1"/>
        <v>3303.6933534065852</v>
      </c>
      <c r="I7" s="22">
        <f t="shared" si="2"/>
        <v>-1603.6933534065852</v>
      </c>
      <c r="J7" s="22">
        <f t="shared" si="3"/>
        <v>5003.6933534065847</v>
      </c>
    </row>
    <row r="8" spans="1:10" ht="18" x14ac:dyDescent="0.25">
      <c r="A8" s="17" t="s">
        <v>25</v>
      </c>
      <c r="B8" s="15">
        <v>28</v>
      </c>
    </row>
    <row r="9" spans="1:10" ht="18" x14ac:dyDescent="0.25">
      <c r="A9" s="17" t="s">
        <v>26</v>
      </c>
      <c r="B9" s="15">
        <v>32</v>
      </c>
    </row>
    <row r="11" spans="1:10" x14ac:dyDescent="0.25">
      <c r="A11" s="17" t="s">
        <v>27</v>
      </c>
      <c r="B11" s="15">
        <v>43400</v>
      </c>
    </row>
    <row r="12" spans="1:10" x14ac:dyDescent="0.25">
      <c r="A12" s="17" t="s">
        <v>28</v>
      </c>
      <c r="B12" s="15">
        <v>45100</v>
      </c>
    </row>
    <row r="14" spans="1:10" x14ac:dyDescent="0.25">
      <c r="A14" s="17" t="s">
        <v>29</v>
      </c>
      <c r="B14" s="15">
        <f>5100^2</f>
        <v>26010000</v>
      </c>
    </row>
    <row r="15" spans="1:10" x14ac:dyDescent="0.25">
      <c r="A15" s="17" t="s">
        <v>30</v>
      </c>
      <c r="B15" s="15">
        <f>5900^2</f>
        <v>34810000</v>
      </c>
    </row>
  </sheetData>
  <mergeCells count="2">
    <mergeCell ref="E2:E3"/>
    <mergeCell ref="I3:J3"/>
  </mergeCell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shapeId="5122" r:id="rId3">
          <objectPr defaultSize="0" autoPict="0" r:id="rId4">
            <anchor moveWithCells="1">
              <from>
                <xdr:col>8</xdr:col>
                <xdr:colOff>76200</xdr:colOff>
                <xdr:row>8</xdr:row>
                <xdr:rowOff>47625</xdr:rowOff>
              </from>
              <to>
                <xdr:col>9</xdr:col>
                <xdr:colOff>1009650</xdr:colOff>
                <xdr:row>10</xdr:row>
                <xdr:rowOff>161925</xdr:rowOff>
              </to>
            </anchor>
          </objectPr>
        </oleObject>
      </mc:Choice>
      <mc:Fallback>
        <oleObject shapeId="5122" r:id="rId3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23"/>
  <sheetViews>
    <sheetView workbookViewId="0">
      <selection activeCell="A2" sqref="A2"/>
    </sheetView>
  </sheetViews>
  <sheetFormatPr defaultRowHeight="15" x14ac:dyDescent="0.25"/>
  <cols>
    <col min="1" max="1" width="10.5703125" style="15" customWidth="1"/>
    <col min="2" max="2" width="12.140625" style="15" bestFit="1" customWidth="1"/>
    <col min="3" max="3" width="9.140625" style="15"/>
    <col min="4" max="4" width="20.28515625" style="15" bestFit="1" customWidth="1"/>
    <col min="5" max="5" width="9.140625" style="15"/>
    <col min="6" max="6" width="12.7109375" style="15" bestFit="1" customWidth="1"/>
    <col min="7" max="7" width="9.140625" style="15"/>
    <col min="8" max="8" width="10.85546875" style="15" customWidth="1"/>
    <col min="9" max="9" width="9.140625" style="15"/>
    <col min="10" max="10" width="12.28515625" style="15" bestFit="1" customWidth="1"/>
    <col min="11" max="11" width="13.7109375" style="15" customWidth="1"/>
    <col min="12" max="12" width="12" style="15" customWidth="1"/>
    <col min="13" max="13" width="15.7109375" style="15" customWidth="1"/>
    <col min="14" max="14" width="9.140625" style="15"/>
    <col min="15" max="15" width="14.85546875" style="15" bestFit="1" customWidth="1"/>
    <col min="16" max="17" width="15.7109375" style="15" customWidth="1"/>
    <col min="18" max="16384" width="9.140625" style="15"/>
  </cols>
  <sheetData>
    <row r="1" spans="1:17" x14ac:dyDescent="0.25">
      <c r="A1" s="14" t="s">
        <v>36</v>
      </c>
    </row>
    <row r="3" spans="1:17" x14ac:dyDescent="0.25">
      <c r="A3" s="27" t="s">
        <v>37</v>
      </c>
      <c r="B3" s="27" t="s">
        <v>38</v>
      </c>
      <c r="D3" s="27" t="s">
        <v>41</v>
      </c>
      <c r="H3" s="27" t="s">
        <v>60</v>
      </c>
      <c r="L3" s="67" t="s">
        <v>9</v>
      </c>
    </row>
    <row r="4" spans="1:17" x14ac:dyDescent="0.25">
      <c r="A4" s="15">
        <v>100</v>
      </c>
      <c r="B4" s="15">
        <v>95</v>
      </c>
      <c r="L4" s="68"/>
      <c r="P4" s="69" t="s">
        <v>39</v>
      </c>
      <c r="Q4" s="69"/>
    </row>
    <row r="5" spans="1:17" x14ac:dyDescent="0.25">
      <c r="A5" s="15">
        <v>125</v>
      </c>
      <c r="B5" s="15">
        <v>87</v>
      </c>
      <c r="D5" s="30"/>
      <c r="E5" s="35" t="s">
        <v>37</v>
      </c>
      <c r="F5" s="35" t="s">
        <v>38</v>
      </c>
      <c r="H5" s="30"/>
      <c r="I5" s="35" t="s">
        <v>37</v>
      </c>
      <c r="J5" s="35" t="s">
        <v>38</v>
      </c>
      <c r="L5" s="19" t="s">
        <v>5</v>
      </c>
      <c r="M5" s="20" t="s">
        <v>101</v>
      </c>
      <c r="O5" s="19" t="s">
        <v>7</v>
      </c>
      <c r="P5" s="19" t="s">
        <v>10</v>
      </c>
      <c r="Q5" s="19" t="s">
        <v>11</v>
      </c>
    </row>
    <row r="6" spans="1:17" x14ac:dyDescent="0.25">
      <c r="A6" s="15">
        <v>135</v>
      </c>
      <c r="B6" s="15">
        <v>100</v>
      </c>
      <c r="D6" s="36" t="s">
        <v>42</v>
      </c>
      <c r="E6" s="36">
        <v>133.30000000000001</v>
      </c>
      <c r="F6" s="36">
        <v>94</v>
      </c>
      <c r="H6" s="15" t="s">
        <v>61</v>
      </c>
      <c r="I6" s="37">
        <v>0.91085121361604859</v>
      </c>
      <c r="J6" s="37">
        <v>0.97883584114677191</v>
      </c>
      <c r="L6" s="21">
        <v>0.9</v>
      </c>
      <c r="M6" s="57">
        <f>1-(1-L6)/2</f>
        <v>0.95</v>
      </c>
      <c r="O6" s="23">
        <f>_xlfn.T.INV(M6,$E$18+$F$18-2)*SQRT($M$10)*SQRT(1/$E$18+1/$F$18)</f>
        <v>11.087757447872855</v>
      </c>
      <c r="P6" s="22">
        <f>$E$6-$F$6-O6</f>
        <v>28.212242552127158</v>
      </c>
      <c r="Q6" s="22">
        <f>$E$6-$F$6+O6</f>
        <v>50.387757447872865</v>
      </c>
    </row>
    <row r="7" spans="1:17" x14ac:dyDescent="0.25">
      <c r="A7" s="15">
        <v>128</v>
      </c>
      <c r="B7" s="15">
        <v>75</v>
      </c>
      <c r="D7" s="15" t="s">
        <v>43</v>
      </c>
      <c r="E7" s="37">
        <v>4.6691659973823132</v>
      </c>
      <c r="F7" s="37">
        <v>4.0222594929431672</v>
      </c>
      <c r="H7" s="15" t="s">
        <v>62</v>
      </c>
      <c r="I7" s="37">
        <v>0.2868892958520306</v>
      </c>
      <c r="J7" s="37">
        <v>0.95691523568531778</v>
      </c>
      <c r="L7" s="24">
        <v>0.95</v>
      </c>
      <c r="M7" s="57">
        <f t="shared" ref="M7:M8" si="0">1-(1-L7)/2</f>
        <v>0.97499999999999998</v>
      </c>
      <c r="O7" s="25">
        <f t="shared" ref="O7:O8" si="1">_xlfn.T.INV(M7,$E$18+$F$18-2)*SQRT($M$10)*SQRT(1/$E$18+1/$F$18)</f>
        <v>13.463093841600486</v>
      </c>
      <c r="P7" s="26">
        <f t="shared" ref="P7:P8" si="2">$E$6-$F$6-O7</f>
        <v>25.836906158399525</v>
      </c>
      <c r="Q7" s="26">
        <f t="shared" ref="Q7:Q8" si="3">$E$6-$F$6+O7</f>
        <v>52.763093841600494</v>
      </c>
    </row>
    <row r="8" spans="1:17" x14ac:dyDescent="0.25">
      <c r="A8" s="15">
        <v>140</v>
      </c>
      <c r="B8" s="15">
        <v>110</v>
      </c>
      <c r="D8" s="15" t="s">
        <v>44</v>
      </c>
      <c r="E8" s="15">
        <v>136</v>
      </c>
      <c r="F8" s="15">
        <v>95</v>
      </c>
      <c r="H8" s="15" t="s">
        <v>63</v>
      </c>
      <c r="I8" s="15">
        <v>0.05</v>
      </c>
      <c r="J8" s="15">
        <v>0.05</v>
      </c>
      <c r="L8" s="21">
        <v>0.98</v>
      </c>
      <c r="M8" s="57">
        <f t="shared" si="0"/>
        <v>0.99</v>
      </c>
      <c r="O8" s="23">
        <f t="shared" si="1"/>
        <v>16.407209523331069</v>
      </c>
      <c r="P8" s="22">
        <f t="shared" si="2"/>
        <v>22.892790476668942</v>
      </c>
      <c r="Q8" s="22">
        <f t="shared" si="3"/>
        <v>55.70720952333108</v>
      </c>
    </row>
    <row r="9" spans="1:17" x14ac:dyDescent="0.25">
      <c r="A9" s="15">
        <v>142</v>
      </c>
      <c r="B9" s="15">
        <v>105</v>
      </c>
      <c r="D9" s="15" t="s">
        <v>45</v>
      </c>
      <c r="E9" s="15">
        <v>128</v>
      </c>
      <c r="F9" s="15">
        <v>95</v>
      </c>
      <c r="H9" s="33" t="s">
        <v>64</v>
      </c>
      <c r="I9" s="34" t="s">
        <v>31</v>
      </c>
      <c r="J9" s="34" t="s">
        <v>31</v>
      </c>
    </row>
    <row r="10" spans="1:17" ht="17.25" x14ac:dyDescent="0.25">
      <c r="A10" s="15">
        <v>128</v>
      </c>
      <c r="B10" s="15">
        <v>85</v>
      </c>
      <c r="D10" s="40" t="s">
        <v>46</v>
      </c>
      <c r="E10" s="41">
        <v>14.7651993251399</v>
      </c>
      <c r="F10" s="41">
        <v>11.376667852608312</v>
      </c>
      <c r="L10" s="28" t="s">
        <v>40</v>
      </c>
      <c r="M10" s="23">
        <f>((E18-1)*E11+(F18-1)*F11)/(E18+F18-2)</f>
        <v>179.25625000000036</v>
      </c>
    </row>
    <row r="11" spans="1:17" x14ac:dyDescent="0.25">
      <c r="A11" s="15">
        <v>137</v>
      </c>
      <c r="B11" s="15">
        <v>95</v>
      </c>
      <c r="D11" s="36" t="s">
        <v>47</v>
      </c>
      <c r="E11" s="38">
        <v>218.01111111111175</v>
      </c>
      <c r="F11" s="38">
        <v>129.42857142857142</v>
      </c>
      <c r="H11" s="15" t="s">
        <v>65</v>
      </c>
    </row>
    <row r="12" spans="1:17" x14ac:dyDescent="0.25">
      <c r="A12" s="15">
        <v>156</v>
      </c>
      <c r="D12" s="15" t="s">
        <v>48</v>
      </c>
      <c r="E12" s="37">
        <v>2.6183477754578233</v>
      </c>
      <c r="F12" s="37">
        <v>-0.38175957194859844</v>
      </c>
    </row>
    <row r="13" spans="1:17" x14ac:dyDescent="0.25">
      <c r="A13" s="15">
        <v>142</v>
      </c>
      <c r="D13" s="15" t="s">
        <v>49</v>
      </c>
      <c r="E13" s="37">
        <v>-1.0538698459709077</v>
      </c>
      <c r="F13" s="37">
        <v>-0.29571386404013827</v>
      </c>
      <c r="H13" s="32" t="s">
        <v>66</v>
      </c>
      <c r="I13" s="39">
        <v>6.2039815846689601</v>
      </c>
      <c r="J13" s="39">
        <v>0.22105011994924906</v>
      </c>
    </row>
    <row r="14" spans="1:17" x14ac:dyDescent="0.25">
      <c r="D14" s="15" t="s">
        <v>50</v>
      </c>
      <c r="E14" s="15">
        <v>56</v>
      </c>
      <c r="F14" s="15">
        <v>35</v>
      </c>
      <c r="H14" s="15" t="s">
        <v>62</v>
      </c>
      <c r="I14" s="37">
        <v>4.4959607998266371E-2</v>
      </c>
      <c r="J14" s="37">
        <v>0.89536389211192235</v>
      </c>
    </row>
    <row r="15" spans="1:17" x14ac:dyDescent="0.25">
      <c r="D15" s="15" t="s">
        <v>51</v>
      </c>
      <c r="E15" s="15">
        <v>156</v>
      </c>
      <c r="F15" s="15">
        <v>110</v>
      </c>
      <c r="H15" s="15" t="s">
        <v>63</v>
      </c>
      <c r="I15" s="15">
        <v>0.05</v>
      </c>
      <c r="J15" s="15">
        <v>0.05</v>
      </c>
    </row>
    <row r="16" spans="1:17" x14ac:dyDescent="0.25">
      <c r="D16" s="15" t="s">
        <v>52</v>
      </c>
      <c r="E16" s="15">
        <v>100</v>
      </c>
      <c r="F16" s="15">
        <v>75</v>
      </c>
      <c r="H16" s="29" t="s">
        <v>64</v>
      </c>
      <c r="I16" s="31" t="s">
        <v>67</v>
      </c>
      <c r="J16" s="31" t="s">
        <v>31</v>
      </c>
    </row>
    <row r="17" spans="4:6" x14ac:dyDescent="0.25">
      <c r="D17" s="15" t="s">
        <v>53</v>
      </c>
      <c r="E17" s="15">
        <v>1333</v>
      </c>
      <c r="F17" s="15">
        <v>752</v>
      </c>
    </row>
    <row r="18" spans="4:6" x14ac:dyDescent="0.25">
      <c r="D18" s="36" t="s">
        <v>54</v>
      </c>
      <c r="E18" s="36">
        <v>10</v>
      </c>
      <c r="F18" s="36">
        <v>8</v>
      </c>
    </row>
    <row r="19" spans="4:6" x14ac:dyDescent="0.25">
      <c r="D19" s="15" t="s">
        <v>55</v>
      </c>
      <c r="E19" s="37">
        <v>132.50167277263981</v>
      </c>
      <c r="F19" s="37">
        <v>93.379937639432725</v>
      </c>
    </row>
    <row r="20" spans="4:6" x14ac:dyDescent="0.25">
      <c r="D20" s="15" t="s">
        <v>56</v>
      </c>
      <c r="E20" s="37">
        <v>131.63212315094191</v>
      </c>
      <c r="F20" s="37">
        <v>92.743254994745953</v>
      </c>
    </row>
    <row r="21" spans="4:6" x14ac:dyDescent="0.25">
      <c r="D21" s="15" t="s">
        <v>57</v>
      </c>
      <c r="E21" s="15">
        <v>10.439999999999998</v>
      </c>
      <c r="F21" s="15">
        <v>8.75</v>
      </c>
    </row>
    <row r="22" spans="4:6" x14ac:dyDescent="0.25">
      <c r="D22" s="15" t="s">
        <v>58</v>
      </c>
      <c r="E22" s="15">
        <v>7</v>
      </c>
      <c r="F22" s="15">
        <v>9</v>
      </c>
    </row>
    <row r="23" spans="4:6" x14ac:dyDescent="0.25">
      <c r="D23" s="29" t="s">
        <v>59</v>
      </c>
      <c r="E23" s="29">
        <v>13.5</v>
      </c>
      <c r="F23" s="29">
        <v>14.75</v>
      </c>
    </row>
  </sheetData>
  <mergeCells count="2">
    <mergeCell ref="L3:L4"/>
    <mergeCell ref="P4:Q4"/>
  </mergeCell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shapeId="6146" r:id="rId3">
          <objectPr defaultSize="0" autoPict="0" r:id="rId4">
            <anchor moveWithCells="1">
              <from>
                <xdr:col>14</xdr:col>
                <xdr:colOff>47625</xdr:colOff>
                <xdr:row>9</xdr:row>
                <xdr:rowOff>47625</xdr:rowOff>
              </from>
              <to>
                <xdr:col>16</xdr:col>
                <xdr:colOff>847725</xdr:colOff>
                <xdr:row>11</xdr:row>
                <xdr:rowOff>171450</xdr:rowOff>
              </to>
            </anchor>
          </objectPr>
        </oleObject>
      </mc:Choice>
      <mc:Fallback>
        <oleObject shapeId="6146" r:id="rId3"/>
      </mc:Fallback>
    </mc:AlternateContent>
    <mc:AlternateContent xmlns:mc="http://schemas.openxmlformats.org/markup-compatibility/2006">
      <mc:Choice Requires="x14">
        <oleObject shapeId="6147" r:id="rId5">
          <objectPr defaultSize="0" autoPict="0" r:id="rId6">
            <anchor moveWithCells="1">
              <from>
                <xdr:col>14</xdr:col>
                <xdr:colOff>85725</xdr:colOff>
                <xdr:row>13</xdr:row>
                <xdr:rowOff>28575</xdr:rowOff>
              </from>
              <to>
                <xdr:col>15</xdr:col>
                <xdr:colOff>752475</xdr:colOff>
                <xdr:row>15</xdr:row>
                <xdr:rowOff>38100</xdr:rowOff>
              </to>
            </anchor>
          </objectPr>
        </oleObject>
      </mc:Choice>
      <mc:Fallback>
        <oleObject shapeId="6147" r:id="rId5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12"/>
  <sheetViews>
    <sheetView workbookViewId="0">
      <selection activeCell="A2" sqref="A2"/>
    </sheetView>
  </sheetViews>
  <sheetFormatPr defaultRowHeight="15" x14ac:dyDescent="0.25"/>
  <cols>
    <col min="1" max="1" width="20.28515625" style="15" bestFit="1" customWidth="1"/>
    <col min="2" max="3" width="10.7109375" style="15" customWidth="1"/>
    <col min="4" max="4" width="9.140625" style="15"/>
    <col min="5" max="5" width="11.140625" style="15" customWidth="1"/>
    <col min="6" max="7" width="9.140625" style="15"/>
    <col min="8" max="8" width="12.5703125" style="15" customWidth="1"/>
    <col min="9" max="11" width="15.7109375" style="15" customWidth="1"/>
    <col min="12" max="16384" width="9.140625" style="15"/>
  </cols>
  <sheetData>
    <row r="1" spans="1:11" x14ac:dyDescent="0.25">
      <c r="A1" s="14" t="s">
        <v>68</v>
      </c>
    </row>
    <row r="2" spans="1:11" ht="15" customHeight="1" x14ac:dyDescent="0.25"/>
    <row r="3" spans="1:11" ht="30" x14ac:dyDescent="0.25">
      <c r="A3" s="43"/>
      <c r="B3" s="44" t="s">
        <v>69</v>
      </c>
      <c r="C3" s="44" t="s">
        <v>70</v>
      </c>
      <c r="E3" s="16" t="s">
        <v>9</v>
      </c>
      <c r="J3" s="69" t="s">
        <v>6</v>
      </c>
      <c r="K3" s="69"/>
    </row>
    <row r="4" spans="1:11" ht="18" x14ac:dyDescent="0.25">
      <c r="A4" s="43" t="s">
        <v>71</v>
      </c>
      <c r="B4" s="43">
        <v>16</v>
      </c>
      <c r="C4" s="43">
        <v>11</v>
      </c>
      <c r="E4" s="19" t="s">
        <v>5</v>
      </c>
      <c r="F4" s="20" t="s">
        <v>101</v>
      </c>
      <c r="H4" s="47" t="s">
        <v>76</v>
      </c>
      <c r="I4" s="19" t="s">
        <v>7</v>
      </c>
      <c r="J4" s="19" t="s">
        <v>10</v>
      </c>
      <c r="K4" s="19" t="s">
        <v>11</v>
      </c>
    </row>
    <row r="5" spans="1:11" x14ac:dyDescent="0.25">
      <c r="A5" s="43" t="s">
        <v>72</v>
      </c>
      <c r="B5" s="43">
        <v>290</v>
      </c>
      <c r="C5" s="43">
        <v>250</v>
      </c>
      <c r="E5" s="21">
        <v>0.9</v>
      </c>
      <c r="F5" s="57">
        <f>1-(1-E5)/2</f>
        <v>0.95</v>
      </c>
      <c r="H5" s="23">
        <f>_xlfn.T.INV(F5,$F$10)</f>
        <v>1.795884818704043</v>
      </c>
      <c r="I5" s="23">
        <f>H5*SQRT($B$6/$B$4+$C$6/$C$4)</f>
        <v>27.899012988624786</v>
      </c>
      <c r="J5" s="22">
        <f>$B$5-$C$5-I5</f>
        <v>12.100987011375214</v>
      </c>
      <c r="K5" s="22">
        <f>$B$5-$C$5+I5</f>
        <v>67.89901298862479</v>
      </c>
    </row>
    <row r="6" spans="1:11" x14ac:dyDescent="0.25">
      <c r="A6" s="43" t="s">
        <v>73</v>
      </c>
      <c r="B6" s="43">
        <v>225</v>
      </c>
      <c r="C6" s="43">
        <v>2500</v>
      </c>
      <c r="E6" s="24">
        <v>0.95</v>
      </c>
      <c r="F6" s="57">
        <f t="shared" ref="F6" si="0">1-(1-E6)/2</f>
        <v>0.97499999999999998</v>
      </c>
      <c r="H6" s="45">
        <f t="shared" ref="H6:H7" si="1">_xlfn.T.INV(F6,$F$10)</f>
        <v>2.2009851600916384</v>
      </c>
      <c r="I6" s="45">
        <f t="shared" ref="I6:I7" si="2">H6*SQRT($B$6/$B$4+$C$6/$C$4)</f>
        <v>34.192233783388559</v>
      </c>
      <c r="J6" s="46">
        <f t="shared" ref="J6:J7" si="3">$B$5-$C$5-I6</f>
        <v>5.8077662166114408</v>
      </c>
      <c r="K6" s="46">
        <f t="shared" ref="K6:K7" si="4">$B$5-$C$5+I6</f>
        <v>74.192233783388559</v>
      </c>
    </row>
    <row r="7" spans="1:11" x14ac:dyDescent="0.25">
      <c r="E7" s="21">
        <v>0.99</v>
      </c>
      <c r="F7" s="57">
        <f>1-(1-E7)/2</f>
        <v>0.995</v>
      </c>
      <c r="H7" s="23">
        <f t="shared" si="1"/>
        <v>3.10580651553928</v>
      </c>
      <c r="I7" s="23">
        <f t="shared" si="2"/>
        <v>48.248604484397823</v>
      </c>
      <c r="J7" s="22">
        <f t="shared" si="3"/>
        <v>-8.2486044843978235</v>
      </c>
      <c r="K7" s="22">
        <f t="shared" si="4"/>
        <v>88.248604484397816</v>
      </c>
    </row>
    <row r="9" spans="1:11" x14ac:dyDescent="0.25">
      <c r="A9" s="17" t="s">
        <v>21</v>
      </c>
      <c r="B9" s="18" t="s">
        <v>17</v>
      </c>
      <c r="E9" s="18" t="s">
        <v>74</v>
      </c>
      <c r="F9" s="15">
        <f>((B6/B4+C6/C4)^2) / (((B6/B4)^2)/(B4-1) + ((C6/C4)^2)/(C4-1))</f>
        <v>11.24707874510916</v>
      </c>
    </row>
    <row r="10" spans="1:11" x14ac:dyDescent="0.25">
      <c r="A10" s="17" t="s">
        <v>24</v>
      </c>
      <c r="B10" s="18" t="s">
        <v>34</v>
      </c>
      <c r="E10" s="18" t="s">
        <v>75</v>
      </c>
      <c r="F10" s="15">
        <f>_xlfn.FLOOR.MATH(F9,1)</f>
        <v>11</v>
      </c>
    </row>
    <row r="11" spans="1:11" x14ac:dyDescent="0.25">
      <c r="A11" s="17" t="s">
        <v>22</v>
      </c>
      <c r="B11" s="18" t="s">
        <v>13</v>
      </c>
    </row>
    <row r="12" spans="1:11" x14ac:dyDescent="0.25">
      <c r="A12" s="17" t="s">
        <v>23</v>
      </c>
      <c r="B12" s="18" t="s">
        <v>13</v>
      </c>
    </row>
  </sheetData>
  <mergeCells count="1">
    <mergeCell ref="J3:K3"/>
  </mergeCell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shapeId="7170" r:id="rId4">
          <objectPr defaultSize="0" autoPict="0" r:id="rId5">
            <anchor moveWithCells="1">
              <from>
                <xdr:col>8</xdr:col>
                <xdr:colOff>400050</xdr:colOff>
                <xdr:row>8</xdr:row>
                <xdr:rowOff>76200</xdr:rowOff>
              </from>
              <to>
                <xdr:col>10</xdr:col>
                <xdr:colOff>666750</xdr:colOff>
                <xdr:row>11</xdr:row>
                <xdr:rowOff>104775</xdr:rowOff>
              </to>
            </anchor>
          </objectPr>
        </oleObject>
      </mc:Choice>
      <mc:Fallback>
        <oleObject shapeId="7170" r:id="rId4"/>
      </mc:Fallback>
    </mc:AlternateContent>
    <mc:AlternateContent xmlns:mc="http://schemas.openxmlformats.org/markup-compatibility/2006">
      <mc:Choice Requires="x14">
        <oleObject shapeId="7171" r:id="rId6">
          <objectPr defaultSize="0" autoPict="0" r:id="rId7">
            <anchor moveWithCells="1">
              <from>
                <xdr:col>3</xdr:col>
                <xdr:colOff>542925</xdr:colOff>
                <xdr:row>11</xdr:row>
                <xdr:rowOff>47625</xdr:rowOff>
              </from>
              <to>
                <xdr:col>6</xdr:col>
                <xdr:colOff>114300</xdr:colOff>
                <xdr:row>15</xdr:row>
                <xdr:rowOff>19050</xdr:rowOff>
              </to>
            </anchor>
          </objectPr>
        </oleObject>
      </mc:Choice>
      <mc:Fallback>
        <oleObject shapeId="7171" r:id="rId6"/>
      </mc:Fallback>
    </mc:AlternateContent>
  </oleObjec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10"/>
  <sheetViews>
    <sheetView workbookViewId="0">
      <selection activeCell="A2" sqref="A2"/>
    </sheetView>
  </sheetViews>
  <sheetFormatPr defaultRowHeight="15" x14ac:dyDescent="0.25"/>
  <cols>
    <col min="1" max="1" width="13" style="15" customWidth="1"/>
    <col min="2" max="3" width="9.140625" style="15"/>
    <col min="4" max="4" width="11.28515625" style="15" bestFit="1" customWidth="1"/>
    <col min="5" max="5" width="6.7109375" style="15" customWidth="1"/>
    <col min="6" max="10" width="9.140625" style="15"/>
    <col min="11" max="11" width="3.7109375" style="15" customWidth="1"/>
    <col min="12" max="12" width="12.28515625" style="15" customWidth="1"/>
    <col min="13" max="13" width="9.140625" style="15"/>
    <col min="14" max="14" width="3.7109375" style="15" customWidth="1"/>
    <col min="15" max="15" width="9.140625" style="15"/>
    <col min="16" max="16" width="14.85546875" style="15" bestFit="1" customWidth="1"/>
    <col min="17" max="18" width="12.7109375" style="15" customWidth="1"/>
    <col min="19" max="16384" width="9.140625" style="15"/>
  </cols>
  <sheetData>
    <row r="1" spans="1:18" x14ac:dyDescent="0.25">
      <c r="A1" s="14" t="s">
        <v>119</v>
      </c>
    </row>
    <row r="3" spans="1:18" ht="30" x14ac:dyDescent="0.25">
      <c r="A3" s="48" t="s">
        <v>77</v>
      </c>
      <c r="B3" s="48" t="s">
        <v>78</v>
      </c>
      <c r="C3" s="48" t="s">
        <v>79</v>
      </c>
      <c r="D3" s="48" t="s">
        <v>80</v>
      </c>
      <c r="L3" s="42" t="s">
        <v>9</v>
      </c>
      <c r="Q3" s="69" t="s">
        <v>6</v>
      </c>
      <c r="R3" s="69"/>
    </row>
    <row r="4" spans="1:18" ht="18" x14ac:dyDescent="0.25">
      <c r="A4" s="18">
        <v>1</v>
      </c>
      <c r="B4" s="15">
        <v>212</v>
      </c>
      <c r="C4" s="15">
        <v>237</v>
      </c>
      <c r="D4" s="15">
        <f>B4-C4</f>
        <v>-25</v>
      </c>
      <c r="F4" s="70" t="s">
        <v>84</v>
      </c>
      <c r="G4" s="70"/>
      <c r="H4" s="70"/>
      <c r="I4" s="70"/>
      <c r="J4" s="43">
        <f>COUNT(D4:D9)</f>
        <v>6</v>
      </c>
      <c r="L4" s="19" t="s">
        <v>5</v>
      </c>
      <c r="M4" s="20" t="s">
        <v>101</v>
      </c>
      <c r="O4" s="47" t="s">
        <v>83</v>
      </c>
      <c r="P4" s="19" t="s">
        <v>7</v>
      </c>
      <c r="Q4" s="19" t="s">
        <v>10</v>
      </c>
      <c r="R4" s="19" t="s">
        <v>11</v>
      </c>
    </row>
    <row r="5" spans="1:18" x14ac:dyDescent="0.25">
      <c r="A5" s="18">
        <v>2</v>
      </c>
      <c r="B5" s="15">
        <v>282</v>
      </c>
      <c r="C5" s="15">
        <v>291</v>
      </c>
      <c r="D5" s="15">
        <f t="shared" ref="D5:D9" si="0">B5-C5</f>
        <v>-9</v>
      </c>
      <c r="F5" s="70" t="s">
        <v>81</v>
      </c>
      <c r="G5" s="70"/>
      <c r="H5" s="70"/>
      <c r="I5" s="70"/>
      <c r="J5" s="43">
        <f>AVERAGE(D4:D9)</f>
        <v>-7.5</v>
      </c>
      <c r="L5" s="24">
        <v>0.8</v>
      </c>
      <c r="M5" s="57">
        <f>1-(1-L5)/2</f>
        <v>0.9</v>
      </c>
      <c r="O5" s="45">
        <f>_xlfn.T.INV(M5,$J$4-1)</f>
        <v>1.4758840488244818</v>
      </c>
      <c r="P5" s="45">
        <f>O5*$J$6/SQRT($J$4)</f>
        <v>11.30922736470764</v>
      </c>
      <c r="Q5" s="46">
        <f>$J$5-P5</f>
        <v>-18.809227364707638</v>
      </c>
      <c r="R5" s="46">
        <f>$J$5+P5</f>
        <v>3.80922736470764</v>
      </c>
    </row>
    <row r="6" spans="1:18" x14ac:dyDescent="0.25">
      <c r="A6" s="18">
        <v>3</v>
      </c>
      <c r="B6" s="15">
        <v>203</v>
      </c>
      <c r="C6" s="15">
        <v>191</v>
      </c>
      <c r="D6" s="15">
        <f t="shared" si="0"/>
        <v>12</v>
      </c>
      <c r="F6" s="70" t="s">
        <v>82</v>
      </c>
      <c r="G6" s="70"/>
      <c r="H6" s="70"/>
      <c r="I6" s="70"/>
      <c r="J6" s="23">
        <f>_xlfn.STDEV.S(D4:D9)</f>
        <v>18.769656363396749</v>
      </c>
      <c r="L6" s="21">
        <v>0.9</v>
      </c>
      <c r="M6" s="57">
        <f t="shared" ref="M6" si="1">1-(1-L6)/2</f>
        <v>0.95</v>
      </c>
      <c r="O6" s="50">
        <f t="shared" ref="O6:O7" si="2">_xlfn.T.INV(M6,$J$4-1)</f>
        <v>2.0150483733330233</v>
      </c>
      <c r="P6" s="50">
        <f t="shared" ref="P6:P7" si="3">O6*$J$6/SQRT($J$4)</f>
        <v>15.440671117123484</v>
      </c>
      <c r="Q6" s="51">
        <f t="shared" ref="Q6:Q7" si="4">$J$5-P6</f>
        <v>-22.940671117123486</v>
      </c>
      <c r="R6" s="51">
        <f t="shared" ref="R6:R7" si="5">$J$5+P6</f>
        <v>7.9406711171234843</v>
      </c>
    </row>
    <row r="7" spans="1:18" x14ac:dyDescent="0.25">
      <c r="A7" s="18">
        <v>4</v>
      </c>
      <c r="B7" s="15">
        <v>327</v>
      </c>
      <c r="C7" s="15">
        <v>341</v>
      </c>
      <c r="D7" s="15">
        <f t="shared" si="0"/>
        <v>-14</v>
      </c>
      <c r="L7" s="21">
        <v>0.95</v>
      </c>
      <c r="M7" s="57">
        <f>1-(1-L7)/2</f>
        <v>0.97499999999999998</v>
      </c>
      <c r="O7" s="50">
        <f t="shared" si="2"/>
        <v>2.570581835636315</v>
      </c>
      <c r="P7" s="50">
        <f t="shared" si="3"/>
        <v>19.697546336349006</v>
      </c>
      <c r="Q7" s="51">
        <f t="shared" si="4"/>
        <v>-27.197546336349006</v>
      </c>
      <c r="R7" s="51">
        <f t="shared" si="5"/>
        <v>12.197546336349006</v>
      </c>
    </row>
    <row r="8" spans="1:18" x14ac:dyDescent="0.25">
      <c r="A8" s="18">
        <v>5</v>
      </c>
      <c r="B8" s="15">
        <v>165</v>
      </c>
      <c r="C8" s="15">
        <v>192</v>
      </c>
      <c r="D8" s="15">
        <f t="shared" si="0"/>
        <v>-27</v>
      </c>
    </row>
    <row r="9" spans="1:18" x14ac:dyDescent="0.25">
      <c r="A9" s="18">
        <v>6</v>
      </c>
      <c r="B9" s="15">
        <v>198</v>
      </c>
      <c r="C9" s="15">
        <v>180</v>
      </c>
      <c r="D9" s="15">
        <f t="shared" si="0"/>
        <v>18</v>
      </c>
      <c r="O9" s="71" t="s">
        <v>118</v>
      </c>
      <c r="P9" s="71"/>
      <c r="Q9" s="71"/>
      <c r="R9" s="71"/>
    </row>
    <row r="10" spans="1:18" x14ac:dyDescent="0.25">
      <c r="O10" s="71"/>
      <c r="P10" s="71"/>
      <c r="Q10" s="71"/>
      <c r="R10" s="71"/>
    </row>
  </sheetData>
  <mergeCells count="5">
    <mergeCell ref="F6:I6"/>
    <mergeCell ref="F5:I5"/>
    <mergeCell ref="Q3:R3"/>
    <mergeCell ref="F4:I4"/>
    <mergeCell ref="O9:R10"/>
  </mergeCell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shapeId="8193" r:id="rId4">
          <objectPr defaultSize="0" autoPict="0" r:id="rId5">
            <anchor moveWithCells="1">
              <from>
                <xdr:col>14</xdr:col>
                <xdr:colOff>114300</xdr:colOff>
                <xdr:row>0</xdr:row>
                <xdr:rowOff>123825</xdr:rowOff>
              </from>
              <to>
                <xdr:col>15</xdr:col>
                <xdr:colOff>790575</xdr:colOff>
                <xdr:row>2</xdr:row>
                <xdr:rowOff>228600</xdr:rowOff>
              </to>
            </anchor>
          </objectPr>
        </oleObject>
      </mc:Choice>
      <mc:Fallback>
        <oleObject shapeId="8193" r:id="rId4"/>
      </mc:Fallback>
    </mc:AlternateContent>
  </oleObject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16"/>
  <sheetViews>
    <sheetView workbookViewId="0">
      <selection activeCell="A2" sqref="A2"/>
    </sheetView>
  </sheetViews>
  <sheetFormatPr defaultRowHeight="15" x14ac:dyDescent="0.25"/>
  <cols>
    <col min="1" max="1" width="18.42578125" bestFit="1" customWidth="1"/>
    <col min="2" max="2" width="11.5703125" bestFit="1" customWidth="1"/>
    <col min="5" max="5" width="11" customWidth="1"/>
    <col min="9" max="9" width="14.85546875" bestFit="1" customWidth="1"/>
    <col min="10" max="11" width="15.7109375" customWidth="1"/>
  </cols>
  <sheetData>
    <row r="1" spans="1:11" x14ac:dyDescent="0.25">
      <c r="A1" s="14" t="s">
        <v>103</v>
      </c>
    </row>
    <row r="3" spans="1:11" ht="18" x14ac:dyDescent="0.25">
      <c r="A3" t="s">
        <v>89</v>
      </c>
      <c r="B3" s="49" t="s">
        <v>25</v>
      </c>
      <c r="C3" s="15">
        <v>50</v>
      </c>
      <c r="D3" s="15"/>
      <c r="E3" s="67" t="s">
        <v>9</v>
      </c>
      <c r="F3" s="15"/>
      <c r="G3" s="15"/>
      <c r="H3" s="15"/>
      <c r="I3" s="15"/>
      <c r="J3" s="15"/>
      <c r="K3" s="15"/>
    </row>
    <row r="4" spans="1:11" ht="18" x14ac:dyDescent="0.25">
      <c r="A4" t="s">
        <v>90</v>
      </c>
      <c r="B4" s="49" t="s">
        <v>26</v>
      </c>
      <c r="C4" s="15">
        <v>100</v>
      </c>
      <c r="D4" s="15"/>
      <c r="E4" s="68"/>
      <c r="F4" s="15"/>
      <c r="G4" s="15"/>
      <c r="H4" s="15"/>
      <c r="I4" s="15"/>
      <c r="J4" s="69" t="s">
        <v>86</v>
      </c>
      <c r="K4" s="69"/>
    </row>
    <row r="5" spans="1:11" ht="18" x14ac:dyDescent="0.25">
      <c r="B5" s="15"/>
      <c r="C5" s="15"/>
      <c r="D5" s="15"/>
      <c r="E5" s="19" t="s">
        <v>5</v>
      </c>
      <c r="F5" s="20" t="s">
        <v>101</v>
      </c>
      <c r="H5" s="47" t="s">
        <v>95</v>
      </c>
      <c r="I5" s="19" t="s">
        <v>7</v>
      </c>
      <c r="J5" s="19" t="s">
        <v>10</v>
      </c>
      <c r="K5" s="19" t="s">
        <v>11</v>
      </c>
    </row>
    <row r="6" spans="1:11" x14ac:dyDescent="0.25">
      <c r="A6" t="s">
        <v>89</v>
      </c>
      <c r="B6" s="49" t="s">
        <v>87</v>
      </c>
      <c r="C6" s="15">
        <v>0.76</v>
      </c>
      <c r="D6" s="15"/>
      <c r="E6" s="21">
        <v>0.9</v>
      </c>
      <c r="F6" s="57">
        <f>1-(1-E6)/2</f>
        <v>0.95</v>
      </c>
      <c r="G6" s="53"/>
      <c r="H6" s="23">
        <f>_xlfn.NORM.S.INV(F6)</f>
        <v>1.6448536269514715</v>
      </c>
      <c r="I6" s="23">
        <f>H6*SQRT($C$6*(1-$C$6)/$C$3 + $C$7*(1-$C$7)/$C$4)</f>
        <v>0.12658962784765232</v>
      </c>
      <c r="J6" s="22">
        <f>($C$6-$C$7)-I6</f>
        <v>-1.6589627847652333E-2</v>
      </c>
      <c r="K6" s="22">
        <f>($C$6-$C$7)+I6</f>
        <v>0.23658962784765231</v>
      </c>
    </row>
    <row r="7" spans="1:11" x14ac:dyDescent="0.25">
      <c r="A7" t="s">
        <v>90</v>
      </c>
      <c r="B7" s="49" t="s">
        <v>88</v>
      </c>
      <c r="C7" s="15">
        <v>0.65</v>
      </c>
      <c r="D7" s="15"/>
      <c r="E7" s="21">
        <v>0.95</v>
      </c>
      <c r="F7" s="57">
        <f t="shared" ref="F7:F8" si="0">1-(1-E7)/2</f>
        <v>0.97499999999999998</v>
      </c>
      <c r="G7" s="53"/>
      <c r="H7" s="23">
        <f t="shared" ref="H7:H8" si="1">_xlfn.NORM.S.INV(F7)</f>
        <v>1.9599639845400536</v>
      </c>
      <c r="I7" s="23">
        <f t="shared" ref="I7:I8" si="2">H7*SQRT($C$6*(1-$C$6)/$C$3 + $C$7*(1-$C$7)/$C$4)</f>
        <v>0.15084084524747032</v>
      </c>
      <c r="J7" s="22">
        <f t="shared" ref="J7:J8" si="3">($C$6-$C$7)-I7</f>
        <v>-4.0840845247470337E-2</v>
      </c>
      <c r="K7" s="51">
        <f t="shared" ref="K7:K8" si="4">($C$6-$C$7)+I7</f>
        <v>0.26084084524747031</v>
      </c>
    </row>
    <row r="8" spans="1:11" x14ac:dyDescent="0.25">
      <c r="B8" s="15"/>
      <c r="C8" s="15"/>
      <c r="D8" s="15"/>
      <c r="E8" s="24">
        <v>0.99</v>
      </c>
      <c r="F8" s="57">
        <f t="shared" si="0"/>
        <v>0.995</v>
      </c>
      <c r="G8" s="53"/>
      <c r="H8" s="25">
        <f t="shared" si="1"/>
        <v>2.5758293035488999</v>
      </c>
      <c r="I8" s="25">
        <f t="shared" si="2"/>
        <v>0.19823847398486658</v>
      </c>
      <c r="J8" s="26">
        <f t="shared" si="3"/>
        <v>-8.8238473984866589E-2</v>
      </c>
      <c r="K8" s="26">
        <f t="shared" si="4"/>
        <v>0.30823847398486659</v>
      </c>
    </row>
    <row r="9" spans="1:11" ht="18" x14ac:dyDescent="0.25">
      <c r="B9" s="49" t="s">
        <v>91</v>
      </c>
      <c r="C9" s="15">
        <f>C3*C6</f>
        <v>38</v>
      </c>
      <c r="D9" s="15"/>
      <c r="E9" s="15"/>
      <c r="F9" s="15"/>
      <c r="G9" s="15"/>
      <c r="H9" s="15"/>
      <c r="I9" s="15"/>
      <c r="J9" s="15"/>
      <c r="K9" s="15"/>
    </row>
    <row r="10" spans="1:11" ht="18" x14ac:dyDescent="0.25">
      <c r="B10" s="49" t="s">
        <v>94</v>
      </c>
      <c r="C10" s="15">
        <f>C3*(1-C6)</f>
        <v>12</v>
      </c>
      <c r="D10" s="15"/>
      <c r="E10" s="15"/>
      <c r="F10" s="15"/>
      <c r="G10" s="15"/>
      <c r="H10" s="15"/>
      <c r="I10" s="15"/>
      <c r="J10" s="15"/>
      <c r="K10" s="15"/>
    </row>
    <row r="11" spans="1:11" ht="18" x14ac:dyDescent="0.25">
      <c r="B11" s="49" t="s">
        <v>93</v>
      </c>
      <c r="C11" s="15">
        <f>C4*C7</f>
        <v>65</v>
      </c>
      <c r="D11" s="15"/>
      <c r="E11" s="15"/>
      <c r="F11" s="15"/>
      <c r="G11" s="15"/>
      <c r="H11" s="15"/>
      <c r="I11" s="15"/>
      <c r="J11" s="15"/>
      <c r="K11" s="15"/>
    </row>
    <row r="12" spans="1:11" ht="18" x14ac:dyDescent="0.25">
      <c r="B12" s="49" t="s">
        <v>92</v>
      </c>
      <c r="C12" s="15">
        <f>C4*(1-C7)</f>
        <v>35</v>
      </c>
      <c r="D12" s="15"/>
      <c r="E12" s="15"/>
      <c r="F12" s="15"/>
      <c r="G12" s="15"/>
      <c r="H12" s="15"/>
      <c r="I12" s="15"/>
      <c r="J12" s="15"/>
      <c r="K12" s="15"/>
    </row>
    <row r="13" spans="1:11" x14ac:dyDescent="0.25">
      <c r="C13" s="15"/>
      <c r="D13" s="15"/>
      <c r="E13" s="15"/>
      <c r="F13" s="15"/>
      <c r="G13" s="15"/>
      <c r="H13" s="15"/>
      <c r="I13" s="15"/>
      <c r="J13" s="15"/>
      <c r="K13" s="15"/>
    </row>
    <row r="14" spans="1:11" x14ac:dyDescent="0.25">
      <c r="C14" s="15"/>
      <c r="D14" s="15"/>
      <c r="E14" s="15"/>
      <c r="F14" s="15"/>
      <c r="G14" s="15"/>
      <c r="H14" s="15"/>
      <c r="I14" s="15"/>
      <c r="J14" s="15"/>
      <c r="K14" s="15"/>
    </row>
    <row r="15" spans="1:11" x14ac:dyDescent="0.25">
      <c r="C15" s="15"/>
      <c r="D15" s="15"/>
      <c r="E15" s="15"/>
      <c r="F15" s="15"/>
      <c r="G15" s="15"/>
      <c r="H15" s="15"/>
      <c r="I15" s="15"/>
      <c r="J15" s="15"/>
      <c r="K15" s="15"/>
    </row>
    <row r="16" spans="1:11" x14ac:dyDescent="0.25">
      <c r="C16" s="15"/>
      <c r="D16" s="15"/>
      <c r="E16" s="15"/>
      <c r="F16" s="15"/>
      <c r="G16" s="15"/>
      <c r="H16" s="15"/>
      <c r="I16" s="15"/>
      <c r="J16" s="15"/>
      <c r="K16" s="15"/>
    </row>
  </sheetData>
  <mergeCells count="2">
    <mergeCell ref="E3:E4"/>
    <mergeCell ref="J4:K4"/>
  </mergeCell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shapeId="9218" r:id="rId3">
          <objectPr defaultSize="0" autoPict="0" r:id="rId4">
            <anchor moveWithCells="1">
              <from>
                <xdr:col>8</xdr:col>
                <xdr:colOff>304800</xdr:colOff>
                <xdr:row>9</xdr:row>
                <xdr:rowOff>85725</xdr:rowOff>
              </from>
              <to>
                <xdr:col>10</xdr:col>
                <xdr:colOff>657225</xdr:colOff>
                <xdr:row>11</xdr:row>
                <xdr:rowOff>95250</xdr:rowOff>
              </to>
            </anchor>
          </objectPr>
        </oleObject>
      </mc:Choice>
      <mc:Fallback>
        <oleObject shapeId="9218" r:id="rId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Example1</vt:lpstr>
      <vt:lpstr>Example2</vt:lpstr>
      <vt:lpstr>Example3</vt:lpstr>
      <vt:lpstr>Example4</vt:lpstr>
      <vt:lpstr>Example5</vt:lpstr>
      <vt:lpstr>Example6</vt:lpstr>
      <vt:lpstr>Example7</vt:lpstr>
      <vt:lpstr>Example8</vt:lpstr>
      <vt:lpstr>Example9</vt:lpstr>
      <vt:lpstr>Example10</vt:lpstr>
      <vt:lpstr>SampleSize</vt:lpstr>
      <vt:lpstr>CIproportion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2021-07-21T18:03:23Z</dcterms:modified>
</cp:coreProperties>
</file>