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CristinaCosta\AULAS\EstatisticaMEGI\Apontamentos\StatisticalAnalysis2020\LU6-Hypothesis testing\"/>
    </mc:Choice>
  </mc:AlternateContent>
  <xr:revisionPtr revIDLastSave="0" documentId="13_ncr:1_{B419382A-5034-46F0-81A2-F88BDB06D879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Exerc 6.1" sheetId="1" r:id="rId1"/>
    <sheet name="Exerc 6.2" sheetId="2" r:id="rId2"/>
    <sheet name="Exerc 6.3" sheetId="3" r:id="rId3"/>
    <sheet name="Exerc 6.4" sheetId="4" r:id="rId4"/>
    <sheet name="Exerc 6.5" sheetId="5" r:id="rId5"/>
    <sheet name="Exerc 6.6" sheetId="6" r:id="rId6"/>
    <sheet name="Exerc 6.7" sheetId="7" r:id="rId7"/>
    <sheet name="Exerc 6.8" sheetId="10" r:id="rId8"/>
    <sheet name="Exerc 6.9" sheetId="11" r:id="rId9"/>
    <sheet name="Exerc 6.10" sheetId="8" r:id="rId10"/>
    <sheet name="Exerc 6.11" sheetId="12" r:id="rId11"/>
    <sheet name="Exerc 6.12" sheetId="13" r:id="rId12"/>
    <sheet name="Exerc 6.13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9" l="1"/>
  <c r="F11" i="13" l="1"/>
  <c r="F7" i="13"/>
  <c r="F14" i="13" s="1"/>
  <c r="B11" i="13"/>
  <c r="B12" i="13" s="1"/>
  <c r="B7" i="13"/>
  <c r="B14" i="13" s="1"/>
  <c r="B11" i="12"/>
  <c r="B12" i="12" s="1"/>
  <c r="B3" i="12"/>
  <c r="B9" i="12" s="1"/>
  <c r="B14" i="12" s="1"/>
  <c r="H18" i="11"/>
  <c r="E6" i="11" l="1"/>
  <c r="E5" i="11"/>
  <c r="E12" i="11" s="1"/>
  <c r="E4" i="11"/>
  <c r="E3" i="11"/>
  <c r="E15" i="11" s="1"/>
  <c r="B11" i="10"/>
  <c r="B3" i="10"/>
  <c r="B9" i="10" s="1"/>
  <c r="B13" i="10" s="1"/>
  <c r="K5" i="9"/>
  <c r="F5" i="9"/>
  <c r="K4" i="9"/>
  <c r="K7" i="9" s="1"/>
  <c r="K14" i="9" s="1"/>
  <c r="F11" i="9"/>
  <c r="F12" i="9" s="1"/>
  <c r="F4" i="9"/>
  <c r="F7" i="9" s="1"/>
  <c r="F14" i="9" s="1"/>
  <c r="E18" i="11" l="1"/>
  <c r="E17" i="11"/>
  <c r="E14" i="11"/>
  <c r="L9" i="8"/>
  <c r="I11" i="8"/>
  <c r="L11" i="8" s="1"/>
  <c r="L13" i="8" s="1"/>
  <c r="I9" i="8"/>
  <c r="I3" i="8"/>
  <c r="B13" i="8"/>
  <c r="B11" i="8"/>
  <c r="B3" i="8"/>
  <c r="B9" i="8" s="1"/>
  <c r="I3" i="7"/>
  <c r="K8" i="7" s="1"/>
  <c r="K13" i="7" s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2" i="7"/>
  <c r="K10" i="7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2" i="7"/>
  <c r="K18" i="6"/>
  <c r="K19" i="6" s="1"/>
  <c r="K10" i="6"/>
  <c r="K9" i="6"/>
  <c r="K14" i="6"/>
  <c r="Q11" i="6" s="1"/>
  <c r="K13" i="6"/>
  <c r="Q9" i="6" s="1"/>
  <c r="Q10" i="6" s="1"/>
  <c r="K12" i="6"/>
  <c r="K11" i="6"/>
  <c r="E13" i="6"/>
  <c r="E12" i="6"/>
  <c r="E15" i="6" s="1"/>
  <c r="E19" i="6" s="1"/>
  <c r="E11" i="6"/>
  <c r="E10" i="6"/>
  <c r="E16" i="6"/>
  <c r="E17" i="6" s="1"/>
  <c r="B13" i="5"/>
  <c r="B14" i="5" s="1"/>
  <c r="E3" i="5"/>
  <c r="E2" i="5"/>
  <c r="B15" i="5" s="1"/>
  <c r="E11" i="4"/>
  <c r="E10" i="4"/>
  <c r="H16" i="5" l="1"/>
  <c r="B16" i="5"/>
  <c r="B17" i="5" s="1"/>
  <c r="E16" i="5"/>
  <c r="Q15" i="6"/>
  <c r="E19" i="5"/>
  <c r="H19" i="5"/>
  <c r="B19" i="5"/>
  <c r="Q12" i="6"/>
  <c r="Q13" i="6" s="1"/>
  <c r="K16" i="6"/>
  <c r="K17" i="6" s="1"/>
  <c r="K21" i="6" s="1"/>
  <c r="I13" i="8"/>
  <c r="K9" i="7"/>
  <c r="K12" i="7" s="1"/>
  <c r="K15" i="7" s="1"/>
  <c r="F9" i="7"/>
  <c r="F10" i="7"/>
  <c r="F8" i="7"/>
  <c r="F13" i="7" s="1"/>
  <c r="F12" i="7" l="1"/>
  <c r="F15" i="7" s="1"/>
  <c r="E13" i="4"/>
  <c r="E12" i="4"/>
  <c r="E15" i="4" s="1"/>
  <c r="E16" i="4" s="1"/>
  <c r="E20" i="4" s="1"/>
  <c r="E9" i="4"/>
  <c r="E8" i="4"/>
  <c r="E17" i="4" s="1"/>
  <c r="E18" i="4" s="1"/>
  <c r="E10" i="3"/>
  <c r="E9" i="3"/>
  <c r="E12" i="3"/>
  <c r="E11" i="3"/>
  <c r="E14" i="3" s="1"/>
  <c r="E15" i="3"/>
  <c r="E16" i="3" s="1"/>
  <c r="D4" i="2"/>
  <c r="D3" i="2"/>
  <c r="D2" i="2"/>
  <c r="D10" i="2" s="1"/>
  <c r="D13" i="2" s="1"/>
  <c r="B12" i="1"/>
  <c r="B11" i="1"/>
  <c r="B10" i="1"/>
  <c r="E11" i="2" l="1"/>
  <c r="D11" i="2"/>
  <c r="E18" i="3"/>
</calcChain>
</file>

<file path=xl/sharedStrings.xml><?xml version="1.0" encoding="utf-8"?>
<sst xmlns="http://schemas.openxmlformats.org/spreadsheetml/2006/main" count="283" uniqueCount="118">
  <si>
    <t>Normal</t>
  </si>
  <si>
    <t>Sigma</t>
  </si>
  <si>
    <t>Sample mean</t>
  </si>
  <si>
    <t>n</t>
  </si>
  <si>
    <t>Alpha</t>
  </si>
  <si>
    <t>Zobs</t>
  </si>
  <si>
    <t>Zcrit1</t>
  </si>
  <si>
    <t>Zcrit2</t>
  </si>
  <si>
    <t>Population</t>
  </si>
  <si>
    <t>Sample</t>
  </si>
  <si>
    <t>Sample stdev</t>
  </si>
  <si>
    <t>H1: mean &gt; 3.1</t>
  </si>
  <si>
    <t>Tobs</t>
  </si>
  <si>
    <t>Tcrit</t>
  </si>
  <si>
    <t>p-value</t>
  </si>
  <si>
    <t>Group 1</t>
  </si>
  <si>
    <t>Group 2</t>
  </si>
  <si>
    <t>Populations</t>
  </si>
  <si>
    <t>Pop variance1</t>
  </si>
  <si>
    <t>Pop variance2</t>
  </si>
  <si>
    <t>Sample mean1</t>
  </si>
  <si>
    <t>Sample mean2</t>
  </si>
  <si>
    <t>n1</t>
  </si>
  <si>
    <t>n2</t>
  </si>
  <si>
    <t>Arctic</t>
  </si>
  <si>
    <t>Antarctic</t>
  </si>
  <si>
    <t>Sigma1 = Sigma2</t>
  </si>
  <si>
    <t>Tcrit1</t>
  </si>
  <si>
    <t>Tcrit2</t>
  </si>
  <si>
    <t>Sample variance1</t>
  </si>
  <si>
    <t>Sample variance2</t>
  </si>
  <si>
    <t>S'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</si>
  <si>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</si>
  <si>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</si>
  <si>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</si>
  <si>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</si>
  <si>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</si>
  <si>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</si>
  <si>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</si>
  <si>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</si>
  <si>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</si>
  <si>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</si>
  <si>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</si>
  <si>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</si>
  <si>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Community</t>
  </si>
  <si>
    <t>Size</t>
  </si>
  <si>
    <t>Standard deviation</t>
  </si>
  <si>
    <t>Nativa</t>
  </si>
  <si>
    <t>Vatina</t>
  </si>
  <si>
    <t>Sigma1 different Sigma2</t>
  </si>
  <si>
    <t>r*</t>
  </si>
  <si>
    <t>r* round</t>
  </si>
  <si>
    <t>H1: Nativa - Vatina &lt;0</t>
  </si>
  <si>
    <t>H1: Nativa - Vatina &gt;0</t>
  </si>
  <si>
    <t>Type A machine:</t>
  </si>
  <si>
    <t>Type B machine:</t>
  </si>
  <si>
    <t>Type A</t>
  </si>
  <si>
    <t>Type B</t>
  </si>
  <si>
    <t>t-Test: Two-Sample Assuming Unequal Variances</t>
  </si>
  <si>
    <t>Before</t>
  </si>
  <si>
    <t>After</t>
  </si>
  <si>
    <t>H1: After - Before &gt; 10</t>
  </si>
  <si>
    <t>SigmaD unknown</t>
  </si>
  <si>
    <t>Difference</t>
  </si>
  <si>
    <t>H1: Before - After &lt; -10</t>
  </si>
  <si>
    <t xml:space="preserve">n </t>
  </si>
  <si>
    <t>In favor</t>
  </si>
  <si>
    <t>p_hat</t>
  </si>
  <si>
    <t>H1: p &lt; 0.5</t>
  </si>
  <si>
    <t>Zcrit</t>
  </si>
  <si>
    <t>p_hat2</t>
  </si>
  <si>
    <t>H1: p2 - p1 &gt; 0</t>
  </si>
  <si>
    <t>H1: p1 - p2 &lt; 0</t>
  </si>
  <si>
    <t>Student</t>
  </si>
  <si>
    <t>X</t>
  </si>
  <si>
    <t>Y</t>
  </si>
  <si>
    <t>H0: Rho = 0</t>
  </si>
  <si>
    <t>R =</t>
  </si>
  <si>
    <t>Tobs =</t>
  </si>
  <si>
    <t>n =</t>
  </si>
  <si>
    <t>Tcrit1 =</t>
  </si>
  <si>
    <t>Tcrit2 =</t>
  </si>
  <si>
    <t>p-value =</t>
  </si>
  <si>
    <r>
      <t xml:space="preserve">H1: Rho </t>
    </r>
    <r>
      <rPr>
        <b/>
        <sz val="11"/>
        <color rgb="FF0070C0"/>
        <rFont val="Symbol"/>
        <family val="1"/>
        <charset val="2"/>
      </rPr>
      <t>¹</t>
    </r>
    <r>
      <rPr>
        <b/>
        <sz val="11"/>
        <color rgb="FF0070C0"/>
        <rFont val="Calibri"/>
        <family val="2"/>
        <scheme val="minor"/>
      </rPr>
      <t xml:space="preserve"> 0</t>
    </r>
  </si>
  <si>
    <r>
      <t xml:space="preserve">H1: mean  </t>
    </r>
    <r>
      <rPr>
        <sz val="11"/>
        <color theme="1"/>
        <rFont val="Symbol"/>
        <family val="1"/>
        <charset val="2"/>
      </rPr>
      <t>¹</t>
    </r>
    <r>
      <rPr>
        <sz val="11"/>
        <color theme="1"/>
        <rFont val="Calibri"/>
        <family val="2"/>
        <scheme val="minor"/>
      </rPr>
      <t xml:space="preserve">  1</t>
    </r>
  </si>
  <si>
    <r>
      <t xml:space="preserve">H1: Mean1 - Mean2  </t>
    </r>
    <r>
      <rPr>
        <sz val="11"/>
        <color theme="1"/>
        <rFont val="Symbol"/>
        <family val="1"/>
        <charset val="2"/>
      </rPr>
      <t>¹</t>
    </r>
    <r>
      <rPr>
        <sz val="11"/>
        <color theme="1"/>
        <rFont val="Calibri"/>
        <family val="2"/>
        <scheme val="minor"/>
      </rPr>
      <t xml:space="preserve">  0</t>
    </r>
  </si>
  <si>
    <r>
      <t xml:space="preserve">H1: Nativa - Vatina  </t>
    </r>
    <r>
      <rPr>
        <sz val="11"/>
        <color rgb="FF0070C0"/>
        <rFont val="Symbol"/>
        <family val="1"/>
        <charset val="2"/>
      </rPr>
      <t>¹</t>
    </r>
    <r>
      <rPr>
        <sz val="11"/>
        <color rgb="FF0070C0"/>
        <rFont val="Calibri"/>
        <family val="2"/>
        <scheme val="minor"/>
      </rPr>
      <t xml:space="preserve">  0</t>
    </r>
  </si>
  <si>
    <r>
      <t xml:space="preserve">H1: Mean1 - Mean2 </t>
    </r>
    <r>
      <rPr>
        <sz val="11"/>
        <color rgb="FF0070C0"/>
        <rFont val="Symbol"/>
        <family val="1"/>
        <charset val="2"/>
      </rPr>
      <t>¹</t>
    </r>
    <r>
      <rPr>
        <sz val="11"/>
        <color rgb="FF0070C0"/>
        <rFont val="Calibri"/>
        <family val="2"/>
        <scheme val="minor"/>
      </rPr>
      <t xml:space="preserve"> 0</t>
    </r>
  </si>
  <si>
    <t>H1: Rho &gt; 0.5</t>
  </si>
  <si>
    <t>H0: Rho &lt;= 0.5</t>
  </si>
  <si>
    <t>Zobs =</t>
  </si>
  <si>
    <t>Zcrit =</t>
  </si>
  <si>
    <t>Normal population</t>
  </si>
  <si>
    <t>s</t>
  </si>
  <si>
    <t>H1: sigma2 &lt; 10</t>
  </si>
  <si>
    <t>Qobs</t>
  </si>
  <si>
    <t>Qcrit</t>
  </si>
  <si>
    <t>Group1</t>
  </si>
  <si>
    <t>Group2</t>
  </si>
  <si>
    <t>Normal populations</t>
  </si>
  <si>
    <r>
      <t>H1: Sigma</t>
    </r>
    <r>
      <rPr>
        <vertAlign val="superscript"/>
        <sz val="11"/>
        <color rgb="FF0070C0"/>
        <rFont val="Calibri"/>
        <family val="2"/>
        <scheme val="minor"/>
      </rPr>
      <t>2</t>
    </r>
    <r>
      <rPr>
        <vertAlign val="subscript"/>
        <sz val="11"/>
        <color rgb="FF0070C0"/>
        <rFont val="Calibri"/>
        <family val="2"/>
        <scheme val="minor"/>
      </rPr>
      <t>1</t>
    </r>
    <r>
      <rPr>
        <sz val="11"/>
        <color rgb="FF0070C0"/>
        <rFont val="Calibri"/>
        <family val="2"/>
        <scheme val="minor"/>
      </rPr>
      <t xml:space="preserve"> / Sigma</t>
    </r>
    <r>
      <rPr>
        <vertAlign val="superscript"/>
        <sz val="11"/>
        <color rgb="FF0070C0"/>
        <rFont val="Calibri"/>
        <family val="2"/>
        <scheme val="minor"/>
      </rPr>
      <t>2</t>
    </r>
    <r>
      <rPr>
        <vertAlign val="subscript"/>
        <sz val="11"/>
        <color rgb="FF0070C0"/>
        <rFont val="Calibri"/>
        <family val="2"/>
        <scheme val="minor"/>
      </rPr>
      <t>2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rgb="FF0070C0"/>
        <rFont val="Symbol"/>
        <family val="1"/>
        <charset val="2"/>
      </rPr>
      <t>¹</t>
    </r>
    <r>
      <rPr>
        <sz val="11"/>
        <color rgb="FF0070C0"/>
        <rFont val="Calibri"/>
        <family val="2"/>
        <scheme val="minor"/>
      </rPr>
      <t xml:space="preserve"> 1</t>
    </r>
  </si>
  <si>
    <t>Fobs</t>
  </si>
  <si>
    <t>Fcrit1</t>
  </si>
  <si>
    <t>Fcrit2</t>
  </si>
  <si>
    <t>S1</t>
  </si>
  <si>
    <t>S2</t>
  </si>
  <si>
    <t>F-Test Two-Sample for Variances</t>
  </si>
  <si>
    <t>F</t>
  </si>
  <si>
    <t>P(F&lt;=f) one-tail</t>
  </si>
  <si>
    <t>F Critical one-tail</t>
  </si>
  <si>
    <t>P(F&lt;=f) two-tail</t>
  </si>
  <si>
    <t>Watch</t>
  </si>
  <si>
    <r>
      <t xml:space="preserve">H1: p </t>
    </r>
    <r>
      <rPr>
        <sz val="11"/>
        <color rgb="FF0070C0"/>
        <rFont val="Symbol"/>
        <family val="1"/>
        <charset val="2"/>
      </rPr>
      <t>¹</t>
    </r>
    <r>
      <rPr>
        <sz val="11"/>
        <color rgb="FF0070C0"/>
        <rFont val="Calibri"/>
        <family val="2"/>
        <scheme val="minor"/>
      </rPr>
      <t xml:space="preserve"> 0.4</t>
    </r>
  </si>
  <si>
    <t>R</t>
  </si>
  <si>
    <t>H1: Rho &lt; 0.9</t>
  </si>
  <si>
    <t>H0: Rho &gt;= 0.9</t>
  </si>
  <si>
    <t>p-value &gt;1</t>
  </si>
  <si>
    <t>Assume Normal population of differences, because n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</si>
</sst>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Symbol"/>
      <family val="1"/>
      <charset val="2"/>
    </font>
    <font>
      <b/>
      <sz val="11"/>
      <color rgb="FF0070C0"/>
      <name val="Symbol"/>
      <family val="1"/>
      <charset val="2"/>
    </font>
    <font>
      <sz val="11"/>
      <color theme="1"/>
      <name val="Symbol"/>
      <family val="1"/>
      <charset val="2"/>
    </font>
    <font>
      <b/>
      <sz val="11"/>
      <color rgb="FF00B050"/>
      <name val="Calibri"/>
      <family val="2"/>
      <scheme val="minor"/>
    </font>
    <font>
      <vertAlign val="superscript"/>
      <sz val="11"/>
      <color rgb="FF0070C0"/>
      <name val="Calibri"/>
      <family val="2"/>
      <scheme val="minor"/>
    </font>
    <font>
      <vertAlign val="subscript"/>
      <sz val="11"/>
      <color rgb="FF0070C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" fillId="0" borderId="0" xfId="0" applyNumberFormat="1" applyFont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0" xfId="0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6" fontId="3" fillId="0" borderId="0" xfId="0" applyNumberFormat="1" applyFont="1" applyAlignment="1">
      <alignment vertical="center"/>
    </xf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11" fillId="0" borderId="0" xfId="0" applyFont="1" applyAlignment="1">
      <alignment vertical="center"/>
    </xf>
    <xf numFmtId="165" fontId="11" fillId="0" borderId="0" xfId="0" applyNumberFormat="1" applyFont="1" applyAlignment="1">
      <alignment vertical="center"/>
    </xf>
    <xf numFmtId="0" fontId="1" fillId="0" borderId="0" xfId="0" applyFont="1" applyFill="1" applyBorder="1" applyAlignme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6</xdr:col>
      <xdr:colOff>114300</xdr:colOff>
      <xdr:row>4</xdr:row>
      <xdr:rowOff>29308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190500"/>
          <a:ext cx="1333500" cy="6008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1</xdr:row>
      <xdr:rowOff>38100</xdr:rowOff>
    </xdr:from>
    <xdr:to>
      <xdr:col>5</xdr:col>
      <xdr:colOff>447675</xdr:colOff>
      <xdr:row>4</xdr:row>
      <xdr:rowOff>126847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228600"/>
          <a:ext cx="1543050" cy="660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14</xdr:row>
      <xdr:rowOff>28576</xdr:rowOff>
    </xdr:from>
    <xdr:to>
      <xdr:col>12</xdr:col>
      <xdr:colOff>219075</xdr:colOff>
      <xdr:row>17</xdr:row>
      <xdr:rowOff>8760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2695576"/>
          <a:ext cx="3228975" cy="55168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5</xdr:col>
      <xdr:colOff>323850</xdr:colOff>
      <xdr:row>4</xdr:row>
      <xdr:rowOff>88747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1543050" cy="660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600075</xdr:colOff>
      <xdr:row>5</xdr:row>
      <xdr:rowOff>69811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1209675" cy="4508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9</xdr:col>
      <xdr:colOff>18884</xdr:colOff>
      <xdr:row>6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4825" y="571500"/>
          <a:ext cx="1847684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4</xdr:row>
      <xdr:rowOff>142875</xdr:rowOff>
    </xdr:from>
    <xdr:to>
      <xdr:col>8</xdr:col>
      <xdr:colOff>38100</xdr:colOff>
      <xdr:row>7</xdr:row>
      <xdr:rowOff>22186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904875"/>
          <a:ext cx="1209675" cy="4508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4</xdr:row>
      <xdr:rowOff>142876</xdr:rowOff>
    </xdr:from>
    <xdr:to>
      <xdr:col>14</xdr:col>
      <xdr:colOff>161759</xdr:colOff>
      <xdr:row>8</xdr:row>
      <xdr:rowOff>123826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904876"/>
          <a:ext cx="1847684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5</xdr:row>
      <xdr:rowOff>1</xdr:rowOff>
    </xdr:from>
    <xdr:to>
      <xdr:col>6</xdr:col>
      <xdr:colOff>457200</xdr:colOff>
      <xdr:row>7</xdr:row>
      <xdr:rowOff>166429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952501"/>
          <a:ext cx="1038225" cy="547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4</xdr:row>
      <xdr:rowOff>1</xdr:rowOff>
    </xdr:from>
    <xdr:to>
      <xdr:col>9</xdr:col>
      <xdr:colOff>409575</xdr:colOff>
      <xdr:row>7</xdr:row>
      <xdr:rowOff>176857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1" y="762001"/>
          <a:ext cx="1628774" cy="748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7</xdr:row>
      <xdr:rowOff>0</xdr:rowOff>
    </xdr:from>
    <xdr:to>
      <xdr:col>8</xdr:col>
      <xdr:colOff>285750</xdr:colOff>
      <xdr:row>9</xdr:row>
      <xdr:rowOff>144364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1" y="1333500"/>
          <a:ext cx="1504949" cy="525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1</xdr:rowOff>
    </xdr:from>
    <xdr:to>
      <xdr:col>8</xdr:col>
      <xdr:colOff>552450</xdr:colOff>
      <xdr:row>13</xdr:row>
      <xdr:rowOff>49075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2095501"/>
          <a:ext cx="1771650" cy="430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190501</xdr:colOff>
      <xdr:row>0</xdr:row>
      <xdr:rowOff>200025</xdr:rowOff>
    </xdr:from>
    <xdr:to>
      <xdr:col>8</xdr:col>
      <xdr:colOff>204509</xdr:colOff>
      <xdr:row>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6" y="200025"/>
          <a:ext cx="1233208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333375</xdr:colOff>
      <xdr:row>0</xdr:row>
      <xdr:rowOff>85725</xdr:rowOff>
    </xdr:from>
    <xdr:to>
      <xdr:col>11</xdr:col>
      <xdr:colOff>342900</xdr:colOff>
      <xdr:row>4</xdr:row>
      <xdr:rowOff>9436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85725"/>
          <a:ext cx="1838325" cy="8762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409574</xdr:colOff>
      <xdr:row>4</xdr:row>
      <xdr:rowOff>176856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381000"/>
          <a:ext cx="1628774" cy="748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219076</xdr:colOff>
      <xdr:row>0</xdr:row>
      <xdr:rowOff>371475</xdr:rowOff>
    </xdr:from>
    <xdr:to>
      <xdr:col>13</xdr:col>
      <xdr:colOff>504825</xdr:colOff>
      <xdr:row>3</xdr:row>
      <xdr:rowOff>134839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6" y="371475"/>
          <a:ext cx="1504949" cy="525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238125</xdr:colOff>
      <xdr:row>4</xdr:row>
      <xdr:rowOff>76201</xdr:rowOff>
    </xdr:from>
    <xdr:to>
      <xdr:col>14</xdr:col>
      <xdr:colOff>180975</xdr:colOff>
      <xdr:row>6</xdr:row>
      <xdr:rowOff>125275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1028701"/>
          <a:ext cx="1771650" cy="430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</xdr:row>
      <xdr:rowOff>114300</xdr:rowOff>
    </xdr:from>
    <xdr:to>
      <xdr:col>20</xdr:col>
      <xdr:colOff>14008</xdr:colOff>
      <xdr:row>5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63425" y="495300"/>
          <a:ext cx="1233208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142874</xdr:colOff>
      <xdr:row>1</xdr:row>
      <xdr:rowOff>0</xdr:rowOff>
    </xdr:from>
    <xdr:to>
      <xdr:col>23</xdr:col>
      <xdr:colOff>152399</xdr:colOff>
      <xdr:row>5</xdr:row>
      <xdr:rowOff>114211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499" y="381000"/>
          <a:ext cx="1838325" cy="8762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342901</xdr:colOff>
      <xdr:row>3</xdr:row>
      <xdr:rowOff>85725</xdr:rowOff>
    </xdr:from>
    <xdr:to>
      <xdr:col>7</xdr:col>
      <xdr:colOff>476251</xdr:colOff>
      <xdr:row>6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310" b="46332"/>
        <a:stretch/>
      </xdr:blipFill>
      <xdr:spPr bwMode="auto">
        <a:xfrm>
          <a:off x="3819526" y="657225"/>
          <a:ext cx="1352550" cy="67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361951</xdr:colOff>
      <xdr:row>4</xdr:row>
      <xdr:rowOff>28575</xdr:rowOff>
    </xdr:from>
    <xdr:to>
      <xdr:col>4</xdr:col>
      <xdr:colOff>400051</xdr:colOff>
      <xdr:row>6</xdr:row>
      <xdr:rowOff>29373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1" y="790575"/>
          <a:ext cx="1257300" cy="381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3</xdr:row>
      <xdr:rowOff>57150</xdr:rowOff>
    </xdr:from>
    <xdr:to>
      <xdr:col>7</xdr:col>
      <xdr:colOff>95250</xdr:colOff>
      <xdr:row>5</xdr:row>
      <xdr:rowOff>66102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470"/>
        <a:stretch/>
      </xdr:blipFill>
      <xdr:spPr bwMode="auto">
        <a:xfrm>
          <a:off x="3248025" y="666750"/>
          <a:ext cx="1571625" cy="3899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" x14ac:dyDescent="0.25"/>
  <cols>
    <col min="1" max="1" width="13.140625" bestFit="1" customWidth="1"/>
  </cols>
  <sheetData>
    <row r="1" spans="1:2" x14ac:dyDescent="0.25">
      <c r="A1" t="s">
        <v>8</v>
      </c>
      <c r="B1" t="s">
        <v>0</v>
      </c>
    </row>
    <row r="2" spans="1:2" x14ac:dyDescent="0.25">
      <c r="A2" t="s">
        <v>1</v>
      </c>
      <c r="B2">
        <v>1</v>
      </c>
    </row>
    <row r="3" spans="1:2" x14ac:dyDescent="0.25">
      <c r="A3" t="s">
        <v>3</v>
      </c>
      <c r="B3">
        <v>130</v>
      </c>
    </row>
    <row r="4" spans="1:2" x14ac:dyDescent="0.25">
      <c r="A4" t="s">
        <v>2</v>
      </c>
      <c r="B4">
        <v>1.1537999999999999</v>
      </c>
    </row>
    <row r="6" spans="1:2" x14ac:dyDescent="0.25">
      <c r="A6" t="s">
        <v>4</v>
      </c>
      <c r="B6">
        <v>0.01</v>
      </c>
    </row>
    <row r="8" spans="1:2" x14ac:dyDescent="0.25">
      <c r="A8" t="s">
        <v>84</v>
      </c>
    </row>
    <row r="10" spans="1:2" x14ac:dyDescent="0.25">
      <c r="A10" s="1" t="s">
        <v>5</v>
      </c>
      <c r="B10" s="1">
        <f>(B4-1)/(B2/SQRT(B3))</f>
        <v>1.7535898038024733</v>
      </c>
    </row>
    <row r="11" spans="1:2" x14ac:dyDescent="0.25">
      <c r="A11" s="1" t="s">
        <v>6</v>
      </c>
      <c r="B11" s="1">
        <f>_xlfn.NORM.S.INV(B6/2)</f>
        <v>-2.5758293035488999</v>
      </c>
    </row>
    <row r="12" spans="1:2" x14ac:dyDescent="0.25">
      <c r="A12" s="1" t="s">
        <v>7</v>
      </c>
      <c r="B12" s="1">
        <f>-B11</f>
        <v>2.5758293035488999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3"/>
  <sheetViews>
    <sheetView workbookViewId="0">
      <selection activeCell="C1" sqref="C1"/>
    </sheetView>
  </sheetViews>
  <sheetFormatPr defaultRowHeight="15" x14ac:dyDescent="0.25"/>
  <cols>
    <col min="2" max="2" width="12" bestFit="1" customWidth="1"/>
  </cols>
  <sheetData>
    <row r="1" spans="1:12" x14ac:dyDescent="0.25">
      <c r="A1" t="s">
        <v>65</v>
      </c>
      <c r="B1">
        <v>1000</v>
      </c>
      <c r="H1" t="s">
        <v>23</v>
      </c>
      <c r="I1">
        <v>1200</v>
      </c>
    </row>
    <row r="2" spans="1:12" x14ac:dyDescent="0.25">
      <c r="A2" t="s">
        <v>66</v>
      </c>
      <c r="B2">
        <v>430</v>
      </c>
      <c r="H2" t="s">
        <v>66</v>
      </c>
      <c r="I2">
        <v>540</v>
      </c>
    </row>
    <row r="3" spans="1:12" x14ac:dyDescent="0.25">
      <c r="A3" s="1" t="s">
        <v>67</v>
      </c>
      <c r="B3" s="1">
        <f>B2/B1</f>
        <v>0.43</v>
      </c>
      <c r="H3" s="1" t="s">
        <v>70</v>
      </c>
      <c r="I3" s="1">
        <f>I2/I1</f>
        <v>0.45</v>
      </c>
    </row>
    <row r="5" spans="1:12" x14ac:dyDescent="0.25">
      <c r="A5" t="s">
        <v>68</v>
      </c>
      <c r="H5" s="1" t="s">
        <v>71</v>
      </c>
      <c r="K5" s="16" t="s">
        <v>72</v>
      </c>
      <c r="L5" s="16"/>
    </row>
    <row r="7" spans="1:12" x14ac:dyDescent="0.25">
      <c r="A7" t="s">
        <v>4</v>
      </c>
      <c r="B7">
        <v>0.05</v>
      </c>
      <c r="H7" t="s">
        <v>4</v>
      </c>
      <c r="I7">
        <v>0.05</v>
      </c>
      <c r="K7" t="s">
        <v>4</v>
      </c>
      <c r="L7">
        <v>0.05</v>
      </c>
    </row>
    <row r="9" spans="1:12" x14ac:dyDescent="0.25">
      <c r="A9" s="1" t="s">
        <v>5</v>
      </c>
      <c r="B9" s="3">
        <f>(B3-0.5)/SQRT(0.5*0.5/B1)</f>
        <v>-4.427188724235732</v>
      </c>
      <c r="H9" s="1" t="s">
        <v>67</v>
      </c>
      <c r="I9" s="3">
        <f>(B2+I2)/(B1+I1)</f>
        <v>0.44090909090909092</v>
      </c>
      <c r="K9" s="16" t="s">
        <v>67</v>
      </c>
      <c r="L9" s="18">
        <f>(B2+I2)/(B1+I1)</f>
        <v>0.44090909090909092</v>
      </c>
    </row>
    <row r="10" spans="1:12" x14ac:dyDescent="0.25">
      <c r="A10" s="1"/>
      <c r="B10" s="3"/>
      <c r="I10" s="3"/>
      <c r="K10" s="16"/>
      <c r="L10" s="18"/>
    </row>
    <row r="11" spans="1:12" x14ac:dyDescent="0.25">
      <c r="A11" s="1" t="s">
        <v>69</v>
      </c>
      <c r="B11" s="3">
        <f>_xlfn.NORM.S.INV(B7)</f>
        <v>-1.6448536269514726</v>
      </c>
      <c r="H11" s="1" t="s">
        <v>5</v>
      </c>
      <c r="I11" s="2">
        <f>(I3-B3)/SQRT(I9*(1-I9)*(1/B1+1/I1))</f>
        <v>0.94079182780451931</v>
      </c>
      <c r="K11" s="16" t="s">
        <v>5</v>
      </c>
      <c r="L11" s="17">
        <f>-I11</f>
        <v>-0.94079182780451931</v>
      </c>
    </row>
    <row r="12" spans="1:12" x14ac:dyDescent="0.25">
      <c r="A12" s="1"/>
      <c r="B12" s="1"/>
      <c r="H12" s="1"/>
      <c r="I12" s="1"/>
      <c r="K12" s="16"/>
      <c r="L12" s="16"/>
    </row>
    <row r="13" spans="1:12" x14ac:dyDescent="0.25">
      <c r="A13" s="1" t="s">
        <v>14</v>
      </c>
      <c r="B13" s="3">
        <f>_xlfn.NORM.S.DIST(B9, TRUE)</f>
        <v>4.7734599226190475E-6</v>
      </c>
      <c r="H13" s="1" t="s">
        <v>14</v>
      </c>
      <c r="I13" s="3">
        <f>1-_xlfn.NORM.S.DIST(I11,TRUE)</f>
        <v>0.1734057748175728</v>
      </c>
      <c r="K13" s="16" t="s">
        <v>14</v>
      </c>
      <c r="L13" s="18">
        <f>_xlfn.NORM.S.DIST(L11,TRUE)</f>
        <v>0.17340577481757283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4"/>
  <sheetViews>
    <sheetView workbookViewId="0">
      <selection activeCell="C1" sqref="C1"/>
    </sheetView>
  </sheetViews>
  <sheetFormatPr defaultRowHeight="15" x14ac:dyDescent="0.25"/>
  <cols>
    <col min="1" max="16384" width="9.140625" style="7"/>
  </cols>
  <sheetData>
    <row r="1" spans="1:2" x14ac:dyDescent="0.25">
      <c r="A1" s="7" t="s">
        <v>3</v>
      </c>
      <c r="B1" s="7">
        <v>150</v>
      </c>
    </row>
    <row r="2" spans="1:2" x14ac:dyDescent="0.25">
      <c r="A2" s="7" t="s">
        <v>111</v>
      </c>
      <c r="B2" s="7">
        <v>54</v>
      </c>
    </row>
    <row r="3" spans="1:2" x14ac:dyDescent="0.25">
      <c r="A3" s="9" t="s">
        <v>67</v>
      </c>
      <c r="B3" s="9">
        <f>B2/B1</f>
        <v>0.36</v>
      </c>
    </row>
    <row r="5" spans="1:2" x14ac:dyDescent="0.25">
      <c r="A5" s="1" t="s">
        <v>112</v>
      </c>
    </row>
    <row r="7" spans="1:2" x14ac:dyDescent="0.25">
      <c r="A7" s="7" t="s">
        <v>4</v>
      </c>
      <c r="B7" s="7">
        <v>0.1</v>
      </c>
    </row>
    <row r="9" spans="1:2" x14ac:dyDescent="0.25">
      <c r="A9" s="1" t="s">
        <v>5</v>
      </c>
      <c r="B9" s="28">
        <f>(B3-0.4)/SQRT(0.4*0.6/B1)</f>
        <v>-1.0000000000000009</v>
      </c>
    </row>
    <row r="10" spans="1:2" x14ac:dyDescent="0.25">
      <c r="A10" s="1"/>
      <c r="B10" s="3"/>
    </row>
    <row r="11" spans="1:2" x14ac:dyDescent="0.25">
      <c r="A11" s="1" t="s">
        <v>6</v>
      </c>
      <c r="B11" s="3">
        <f>_xlfn.NORM.S.INV(B7/2)</f>
        <v>-1.6448536269514726</v>
      </c>
    </row>
    <row r="12" spans="1:2" x14ac:dyDescent="0.25">
      <c r="A12" s="1" t="s">
        <v>7</v>
      </c>
      <c r="B12" s="3">
        <f>-B11</f>
        <v>1.6448536269514726</v>
      </c>
    </row>
    <row r="14" spans="1:2" x14ac:dyDescent="0.25">
      <c r="A14" s="1" t="s">
        <v>14</v>
      </c>
      <c r="B14" s="3">
        <f>2*(1-_xlfn.NORM.S.DIST(ABS(B9), TRUE))</f>
        <v>0.31731050786291348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4"/>
  <sheetViews>
    <sheetView workbookViewId="0">
      <selection activeCell="C1" sqref="C1"/>
    </sheetView>
  </sheetViews>
  <sheetFormatPr defaultRowHeight="15" x14ac:dyDescent="0.25"/>
  <cols>
    <col min="2" max="2" width="9.85546875" customWidth="1"/>
    <col min="4" max="4" width="12.42578125" customWidth="1"/>
  </cols>
  <sheetData>
    <row r="1" spans="1:6" x14ac:dyDescent="0.25">
      <c r="A1" t="s">
        <v>3</v>
      </c>
      <c r="B1">
        <v>25</v>
      </c>
      <c r="F1" s="11"/>
    </row>
    <row r="2" spans="1:6" x14ac:dyDescent="0.25">
      <c r="A2" t="s">
        <v>113</v>
      </c>
      <c r="B2">
        <v>0.85</v>
      </c>
      <c r="F2" s="11"/>
    </row>
    <row r="3" spans="1:6" x14ac:dyDescent="0.25">
      <c r="E3" s="11"/>
      <c r="F3" s="11"/>
    </row>
    <row r="4" spans="1:6" x14ac:dyDescent="0.25">
      <c r="A4" s="12" t="s">
        <v>76</v>
      </c>
      <c r="B4" s="7"/>
      <c r="E4" s="21" t="s">
        <v>115</v>
      </c>
      <c r="F4" s="13"/>
    </row>
    <row r="5" spans="1:6" x14ac:dyDescent="0.25">
      <c r="A5" s="12" t="s">
        <v>83</v>
      </c>
      <c r="B5" s="9"/>
      <c r="E5" s="21" t="s">
        <v>114</v>
      </c>
      <c r="F5" s="11"/>
    </row>
    <row r="6" spans="1:6" x14ac:dyDescent="0.25">
      <c r="A6" s="7"/>
      <c r="B6" s="7"/>
      <c r="E6" s="11"/>
      <c r="F6" s="11"/>
    </row>
    <row r="7" spans="1:6" x14ac:dyDescent="0.25">
      <c r="A7" s="9" t="s">
        <v>78</v>
      </c>
      <c r="B7" s="10">
        <f>B2*SQRT(B1-2)/SQRT(1-B2^2)</f>
        <v>7.7384031222780605</v>
      </c>
      <c r="E7" s="11" t="s">
        <v>90</v>
      </c>
      <c r="F7" s="11">
        <f>(0.5*LN((1+B2)/(1-B2)) - 0.5*LN((1+0.9)/(1-0.9)))/SQRT(1/(B1-3))</f>
        <v>-1.0134425497650401</v>
      </c>
    </row>
    <row r="8" spans="1:6" x14ac:dyDescent="0.25">
      <c r="A8" s="9"/>
      <c r="B8" s="9"/>
      <c r="E8" s="11"/>
      <c r="F8" s="11"/>
    </row>
    <row r="9" spans="1:6" x14ac:dyDescent="0.25">
      <c r="A9" s="7" t="s">
        <v>4</v>
      </c>
      <c r="B9" s="7">
        <v>0.05</v>
      </c>
      <c r="E9" s="7" t="s">
        <v>4</v>
      </c>
      <c r="F9" s="7">
        <v>0.05</v>
      </c>
    </row>
    <row r="10" spans="1:6" x14ac:dyDescent="0.25">
      <c r="A10" s="7"/>
      <c r="B10" s="7"/>
      <c r="E10" s="7"/>
      <c r="F10" s="7"/>
    </row>
    <row r="11" spans="1:6" x14ac:dyDescent="0.25">
      <c r="A11" s="9" t="s">
        <v>80</v>
      </c>
      <c r="B11" s="10">
        <f>_xlfn.T.INV(B9/2,B1-2)</f>
        <v>-2.0686576104190491</v>
      </c>
      <c r="E11" s="11" t="s">
        <v>91</v>
      </c>
      <c r="F11" s="11">
        <f>_xlfn.NORM.S.INV(F9)</f>
        <v>-1.6448536269514726</v>
      </c>
    </row>
    <row r="12" spans="1:6" x14ac:dyDescent="0.25">
      <c r="A12" s="9" t="s">
        <v>81</v>
      </c>
      <c r="B12" s="20">
        <f>-B11</f>
        <v>2.0686576104190491</v>
      </c>
      <c r="E12" s="11"/>
      <c r="F12" s="22"/>
    </row>
    <row r="13" spans="1:6" x14ac:dyDescent="0.25">
      <c r="A13" s="9"/>
      <c r="B13" s="9"/>
      <c r="E13" s="11"/>
      <c r="F13" s="11"/>
    </row>
    <row r="14" spans="1:6" x14ac:dyDescent="0.25">
      <c r="A14" s="9" t="s">
        <v>82</v>
      </c>
      <c r="B14" s="10">
        <f>2*(1-_xlfn.T.DIST(B7,B1-2,TRUE))</f>
        <v>7.5510949271162531E-8</v>
      </c>
      <c r="E14" s="11" t="s">
        <v>82</v>
      </c>
      <c r="F14" s="13">
        <f>_xlfn.NORM.S.DIST(F7,TRUE)</f>
        <v>0.15542441208315522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4"/>
  <sheetViews>
    <sheetView workbookViewId="0"/>
  </sheetViews>
  <sheetFormatPr defaultRowHeight="15" x14ac:dyDescent="0.25"/>
  <cols>
    <col min="1" max="16384" width="9.140625" style="7"/>
  </cols>
  <sheetData>
    <row r="1" spans="1:11" x14ac:dyDescent="0.25">
      <c r="A1" s="19" t="s">
        <v>73</v>
      </c>
      <c r="B1" s="19" t="s">
        <v>74</v>
      </c>
      <c r="C1" s="19" t="s">
        <v>75</v>
      </c>
      <c r="E1" s="12" t="s">
        <v>76</v>
      </c>
      <c r="J1" s="21" t="s">
        <v>89</v>
      </c>
      <c r="K1" s="11"/>
    </row>
    <row r="2" spans="1:11" x14ac:dyDescent="0.25">
      <c r="A2" s="7">
        <v>1</v>
      </c>
      <c r="B2" s="7">
        <v>39</v>
      </c>
      <c r="C2" s="7">
        <v>65</v>
      </c>
      <c r="E2" s="12" t="s">
        <v>83</v>
      </c>
      <c r="F2" s="9"/>
      <c r="J2" s="21" t="s">
        <v>88</v>
      </c>
      <c r="K2" s="11"/>
    </row>
    <row r="3" spans="1:11" x14ac:dyDescent="0.25">
      <c r="A3" s="7">
        <v>2</v>
      </c>
      <c r="B3" s="7">
        <v>43</v>
      </c>
      <c r="C3" s="7">
        <v>78</v>
      </c>
      <c r="J3" s="11"/>
      <c r="K3" s="11"/>
    </row>
    <row r="4" spans="1:11" x14ac:dyDescent="0.25">
      <c r="A4" s="7">
        <v>3</v>
      </c>
      <c r="B4" s="7">
        <v>21</v>
      </c>
      <c r="C4" s="7">
        <v>52</v>
      </c>
      <c r="E4" s="9" t="s">
        <v>77</v>
      </c>
      <c r="F4" s="10">
        <f>CORREL(B2:B11,C2:C11)</f>
        <v>0.83978588703967516</v>
      </c>
      <c r="J4" s="11" t="s">
        <v>77</v>
      </c>
      <c r="K4" s="13">
        <f>CORREL(B2:B11,C2:C11)</f>
        <v>0.83978588703967516</v>
      </c>
    </row>
    <row r="5" spans="1:11" x14ac:dyDescent="0.25">
      <c r="A5" s="7">
        <v>4</v>
      </c>
      <c r="B5" s="7">
        <v>64</v>
      </c>
      <c r="C5" s="7">
        <v>82</v>
      </c>
      <c r="E5" s="9" t="s">
        <v>79</v>
      </c>
      <c r="F5" s="9">
        <f>COUNT(C2:C11)</f>
        <v>10</v>
      </c>
      <c r="J5" s="11" t="s">
        <v>79</v>
      </c>
      <c r="K5" s="11">
        <f>COUNT(C2:C11)</f>
        <v>10</v>
      </c>
    </row>
    <row r="6" spans="1:11" x14ac:dyDescent="0.25">
      <c r="A6" s="7">
        <v>5</v>
      </c>
      <c r="B6" s="7">
        <v>57</v>
      </c>
      <c r="C6" s="7">
        <v>92</v>
      </c>
      <c r="E6" s="9"/>
      <c r="F6" s="9"/>
      <c r="J6" s="11"/>
      <c r="K6" s="11"/>
    </row>
    <row r="7" spans="1:11" x14ac:dyDescent="0.25">
      <c r="A7" s="7">
        <v>6</v>
      </c>
      <c r="B7" s="7">
        <v>47</v>
      </c>
      <c r="C7" s="7">
        <v>89</v>
      </c>
      <c r="E7" s="9" t="s">
        <v>78</v>
      </c>
      <c r="F7" s="10">
        <f>F4*SQRT(F5-2)/SQRT(1-F4^2)</f>
        <v>4.3750149259079896</v>
      </c>
      <c r="J7" s="11" t="s">
        <v>90</v>
      </c>
      <c r="K7" s="11">
        <f>(0.5*LN((1+K4)/(1-K4)) - 0.5*LN((1+0.5)/(1-0.5)))/SQRT(1/(K5-3))</f>
        <v>1.7756709408447571</v>
      </c>
    </row>
    <row r="8" spans="1:11" x14ac:dyDescent="0.25">
      <c r="A8" s="7">
        <v>7</v>
      </c>
      <c r="B8" s="7">
        <v>28</v>
      </c>
      <c r="C8" s="7">
        <v>73</v>
      </c>
      <c r="E8" s="9"/>
      <c r="F8" s="9"/>
      <c r="J8" s="11"/>
      <c r="K8" s="11"/>
    </row>
    <row r="9" spans="1:11" x14ac:dyDescent="0.25">
      <c r="A9" s="7">
        <v>8</v>
      </c>
      <c r="B9" s="7">
        <v>75</v>
      </c>
      <c r="C9" s="7">
        <v>98</v>
      </c>
      <c r="E9" s="7" t="s">
        <v>4</v>
      </c>
      <c r="F9" s="7">
        <v>0.05</v>
      </c>
      <c r="J9" s="7" t="s">
        <v>4</v>
      </c>
      <c r="K9" s="7">
        <v>0.05</v>
      </c>
    </row>
    <row r="10" spans="1:11" x14ac:dyDescent="0.25">
      <c r="A10" s="7">
        <v>9</v>
      </c>
      <c r="B10" s="7">
        <v>34</v>
      </c>
      <c r="C10" s="7">
        <v>56</v>
      </c>
    </row>
    <row r="11" spans="1:11" x14ac:dyDescent="0.25">
      <c r="A11" s="7">
        <v>10</v>
      </c>
      <c r="B11" s="7">
        <v>52</v>
      </c>
      <c r="C11" s="7">
        <v>75</v>
      </c>
      <c r="E11" s="9" t="s">
        <v>80</v>
      </c>
      <c r="F11" s="9">
        <f>_xlfn.T.INV(F9/2,F5-2)</f>
        <v>-2.3060041352041671</v>
      </c>
      <c r="J11" s="11" t="s">
        <v>91</v>
      </c>
      <c r="K11" s="11">
        <f>_xlfn.NORM.S.INV(1-K9)</f>
        <v>1.6448536269514715</v>
      </c>
    </row>
    <row r="12" spans="1:11" x14ac:dyDescent="0.25">
      <c r="E12" s="9" t="s">
        <v>81</v>
      </c>
      <c r="F12" s="20">
        <f>-F11</f>
        <v>2.3060041352041671</v>
      </c>
      <c r="J12" s="11"/>
      <c r="K12" s="22"/>
    </row>
    <row r="13" spans="1:11" x14ac:dyDescent="0.25">
      <c r="E13" s="9"/>
      <c r="F13" s="9"/>
      <c r="J13" s="11"/>
      <c r="K13" s="11"/>
    </row>
    <row r="14" spans="1:11" x14ac:dyDescent="0.25">
      <c r="E14" s="9" t="s">
        <v>82</v>
      </c>
      <c r="F14" s="9">
        <f>2*(1-_xlfn.T.DIST(F7,F5-2,TRUE))</f>
        <v>2.3645318236951152E-3</v>
      </c>
      <c r="J14" s="11" t="s">
        <v>82</v>
      </c>
      <c r="K14" s="13">
        <f>1-_xlfn.NORM.S.DIST(K7,TRUE)</f>
        <v>3.789358485849359E-2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B1" sqref="B1"/>
    </sheetView>
  </sheetViews>
  <sheetFormatPr defaultRowHeight="15" x14ac:dyDescent="0.25"/>
  <cols>
    <col min="3" max="3" width="15.5703125" bestFit="1" customWidth="1"/>
  </cols>
  <sheetData>
    <row r="1" spans="1:5" x14ac:dyDescent="0.25">
      <c r="A1" t="s">
        <v>9</v>
      </c>
      <c r="C1" t="s">
        <v>8</v>
      </c>
      <c r="D1" t="s">
        <v>0</v>
      </c>
    </row>
    <row r="2" spans="1:5" x14ac:dyDescent="0.25">
      <c r="A2">
        <v>4.0999999999999996</v>
      </c>
      <c r="C2" t="s">
        <v>3</v>
      </c>
      <c r="D2">
        <f>COUNT(A2:A8)</f>
        <v>7</v>
      </c>
    </row>
    <row r="3" spans="1:5" x14ac:dyDescent="0.25">
      <c r="A3">
        <v>4.5</v>
      </c>
      <c r="C3" t="s">
        <v>2</v>
      </c>
      <c r="D3">
        <f>AVERAGE(A2:A8)</f>
        <v>3.6999999999999997</v>
      </c>
    </row>
    <row r="4" spans="1:5" x14ac:dyDescent="0.25">
      <c r="A4">
        <v>3.6</v>
      </c>
      <c r="C4" t="s">
        <v>10</v>
      </c>
      <c r="D4">
        <f>_xlfn.STDEV.S(A2:A8)</f>
        <v>0.58309518948453087</v>
      </c>
    </row>
    <row r="5" spans="1:5" x14ac:dyDescent="0.25">
      <c r="A5">
        <v>2.8</v>
      </c>
    </row>
    <row r="6" spans="1:5" x14ac:dyDescent="0.25">
      <c r="A6">
        <v>3.6</v>
      </c>
      <c r="C6" t="s">
        <v>4</v>
      </c>
      <c r="D6">
        <v>0.05</v>
      </c>
    </row>
    <row r="7" spans="1:5" x14ac:dyDescent="0.25">
      <c r="A7">
        <v>3.2</v>
      </c>
    </row>
    <row r="8" spans="1:5" x14ac:dyDescent="0.25">
      <c r="A8">
        <v>4.0999999999999996</v>
      </c>
      <c r="C8" t="s">
        <v>11</v>
      </c>
    </row>
    <row r="10" spans="1:5" x14ac:dyDescent="0.25">
      <c r="C10" s="1" t="s">
        <v>12</v>
      </c>
      <c r="D10" s="2">
        <f>(D3-3.1)/(D4/SQRT(D2))</f>
        <v>2.7224556389190848</v>
      </c>
    </row>
    <row r="11" spans="1:5" x14ac:dyDescent="0.25">
      <c r="C11" s="1" t="s">
        <v>13</v>
      </c>
      <c r="D11" s="1">
        <f>-_xlfn.T.INV(D6,D2-1)</f>
        <v>1.9431802805153031</v>
      </c>
      <c r="E11" s="1">
        <f>_xlfn.T.INV(1-D6,D2-1)</f>
        <v>1.9431802805153022</v>
      </c>
    </row>
    <row r="12" spans="1:5" x14ac:dyDescent="0.25">
      <c r="C12" s="1"/>
      <c r="D12" s="1"/>
    </row>
    <row r="13" spans="1:5" x14ac:dyDescent="0.25">
      <c r="C13" s="1" t="s">
        <v>14</v>
      </c>
      <c r="D13" s="3">
        <f>1-_xlfn.T.DIST(D10,D2-1,TRUE)</f>
        <v>1.7265006018419182E-2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C1" sqref="C1"/>
    </sheetView>
  </sheetViews>
  <sheetFormatPr defaultRowHeight="15" x14ac:dyDescent="0.25"/>
  <cols>
    <col min="4" max="4" width="13.85546875" customWidth="1"/>
  </cols>
  <sheetData>
    <row r="1" spans="1:5" x14ac:dyDescent="0.25">
      <c r="A1" t="s">
        <v>15</v>
      </c>
      <c r="B1" t="s">
        <v>16</v>
      </c>
      <c r="D1" t="s">
        <v>17</v>
      </c>
      <c r="E1" t="s">
        <v>0</v>
      </c>
    </row>
    <row r="2" spans="1:5" x14ac:dyDescent="0.25">
      <c r="A2">
        <v>2.7</v>
      </c>
      <c r="B2">
        <v>4.0999999999999996</v>
      </c>
      <c r="D2" t="s">
        <v>18</v>
      </c>
      <c r="E2">
        <v>0.36</v>
      </c>
    </row>
    <row r="3" spans="1:5" x14ac:dyDescent="0.25">
      <c r="A3">
        <v>3.2</v>
      </c>
      <c r="B3">
        <v>4.5</v>
      </c>
      <c r="D3" t="s">
        <v>19</v>
      </c>
      <c r="E3">
        <v>0.32</v>
      </c>
    </row>
    <row r="4" spans="1:5" x14ac:dyDescent="0.25">
      <c r="A4">
        <v>3.6</v>
      </c>
      <c r="B4">
        <v>3.6</v>
      </c>
    </row>
    <row r="5" spans="1:5" x14ac:dyDescent="0.25">
      <c r="A5">
        <v>4.0999999999999996</v>
      </c>
      <c r="B5">
        <v>2.7</v>
      </c>
      <c r="D5" t="s">
        <v>4</v>
      </c>
      <c r="E5">
        <v>0.01</v>
      </c>
    </row>
    <row r="6" spans="1:5" x14ac:dyDescent="0.25">
      <c r="A6">
        <v>2.7</v>
      </c>
      <c r="B6">
        <v>3.6</v>
      </c>
    </row>
    <row r="7" spans="1:5" x14ac:dyDescent="0.25">
      <c r="A7">
        <v>3.2</v>
      </c>
      <c r="B7">
        <v>3.2</v>
      </c>
      <c r="D7" t="s">
        <v>85</v>
      </c>
    </row>
    <row r="8" spans="1:5" x14ac:dyDescent="0.25">
      <c r="A8">
        <v>4.5</v>
      </c>
      <c r="B8">
        <v>4.0999999999999996</v>
      </c>
    </row>
    <row r="9" spans="1:5" x14ac:dyDescent="0.25">
      <c r="A9">
        <v>3.6</v>
      </c>
      <c r="D9" s="1" t="s">
        <v>22</v>
      </c>
      <c r="E9" s="1">
        <f>COUNT(A2:A10)</f>
        <v>9</v>
      </c>
    </row>
    <row r="10" spans="1:5" x14ac:dyDescent="0.25">
      <c r="A10">
        <v>2.7</v>
      </c>
      <c r="D10" s="1" t="s">
        <v>23</v>
      </c>
      <c r="E10" s="1">
        <f>COUNT(B2:B8)</f>
        <v>7</v>
      </c>
    </row>
    <row r="11" spans="1:5" x14ac:dyDescent="0.25">
      <c r="D11" s="1" t="s">
        <v>20</v>
      </c>
      <c r="E11" s="1">
        <f>AVERAGE(A2:A10)</f>
        <v>3.3666666666666667</v>
      </c>
    </row>
    <row r="12" spans="1:5" x14ac:dyDescent="0.25">
      <c r="D12" s="1" t="s">
        <v>21</v>
      </c>
      <c r="E12" s="1">
        <f>AVERAGE(B2:B8)</f>
        <v>3.6857142857142855</v>
      </c>
    </row>
    <row r="14" spans="1:5" x14ac:dyDescent="0.25">
      <c r="D14" s="1" t="s">
        <v>5</v>
      </c>
      <c r="E14" s="1">
        <f>(E11-E12)/SQRT(E2/E9+E3/E10)</f>
        <v>-1.0897550814591945</v>
      </c>
    </row>
    <row r="15" spans="1:5" x14ac:dyDescent="0.25">
      <c r="D15" s="1" t="s">
        <v>6</v>
      </c>
      <c r="E15" s="1">
        <f>_xlfn.NORM.S.INV(E5/2)</f>
        <v>-2.5758293035488999</v>
      </c>
    </row>
    <row r="16" spans="1:5" x14ac:dyDescent="0.25">
      <c r="D16" s="1" t="s">
        <v>7</v>
      </c>
      <c r="E16" s="1">
        <f>-E15</f>
        <v>2.5758293035488999</v>
      </c>
    </row>
    <row r="18" spans="4:5" x14ac:dyDescent="0.25">
      <c r="D18" s="1" t="s">
        <v>14</v>
      </c>
      <c r="E18" s="3">
        <f>2*_xlfn.NORM.S.DIST(E14, TRUE)</f>
        <v>0.27582104545786928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0"/>
  <sheetViews>
    <sheetView workbookViewId="0">
      <selection activeCell="C1" sqref="C1"/>
    </sheetView>
  </sheetViews>
  <sheetFormatPr defaultRowHeight="15" x14ac:dyDescent="0.25"/>
  <cols>
    <col min="4" max="4" width="16.7109375" customWidth="1"/>
    <col min="11" max="11" width="30" customWidth="1"/>
    <col min="12" max="12" width="9.28515625" customWidth="1"/>
  </cols>
  <sheetData>
    <row r="1" spans="1:13" x14ac:dyDescent="0.25">
      <c r="A1" t="s">
        <v>24</v>
      </c>
      <c r="B1" t="s">
        <v>25</v>
      </c>
      <c r="D1" t="s">
        <v>17</v>
      </c>
      <c r="E1" t="s">
        <v>0</v>
      </c>
      <c r="K1" t="s">
        <v>32</v>
      </c>
    </row>
    <row r="2" spans="1:13" ht="15.75" thickBot="1" x14ac:dyDescent="0.3">
      <c r="A2">
        <v>2.7</v>
      </c>
      <c r="B2">
        <v>4.0999999999999996</v>
      </c>
      <c r="D2" t="s">
        <v>26</v>
      </c>
    </row>
    <row r="3" spans="1:13" x14ac:dyDescent="0.25">
      <c r="A3">
        <v>3.2</v>
      </c>
      <c r="B3">
        <v>4.5</v>
      </c>
      <c r="K3" s="6"/>
      <c r="L3" s="6" t="s">
        <v>24</v>
      </c>
      <c r="M3" s="6" t="s">
        <v>25</v>
      </c>
    </row>
    <row r="4" spans="1:13" x14ac:dyDescent="0.25">
      <c r="A4">
        <v>3.6</v>
      </c>
      <c r="B4">
        <v>3.6</v>
      </c>
      <c r="D4" t="s">
        <v>4</v>
      </c>
      <c r="E4">
        <v>0.05</v>
      </c>
      <c r="K4" s="4" t="s">
        <v>33</v>
      </c>
      <c r="L4" s="4">
        <v>3.3666666666666667</v>
      </c>
      <c r="M4" s="4">
        <v>3.6857142857142855</v>
      </c>
    </row>
    <row r="5" spans="1:13" x14ac:dyDescent="0.25">
      <c r="A5">
        <v>4.0999999999999996</v>
      </c>
      <c r="B5">
        <v>2.7</v>
      </c>
      <c r="K5" s="4" t="s">
        <v>34</v>
      </c>
      <c r="L5" s="4">
        <v>0.41499999999999915</v>
      </c>
      <c r="M5" s="4">
        <v>0.37142857142857838</v>
      </c>
    </row>
    <row r="6" spans="1:13" x14ac:dyDescent="0.25">
      <c r="A6">
        <v>2.7</v>
      </c>
      <c r="B6">
        <v>3.6</v>
      </c>
      <c r="D6" t="s">
        <v>85</v>
      </c>
      <c r="K6" s="4" t="s">
        <v>35</v>
      </c>
      <c r="L6" s="4">
        <v>9</v>
      </c>
      <c r="M6" s="4">
        <v>7</v>
      </c>
    </row>
    <row r="7" spans="1:13" x14ac:dyDescent="0.25">
      <c r="A7">
        <v>3.2</v>
      </c>
      <c r="B7">
        <v>3.2</v>
      </c>
      <c r="K7" s="4" t="s">
        <v>36</v>
      </c>
      <c r="L7" s="4">
        <v>0.39632653061224737</v>
      </c>
      <c r="M7" s="4"/>
    </row>
    <row r="8" spans="1:13" x14ac:dyDescent="0.25">
      <c r="A8">
        <v>4.5</v>
      </c>
      <c r="B8">
        <v>4.0999999999999996</v>
      </c>
      <c r="D8" s="1" t="s">
        <v>22</v>
      </c>
      <c r="E8" s="1">
        <f>COUNT(A1:A10)</f>
        <v>9</v>
      </c>
      <c r="K8" s="4" t="s">
        <v>37</v>
      </c>
      <c r="L8" s="4">
        <v>0</v>
      </c>
      <c r="M8" s="4"/>
    </row>
    <row r="9" spans="1:13" x14ac:dyDescent="0.25">
      <c r="A9">
        <v>3.6</v>
      </c>
      <c r="D9" s="1" t="s">
        <v>23</v>
      </c>
      <c r="E9" s="1">
        <f>COUNT(B1:B8)</f>
        <v>7</v>
      </c>
      <c r="K9" s="4" t="s">
        <v>38</v>
      </c>
      <c r="L9" s="4">
        <v>14</v>
      </c>
      <c r="M9" s="4"/>
    </row>
    <row r="10" spans="1:13" x14ac:dyDescent="0.25">
      <c r="A10">
        <v>2.7</v>
      </c>
      <c r="D10" s="1" t="s">
        <v>20</v>
      </c>
      <c r="E10" s="1">
        <f>AVERAGE(A1:A10)</f>
        <v>3.3666666666666667</v>
      </c>
      <c r="K10" s="4" t="s">
        <v>39</v>
      </c>
      <c r="L10" s="4">
        <v>-1.0056323105267031</v>
      </c>
      <c r="M10" s="4"/>
    </row>
    <row r="11" spans="1:13" x14ac:dyDescent="0.25">
      <c r="D11" s="1" t="s">
        <v>21</v>
      </c>
      <c r="E11" s="1">
        <f>AVERAGE(B1:B8)</f>
        <v>3.6857142857142855</v>
      </c>
      <c r="K11" s="4" t="s">
        <v>40</v>
      </c>
      <c r="L11" s="4">
        <v>0.16582907594824131</v>
      </c>
      <c r="M11" s="4"/>
    </row>
    <row r="12" spans="1:13" x14ac:dyDescent="0.25">
      <c r="D12" s="1" t="s">
        <v>29</v>
      </c>
      <c r="E12" s="1">
        <f>_xlfn.VAR.S(A2:A10)</f>
        <v>0.41499999999999915</v>
      </c>
      <c r="K12" s="4" t="s">
        <v>41</v>
      </c>
      <c r="L12" s="4">
        <v>1.7613101357748921</v>
      </c>
      <c r="M12" s="4"/>
    </row>
    <row r="13" spans="1:13" x14ac:dyDescent="0.25">
      <c r="D13" s="1" t="s">
        <v>30</v>
      </c>
      <c r="E13" s="1">
        <f>_xlfn.VAR.S(B2:B8)</f>
        <v>0.37142857142857838</v>
      </c>
      <c r="K13" s="4" t="s">
        <v>42</v>
      </c>
      <c r="L13" s="4">
        <v>0.33165815189648262</v>
      </c>
      <c r="M13" s="4"/>
    </row>
    <row r="14" spans="1:13" ht="15.75" thickBot="1" x14ac:dyDescent="0.3">
      <c r="K14" s="5" t="s">
        <v>43</v>
      </c>
      <c r="L14" s="5">
        <v>2.1447866879178044</v>
      </c>
      <c r="M14" s="5"/>
    </row>
    <row r="15" spans="1:13" x14ac:dyDescent="0.25">
      <c r="D15" s="1" t="s">
        <v>31</v>
      </c>
      <c r="E15" s="1">
        <f>SQRT((8*E12+6*E13)/(E8+E9-2))</f>
        <v>0.62954470104373639</v>
      </c>
    </row>
    <row r="16" spans="1:13" x14ac:dyDescent="0.25">
      <c r="D16" s="1" t="s">
        <v>12</v>
      </c>
      <c r="E16" s="1">
        <f>(E10-E11)/(E15*SQRT(1/E8+1/E9))</f>
        <v>-1.0056323105267029</v>
      </c>
    </row>
    <row r="17" spans="4:5" x14ac:dyDescent="0.25">
      <c r="D17" s="1" t="s">
        <v>27</v>
      </c>
      <c r="E17" s="1">
        <f>_xlfn.T.INV(E4/2,E8+E9-2)</f>
        <v>-2.1447866879178044</v>
      </c>
    </row>
    <row r="18" spans="4:5" x14ac:dyDescent="0.25">
      <c r="D18" s="1" t="s">
        <v>28</v>
      </c>
      <c r="E18" s="1">
        <f>-E17</f>
        <v>2.1447866879178044</v>
      </c>
    </row>
    <row r="19" spans="4:5" x14ac:dyDescent="0.25">
      <c r="E19" s="1"/>
    </row>
    <row r="20" spans="4:5" x14ac:dyDescent="0.25">
      <c r="D20" s="1" t="s">
        <v>14</v>
      </c>
      <c r="E20" s="3">
        <f>2*_xlfn.T.DIST(E16,E8+E9-2,TRUE)</f>
        <v>0.33165815189648262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"/>
  <sheetViews>
    <sheetView workbookViewId="0">
      <selection activeCell="A4" sqref="A4"/>
    </sheetView>
  </sheetViews>
  <sheetFormatPr defaultRowHeight="15" x14ac:dyDescent="0.25"/>
  <cols>
    <col min="1" max="1" width="17.42578125" style="7" customWidth="1"/>
    <col min="2" max="3" width="9.140625" style="7"/>
    <col min="4" max="4" width="9.85546875" style="7" customWidth="1"/>
    <col min="5" max="16384" width="9.140625" style="7"/>
  </cols>
  <sheetData>
    <row r="1" spans="1:8" ht="30" x14ac:dyDescent="0.25">
      <c r="A1" s="7" t="s">
        <v>44</v>
      </c>
      <c r="B1" s="7" t="s">
        <v>45</v>
      </c>
      <c r="C1" s="7" t="s">
        <v>33</v>
      </c>
      <c r="D1" s="8" t="s">
        <v>46</v>
      </c>
      <c r="E1" s="9" t="s">
        <v>34</v>
      </c>
    </row>
    <row r="2" spans="1:8" x14ac:dyDescent="0.25">
      <c r="A2" s="7" t="s">
        <v>47</v>
      </c>
      <c r="B2" s="7">
        <v>100</v>
      </c>
      <c r="C2" s="7">
        <v>20</v>
      </c>
      <c r="D2" s="7">
        <v>2</v>
      </c>
      <c r="E2" s="9">
        <f>D2^2</f>
        <v>4</v>
      </c>
    </row>
    <row r="3" spans="1:8" x14ac:dyDescent="0.25">
      <c r="A3" s="7" t="s">
        <v>48</v>
      </c>
      <c r="B3" s="7">
        <v>110</v>
      </c>
      <c r="C3" s="7">
        <v>18</v>
      </c>
      <c r="D3" s="7">
        <v>8</v>
      </c>
      <c r="E3" s="9">
        <f>D3^2</f>
        <v>64</v>
      </c>
    </row>
    <row r="6" spans="1:8" x14ac:dyDescent="0.25">
      <c r="A6" s="7" t="s">
        <v>17</v>
      </c>
      <c r="B6" s="7" t="s">
        <v>0</v>
      </c>
    </row>
    <row r="7" spans="1:8" x14ac:dyDescent="0.25">
      <c r="A7" s="7" t="s">
        <v>49</v>
      </c>
    </row>
    <row r="9" spans="1:8" x14ac:dyDescent="0.25">
      <c r="A9" s="7" t="s">
        <v>4</v>
      </c>
      <c r="B9" s="7">
        <v>0.05</v>
      </c>
      <c r="D9" s="11">
        <v>0.01</v>
      </c>
      <c r="E9" s="11"/>
      <c r="G9" s="11">
        <v>2.5000000000000001E-2</v>
      </c>
      <c r="H9" s="11"/>
    </row>
    <row r="10" spans="1:8" x14ac:dyDescent="0.25">
      <c r="D10" s="11"/>
      <c r="E10" s="11"/>
      <c r="G10" s="11"/>
      <c r="H10" s="11"/>
    </row>
    <row r="11" spans="1:8" x14ac:dyDescent="0.25">
      <c r="A11" s="9" t="s">
        <v>86</v>
      </c>
      <c r="D11" s="11" t="s">
        <v>52</v>
      </c>
      <c r="E11" s="11"/>
      <c r="G11" s="11" t="s">
        <v>53</v>
      </c>
      <c r="H11" s="11"/>
    </row>
    <row r="12" spans="1:8" x14ac:dyDescent="0.25">
      <c r="D12" s="11"/>
      <c r="E12" s="11"/>
      <c r="G12" s="11"/>
      <c r="H12" s="11"/>
    </row>
    <row r="13" spans="1:8" x14ac:dyDescent="0.25">
      <c r="A13" s="9" t="s">
        <v>50</v>
      </c>
      <c r="B13" s="9">
        <f>(E2/B2+E3/B3)^2/((1/(B2-1))*(E2/B2)^2+(1/(B3-1))*(E3/B3)^2)</f>
        <v>123.85813842028679</v>
      </c>
      <c r="D13" s="11"/>
      <c r="E13" s="11"/>
      <c r="G13" s="11"/>
      <c r="H13" s="11"/>
    </row>
    <row r="14" spans="1:8" x14ac:dyDescent="0.25">
      <c r="A14" s="9" t="s">
        <v>51</v>
      </c>
      <c r="B14" s="9">
        <f>_xlfn.FLOOR.MATH(B13)</f>
        <v>123</v>
      </c>
      <c r="D14" s="11"/>
      <c r="E14" s="11"/>
      <c r="G14" s="11"/>
      <c r="H14" s="11"/>
    </row>
    <row r="15" spans="1:8" x14ac:dyDescent="0.25">
      <c r="A15" s="12" t="s">
        <v>12</v>
      </c>
      <c r="B15" s="12">
        <f>(C2-C3)/SQRT(E2/B2+E3/B3)</f>
        <v>2.5362863675089402</v>
      </c>
      <c r="D15" s="11"/>
      <c r="E15" s="11"/>
      <c r="G15" s="11"/>
      <c r="H15" s="11"/>
    </row>
    <row r="16" spans="1:8" x14ac:dyDescent="0.25">
      <c r="A16" s="9" t="s">
        <v>27</v>
      </c>
      <c r="B16" s="9">
        <f>_xlfn.T.INV(B9/2,B14)</f>
        <v>-1.979438685093305</v>
      </c>
      <c r="D16" s="11" t="s">
        <v>13</v>
      </c>
      <c r="E16" s="11">
        <f>_xlfn.T.INV(D9,B14)</f>
        <v>-2.357047251009742</v>
      </c>
      <c r="G16" s="11" t="s">
        <v>13</v>
      </c>
      <c r="H16" s="11">
        <f>_xlfn.T.INV(1-G9,B14)</f>
        <v>1.979438685093305</v>
      </c>
    </row>
    <row r="17" spans="1:8" x14ac:dyDescent="0.25">
      <c r="A17" s="9" t="s">
        <v>28</v>
      </c>
      <c r="B17" s="9">
        <f>-B16</f>
        <v>1.979438685093305</v>
      </c>
      <c r="D17" s="11"/>
      <c r="E17" s="11"/>
      <c r="G17" s="11"/>
      <c r="H17" s="11"/>
    </row>
    <row r="18" spans="1:8" x14ac:dyDescent="0.25">
      <c r="B18" s="9"/>
      <c r="D18" s="11"/>
      <c r="E18" s="11"/>
      <c r="G18" s="11"/>
      <c r="H18" s="11"/>
    </row>
    <row r="19" spans="1:8" x14ac:dyDescent="0.25">
      <c r="A19" s="9" t="s">
        <v>14</v>
      </c>
      <c r="B19" s="10">
        <f>2*(1-_xlfn.T.DIST(B15,B14,TRUE))</f>
        <v>1.2455479436404016E-2</v>
      </c>
      <c r="D19" s="11" t="s">
        <v>14</v>
      </c>
      <c r="E19" s="13">
        <f>_xlfn.T.DIST(B15,B14,TRUE)</f>
        <v>0.99377226028179799</v>
      </c>
      <c r="G19" s="11" t="s">
        <v>14</v>
      </c>
      <c r="H19" s="13">
        <f>1-_xlfn.T.DIST(B15,B14,TRUE)</f>
        <v>6.2277397182020078E-3</v>
      </c>
    </row>
    <row r="20" spans="1:8" x14ac:dyDescent="0.25">
      <c r="B20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6"/>
  <sheetViews>
    <sheetView workbookViewId="0">
      <selection activeCell="C1" sqref="C1"/>
    </sheetView>
  </sheetViews>
  <sheetFormatPr defaultRowHeight="15" x14ac:dyDescent="0.25"/>
  <cols>
    <col min="1" max="3" width="9.140625" style="7"/>
    <col min="4" max="4" width="14.5703125" style="7" customWidth="1"/>
    <col min="5" max="9" width="9.140625" style="7"/>
    <col min="10" max="10" width="22.28515625" style="7" customWidth="1"/>
    <col min="11" max="15" width="9.140625" style="7"/>
    <col min="16" max="16" width="22.7109375" style="7" customWidth="1"/>
    <col min="17" max="16384" width="9.140625" style="7"/>
  </cols>
  <sheetData>
    <row r="1" spans="1:17" ht="30" x14ac:dyDescent="0.25">
      <c r="A1" s="8" t="s">
        <v>54</v>
      </c>
      <c r="B1" s="8" t="s">
        <v>55</v>
      </c>
    </row>
    <row r="2" spans="1:17" x14ac:dyDescent="0.25">
      <c r="A2" s="7">
        <v>8</v>
      </c>
      <c r="B2" s="7">
        <v>5.6</v>
      </c>
      <c r="D2" t="s">
        <v>17</v>
      </c>
      <c r="E2" t="s">
        <v>0</v>
      </c>
      <c r="J2" t="s">
        <v>17</v>
      </c>
      <c r="K2" t="s">
        <v>0</v>
      </c>
      <c r="P2" s="7" t="s">
        <v>17</v>
      </c>
      <c r="Q2" s="7" t="s">
        <v>0</v>
      </c>
    </row>
    <row r="3" spans="1:17" x14ac:dyDescent="0.25">
      <c r="A3" s="7">
        <v>8.4</v>
      </c>
      <c r="B3" s="7">
        <v>7.4</v>
      </c>
      <c r="D3" t="s">
        <v>18</v>
      </c>
      <c r="E3">
        <v>1.5</v>
      </c>
      <c r="J3" t="s">
        <v>26</v>
      </c>
      <c r="K3"/>
      <c r="P3" s="7" t="s">
        <v>49</v>
      </c>
    </row>
    <row r="4" spans="1:17" x14ac:dyDescent="0.25">
      <c r="A4" s="7">
        <v>8</v>
      </c>
      <c r="B4" s="7">
        <v>7.3</v>
      </c>
      <c r="D4" t="s">
        <v>19</v>
      </c>
      <c r="E4">
        <v>1</v>
      </c>
      <c r="J4"/>
      <c r="K4"/>
    </row>
    <row r="5" spans="1:17" x14ac:dyDescent="0.25">
      <c r="A5" s="7">
        <v>6.4</v>
      </c>
      <c r="B5" s="7">
        <v>6.4</v>
      </c>
      <c r="J5" t="s">
        <v>4</v>
      </c>
      <c r="K5">
        <v>0.05</v>
      </c>
      <c r="P5" s="7" t="s">
        <v>4</v>
      </c>
      <c r="Q5" s="7">
        <v>0.05</v>
      </c>
    </row>
    <row r="6" spans="1:17" x14ac:dyDescent="0.25">
      <c r="A6" s="7">
        <v>8.6</v>
      </c>
      <c r="B6" s="7">
        <v>7.5</v>
      </c>
      <c r="D6" s="7" t="s">
        <v>4</v>
      </c>
      <c r="E6" s="7">
        <v>0.05</v>
      </c>
      <c r="J6"/>
      <c r="K6"/>
    </row>
    <row r="7" spans="1:17" x14ac:dyDescent="0.25">
      <c r="A7" s="7">
        <v>7.7</v>
      </c>
      <c r="B7" s="7">
        <v>6.1</v>
      </c>
      <c r="J7" s="1" t="s">
        <v>87</v>
      </c>
      <c r="K7"/>
      <c r="P7" s="1" t="s">
        <v>87</v>
      </c>
    </row>
    <row r="8" spans="1:17" x14ac:dyDescent="0.25">
      <c r="A8" s="7">
        <v>7.7</v>
      </c>
      <c r="B8" s="7">
        <v>6.6</v>
      </c>
      <c r="D8" s="1" t="s">
        <v>87</v>
      </c>
      <c r="E8"/>
      <c r="J8"/>
      <c r="K8"/>
    </row>
    <row r="9" spans="1:17" x14ac:dyDescent="0.25">
      <c r="A9" s="7">
        <v>5.6</v>
      </c>
      <c r="B9" s="7">
        <v>6</v>
      </c>
      <c r="D9"/>
      <c r="E9"/>
      <c r="J9" s="1" t="s">
        <v>22</v>
      </c>
      <c r="K9" s="1">
        <f>COUNT(A2:A11)</f>
        <v>10</v>
      </c>
      <c r="P9" s="9" t="s">
        <v>50</v>
      </c>
      <c r="Q9" s="9">
        <f>(K13/K9+K14/K10)^2/((1/9*(K13/K9)^2+1/9*(K14/K10)^2))</f>
        <v>15.896908602955394</v>
      </c>
    </row>
    <row r="10" spans="1:17" x14ac:dyDescent="0.25">
      <c r="A10" s="7">
        <v>5.6</v>
      </c>
      <c r="B10" s="7">
        <v>5.5</v>
      </c>
      <c r="D10" s="1" t="s">
        <v>22</v>
      </c>
      <c r="E10" s="1">
        <f>COUNT(A2:A11)</f>
        <v>10</v>
      </c>
      <c r="J10" s="1" t="s">
        <v>23</v>
      </c>
      <c r="K10" s="1">
        <f>COUNT(B2:B11)</f>
        <v>10</v>
      </c>
      <c r="P10" s="9" t="s">
        <v>51</v>
      </c>
      <c r="Q10" s="9">
        <f>_xlfn.FLOOR.MATH(Q9)</f>
        <v>15</v>
      </c>
    </row>
    <row r="11" spans="1:17" x14ac:dyDescent="0.25">
      <c r="A11" s="7">
        <v>6.2</v>
      </c>
      <c r="B11" s="7">
        <v>5.5</v>
      </c>
      <c r="D11" s="1" t="s">
        <v>23</v>
      </c>
      <c r="E11" s="1">
        <f>COUNT(B2:B11)</f>
        <v>10</v>
      </c>
      <c r="J11" s="1" t="s">
        <v>20</v>
      </c>
      <c r="K11" s="1">
        <f>AVERAGE(A2:A11)</f>
        <v>7.2200000000000006</v>
      </c>
      <c r="P11" s="12" t="s">
        <v>12</v>
      </c>
      <c r="Q11" s="12">
        <f>(K11-K12)/SQRT(K13/K9+K14/K10)</f>
        <v>1.8819942384674477</v>
      </c>
    </row>
    <row r="12" spans="1:17" x14ac:dyDescent="0.25">
      <c r="D12" s="1" t="s">
        <v>20</v>
      </c>
      <c r="E12" s="1">
        <f>AVERAGE(A2:A11)</f>
        <v>7.2200000000000006</v>
      </c>
      <c r="J12" s="1" t="s">
        <v>21</v>
      </c>
      <c r="K12" s="1">
        <f>AVERAGE(B2:B11)</f>
        <v>6.3900000000000006</v>
      </c>
      <c r="P12" s="9" t="s">
        <v>27</v>
      </c>
      <c r="Q12" s="9">
        <f>_xlfn.T.INV(Q5/2,Q10)</f>
        <v>-2.1314495455597742</v>
      </c>
    </row>
    <row r="13" spans="1:17" x14ac:dyDescent="0.25">
      <c r="D13" s="1" t="s">
        <v>21</v>
      </c>
      <c r="E13" s="1">
        <f>AVERAGE(B2:B11)</f>
        <v>6.3900000000000006</v>
      </c>
      <c r="J13" s="1" t="s">
        <v>29</v>
      </c>
      <c r="K13" s="1">
        <f>_xlfn.VAR.S(A2:A11)</f>
        <v>1.3262222222222388</v>
      </c>
      <c r="P13" s="9" t="s">
        <v>28</v>
      </c>
      <c r="Q13" s="9">
        <f>-Q12</f>
        <v>2.1314495455597742</v>
      </c>
    </row>
    <row r="14" spans="1:17" x14ac:dyDescent="0.25">
      <c r="D14"/>
      <c r="E14"/>
      <c r="J14" s="1" t="s">
        <v>30</v>
      </c>
      <c r="K14" s="1">
        <f>_xlfn.VAR.S(B2:B11)</f>
        <v>0.61877777777776699</v>
      </c>
      <c r="Q14" s="9"/>
    </row>
    <row r="15" spans="1:17" x14ac:dyDescent="0.25">
      <c r="D15" s="1" t="s">
        <v>5</v>
      </c>
      <c r="E15" s="1">
        <f>(E12-E13)/SQRT(E3/E10+E4/E11)</f>
        <v>1.6600000000000001</v>
      </c>
      <c r="J15"/>
      <c r="K15"/>
      <c r="P15" s="9" t="s">
        <v>14</v>
      </c>
      <c r="Q15" s="10">
        <f>2*(1-_xlfn.T.DIST(Q11,Q10,TRUE))</f>
        <v>7.9385301887094029E-2</v>
      </c>
    </row>
    <row r="16" spans="1:17" x14ac:dyDescent="0.25">
      <c r="D16" s="1" t="s">
        <v>6</v>
      </c>
      <c r="E16" s="14">
        <f>_xlfn.NORM.S.INV(E6/2)</f>
        <v>-1.9599639845400538</v>
      </c>
      <c r="J16" s="1" t="s">
        <v>31</v>
      </c>
      <c r="K16" s="1">
        <f>SQRT((9*K13+9*K14)/(K9+K10-2))</f>
        <v>0.98615414616580244</v>
      </c>
    </row>
    <row r="17" spans="4:18" x14ac:dyDescent="0.25">
      <c r="D17" s="1" t="s">
        <v>7</v>
      </c>
      <c r="E17" s="14">
        <f>-E16</f>
        <v>1.9599639845400538</v>
      </c>
      <c r="J17" s="15" t="s">
        <v>12</v>
      </c>
      <c r="K17" s="15">
        <f>(K11-K12)/(K16*SQRT(1/K9+1/K10))</f>
        <v>1.8819942384674477</v>
      </c>
    </row>
    <row r="18" spans="4:18" x14ac:dyDescent="0.25">
      <c r="D18"/>
      <c r="E18"/>
      <c r="J18" s="1" t="s">
        <v>27</v>
      </c>
      <c r="K18" s="1">
        <f>_xlfn.T.INV(K5/2,K9+K10-2)</f>
        <v>-2.1009220402410378</v>
      </c>
    </row>
    <row r="19" spans="4:18" x14ac:dyDescent="0.25">
      <c r="D19" s="1" t="s">
        <v>14</v>
      </c>
      <c r="E19" s="3">
        <f>2*(1-_xlfn.NORM.S.DIST(E15, TRUE))</f>
        <v>9.691445253344555E-2</v>
      </c>
      <c r="J19" s="1" t="s">
        <v>28</v>
      </c>
      <c r="K19" s="1">
        <f>-K18</f>
        <v>2.1009220402410378</v>
      </c>
    </row>
    <row r="20" spans="4:18" x14ac:dyDescent="0.25">
      <c r="J20"/>
      <c r="K20" s="1"/>
    </row>
    <row r="21" spans="4:18" x14ac:dyDescent="0.25">
      <c r="J21" s="1" t="s">
        <v>14</v>
      </c>
      <c r="K21" s="3">
        <f>2*(1-_xlfn.T.DIST(K17,K9+K10-2,TRUE))</f>
        <v>7.6107918846809675E-2</v>
      </c>
    </row>
    <row r="23" spans="4:18" x14ac:dyDescent="0.25">
      <c r="J23" t="s">
        <v>32</v>
      </c>
      <c r="K23"/>
      <c r="L23"/>
      <c r="P23" t="s">
        <v>58</v>
      </c>
      <c r="Q23"/>
      <c r="R23"/>
    </row>
    <row r="24" spans="4:18" ht="15.75" thickBot="1" x14ac:dyDescent="0.3">
      <c r="J24"/>
      <c r="K24"/>
      <c r="L24"/>
      <c r="P24"/>
      <c r="Q24"/>
      <c r="R24"/>
    </row>
    <row r="25" spans="4:18" x14ac:dyDescent="0.25">
      <c r="J25" s="6"/>
      <c r="K25" s="6" t="s">
        <v>56</v>
      </c>
      <c r="L25" s="6" t="s">
        <v>57</v>
      </c>
      <c r="P25" s="6"/>
      <c r="Q25" s="6" t="s">
        <v>56</v>
      </c>
      <c r="R25" s="6" t="s">
        <v>57</v>
      </c>
    </row>
    <row r="26" spans="4:18" x14ac:dyDescent="0.25">
      <c r="J26" s="4" t="s">
        <v>33</v>
      </c>
      <c r="K26" s="4">
        <v>7.2200000000000006</v>
      </c>
      <c r="L26" s="4">
        <v>6.3900000000000006</v>
      </c>
      <c r="P26" s="4" t="s">
        <v>33</v>
      </c>
      <c r="Q26" s="4">
        <v>7.2200000000000006</v>
      </c>
      <c r="R26" s="4">
        <v>6.3900000000000006</v>
      </c>
    </row>
    <row r="27" spans="4:18" x14ac:dyDescent="0.25">
      <c r="J27" s="4" t="s">
        <v>34</v>
      </c>
      <c r="K27" s="4">
        <v>1.3262222222222388</v>
      </c>
      <c r="L27" s="4">
        <v>0.61877777777776699</v>
      </c>
      <c r="P27" s="4" t="s">
        <v>34</v>
      </c>
      <c r="Q27" s="4">
        <v>1.3262222222222388</v>
      </c>
      <c r="R27" s="4">
        <v>0.61877777777776699</v>
      </c>
    </row>
    <row r="28" spans="4:18" x14ac:dyDescent="0.25">
      <c r="J28" s="4" t="s">
        <v>35</v>
      </c>
      <c r="K28" s="4">
        <v>10</v>
      </c>
      <c r="L28" s="4">
        <v>10</v>
      </c>
      <c r="P28" s="4" t="s">
        <v>35</v>
      </c>
      <c r="Q28" s="4">
        <v>10</v>
      </c>
      <c r="R28" s="4">
        <v>10</v>
      </c>
    </row>
    <row r="29" spans="4:18" x14ac:dyDescent="0.25">
      <c r="J29" s="4" t="s">
        <v>36</v>
      </c>
      <c r="K29" s="4">
        <v>0.97250000000000292</v>
      </c>
      <c r="L29" s="4"/>
      <c r="P29" s="4" t="s">
        <v>37</v>
      </c>
      <c r="Q29" s="4">
        <v>0</v>
      </c>
      <c r="R29" s="4"/>
    </row>
    <row r="30" spans="4:18" x14ac:dyDescent="0.25">
      <c r="J30" s="4" t="s">
        <v>37</v>
      </c>
      <c r="K30" s="4">
        <v>0</v>
      </c>
      <c r="L30" s="4"/>
      <c r="P30" s="4" t="s">
        <v>38</v>
      </c>
      <c r="Q30" s="4">
        <v>16</v>
      </c>
      <c r="R30" s="4"/>
    </row>
    <row r="31" spans="4:18" x14ac:dyDescent="0.25">
      <c r="J31" s="4" t="s">
        <v>38</v>
      </c>
      <c r="K31" s="4">
        <v>18</v>
      </c>
      <c r="L31" s="4"/>
      <c r="P31" s="4" t="s">
        <v>39</v>
      </c>
      <c r="Q31" s="4">
        <v>1.8819942384674477</v>
      </c>
      <c r="R31" s="4"/>
    </row>
    <row r="32" spans="4:18" x14ac:dyDescent="0.25">
      <c r="J32" s="4" t="s">
        <v>39</v>
      </c>
      <c r="K32" s="4">
        <v>1.8819942384674477</v>
      </c>
      <c r="L32" s="4"/>
      <c r="P32" s="4" t="s">
        <v>40</v>
      </c>
      <c r="Q32" s="4">
        <v>3.9077906037720961E-2</v>
      </c>
      <c r="R32" s="4"/>
    </row>
    <row r="33" spans="10:18" x14ac:dyDescent="0.25">
      <c r="J33" s="4" t="s">
        <v>40</v>
      </c>
      <c r="K33" s="4">
        <v>3.8053959423404816E-2</v>
      </c>
      <c r="L33" s="4"/>
      <c r="P33" s="4" t="s">
        <v>41</v>
      </c>
      <c r="Q33" s="4">
        <v>1.7458836762762506</v>
      </c>
      <c r="R33" s="4"/>
    </row>
    <row r="34" spans="10:18" x14ac:dyDescent="0.25">
      <c r="J34" s="4" t="s">
        <v>41</v>
      </c>
      <c r="K34" s="4">
        <v>1.7340636066175394</v>
      </c>
      <c r="L34" s="4"/>
      <c r="P34" s="4" t="s">
        <v>42</v>
      </c>
      <c r="Q34" s="4">
        <v>7.8155812075441922E-2</v>
      </c>
      <c r="R34" s="4"/>
    </row>
    <row r="35" spans="10:18" ht="15.75" thickBot="1" x14ac:dyDescent="0.3">
      <c r="J35" s="4" t="s">
        <v>42</v>
      </c>
      <c r="K35" s="4">
        <v>7.6107918846809633E-2</v>
      </c>
      <c r="L35" s="4"/>
      <c r="P35" s="5" t="s">
        <v>43</v>
      </c>
      <c r="Q35" s="5">
        <v>2.119905299221255</v>
      </c>
      <c r="R35" s="5"/>
    </row>
    <row r="36" spans="10:18" ht="15.75" thickBot="1" x14ac:dyDescent="0.3">
      <c r="J36" s="5" t="s">
        <v>43</v>
      </c>
      <c r="K36" s="5">
        <v>2.1009220402410378</v>
      </c>
      <c r="L36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6"/>
  <sheetViews>
    <sheetView workbookViewId="0">
      <selection activeCell="D1" sqref="D1"/>
    </sheetView>
  </sheetViews>
  <sheetFormatPr defaultRowHeight="15" x14ac:dyDescent="0.25"/>
  <cols>
    <col min="3" max="3" width="10.42578125" bestFit="1" customWidth="1"/>
    <col min="5" max="5" width="14.28515625" customWidth="1"/>
    <col min="8" max="8" width="20.7109375" customWidth="1"/>
    <col min="9" max="9" width="10.42578125" bestFit="1" customWidth="1"/>
    <col min="10" max="10" width="13.42578125" customWidth="1"/>
  </cols>
  <sheetData>
    <row r="1" spans="1:11" x14ac:dyDescent="0.25">
      <c r="A1" t="s">
        <v>59</v>
      </c>
      <c r="B1" t="s">
        <v>60</v>
      </c>
      <c r="C1" s="1" t="s">
        <v>63</v>
      </c>
      <c r="E1" s="1" t="s">
        <v>64</v>
      </c>
      <c r="I1" s="16" t="s">
        <v>63</v>
      </c>
      <c r="J1" s="16" t="s">
        <v>61</v>
      </c>
    </row>
    <row r="2" spans="1:11" x14ac:dyDescent="0.25">
      <c r="A2">
        <v>80</v>
      </c>
      <c r="B2">
        <v>82</v>
      </c>
      <c r="C2" s="1">
        <f>A2-B2</f>
        <v>-2</v>
      </c>
      <c r="I2" s="16">
        <f>B2-A2</f>
        <v>2</v>
      </c>
    </row>
    <row r="3" spans="1:11" x14ac:dyDescent="0.25">
      <c r="A3">
        <v>82</v>
      </c>
      <c r="B3">
        <v>82</v>
      </c>
      <c r="C3" s="1">
        <f t="shared" ref="C3:C16" si="0">A3-B3</f>
        <v>0</v>
      </c>
      <c r="E3" t="s">
        <v>117</v>
      </c>
      <c r="I3" s="16">
        <f t="shared" ref="I3:I16" si="1">B3-A3</f>
        <v>0</v>
      </c>
    </row>
    <row r="4" spans="1:11" x14ac:dyDescent="0.25">
      <c r="A4">
        <v>71</v>
      </c>
      <c r="B4">
        <v>81</v>
      </c>
      <c r="C4" s="1">
        <f t="shared" si="0"/>
        <v>-10</v>
      </c>
      <c r="E4" t="s">
        <v>62</v>
      </c>
      <c r="I4" s="16">
        <f t="shared" si="1"/>
        <v>10</v>
      </c>
    </row>
    <row r="5" spans="1:11" x14ac:dyDescent="0.25">
      <c r="A5">
        <v>77</v>
      </c>
      <c r="B5">
        <v>79</v>
      </c>
      <c r="C5" s="1">
        <f t="shared" si="0"/>
        <v>-2</v>
      </c>
      <c r="I5" s="16">
        <f t="shared" si="1"/>
        <v>2</v>
      </c>
    </row>
    <row r="6" spans="1:11" x14ac:dyDescent="0.25">
      <c r="A6">
        <v>75</v>
      </c>
      <c r="B6">
        <v>77</v>
      </c>
      <c r="C6" s="1">
        <f t="shared" si="0"/>
        <v>-2</v>
      </c>
      <c r="E6" t="s">
        <v>4</v>
      </c>
      <c r="F6">
        <v>0.05</v>
      </c>
      <c r="I6" s="16">
        <f t="shared" si="1"/>
        <v>2</v>
      </c>
      <c r="J6" t="s">
        <v>4</v>
      </c>
      <c r="K6">
        <v>0.05</v>
      </c>
    </row>
    <row r="7" spans="1:11" x14ac:dyDescent="0.25">
      <c r="A7">
        <v>90</v>
      </c>
      <c r="B7">
        <v>95</v>
      </c>
      <c r="C7" s="1">
        <f t="shared" si="0"/>
        <v>-5</v>
      </c>
      <c r="I7" s="16">
        <f t="shared" si="1"/>
        <v>5</v>
      </c>
    </row>
    <row r="8" spans="1:11" x14ac:dyDescent="0.25">
      <c r="A8">
        <v>92</v>
      </c>
      <c r="B8">
        <v>95</v>
      </c>
      <c r="C8" s="1">
        <f t="shared" si="0"/>
        <v>-3</v>
      </c>
      <c r="E8" s="1" t="s">
        <v>3</v>
      </c>
      <c r="F8" s="1">
        <f>COUNT(C2:C16)</f>
        <v>15</v>
      </c>
      <c r="I8" s="16">
        <f t="shared" si="1"/>
        <v>3</v>
      </c>
      <c r="J8" s="16" t="s">
        <v>3</v>
      </c>
      <c r="K8" s="16">
        <f>COUNT(I2:I16)</f>
        <v>15</v>
      </c>
    </row>
    <row r="9" spans="1:11" x14ac:dyDescent="0.25">
      <c r="A9">
        <v>81</v>
      </c>
      <c r="B9">
        <v>90</v>
      </c>
      <c r="C9" s="1">
        <f t="shared" si="0"/>
        <v>-9</v>
      </c>
      <c r="E9" s="1" t="s">
        <v>2</v>
      </c>
      <c r="F9" s="1">
        <f>AVERAGE(C2:C16)</f>
        <v>-5.4666666666666668</v>
      </c>
      <c r="I9" s="16">
        <f t="shared" si="1"/>
        <v>9</v>
      </c>
      <c r="J9" s="16" t="s">
        <v>2</v>
      </c>
      <c r="K9" s="16">
        <f>AVERAGE(I2:I16)</f>
        <v>5.4666666666666668</v>
      </c>
    </row>
    <row r="10" spans="1:11" x14ac:dyDescent="0.25">
      <c r="A10">
        <v>70</v>
      </c>
      <c r="B10">
        <v>80</v>
      </c>
      <c r="C10" s="1">
        <f t="shared" si="0"/>
        <v>-10</v>
      </c>
      <c r="E10" s="1" t="s">
        <v>10</v>
      </c>
      <c r="F10" s="1">
        <f>_xlfn.STDEV.S(C2:C16)</f>
        <v>6.20905636569527</v>
      </c>
      <c r="I10" s="16">
        <f t="shared" si="1"/>
        <v>10</v>
      </c>
      <c r="J10" s="16" t="s">
        <v>10</v>
      </c>
      <c r="K10" s="16">
        <f>_xlfn.STDEV.S(I2:I16)</f>
        <v>6.20905636569527</v>
      </c>
    </row>
    <row r="11" spans="1:11" x14ac:dyDescent="0.25">
      <c r="A11">
        <v>70</v>
      </c>
      <c r="B11">
        <v>82</v>
      </c>
      <c r="C11" s="1">
        <f t="shared" si="0"/>
        <v>-12</v>
      </c>
      <c r="I11" s="16">
        <f t="shared" si="1"/>
        <v>12</v>
      </c>
      <c r="J11" s="16"/>
      <c r="K11" s="16"/>
    </row>
    <row r="12" spans="1:11" x14ac:dyDescent="0.25">
      <c r="A12">
        <v>80</v>
      </c>
      <c r="B12">
        <v>85</v>
      </c>
      <c r="C12" s="1">
        <f t="shared" si="0"/>
        <v>-5</v>
      </c>
      <c r="E12" s="1" t="s">
        <v>12</v>
      </c>
      <c r="F12" s="1">
        <f>(F9+10)/(F10/SQRT(F8))</f>
        <v>2.8277283163044569</v>
      </c>
      <c r="I12" s="16">
        <f t="shared" si="1"/>
        <v>5</v>
      </c>
      <c r="J12" s="16" t="s">
        <v>12</v>
      </c>
      <c r="K12" s="16">
        <f>(K9-10)/(K10/SQRT(K8))</f>
        <v>-2.8277283163044569</v>
      </c>
    </row>
    <row r="13" spans="1:11" x14ac:dyDescent="0.25">
      <c r="A13">
        <v>90</v>
      </c>
      <c r="B13">
        <v>85</v>
      </c>
      <c r="C13" s="1">
        <f t="shared" si="0"/>
        <v>5</v>
      </c>
      <c r="E13" s="1" t="s">
        <v>13</v>
      </c>
      <c r="F13" s="1">
        <f>_xlfn.T.INV(F6,F8-1)</f>
        <v>-1.7613101357748921</v>
      </c>
      <c r="I13" s="16">
        <f t="shared" si="1"/>
        <v>-5</v>
      </c>
      <c r="J13" s="16" t="s">
        <v>13</v>
      </c>
      <c r="K13" s="16">
        <f>_xlfn.T.INV(1-K6,K8-1)</f>
        <v>1.7613101357748921</v>
      </c>
    </row>
    <row r="14" spans="1:11" x14ac:dyDescent="0.25">
      <c r="A14">
        <v>70</v>
      </c>
      <c r="B14">
        <v>83</v>
      </c>
      <c r="C14" s="1">
        <f t="shared" si="0"/>
        <v>-13</v>
      </c>
      <c r="E14" s="1"/>
      <c r="F14" s="1"/>
      <c r="I14" s="16">
        <f t="shared" si="1"/>
        <v>13</v>
      </c>
      <c r="J14" s="16"/>
      <c r="K14" s="16"/>
    </row>
    <row r="15" spans="1:11" x14ac:dyDescent="0.25">
      <c r="A15">
        <v>60</v>
      </c>
      <c r="B15">
        <v>77</v>
      </c>
      <c r="C15" s="1">
        <f t="shared" si="0"/>
        <v>-17</v>
      </c>
      <c r="E15" s="1" t="s">
        <v>14</v>
      </c>
      <c r="F15" s="3">
        <f>_xlfn.T.DIST(F12,F8-1,TRUE)</f>
        <v>0.9932866399432565</v>
      </c>
      <c r="I15" s="16">
        <f t="shared" si="1"/>
        <v>17</v>
      </c>
      <c r="J15" s="16" t="s">
        <v>14</v>
      </c>
      <c r="K15" s="18">
        <f>1-_xlfn.T.DIST(K12,K8-1,TRUE)</f>
        <v>0.9932866399432565</v>
      </c>
    </row>
    <row r="16" spans="1:11" x14ac:dyDescent="0.25">
      <c r="A16">
        <v>98</v>
      </c>
      <c r="B16">
        <v>95</v>
      </c>
      <c r="C16" s="1">
        <f t="shared" si="0"/>
        <v>3</v>
      </c>
      <c r="E16" s="1"/>
      <c r="F16" s="1"/>
      <c r="I16" s="16">
        <f t="shared" si="1"/>
        <v>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"/>
  <sheetViews>
    <sheetView workbookViewId="0">
      <selection activeCell="A4" sqref="A4"/>
    </sheetView>
  </sheetViews>
  <sheetFormatPr defaultRowHeight="15" x14ac:dyDescent="0.25"/>
  <cols>
    <col min="1" max="16384" width="9.140625" style="7"/>
  </cols>
  <sheetData>
    <row r="1" spans="1:2" x14ac:dyDescent="0.25">
      <c r="A1" s="7" t="s">
        <v>92</v>
      </c>
    </row>
    <row r="2" spans="1:2" x14ac:dyDescent="0.25">
      <c r="A2" s="7" t="s">
        <v>3</v>
      </c>
      <c r="B2" s="7">
        <v>10</v>
      </c>
    </row>
    <row r="3" spans="1:2" x14ac:dyDescent="0.25">
      <c r="A3" s="7" t="s">
        <v>93</v>
      </c>
      <c r="B3" s="7">
        <f>SQRT(15)</f>
        <v>3.872983346207417</v>
      </c>
    </row>
    <row r="5" spans="1:2" x14ac:dyDescent="0.25">
      <c r="A5" s="9" t="s">
        <v>94</v>
      </c>
    </row>
    <row r="7" spans="1:2" x14ac:dyDescent="0.25">
      <c r="A7" s="9" t="s">
        <v>4</v>
      </c>
      <c r="B7" s="9">
        <v>0.05</v>
      </c>
    </row>
    <row r="8" spans="1:2" x14ac:dyDescent="0.25">
      <c r="A8" s="9"/>
      <c r="B8" s="9"/>
    </row>
    <row r="9" spans="1:2" x14ac:dyDescent="0.25">
      <c r="A9" s="9" t="s">
        <v>95</v>
      </c>
      <c r="B9" s="9">
        <f>(B2-1)*B3^2/10</f>
        <v>13.500000000000004</v>
      </c>
    </row>
    <row r="10" spans="1:2" x14ac:dyDescent="0.25">
      <c r="A10" s="9"/>
      <c r="B10" s="9"/>
    </row>
    <row r="11" spans="1:2" x14ac:dyDescent="0.25">
      <c r="A11" s="9" t="s">
        <v>96</v>
      </c>
      <c r="B11" s="10">
        <f>_xlfn.CHISQ.INV(B7,B2-1)</f>
        <v>3.3251128430668158</v>
      </c>
    </row>
    <row r="12" spans="1:2" x14ac:dyDescent="0.25">
      <c r="A12" s="9"/>
      <c r="B12" s="9"/>
    </row>
    <row r="13" spans="1:2" x14ac:dyDescent="0.25">
      <c r="A13" s="9" t="s">
        <v>14</v>
      </c>
      <c r="B13" s="10">
        <f>_xlfn.CHISQ.DIST(B9,B2-1,TRUE)</f>
        <v>0.85874417350672028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8"/>
  <sheetViews>
    <sheetView workbookViewId="0">
      <selection activeCell="C1" sqref="C1"/>
    </sheetView>
  </sheetViews>
  <sheetFormatPr defaultRowHeight="15" x14ac:dyDescent="0.25"/>
  <cols>
    <col min="1" max="3" width="9.140625" style="7"/>
    <col min="4" max="4" width="10.28515625" style="7" customWidth="1"/>
    <col min="5" max="5" width="9.140625" style="7" customWidth="1"/>
    <col min="6" max="6" width="9.140625" style="7"/>
    <col min="7" max="7" width="16" style="7" customWidth="1"/>
    <col min="8" max="16384" width="9.140625" style="7"/>
  </cols>
  <sheetData>
    <row r="1" spans="1:9" x14ac:dyDescent="0.25">
      <c r="A1" s="7" t="s">
        <v>97</v>
      </c>
      <c r="B1" s="7" t="s">
        <v>98</v>
      </c>
      <c r="D1" s="7" t="s">
        <v>99</v>
      </c>
    </row>
    <row r="2" spans="1:9" x14ac:dyDescent="0.25">
      <c r="A2" s="7">
        <v>2.7</v>
      </c>
      <c r="B2" s="7">
        <v>4.0999999999999996</v>
      </c>
    </row>
    <row r="3" spans="1:9" x14ac:dyDescent="0.25">
      <c r="A3" s="7">
        <v>3.2</v>
      </c>
      <c r="B3" s="7">
        <v>4.5</v>
      </c>
      <c r="D3" s="9" t="s">
        <v>22</v>
      </c>
      <c r="E3" s="9">
        <f>COUNT(A2:A10)</f>
        <v>9</v>
      </c>
    </row>
    <row r="4" spans="1:9" x14ac:dyDescent="0.25">
      <c r="A4" s="7">
        <v>3.6</v>
      </c>
      <c r="B4" s="7">
        <v>3.6</v>
      </c>
      <c r="D4" s="9" t="s">
        <v>23</v>
      </c>
      <c r="E4" s="9">
        <f>COUNT(B2:B8)</f>
        <v>7</v>
      </c>
    </row>
    <row r="5" spans="1:9" x14ac:dyDescent="0.25">
      <c r="A5" s="7">
        <v>4.0999999999999996</v>
      </c>
      <c r="B5" s="7">
        <v>2.7</v>
      </c>
      <c r="D5" s="9" t="s">
        <v>104</v>
      </c>
      <c r="E5" s="10">
        <f>_xlfn.STDEV.S(A2:A10)</f>
        <v>0.64420493633625564</v>
      </c>
    </row>
    <row r="6" spans="1:9" x14ac:dyDescent="0.25">
      <c r="A6" s="7">
        <v>2.7</v>
      </c>
      <c r="B6" s="7">
        <v>3.6</v>
      </c>
      <c r="D6" s="9" t="s">
        <v>105</v>
      </c>
      <c r="E6" s="10">
        <f>_xlfn.STDEV.S(B2:B8)</f>
        <v>0.60944940022004979</v>
      </c>
    </row>
    <row r="7" spans="1:9" x14ac:dyDescent="0.25">
      <c r="A7" s="7">
        <v>3.2</v>
      </c>
      <c r="B7" s="7">
        <v>3.2</v>
      </c>
    </row>
    <row r="8" spans="1:9" ht="18" x14ac:dyDescent="0.25">
      <c r="A8" s="7">
        <v>4.5</v>
      </c>
      <c r="B8" s="7">
        <v>4.0999999999999996</v>
      </c>
      <c r="D8" s="9" t="s">
        <v>100</v>
      </c>
      <c r="G8" t="s">
        <v>106</v>
      </c>
      <c r="H8"/>
      <c r="I8"/>
    </row>
    <row r="9" spans="1:9" ht="15.75" thickBot="1" x14ac:dyDescent="0.3">
      <c r="A9" s="7">
        <v>3.6</v>
      </c>
      <c r="G9"/>
      <c r="H9"/>
      <c r="I9"/>
    </row>
    <row r="10" spans="1:9" x14ac:dyDescent="0.25">
      <c r="A10" s="7">
        <v>2.7</v>
      </c>
      <c r="D10" s="9" t="s">
        <v>4</v>
      </c>
      <c r="E10" s="9">
        <v>0.05</v>
      </c>
      <c r="G10" s="6"/>
      <c r="H10" s="6" t="s">
        <v>97</v>
      </c>
      <c r="I10" s="6" t="s">
        <v>98</v>
      </c>
    </row>
    <row r="11" spans="1:9" x14ac:dyDescent="0.25">
      <c r="D11" s="9"/>
      <c r="E11" s="9"/>
      <c r="G11" s="4" t="s">
        <v>33</v>
      </c>
      <c r="H11" s="23">
        <v>3.3666666666666667</v>
      </c>
      <c r="I11" s="23">
        <v>3.6857142857142855</v>
      </c>
    </row>
    <row r="12" spans="1:9" x14ac:dyDescent="0.25">
      <c r="D12" s="9" t="s">
        <v>101</v>
      </c>
      <c r="E12" s="10">
        <f>(E5^2/E6^2)*1</f>
        <v>1.117307692307669</v>
      </c>
      <c r="G12" s="4" t="s">
        <v>34</v>
      </c>
      <c r="H12" s="23">
        <v>0.41499999999999915</v>
      </c>
      <c r="I12" s="23">
        <v>0.37142857142857838</v>
      </c>
    </row>
    <row r="13" spans="1:9" x14ac:dyDescent="0.25">
      <c r="D13" s="9"/>
      <c r="E13" s="9"/>
      <c r="G13" s="4" t="s">
        <v>35</v>
      </c>
      <c r="H13" s="4">
        <v>9</v>
      </c>
      <c r="I13" s="4">
        <v>7</v>
      </c>
    </row>
    <row r="14" spans="1:9" x14ac:dyDescent="0.25">
      <c r="D14" s="9" t="s">
        <v>102</v>
      </c>
      <c r="E14" s="10">
        <f>_xlfn.F.INV(E10/2, E3-1, E4-1)</f>
        <v>0.21497537660866203</v>
      </c>
      <c r="G14" s="4" t="s">
        <v>38</v>
      </c>
      <c r="H14" s="4">
        <v>8</v>
      </c>
      <c r="I14" s="4">
        <v>6</v>
      </c>
    </row>
    <row r="15" spans="1:9" x14ac:dyDescent="0.25">
      <c r="D15" s="9" t="s">
        <v>103</v>
      </c>
      <c r="E15" s="10">
        <f>_xlfn.F.INV(1-E10/2, E3-1, E4-1)</f>
        <v>5.5996230050430462</v>
      </c>
      <c r="G15" s="4" t="s">
        <v>107</v>
      </c>
      <c r="H15" s="23">
        <v>1.117307692307669</v>
      </c>
      <c r="I15" s="4"/>
    </row>
    <row r="16" spans="1:9" x14ac:dyDescent="0.25">
      <c r="G16" s="4" t="s">
        <v>108</v>
      </c>
      <c r="H16" s="23">
        <v>0.45909681641868794</v>
      </c>
      <c r="I16" s="4"/>
    </row>
    <row r="17" spans="4:9" ht="15.75" thickBot="1" x14ac:dyDescent="0.3">
      <c r="D17" s="25" t="s">
        <v>116</v>
      </c>
      <c r="E17" s="26">
        <f>2*_xlfn.F.DIST(E12,E3-1,E4-1, TRUE)</f>
        <v>1.0818063671626241</v>
      </c>
      <c r="G17" s="5" t="s">
        <v>109</v>
      </c>
      <c r="H17" s="24">
        <v>4.1468041622765357</v>
      </c>
      <c r="I17" s="5"/>
    </row>
    <row r="18" spans="4:9" x14ac:dyDescent="0.25">
      <c r="D18" s="9" t="s">
        <v>14</v>
      </c>
      <c r="E18" s="10">
        <f>2*(1-_xlfn.F.DIST(E12,E3-1,E4-1, TRUE))</f>
        <v>0.91819363283737587</v>
      </c>
      <c r="G18" s="27" t="s">
        <v>110</v>
      </c>
      <c r="H18" s="10">
        <f>2*H16</f>
        <v>0.91819363283737587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Exerc 6.1</vt:lpstr>
      <vt:lpstr>Exerc 6.2</vt:lpstr>
      <vt:lpstr>Exerc 6.3</vt:lpstr>
      <vt:lpstr>Exerc 6.4</vt:lpstr>
      <vt:lpstr>Exerc 6.5</vt:lpstr>
      <vt:lpstr>Exerc 6.6</vt:lpstr>
      <vt:lpstr>Exerc 6.7</vt:lpstr>
      <vt:lpstr>Exerc 6.8</vt:lpstr>
      <vt:lpstr>Exerc 6.9</vt:lpstr>
      <vt:lpstr>Exerc 6.10</vt:lpstr>
      <vt:lpstr>Exerc 6.11</vt:lpstr>
      <vt:lpstr>Exerc 6.12</vt:lpstr>
      <vt:lpstr>Exerc 6.13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Cristina Costa</dc:creator>
  <cp:lastModifiedBy>Ana Cristina Costa</cp:lastModifiedBy>
  <dcterms:created xsi:type="dcterms:W3CDTF">2018-06-11T13:29:22Z</dcterms:created>
  <dcterms:modified xsi:type="dcterms:W3CDTF">2021-01-05T10:57:06Z</dcterms:modified>
</cp:coreProperties>
</file>