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drawings/drawing5.xml" ContentType="application/vnd.openxmlformats-officedocument.drawing+xml"/>
  <Override PartName="/xl/embeddings/oleObject8.bin" ContentType="application/vnd.openxmlformats-officedocument.oleObject"/>
  <Override PartName="/xl/drawings/drawing6.xml" ContentType="application/vnd.openxmlformats-officedocument.drawing+xml"/>
  <Override PartName="/xl/embeddings/oleObject9.bin" ContentType="application/vnd.openxmlformats-officedocument.oleObject"/>
  <Override PartName="/xl/drawings/drawing7.xml" ContentType="application/vnd.openxmlformats-officedocument.drawing+xml"/>
  <Override PartName="/xl/embeddings/oleObject10.bin" ContentType="application/vnd.openxmlformats-officedocument.oleObject"/>
  <Override PartName="/xl/drawings/drawing8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9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LAS\EstatisticaMEGI\Apontamentos\Apontamentos2018\LU8-Nonparametric testing\"/>
    </mc:Choice>
  </mc:AlternateContent>
  <bookViews>
    <workbookView xWindow="240" yWindow="30" windowWidth="17115" windowHeight="8955" tabRatio="599"/>
  </bookViews>
  <sheets>
    <sheet name="Exerc1" sheetId="11" r:id="rId1"/>
    <sheet name="Exerc2" sheetId="7" r:id="rId2"/>
    <sheet name="Exerc3" sheetId="12" r:id="rId3"/>
    <sheet name="Exerc4" sheetId="14" r:id="rId4"/>
    <sheet name="Exerc5" sheetId="25" r:id="rId5"/>
    <sheet name="Exerc6" sheetId="17" r:id="rId6"/>
    <sheet name="Exerc7" sheetId="18" r:id="rId7"/>
    <sheet name="Exerc8" sheetId="21" r:id="rId8"/>
    <sheet name="Exerc9" sheetId="19" r:id="rId9"/>
    <sheet name="Exerc10" sheetId="22" r:id="rId10"/>
    <sheet name="Exerc11" sheetId="23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7" l="1"/>
  <c r="C8" i="7"/>
  <c r="C9" i="7"/>
  <c r="C7" i="7"/>
  <c r="E5" i="23" l="1"/>
  <c r="E6" i="23"/>
  <c r="E7" i="23"/>
  <c r="E8" i="23"/>
  <c r="E9" i="23"/>
  <c r="E10" i="23"/>
  <c r="E4" i="23"/>
  <c r="D5" i="23"/>
  <c r="D6" i="23"/>
  <c r="D7" i="23"/>
  <c r="D8" i="23"/>
  <c r="D9" i="23"/>
  <c r="D10" i="23"/>
  <c r="D4" i="23"/>
  <c r="E5" i="22" l="1"/>
  <c r="E6" i="22"/>
  <c r="E7" i="22"/>
  <c r="E8" i="22"/>
  <c r="E9" i="22"/>
  <c r="E10" i="22"/>
  <c r="E4" i="22"/>
  <c r="D5" i="22"/>
  <c r="K3" i="22" s="1"/>
  <c r="D6" i="22"/>
  <c r="D7" i="22"/>
  <c r="D8" i="22"/>
  <c r="D9" i="22"/>
  <c r="D10" i="22"/>
  <c r="D4" i="22"/>
  <c r="K16" i="19"/>
  <c r="B11" i="21"/>
  <c r="I24" i="18"/>
  <c r="I9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4" i="18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4" i="17"/>
  <c r="I6" i="17" s="1"/>
  <c r="I7" i="17" l="1"/>
  <c r="D4" i="25"/>
  <c r="H17" i="25" s="1"/>
  <c r="H18" i="25" s="1"/>
  <c r="H15" i="25"/>
  <c r="H14" i="25"/>
  <c r="H13" i="25"/>
  <c r="H12" i="25"/>
  <c r="H11" i="25"/>
  <c r="H10" i="25"/>
  <c r="H9" i="25"/>
  <c r="H8" i="25"/>
  <c r="D5" i="14"/>
  <c r="H19" i="14" s="1"/>
  <c r="H20" i="14" s="1"/>
  <c r="E37" i="12"/>
  <c r="D17" i="12"/>
  <c r="D19" i="7"/>
  <c r="D9" i="11"/>
  <c r="C4" i="21"/>
  <c r="E4" i="21" s="1"/>
  <c r="F5" i="23"/>
  <c r="F6" i="23"/>
  <c r="F8" i="23"/>
  <c r="F9" i="23"/>
  <c r="F10" i="23"/>
  <c r="K3" i="23"/>
  <c r="F5" i="22"/>
  <c r="F7" i="22"/>
  <c r="F8" i="22"/>
  <c r="F9" i="22"/>
  <c r="F10" i="22"/>
  <c r="F4" i="22"/>
  <c r="K7" i="21"/>
  <c r="C5" i="21"/>
  <c r="E5" i="21" s="1"/>
  <c r="C6" i="21"/>
  <c r="E6" i="21" s="1"/>
  <c r="G6" i="21" s="1"/>
  <c r="C7" i="21"/>
  <c r="E7" i="21" s="1"/>
  <c r="C8" i="21"/>
  <c r="E8" i="21" s="1"/>
  <c r="C9" i="21"/>
  <c r="E9" i="21" s="1"/>
  <c r="C7" i="19"/>
  <c r="C8" i="19"/>
  <c r="E8" i="19" s="1"/>
  <c r="C9" i="19"/>
  <c r="E9" i="19" s="1"/>
  <c r="C10" i="19"/>
  <c r="E10" i="19" s="1"/>
  <c r="C11" i="19"/>
  <c r="E11" i="19" s="1"/>
  <c r="C12" i="19"/>
  <c r="E12" i="19" s="1"/>
  <c r="C13" i="19"/>
  <c r="E13" i="19" s="1"/>
  <c r="C14" i="19"/>
  <c r="E14" i="19" s="1"/>
  <c r="C15" i="19"/>
  <c r="E15" i="19" s="1"/>
  <c r="C16" i="19"/>
  <c r="E16" i="19" s="1"/>
  <c r="C17" i="19"/>
  <c r="E17" i="19" s="1"/>
  <c r="C18" i="19"/>
  <c r="E18" i="19" s="1"/>
  <c r="C19" i="19"/>
  <c r="E19" i="19" s="1"/>
  <c r="C20" i="19"/>
  <c r="E20" i="19" s="1"/>
  <c r="C6" i="19"/>
  <c r="E6" i="19" s="1"/>
  <c r="F26" i="18"/>
  <c r="I11" i="17"/>
  <c r="H9" i="14"/>
  <c r="H10" i="14"/>
  <c r="H11" i="14"/>
  <c r="H12" i="14"/>
  <c r="H13" i="14"/>
  <c r="H14" i="14"/>
  <c r="H15" i="14"/>
  <c r="H16" i="14"/>
  <c r="H17" i="14"/>
  <c r="H8" i="14"/>
  <c r="D4" i="14"/>
  <c r="C36" i="12"/>
  <c r="B24" i="12" s="1"/>
  <c r="B25" i="12" s="1"/>
  <c r="B16" i="12"/>
  <c r="C10" i="12" s="1"/>
  <c r="D10" i="12" s="1"/>
  <c r="C9" i="12"/>
  <c r="B11" i="7"/>
  <c r="C17" i="7" s="1"/>
  <c r="B18" i="7"/>
  <c r="C16" i="7" s="1"/>
  <c r="D16" i="7" s="1"/>
  <c r="C4" i="11"/>
  <c r="D4" i="11" s="1"/>
  <c r="C5" i="11"/>
  <c r="D5" i="11" s="1"/>
  <c r="C6" i="11"/>
  <c r="D6" i="11" s="1"/>
  <c r="C7" i="11"/>
  <c r="D7" i="11" s="1"/>
  <c r="B8" i="11"/>
  <c r="H18" i="14" l="1"/>
  <c r="C15" i="7"/>
  <c r="D15" i="7" s="1"/>
  <c r="D17" i="7"/>
  <c r="C18" i="7"/>
  <c r="H21" i="14"/>
  <c r="D18" i="7"/>
  <c r="D20" i="7" s="1"/>
  <c r="C11" i="12"/>
  <c r="D11" i="12" s="1"/>
  <c r="G9" i="21"/>
  <c r="G5" i="21"/>
  <c r="C8" i="11"/>
  <c r="C12" i="12"/>
  <c r="D12" i="12" s="1"/>
  <c r="G8" i="21"/>
  <c r="H16" i="25"/>
  <c r="C13" i="12"/>
  <c r="D13" i="12" s="1"/>
  <c r="G7" i="21"/>
  <c r="G4" i="21"/>
  <c r="F4" i="23"/>
  <c r="F7" i="23"/>
  <c r="F6" i="22"/>
  <c r="F11" i="22" s="1"/>
  <c r="K7" i="22" s="1"/>
  <c r="K9" i="22" s="1"/>
  <c r="F14" i="19"/>
  <c r="G14" i="19" s="1"/>
  <c r="F12" i="19"/>
  <c r="G12" i="19" s="1"/>
  <c r="F19" i="19"/>
  <c r="G19" i="19" s="1"/>
  <c r="F10" i="19"/>
  <c r="G10" i="19" s="1"/>
  <c r="F9" i="19"/>
  <c r="G9" i="19" s="1"/>
  <c r="F16" i="19"/>
  <c r="G16" i="19" s="1"/>
  <c r="F6" i="19"/>
  <c r="G6" i="19" s="1"/>
  <c r="F8" i="19"/>
  <c r="G8" i="19" s="1"/>
  <c r="F20" i="19"/>
  <c r="G20" i="19" s="1"/>
  <c r="F13" i="19"/>
  <c r="G13" i="19" s="1"/>
  <c r="F11" i="19"/>
  <c r="G11" i="19" s="1"/>
  <c r="F18" i="19"/>
  <c r="G18" i="19" s="1"/>
  <c r="F17" i="19"/>
  <c r="F15" i="19"/>
  <c r="G15" i="19" s="1"/>
  <c r="I20" i="18"/>
  <c r="I5" i="18"/>
  <c r="I8" i="18" s="1"/>
  <c r="I6" i="18"/>
  <c r="I21" i="18"/>
  <c r="I23" i="18" s="1"/>
  <c r="H19" i="25"/>
  <c r="C15" i="12"/>
  <c r="D15" i="12" s="1"/>
  <c r="D9" i="12"/>
  <c r="C14" i="12"/>
  <c r="D14" i="12" s="1"/>
  <c r="D32" i="12"/>
  <c r="E32" i="12" s="1"/>
  <c r="D30" i="12"/>
  <c r="E30" i="12" s="1"/>
  <c r="D33" i="12"/>
  <c r="E33" i="12" s="1"/>
  <c r="D31" i="12"/>
  <c r="E31" i="12" s="1"/>
  <c r="D29" i="12"/>
  <c r="D35" i="12"/>
  <c r="E35" i="12" s="1"/>
  <c r="D34" i="12"/>
  <c r="E34" i="12" s="1"/>
  <c r="D8" i="11"/>
  <c r="D10" i="11" s="1"/>
  <c r="K7" i="19" l="1"/>
  <c r="G17" i="19"/>
  <c r="K15" i="19" s="1"/>
  <c r="K5" i="21"/>
  <c r="F11" i="23"/>
  <c r="K6" i="23" s="1"/>
  <c r="K8" i="23" s="1"/>
  <c r="D16" i="12"/>
  <c r="D18" i="12" s="1"/>
  <c r="C16" i="12"/>
  <c r="D36" i="12"/>
  <c r="E29" i="12"/>
  <c r="E36" i="12" s="1"/>
  <c r="E38" i="12" s="1"/>
</calcChain>
</file>

<file path=xl/sharedStrings.xml><?xml version="1.0" encoding="utf-8"?>
<sst xmlns="http://schemas.openxmlformats.org/spreadsheetml/2006/main" count="314" uniqueCount="139">
  <si>
    <t>Total</t>
  </si>
  <si>
    <t>Oi</t>
  </si>
  <si>
    <t>Ei</t>
  </si>
  <si>
    <t>Qobs</t>
  </si>
  <si>
    <t>p-value</t>
  </si>
  <si>
    <t>Ei = n*pi</t>
  </si>
  <si>
    <t>Qcrit_5%</t>
  </si>
  <si>
    <t>&gt;=3</t>
  </si>
  <si>
    <t>Poisson</t>
  </si>
  <si>
    <t>k-1</t>
  </si>
  <si>
    <t>Normal</t>
  </si>
  <si>
    <t>Qcrit_10%</t>
  </si>
  <si>
    <t>&gt;=2</t>
  </si>
  <si>
    <t>Alfa</t>
  </si>
  <si>
    <t>p</t>
  </si>
  <si>
    <t>k</t>
  </si>
  <si>
    <t>alfa</t>
  </si>
  <si>
    <t>Qcrit</t>
  </si>
  <si>
    <t>[0, 12[</t>
  </si>
  <si>
    <t>[12, 14[</t>
  </si>
  <si>
    <t>[14, 16[</t>
  </si>
  <si>
    <t>[16, 18[</t>
  </si>
  <si>
    <t>[18, 20[</t>
  </si>
  <si>
    <t>[20, 22[</t>
  </si>
  <si>
    <t>&lt;=12</t>
  </si>
  <si>
    <t>n</t>
  </si>
  <si>
    <t>i</t>
  </si>
  <si>
    <t>n - i + 1</t>
  </si>
  <si>
    <t>x(n-i+1)</t>
  </si>
  <si>
    <t>x(i)</t>
  </si>
  <si>
    <t>Wobs</t>
  </si>
  <si>
    <t>Wcrit5%</t>
  </si>
  <si>
    <t>a(i)</t>
  </si>
  <si>
    <t>Obs</t>
  </si>
  <si>
    <t>Rank</t>
  </si>
  <si>
    <t>W'*obs</t>
  </si>
  <si>
    <t>W*(10, 10; 0.05)</t>
  </si>
  <si>
    <t>W*(10, 10; 0.95)</t>
  </si>
  <si>
    <t>Y</t>
  </si>
  <si>
    <t>X</t>
  </si>
  <si>
    <t>Z(0.95)</t>
  </si>
  <si>
    <t>m=12</t>
  </si>
  <si>
    <t>n=10</t>
  </si>
  <si>
    <t>Z(0.05)</t>
  </si>
  <si>
    <t>Wilcoxon signed-ranks test</t>
  </si>
  <si>
    <t>n =</t>
  </si>
  <si>
    <t>n' =</t>
  </si>
  <si>
    <t>di = xi - yi</t>
  </si>
  <si>
    <t>|di| = |xi - yi|</t>
  </si>
  <si>
    <t>-</t>
  </si>
  <si>
    <t>+</t>
  </si>
  <si>
    <t>w(1-alfa) = n'(n'+1)/2 - w(alfa)</t>
  </si>
  <si>
    <t>Zobs =</t>
  </si>
  <si>
    <t>Zcrit =</t>
  </si>
  <si>
    <t>Wcrit = W(14; 0.05) =</t>
  </si>
  <si>
    <t>Wcrit = W(6; 0.05) =</t>
  </si>
  <si>
    <t>Wcrit = W(6; 0.95) =</t>
  </si>
  <si>
    <t>W+obs =</t>
  </si>
  <si>
    <t>A</t>
  </si>
  <si>
    <t>B</t>
  </si>
  <si>
    <t>C</t>
  </si>
  <si>
    <t>D</t>
  </si>
  <si>
    <t>E</t>
  </si>
  <si>
    <t>F</t>
  </si>
  <si>
    <t>G</t>
  </si>
  <si>
    <t>R(Xi)</t>
  </si>
  <si>
    <t>R(Yi)</t>
  </si>
  <si>
    <t>Corrr_spearman (excel) =</t>
  </si>
  <si>
    <t>Rho_obs</t>
  </si>
  <si>
    <t>Type of payment</t>
  </si>
  <si>
    <t>Check</t>
  </si>
  <si>
    <t>Credit card</t>
  </si>
  <si>
    <t>Debit card</t>
  </si>
  <si>
    <t>Cash</t>
  </si>
  <si>
    <t>SUM</t>
  </si>
  <si>
    <t>Chi-square test</t>
  </si>
  <si>
    <t>Test</t>
  </si>
  <si>
    <t>Distribution</t>
  </si>
  <si>
    <t>Mean</t>
  </si>
  <si>
    <t>Nr. casualties per insurance policy</t>
  </si>
  <si>
    <t>Must be &gt;=5</t>
  </si>
  <si>
    <t>a) Chi-square test</t>
  </si>
  <si>
    <t>b) Chi-square test</t>
  </si>
  <si>
    <r>
      <t>n</t>
    </r>
    <r>
      <rPr>
        <b/>
        <vertAlign val="subscript"/>
        <sz val="11"/>
        <rFont val="Calibri"/>
        <family val="2"/>
        <scheme val="minor"/>
      </rPr>
      <t>i</t>
    </r>
  </si>
  <si>
    <r>
      <t>np</t>
    </r>
    <r>
      <rPr>
        <b/>
        <vertAlign val="subscript"/>
        <sz val="11"/>
        <rFont val="Calibri"/>
        <family val="2"/>
        <scheme val="minor"/>
      </rPr>
      <t>i</t>
    </r>
  </si>
  <si>
    <t>Std deviation</t>
  </si>
  <si>
    <t>Particles</t>
  </si>
  <si>
    <r>
      <t xml:space="preserve">[22,  </t>
    </r>
    <r>
      <rPr>
        <sz val="11"/>
        <rFont val="Symbol"/>
        <family val="1"/>
        <charset val="2"/>
      </rPr>
      <t>¥</t>
    </r>
    <r>
      <rPr>
        <sz val="11"/>
        <rFont val="Calibri"/>
        <family val="2"/>
        <scheme val="minor"/>
      </rPr>
      <t>[</t>
    </r>
  </si>
  <si>
    <t>Shapiro-Wilk test</t>
  </si>
  <si>
    <r>
      <t>a</t>
    </r>
    <r>
      <rPr>
        <b/>
        <vertAlign val="subscript"/>
        <sz val="11"/>
        <rFont val="Calibri"/>
        <family val="2"/>
        <scheme val="minor"/>
      </rPr>
      <t>(i)</t>
    </r>
    <r>
      <rPr>
        <b/>
        <sz val="11"/>
        <rFont val="Calibri"/>
        <family val="2"/>
        <scheme val="minor"/>
      </rPr>
      <t>*(x</t>
    </r>
    <r>
      <rPr>
        <b/>
        <vertAlign val="subscript"/>
        <sz val="11"/>
        <rFont val="Calibri"/>
        <family val="2"/>
        <scheme val="minor"/>
      </rPr>
      <t>(n-i+1)</t>
    </r>
    <r>
      <rPr>
        <b/>
        <sz val="11"/>
        <rFont val="Calibri"/>
        <family val="2"/>
        <scheme val="minor"/>
      </rPr>
      <t xml:space="preserve"> -  x</t>
    </r>
    <r>
      <rPr>
        <b/>
        <vertAlign val="subscript"/>
        <sz val="11"/>
        <rFont val="Calibri"/>
        <family val="2"/>
        <scheme val="minor"/>
      </rPr>
      <t>(i)</t>
    </r>
    <r>
      <rPr>
        <b/>
        <sz val="11"/>
        <rFont val="Calibri"/>
        <family val="2"/>
        <scheme val="minor"/>
      </rPr>
      <t>)</t>
    </r>
  </si>
  <si>
    <r>
      <t>(n-1)S</t>
    </r>
    <r>
      <rPr>
        <vertAlign val="superscript"/>
        <sz val="11"/>
        <rFont val="Calibri"/>
        <family val="2"/>
        <scheme val="minor"/>
      </rPr>
      <t>2</t>
    </r>
  </si>
  <si>
    <t>Xi sorted</t>
  </si>
  <si>
    <t>SUM=b</t>
  </si>
  <si>
    <t>Variance</t>
  </si>
  <si>
    <t>TABLE</t>
  </si>
  <si>
    <t>Wilcoxon-Mann-Whitney</t>
  </si>
  <si>
    <t>Buy</t>
  </si>
  <si>
    <t>Sell</t>
  </si>
  <si>
    <t>Sample</t>
  </si>
  <si>
    <t>NO TIES</t>
  </si>
  <si>
    <t>W* = Sum of all the ranks of the X sample</t>
  </si>
  <si>
    <t>Right-sided test</t>
  </si>
  <si>
    <t>TABLE: Wp = n*(n+m+1) - W(1-p)</t>
  </si>
  <si>
    <t>Control group (Y)</t>
  </si>
  <si>
    <t>Group with training in social skills (X)</t>
  </si>
  <si>
    <r>
      <t>SUM(Ri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</si>
  <si>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>Alternative solution:</t>
  </si>
  <si>
    <t>Sign of di</t>
  </si>
  <si>
    <t>Rank of di</t>
  </si>
  <si>
    <t>Reject H0</t>
  </si>
  <si>
    <t>W = Sum of ranks of the |Di| with sign +</t>
  </si>
  <si>
    <t>Considering few ties:</t>
  </si>
  <si>
    <t>Weight before</t>
  </si>
  <si>
    <t>Weight after</t>
  </si>
  <si>
    <t>Considering many ties:</t>
  </si>
  <si>
    <t>Before</t>
  </si>
  <si>
    <t>After</t>
  </si>
  <si>
    <t>H1: E[D] &lt; 0 with D=Before - After</t>
  </si>
  <si>
    <r>
      <t>[R(Xi) - R(Yi)]</t>
    </r>
    <r>
      <rPr>
        <b/>
        <vertAlign val="superscript"/>
        <sz val="11"/>
        <rFont val="Calibri"/>
        <family val="2"/>
        <scheme val="minor"/>
      </rPr>
      <t>2</t>
    </r>
  </si>
  <si>
    <t>Spearman correlation test</t>
  </si>
  <si>
    <t>Model</t>
  </si>
  <si>
    <t>Opinion</t>
  </si>
  <si>
    <t>Sales</t>
  </si>
  <si>
    <t>Corr_spearman (excel) =</t>
  </si>
  <si>
    <t>Two-sided test (5%); few ties</t>
  </si>
  <si>
    <t>n=7</t>
  </si>
  <si>
    <r>
      <t>Rho_crit</t>
    </r>
    <r>
      <rPr>
        <sz val="11"/>
        <rFont val="Calibri"/>
        <family val="2"/>
        <scheme val="minor"/>
      </rPr>
      <t xml:space="preserve"> (7; 0.025) table:</t>
    </r>
  </si>
  <si>
    <r>
      <t>Rho_crit</t>
    </r>
    <r>
      <rPr>
        <sz val="11"/>
        <rFont val="Calibri"/>
        <family val="2"/>
        <scheme val="minor"/>
      </rPr>
      <t xml:space="preserve"> (7; 0.025) table</t>
    </r>
  </si>
  <si>
    <t>Detergent</t>
  </si>
  <si>
    <t>Signed rank</t>
  </si>
  <si>
    <t>Rank of |di|</t>
  </si>
  <si>
    <t>Ci = midpoint of interval</t>
  </si>
  <si>
    <t>https://knowpapa.com/sd-freq/</t>
  </si>
  <si>
    <t>https://www.statisticshowto.datasciencecentral.com/grouped-data/</t>
  </si>
  <si>
    <t xml:space="preserve">
Statistics How To</t>
  </si>
  <si>
    <r>
      <t>Suggestions about these formulas of the Mean and Variance for Grouped Data</t>
    </r>
    <r>
      <rPr>
        <sz val="11"/>
        <color rgb="FF0070C0"/>
        <rFont val="Calibri"/>
        <family val="2"/>
        <scheme val="minor"/>
      </rPr>
      <t xml:space="preserve"> (access: December 2018)</t>
    </r>
    <r>
      <rPr>
        <b/>
        <sz val="11"/>
        <color rgb="FF0070C0"/>
        <rFont val="Calibri"/>
        <family val="2"/>
        <scheme val="minor"/>
      </rPr>
      <t>:</t>
    </r>
  </si>
  <si>
    <t>Mean &amp; Standard Deviation Calculator for Frequency Table &amp; Grouped Data</t>
  </si>
  <si>
    <r>
      <t>H</t>
    </r>
    <r>
      <rPr>
        <vertAlign val="subscript"/>
        <sz val="11"/>
        <color rgb="FF0070C0"/>
        <rFont val="Calibri"/>
        <family val="2"/>
        <scheme val="minor"/>
      </rPr>
      <t>1</t>
    </r>
    <r>
      <rPr>
        <sz val="11"/>
        <color rgb="FF0070C0"/>
        <rFont val="Calibri"/>
        <family val="2"/>
        <scheme val="minor"/>
      </rPr>
      <t>: F</t>
    </r>
    <r>
      <rPr>
        <vertAlign val="subscript"/>
        <sz val="11"/>
        <color rgb="FF0070C0"/>
        <rFont val="Calibri"/>
        <family val="2"/>
        <scheme val="minor"/>
      </rPr>
      <t>X</t>
    </r>
    <r>
      <rPr>
        <sz val="11"/>
        <color rgb="FF0070C0"/>
        <rFont val="Calibri"/>
        <family val="2"/>
        <scheme val="minor"/>
      </rPr>
      <t>(x) &gt; F</t>
    </r>
    <r>
      <rPr>
        <vertAlign val="subscript"/>
        <sz val="11"/>
        <color rgb="FF0070C0"/>
        <rFont val="Calibri"/>
        <family val="2"/>
        <scheme val="minor"/>
      </rPr>
      <t>Y</t>
    </r>
    <r>
      <rPr>
        <sz val="11"/>
        <color rgb="FF0070C0"/>
        <rFont val="Calibri"/>
        <family val="2"/>
        <scheme val="minor"/>
      </rPr>
      <t>(x)</t>
    </r>
  </si>
  <si>
    <r>
      <t>H</t>
    </r>
    <r>
      <rPr>
        <vertAlign val="subscript"/>
        <sz val="11"/>
        <color rgb="FF0070C0"/>
        <rFont val="Calibri"/>
        <family val="2"/>
        <scheme val="minor"/>
      </rPr>
      <t>1</t>
    </r>
    <r>
      <rPr>
        <sz val="11"/>
        <color rgb="FF0070C0"/>
        <rFont val="Calibri"/>
        <family val="2"/>
        <scheme val="minor"/>
      </rPr>
      <t>: F</t>
    </r>
    <r>
      <rPr>
        <vertAlign val="subscript"/>
        <sz val="11"/>
        <color rgb="FF0070C0"/>
        <rFont val="Calibri"/>
        <family val="2"/>
        <scheme val="minor"/>
      </rPr>
      <t>Y</t>
    </r>
    <r>
      <rPr>
        <sz val="11"/>
        <color rgb="FF0070C0"/>
        <rFont val="Calibri"/>
        <family val="2"/>
        <scheme val="minor"/>
      </rPr>
      <t>(x) &lt; F</t>
    </r>
    <r>
      <rPr>
        <vertAlign val="subscript"/>
        <sz val="11"/>
        <color rgb="FF0070C0"/>
        <rFont val="Calibri"/>
        <family val="2"/>
        <scheme val="minor"/>
      </rPr>
      <t>x</t>
    </r>
    <r>
      <rPr>
        <sz val="11"/>
        <color rgb="FF0070C0"/>
        <rFont val="Calibri"/>
        <family val="2"/>
        <scheme val="minor"/>
      </rPr>
      <t>(x)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</si>
</sst>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2" x14ac:knownFonts="1">
    <font>
      <sz val="10"/>
      <name val="Arial"/>
    </font>
    <font>
      <sz val="8"/>
      <name val="Arial"/>
      <family val="2"/>
    </font>
    <font>
      <sz val="11"/>
      <name val="Symbol"/>
      <family val="1"/>
      <charset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1" fillId="0" borderId="0" applyNumberForma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/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/>
    <xf numFmtId="165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4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/>
    <xf numFmtId="2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right"/>
    </xf>
    <xf numFmtId="2" fontId="5" fillId="0" borderId="0" xfId="0" applyNumberFormat="1" applyFont="1" applyFill="1" applyAlignment="1">
      <alignment vertical="center"/>
    </xf>
    <xf numFmtId="0" fontId="5" fillId="0" borderId="0" xfId="0" applyFont="1" applyFill="1"/>
    <xf numFmtId="164" fontId="5" fillId="0" borderId="0" xfId="0" applyNumberFormat="1" applyFont="1" applyFill="1" applyAlignment="1">
      <alignment vertical="center"/>
    </xf>
    <xf numFmtId="0" fontId="7" fillId="0" borderId="0" xfId="0" applyFont="1"/>
    <xf numFmtId="165" fontId="7" fillId="0" borderId="0" xfId="0" applyNumberFormat="1" applyFont="1"/>
    <xf numFmtId="0" fontId="5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  <xf numFmtId="2" fontId="4" fillId="0" borderId="1" xfId="0" applyNumberFormat="1" applyFont="1" applyBorder="1" applyAlignment="1">
      <alignment vertical="center"/>
    </xf>
    <xf numFmtId="166" fontId="5" fillId="0" borderId="0" xfId="0" applyNumberFormat="1" applyFont="1"/>
    <xf numFmtId="2" fontId="5" fillId="2" borderId="0" xfId="0" applyNumberFormat="1" applyFont="1" applyFill="1" applyAlignment="1">
      <alignment vertical="center"/>
    </xf>
    <xf numFmtId="0" fontId="10" fillId="0" borderId="0" xfId="0" applyFont="1"/>
    <xf numFmtId="2" fontId="10" fillId="0" borderId="0" xfId="0" applyNumberFormat="1" applyFont="1"/>
    <xf numFmtId="0" fontId="4" fillId="0" borderId="1" xfId="0" applyFont="1" applyBorder="1" applyAlignment="1">
      <alignment horizontal="center"/>
    </xf>
    <xf numFmtId="2" fontId="7" fillId="0" borderId="0" xfId="0" applyNumberFormat="1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" fontId="10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" fontId="10" fillId="0" borderId="0" xfId="1" applyNumberFormat="1" applyFont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6" borderId="0" xfId="1" applyFont="1" applyFill="1" applyAlignment="1">
      <alignment vertical="center"/>
    </xf>
    <xf numFmtId="0" fontId="4" fillId="6" borderId="0" xfId="1" applyFont="1" applyFill="1" applyAlignment="1">
      <alignment horizontal="center" vertical="center"/>
    </xf>
    <xf numFmtId="0" fontId="5" fillId="3" borderId="1" xfId="1" applyFont="1" applyFill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0" fontId="4" fillId="5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12" fillId="0" borderId="0" xfId="0" quotePrefix="1" applyFont="1"/>
    <xf numFmtId="0" fontId="4" fillId="0" borderId="0" xfId="0" applyFont="1" applyAlignment="1">
      <alignment horizontal="center"/>
    </xf>
    <xf numFmtId="0" fontId="6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164" fontId="13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13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5" fillId="0" borderId="0" xfId="0" applyNumberFormat="1" applyFont="1"/>
    <xf numFmtId="164" fontId="18" fillId="0" borderId="0" xfId="0" applyNumberFormat="1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64" fontId="7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0" borderId="0" xfId="2"/>
    <xf numFmtId="0" fontId="4" fillId="0" borderId="0" xfId="0" applyFont="1" applyAlignment="1"/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w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3</xdr:row>
          <xdr:rowOff>38100</xdr:rowOff>
        </xdr:from>
        <xdr:to>
          <xdr:col>7</xdr:col>
          <xdr:colOff>581025</xdr:colOff>
          <xdr:row>6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2</xdr:row>
          <xdr:rowOff>9525</xdr:rowOff>
        </xdr:from>
        <xdr:to>
          <xdr:col>6</xdr:col>
          <xdr:colOff>485775</xdr:colOff>
          <xdr:row>5</xdr:row>
          <xdr:rowOff>38100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6</xdr:row>
          <xdr:rowOff>19050</xdr:rowOff>
        </xdr:from>
        <xdr:to>
          <xdr:col>7</xdr:col>
          <xdr:colOff>381000</xdr:colOff>
          <xdr:row>9</xdr:row>
          <xdr:rowOff>38100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495300</xdr:colOff>
          <xdr:row>6</xdr:row>
          <xdr:rowOff>142875</xdr:rowOff>
        </xdr:from>
        <xdr:to>
          <xdr:col>7</xdr:col>
          <xdr:colOff>495300</xdr:colOff>
          <xdr:row>9</xdr:row>
          <xdr:rowOff>123825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22</xdr:row>
          <xdr:rowOff>161925</xdr:rowOff>
        </xdr:from>
        <xdr:to>
          <xdr:col>11</xdr:col>
          <xdr:colOff>323850</xdr:colOff>
          <xdr:row>25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xmlns="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104775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xmlns="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1</xdr:row>
          <xdr:rowOff>104775</xdr:rowOff>
        </xdr:from>
        <xdr:to>
          <xdr:col>7</xdr:col>
          <xdr:colOff>695325</xdr:colOff>
          <xdr:row>4</xdr:row>
          <xdr:rowOff>95250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1</xdr:row>
          <xdr:rowOff>104775</xdr:rowOff>
        </xdr:from>
        <xdr:to>
          <xdr:col>7</xdr:col>
          <xdr:colOff>695325</xdr:colOff>
          <xdr:row>4</xdr:row>
          <xdr:rowOff>95250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xmlns="" id="{00000000-0008-0000-04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9</xdr:row>
          <xdr:rowOff>133350</xdr:rowOff>
        </xdr:from>
        <xdr:to>
          <xdr:col>12</xdr:col>
          <xdr:colOff>0</xdr:colOff>
          <xdr:row>14</xdr:row>
          <xdr:rowOff>104775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xmlns="" id="{00000000-0008-0000-06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371475</xdr:colOff>
          <xdr:row>17</xdr:row>
          <xdr:rowOff>0</xdr:rowOff>
        </xdr:from>
        <xdr:to>
          <xdr:col>10</xdr:col>
          <xdr:colOff>342900</xdr:colOff>
          <xdr:row>22</xdr:row>
          <xdr:rowOff>57150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285750</xdr:colOff>
          <xdr:row>3</xdr:row>
          <xdr:rowOff>38100</xdr:rowOff>
        </xdr:from>
        <xdr:to>
          <xdr:col>13</xdr:col>
          <xdr:colOff>466725</xdr:colOff>
          <xdr:row>6</xdr:row>
          <xdr:rowOff>152400</xdr:rowOff>
        </xdr:to>
        <xdr:sp macro="" textlink="">
          <xdr:nvSpPr>
            <xdr:cNvPr id="15362" name="Object 4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xmlns="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7</xdr:row>
          <xdr:rowOff>123825</xdr:rowOff>
        </xdr:from>
        <xdr:to>
          <xdr:col>14</xdr:col>
          <xdr:colOff>276225</xdr:colOff>
          <xdr:row>9</xdr:row>
          <xdr:rowOff>57150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xmlns="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361950</xdr:colOff>
          <xdr:row>3</xdr:row>
          <xdr:rowOff>19050</xdr:rowOff>
        </xdr:from>
        <xdr:to>
          <xdr:col>13</xdr:col>
          <xdr:colOff>314325</xdr:colOff>
          <xdr:row>6</xdr:row>
          <xdr:rowOff>19050</xdr:rowOff>
        </xdr:to>
        <xdr:sp macro="" textlink="">
          <xdr:nvSpPr>
            <xdr:cNvPr id="16385" name="Object 4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xmlns="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285750</xdr:colOff>
          <xdr:row>6</xdr:row>
          <xdr:rowOff>161925</xdr:rowOff>
        </xdr:from>
        <xdr:to>
          <xdr:col>13</xdr:col>
          <xdr:colOff>590550</xdr:colOff>
          <xdr:row>8</xdr:row>
          <xdr:rowOff>38100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xmlns="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12.bin"/><Relationship Id="rId4" Type="http://schemas.openxmlformats.org/officeDocument/2006/relationships/image" Target="../media/image8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8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printerSettings" Target="../printerSettings/printerSettings3.bin"/><Relationship Id="rId7" Type="http://schemas.openxmlformats.org/officeDocument/2006/relationships/image" Target="../media/image3.emf"/><Relationship Id="rId2" Type="http://schemas.openxmlformats.org/officeDocument/2006/relationships/hyperlink" Target="https://knowpapa.com/sd-freq/" TargetMode="External"/><Relationship Id="rId1" Type="http://schemas.openxmlformats.org/officeDocument/2006/relationships/hyperlink" Target="https://www.statisticshowto.datasciencecentral.com/grouped-data/" TargetMode="External"/><Relationship Id="rId6" Type="http://schemas.openxmlformats.org/officeDocument/2006/relationships/oleObject" Target="../embeddings/oleObject4.bin"/><Relationship Id="rId11" Type="http://schemas.openxmlformats.org/officeDocument/2006/relationships/image" Target="../media/image5.emf"/><Relationship Id="rId5" Type="http://schemas.openxmlformats.org/officeDocument/2006/relationships/vmlDrawing" Target="../drawings/vmlDrawing3.vml"/><Relationship Id="rId10" Type="http://schemas.openxmlformats.org/officeDocument/2006/relationships/oleObject" Target="../embeddings/oleObject6.bin"/><Relationship Id="rId4" Type="http://schemas.openxmlformats.org/officeDocument/2006/relationships/drawing" Target="../drawings/drawing3.xml"/><Relationship Id="rId9" Type="http://schemas.openxmlformats.org/officeDocument/2006/relationships/image" Target="../media/image4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"/>
    </sheetView>
  </sheetViews>
  <sheetFormatPr defaultRowHeight="15" x14ac:dyDescent="0.25"/>
  <cols>
    <col min="1" max="1" width="19" style="1" bestFit="1" customWidth="1"/>
    <col min="2" max="4" width="9.140625" style="1"/>
    <col min="5" max="5" width="9.85546875" style="1" bestFit="1" customWidth="1"/>
    <col min="6" max="16384" width="9.140625" style="1"/>
  </cols>
  <sheetData>
    <row r="1" spans="1:5" x14ac:dyDescent="0.25">
      <c r="A1" s="13" t="s">
        <v>75</v>
      </c>
    </row>
    <row r="3" spans="1:5" x14ac:dyDescent="0.25">
      <c r="A3" s="2" t="s">
        <v>69</v>
      </c>
      <c r="B3" s="2" t="s">
        <v>1</v>
      </c>
      <c r="C3" s="2" t="s">
        <v>5</v>
      </c>
      <c r="D3" s="3" t="s">
        <v>76</v>
      </c>
    </row>
    <row r="4" spans="1:5" x14ac:dyDescent="0.25">
      <c r="A4" s="1" t="s">
        <v>70</v>
      </c>
      <c r="B4" s="1">
        <v>27</v>
      </c>
      <c r="C4" s="11">
        <f>160*0.15</f>
        <v>24</v>
      </c>
      <c r="D4" s="5">
        <f>(B4-C4)^2/C4</f>
        <v>0.375</v>
      </c>
    </row>
    <row r="5" spans="1:5" x14ac:dyDescent="0.25">
      <c r="A5" s="1" t="s">
        <v>71</v>
      </c>
      <c r="B5" s="1">
        <v>65</v>
      </c>
      <c r="C5" s="11">
        <f>160*0.38</f>
        <v>60.8</v>
      </c>
      <c r="D5" s="5">
        <f>(B5-C5)^2/C5</f>
        <v>0.29013157894736885</v>
      </c>
    </row>
    <row r="6" spans="1:5" x14ac:dyDescent="0.25">
      <c r="A6" s="1" t="s">
        <v>72</v>
      </c>
      <c r="B6" s="1">
        <v>48</v>
      </c>
      <c r="C6" s="11">
        <f>160*0.32</f>
        <v>51.2</v>
      </c>
      <c r="D6" s="5">
        <f>(B6-C6)^2/C6</f>
        <v>0.20000000000000034</v>
      </c>
    </row>
    <row r="7" spans="1:5" x14ac:dyDescent="0.25">
      <c r="A7" s="1" t="s">
        <v>73</v>
      </c>
      <c r="B7" s="1">
        <v>20</v>
      </c>
      <c r="C7" s="11">
        <f>160*0.15</f>
        <v>24</v>
      </c>
      <c r="D7" s="5">
        <f>(B7-C7)^2/C7</f>
        <v>0.66666666666666663</v>
      </c>
    </row>
    <row r="8" spans="1:5" x14ac:dyDescent="0.25">
      <c r="A8" s="6" t="s">
        <v>74</v>
      </c>
      <c r="B8" s="7">
        <f>SUM(B4:B7)</f>
        <v>160</v>
      </c>
      <c r="C8" s="7">
        <f>SUM(C4:C7)</f>
        <v>160</v>
      </c>
      <c r="D8" s="8">
        <f>SUM(D4:D7)</f>
        <v>1.531798245614036</v>
      </c>
      <c r="E8" s="7" t="s">
        <v>3</v>
      </c>
    </row>
    <row r="9" spans="1:5" x14ac:dyDescent="0.25">
      <c r="D9" s="9">
        <f>_xlfn.CHISQ.INV(0.9,3)</f>
        <v>6.2513886311703235</v>
      </c>
      <c r="E9" s="7" t="s">
        <v>11</v>
      </c>
    </row>
    <row r="10" spans="1:5" x14ac:dyDescent="0.25">
      <c r="D10" s="10">
        <f>1-_xlfn.CHISQ.DIST(D8,3, TRUE)</f>
        <v>0.67495099554356375</v>
      </c>
      <c r="E10" s="7" t="s">
        <v>4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5</xdr:col>
                <xdr:colOff>28575</xdr:colOff>
                <xdr:row>3</xdr:row>
                <xdr:rowOff>38100</xdr:rowOff>
              </from>
              <to>
                <xdr:col>7</xdr:col>
                <xdr:colOff>581025</xdr:colOff>
                <xdr:row>6</xdr:row>
                <xdr:rowOff>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selection activeCell="A2" sqref="A2"/>
    </sheetView>
  </sheetViews>
  <sheetFormatPr defaultRowHeight="15" x14ac:dyDescent="0.25"/>
  <cols>
    <col min="1" max="1" width="8.42578125" style="1" customWidth="1"/>
    <col min="2" max="2" width="8.140625" style="1" bestFit="1" customWidth="1"/>
    <col min="3" max="5" width="9.140625" style="1"/>
    <col min="6" max="6" width="13.140625" style="1" bestFit="1" customWidth="1"/>
    <col min="7" max="16384" width="9.140625" style="1"/>
  </cols>
  <sheetData>
    <row r="1" spans="1:11" x14ac:dyDescent="0.25">
      <c r="A1" s="71" t="s">
        <v>119</v>
      </c>
    </row>
    <row r="3" spans="1:11" s="2" customFormat="1" ht="17.25" x14ac:dyDescent="0.25">
      <c r="A3" s="2" t="s">
        <v>120</v>
      </c>
      <c r="B3" s="2" t="s">
        <v>121</v>
      </c>
      <c r="C3" s="2" t="s">
        <v>122</v>
      </c>
      <c r="D3" s="2" t="s">
        <v>65</v>
      </c>
      <c r="E3" s="2" t="s">
        <v>66</v>
      </c>
      <c r="F3" s="87" t="s">
        <v>118</v>
      </c>
      <c r="H3" s="101" t="s">
        <v>123</v>
      </c>
      <c r="I3" s="101"/>
      <c r="J3" s="101"/>
      <c r="K3" s="90">
        <f>CORREL(D4:D10,E4:E10)</f>
        <v>0.9274260335029676</v>
      </c>
    </row>
    <row r="4" spans="1:11" s="2" customFormat="1" x14ac:dyDescent="0.25">
      <c r="A4" s="66" t="s">
        <v>58</v>
      </c>
      <c r="B4" s="66">
        <v>1</v>
      </c>
      <c r="C4" s="66">
        <v>475</v>
      </c>
      <c r="D4" s="66">
        <f>_xlfn.RANK.AVG(B4,$B$4:$B$10,1)</f>
        <v>1</v>
      </c>
      <c r="E4" s="66">
        <f>_xlfn.RANK.AVG(C4,$C$4:$C$10,1)</f>
        <v>2</v>
      </c>
      <c r="F4" s="66">
        <f>(D4-E4)^2</f>
        <v>1</v>
      </c>
    </row>
    <row r="5" spans="1:11" x14ac:dyDescent="0.25">
      <c r="A5" s="66" t="s">
        <v>59</v>
      </c>
      <c r="B5" s="66">
        <v>2</v>
      </c>
      <c r="C5" s="66">
        <v>500</v>
      </c>
      <c r="D5" s="66">
        <f t="shared" ref="D5:D10" si="0">_xlfn.RANK.AVG(B5,$B$4:$B$10,1)</f>
        <v>2.5</v>
      </c>
      <c r="E5" s="66">
        <f t="shared" ref="E5:E10" si="1">_xlfn.RANK.AVG(C5,$C$4:$C$10,1)</f>
        <v>3</v>
      </c>
      <c r="F5" s="66">
        <f t="shared" ref="F5:F10" si="2">(D5-E5)^2</f>
        <v>0.25</v>
      </c>
    </row>
    <row r="6" spans="1:11" x14ac:dyDescent="0.25">
      <c r="A6" s="66" t="s">
        <v>60</v>
      </c>
      <c r="B6" s="66">
        <v>2</v>
      </c>
      <c r="C6" s="66">
        <v>420</v>
      </c>
      <c r="D6" s="66">
        <f t="shared" si="0"/>
        <v>2.5</v>
      </c>
      <c r="E6" s="66">
        <f t="shared" si="1"/>
        <v>1</v>
      </c>
      <c r="F6" s="66">
        <f t="shared" si="2"/>
        <v>2.25</v>
      </c>
      <c r="I6" s="92"/>
      <c r="J6" s="93" t="s">
        <v>124</v>
      </c>
      <c r="K6" s="92"/>
    </row>
    <row r="7" spans="1:11" x14ac:dyDescent="0.25">
      <c r="A7" s="66" t="s">
        <v>61</v>
      </c>
      <c r="B7" s="66">
        <v>3</v>
      </c>
      <c r="C7" s="66">
        <v>650</v>
      </c>
      <c r="D7" s="66">
        <f t="shared" si="0"/>
        <v>4</v>
      </c>
      <c r="E7" s="66">
        <f t="shared" si="1"/>
        <v>4</v>
      </c>
      <c r="F7" s="66">
        <f t="shared" si="2"/>
        <v>0</v>
      </c>
      <c r="J7" s="88" t="s">
        <v>68</v>
      </c>
      <c r="K7" s="89">
        <f>1-(6*F11)/(7*(7^2-1))</f>
        <v>0.9285714285714286</v>
      </c>
    </row>
    <row r="8" spans="1:11" x14ac:dyDescent="0.25">
      <c r="A8" s="66" t="s">
        <v>62</v>
      </c>
      <c r="B8" s="66">
        <v>4</v>
      </c>
      <c r="C8" s="66">
        <v>920</v>
      </c>
      <c r="D8" s="66">
        <f t="shared" si="0"/>
        <v>5</v>
      </c>
      <c r="E8" s="66">
        <f t="shared" si="1"/>
        <v>5</v>
      </c>
      <c r="F8" s="66">
        <f t="shared" si="2"/>
        <v>0</v>
      </c>
      <c r="J8" s="88" t="s">
        <v>126</v>
      </c>
      <c r="K8" s="1">
        <v>0.78600000000000003</v>
      </c>
    </row>
    <row r="9" spans="1:11" x14ac:dyDescent="0.25">
      <c r="A9" s="66" t="s">
        <v>63</v>
      </c>
      <c r="B9" s="66">
        <v>5</v>
      </c>
      <c r="C9" s="66">
        <v>1100</v>
      </c>
      <c r="D9" s="66">
        <f t="shared" si="0"/>
        <v>6.5</v>
      </c>
      <c r="E9" s="66">
        <f t="shared" si="1"/>
        <v>7</v>
      </c>
      <c r="F9" s="66">
        <f t="shared" si="2"/>
        <v>0.25</v>
      </c>
      <c r="J9" s="88" t="s">
        <v>4</v>
      </c>
      <c r="K9" s="89">
        <f>2*(1-_xlfn.NORM.S.DIST(K7*SQRT(7-1),TRUE ))</f>
        <v>2.2934368281886774E-2</v>
      </c>
    </row>
    <row r="10" spans="1:11" x14ac:dyDescent="0.25">
      <c r="A10" s="66" t="s">
        <v>64</v>
      </c>
      <c r="B10" s="66">
        <v>5</v>
      </c>
      <c r="C10" s="66">
        <v>1050</v>
      </c>
      <c r="D10" s="66">
        <f t="shared" si="0"/>
        <v>6.5</v>
      </c>
      <c r="E10" s="66">
        <f t="shared" si="1"/>
        <v>6</v>
      </c>
      <c r="F10" s="66">
        <f t="shared" si="2"/>
        <v>0.25</v>
      </c>
    </row>
    <row r="11" spans="1:11" x14ac:dyDescent="0.25">
      <c r="E11" s="94" t="s">
        <v>74</v>
      </c>
      <c r="F11" s="95">
        <f>SUM(F4:F10)</f>
        <v>4</v>
      </c>
    </row>
    <row r="12" spans="1:11" x14ac:dyDescent="0.25">
      <c r="A12" s="83" t="s">
        <v>125</v>
      </c>
    </row>
  </sheetData>
  <mergeCells count="1">
    <mergeCell ref="H3:J3"/>
  </mergeCells>
  <phoneticPr fontId="1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5362" r:id="rId3">
          <objectPr defaultSize="0" autoPict="0" r:id="rId4">
            <anchor moveWithCells="1" sizeWithCells="1">
              <from>
                <xdr:col>11</xdr:col>
                <xdr:colOff>285750</xdr:colOff>
                <xdr:row>3</xdr:row>
                <xdr:rowOff>38100</xdr:rowOff>
              </from>
              <to>
                <xdr:col>13</xdr:col>
                <xdr:colOff>466725</xdr:colOff>
                <xdr:row>6</xdr:row>
                <xdr:rowOff>152400</xdr:rowOff>
              </to>
            </anchor>
          </objectPr>
        </oleObject>
      </mc:Choice>
      <mc:Fallback>
        <oleObject progId="Equation.3" shapeId="15362" r:id="rId3"/>
      </mc:Fallback>
    </mc:AlternateContent>
    <mc:AlternateContent xmlns:mc="http://schemas.openxmlformats.org/markup-compatibility/2006">
      <mc:Choice Requires="x14">
        <oleObject progId="Equation.3" shapeId="15363" r:id="rId5">
          <objectPr defaultSize="0" autoPict="0" r:id="rId6">
            <anchor moveWithCells="1" sizeWithCells="1">
              <from>
                <xdr:col>11</xdr:col>
                <xdr:colOff>238125</xdr:colOff>
                <xdr:row>7</xdr:row>
                <xdr:rowOff>123825</xdr:rowOff>
              </from>
              <to>
                <xdr:col>14</xdr:col>
                <xdr:colOff>276225</xdr:colOff>
                <xdr:row>9</xdr:row>
                <xdr:rowOff>57150</xdr:rowOff>
              </to>
            </anchor>
          </objectPr>
        </oleObject>
      </mc:Choice>
      <mc:Fallback>
        <oleObject progId="Equation.3" shapeId="15363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selection activeCell="A2" sqref="A2"/>
    </sheetView>
  </sheetViews>
  <sheetFormatPr defaultRowHeight="15" x14ac:dyDescent="0.25"/>
  <cols>
    <col min="1" max="1" width="10.5703125" style="1" customWidth="1"/>
    <col min="2" max="5" width="9.140625" style="1"/>
    <col min="6" max="6" width="13.140625" style="1" bestFit="1" customWidth="1"/>
    <col min="7" max="16384" width="9.140625" style="1"/>
  </cols>
  <sheetData>
    <row r="1" spans="1:11" x14ac:dyDescent="0.25">
      <c r="A1" s="71" t="s">
        <v>119</v>
      </c>
    </row>
    <row r="3" spans="1:11" s="2" customFormat="1" ht="17.25" x14ac:dyDescent="0.25">
      <c r="A3" s="2" t="s">
        <v>128</v>
      </c>
      <c r="B3" s="2" t="s">
        <v>121</v>
      </c>
      <c r="C3" s="2" t="s">
        <v>122</v>
      </c>
      <c r="D3" s="2" t="s">
        <v>65</v>
      </c>
      <c r="E3" s="2" t="s">
        <v>66</v>
      </c>
      <c r="F3" s="87" t="s">
        <v>118</v>
      </c>
      <c r="H3" s="102" t="s">
        <v>67</v>
      </c>
      <c r="I3" s="102"/>
      <c r="J3" s="102"/>
      <c r="K3" s="91">
        <f>CORREL(D4:D10,E4:E10)</f>
        <v>0.98198050606196574</v>
      </c>
    </row>
    <row r="4" spans="1:11" x14ac:dyDescent="0.25">
      <c r="A4" s="66" t="s">
        <v>58</v>
      </c>
      <c r="B4" s="66">
        <v>1</v>
      </c>
      <c r="C4" s="66">
        <v>9</v>
      </c>
      <c r="D4" s="66">
        <f>_xlfn.RANK.AVG(B4,$B$4:$B$10,1)</f>
        <v>1</v>
      </c>
      <c r="E4" s="66">
        <f>_xlfn.RANK.AVG(C4,$C$4:$C$10,1)</f>
        <v>1</v>
      </c>
      <c r="F4" s="66">
        <f>(D4-E4)^2</f>
        <v>0</v>
      </c>
    </row>
    <row r="5" spans="1:11" x14ac:dyDescent="0.25">
      <c r="A5" s="66" t="s">
        <v>59</v>
      </c>
      <c r="B5" s="66">
        <v>2</v>
      </c>
      <c r="C5" s="66">
        <v>9.1999999999999993</v>
      </c>
      <c r="D5" s="66">
        <f t="shared" ref="D5:D10" si="0">_xlfn.RANK.AVG(B5,$B$4:$B$10,1)</f>
        <v>2.5</v>
      </c>
      <c r="E5" s="66">
        <f t="shared" ref="E5:E10" si="1">_xlfn.RANK.AVG(C5,$C$4:$C$10,1)</f>
        <v>3</v>
      </c>
      <c r="F5" s="66">
        <f t="shared" ref="F5:F10" si="2">(D5-E5)^2</f>
        <v>0.25</v>
      </c>
      <c r="H5"/>
      <c r="I5"/>
      <c r="J5" s="93" t="s">
        <v>124</v>
      </c>
      <c r="K5"/>
    </row>
    <row r="6" spans="1:11" x14ac:dyDescent="0.25">
      <c r="A6" s="66" t="s">
        <v>60</v>
      </c>
      <c r="B6" s="66">
        <v>2</v>
      </c>
      <c r="C6" s="66">
        <v>9.1</v>
      </c>
      <c r="D6" s="66">
        <f t="shared" si="0"/>
        <v>2.5</v>
      </c>
      <c r="E6" s="66">
        <f t="shared" si="1"/>
        <v>2</v>
      </c>
      <c r="F6" s="66">
        <f t="shared" si="2"/>
        <v>0.25</v>
      </c>
      <c r="J6" s="88" t="s">
        <v>68</v>
      </c>
      <c r="K6" s="89">
        <f>1-(6*F11)/(7*(7^2-1))</f>
        <v>0.9821428571428571</v>
      </c>
    </row>
    <row r="7" spans="1:11" x14ac:dyDescent="0.25">
      <c r="A7" s="66" t="s">
        <v>61</v>
      </c>
      <c r="B7" s="66">
        <v>3</v>
      </c>
      <c r="C7" s="66">
        <v>9.5</v>
      </c>
      <c r="D7" s="66">
        <f t="shared" si="0"/>
        <v>4</v>
      </c>
      <c r="E7" s="66">
        <f t="shared" si="1"/>
        <v>4</v>
      </c>
      <c r="F7" s="66">
        <f t="shared" si="2"/>
        <v>0</v>
      </c>
      <c r="J7" s="88" t="s">
        <v>127</v>
      </c>
      <c r="K7" s="1">
        <v>0.78600000000000003</v>
      </c>
    </row>
    <row r="8" spans="1:11" x14ac:dyDescent="0.25">
      <c r="A8" s="66" t="s">
        <v>62</v>
      </c>
      <c r="B8" s="66">
        <v>4</v>
      </c>
      <c r="C8" s="66">
        <v>9.6</v>
      </c>
      <c r="D8" s="66">
        <f t="shared" si="0"/>
        <v>5</v>
      </c>
      <c r="E8" s="66">
        <f t="shared" si="1"/>
        <v>5</v>
      </c>
      <c r="F8" s="66">
        <f t="shared" si="2"/>
        <v>0</v>
      </c>
      <c r="J8" s="88" t="s">
        <v>4</v>
      </c>
      <c r="K8" s="89">
        <f>2*(1-_xlfn.NORM.S.DIST(K6*SQRT(7-1),TRUE))</f>
        <v>1.6139355616295203E-2</v>
      </c>
    </row>
    <row r="9" spans="1:11" x14ac:dyDescent="0.25">
      <c r="A9" s="66" t="s">
        <v>63</v>
      </c>
      <c r="B9" s="66">
        <v>5</v>
      </c>
      <c r="C9" s="66">
        <v>9.8000000000000007</v>
      </c>
      <c r="D9" s="66">
        <f t="shared" si="0"/>
        <v>6.5</v>
      </c>
      <c r="E9" s="66">
        <f t="shared" si="1"/>
        <v>7</v>
      </c>
      <c r="F9" s="66">
        <f t="shared" si="2"/>
        <v>0.25</v>
      </c>
    </row>
    <row r="10" spans="1:11" x14ac:dyDescent="0.25">
      <c r="A10" s="66" t="s">
        <v>64</v>
      </c>
      <c r="B10" s="66">
        <v>5</v>
      </c>
      <c r="C10" s="66">
        <v>9.6999999999999993</v>
      </c>
      <c r="D10" s="66">
        <f t="shared" si="0"/>
        <v>6.5</v>
      </c>
      <c r="E10" s="66">
        <f t="shared" si="1"/>
        <v>6</v>
      </c>
      <c r="F10" s="66">
        <f t="shared" si="2"/>
        <v>0.25</v>
      </c>
    </row>
    <row r="11" spans="1:11" x14ac:dyDescent="0.25">
      <c r="E11" s="94" t="s">
        <v>74</v>
      </c>
      <c r="F11" s="95">
        <f>SUM(F4:F10)</f>
        <v>1</v>
      </c>
    </row>
    <row r="12" spans="1:11" x14ac:dyDescent="0.25">
      <c r="A12" s="83" t="s">
        <v>125</v>
      </c>
    </row>
  </sheetData>
  <mergeCells count="1">
    <mergeCell ref="H3:J3"/>
  </mergeCells>
  <phoneticPr fontId="1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 sizeWithCells="1">
              <from>
                <xdr:col>11</xdr:col>
                <xdr:colOff>361950</xdr:colOff>
                <xdr:row>3</xdr:row>
                <xdr:rowOff>19050</xdr:rowOff>
              </from>
              <to>
                <xdr:col>13</xdr:col>
                <xdr:colOff>314325</xdr:colOff>
                <xdr:row>6</xdr:row>
                <xdr:rowOff>19050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6">
            <anchor moveWithCells="1" sizeWithCells="1">
              <from>
                <xdr:col>11</xdr:col>
                <xdr:colOff>285750</xdr:colOff>
                <xdr:row>6</xdr:row>
                <xdr:rowOff>161925</xdr:rowOff>
              </from>
              <to>
                <xdr:col>13</xdr:col>
                <xdr:colOff>590550</xdr:colOff>
                <xdr:row>8</xdr:row>
                <xdr:rowOff>38100</xdr:rowOff>
              </to>
            </anchor>
          </objectPr>
        </oleObject>
      </mc:Choice>
      <mc:Fallback>
        <oleObject progId="Equation.3" shapeId="1638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5" x14ac:dyDescent="0.25"/>
  <cols>
    <col min="1" max="1" width="31.7109375" style="1" bestFit="1" customWidth="1"/>
    <col min="2" max="2" width="9.140625" style="1"/>
    <col min="3" max="3" width="11.5703125" style="1" bestFit="1" customWidth="1"/>
    <col min="4" max="4" width="10.85546875" style="1" customWidth="1"/>
    <col min="5" max="6" width="9.140625" style="1"/>
    <col min="7" max="7" width="12.140625" style="1" bestFit="1" customWidth="1"/>
    <col min="8" max="16384" width="9.140625" style="1"/>
  </cols>
  <sheetData>
    <row r="1" spans="1:5" x14ac:dyDescent="0.25">
      <c r="A1" s="13" t="s">
        <v>75</v>
      </c>
    </row>
    <row r="3" spans="1:5" x14ac:dyDescent="0.25">
      <c r="A3" s="7" t="s">
        <v>77</v>
      </c>
      <c r="B3" s="1" t="s">
        <v>8</v>
      </c>
      <c r="C3" s="14" t="s">
        <v>9</v>
      </c>
      <c r="D3" s="14" t="s">
        <v>13</v>
      </c>
    </row>
    <row r="4" spans="1:5" x14ac:dyDescent="0.25">
      <c r="A4" s="7" t="s">
        <v>78</v>
      </c>
      <c r="B4" s="1">
        <v>0.2</v>
      </c>
      <c r="C4" s="1">
        <v>2</v>
      </c>
      <c r="D4" s="1">
        <v>0.05</v>
      </c>
    </row>
    <row r="6" spans="1:5" x14ac:dyDescent="0.25">
      <c r="A6" s="2" t="s">
        <v>79</v>
      </c>
      <c r="B6" s="2" t="s">
        <v>1</v>
      </c>
      <c r="C6" s="2" t="s">
        <v>5</v>
      </c>
      <c r="D6" s="15"/>
      <c r="E6" s="16"/>
    </row>
    <row r="7" spans="1:5" x14ac:dyDescent="0.25">
      <c r="A7" s="1">
        <v>0</v>
      </c>
      <c r="B7" s="1">
        <v>800</v>
      </c>
      <c r="C7" s="4">
        <f>$B$18*POISSON(A7,$B$4,FALSE)</f>
        <v>818.73075307798183</v>
      </c>
      <c r="D7" s="17"/>
      <c r="E7" s="16"/>
    </row>
    <row r="8" spans="1:5" x14ac:dyDescent="0.25">
      <c r="A8" s="1">
        <v>1</v>
      </c>
      <c r="B8" s="1">
        <v>175</v>
      </c>
      <c r="C8" s="4">
        <f t="shared" ref="C8:C9" si="0">$B$18*POISSON(A8,$B$4,FALSE)</f>
        <v>163.74615061559638</v>
      </c>
      <c r="D8" s="17"/>
      <c r="E8" s="16"/>
    </row>
    <row r="9" spans="1:5" x14ac:dyDescent="0.25">
      <c r="A9" s="1">
        <v>2</v>
      </c>
      <c r="B9" s="1">
        <v>21</v>
      </c>
      <c r="C9" s="4">
        <f t="shared" si="0"/>
        <v>16.374615061559638</v>
      </c>
      <c r="D9" s="17"/>
      <c r="E9" s="16"/>
    </row>
    <row r="10" spans="1:5" x14ac:dyDescent="0.25">
      <c r="A10" s="18" t="s">
        <v>7</v>
      </c>
      <c r="B10" s="1">
        <v>4</v>
      </c>
      <c r="C10" s="23">
        <f>$B$11*(1-POISSON(2,$B$4,TRUE))</f>
        <v>1.1484812448621096</v>
      </c>
      <c r="D10" s="23" t="s">
        <v>80</v>
      </c>
      <c r="E10" s="16"/>
    </row>
    <row r="11" spans="1:5" x14ac:dyDescent="0.25">
      <c r="A11" s="6" t="s">
        <v>74</v>
      </c>
      <c r="B11" s="7">
        <f>SUM(B7:B10)</f>
        <v>1000</v>
      </c>
      <c r="C11" s="7"/>
      <c r="D11" s="19"/>
      <c r="E11" s="20"/>
    </row>
    <row r="12" spans="1:5" x14ac:dyDescent="0.25">
      <c r="D12" s="21"/>
      <c r="E12" s="20"/>
    </row>
    <row r="13" spans="1:5" x14ac:dyDescent="0.25">
      <c r="D13" s="21"/>
      <c r="E13" s="20"/>
    </row>
    <row r="14" spans="1:5" x14ac:dyDescent="0.25">
      <c r="A14" s="2" t="s">
        <v>79</v>
      </c>
      <c r="B14" s="2" t="s">
        <v>1</v>
      </c>
      <c r="C14" s="2" t="s">
        <v>5</v>
      </c>
      <c r="D14" s="3" t="s">
        <v>76</v>
      </c>
    </row>
    <row r="15" spans="1:5" x14ac:dyDescent="0.25">
      <c r="A15" s="1">
        <v>0</v>
      </c>
      <c r="B15" s="1">
        <v>800</v>
      </c>
      <c r="C15" s="4">
        <f>$B$18*POISSON(A15,$B$4,FALSE)</f>
        <v>818.73075307798183</v>
      </c>
      <c r="D15" s="5">
        <f>(B15-C15)^2/C15</f>
        <v>0.42851830049055112</v>
      </c>
    </row>
    <row r="16" spans="1:5" x14ac:dyDescent="0.25">
      <c r="A16" s="1">
        <v>1</v>
      </c>
      <c r="B16" s="1">
        <v>175</v>
      </c>
      <c r="C16" s="4">
        <f>$B$18*POISSON(A16,$B$4,FALSE)</f>
        <v>163.74615061559638</v>
      </c>
      <c r="D16" s="5">
        <f>(B16-C16)^2/C16</f>
        <v>0.77344795887237672</v>
      </c>
    </row>
    <row r="17" spans="1:5" x14ac:dyDescent="0.25">
      <c r="A17" s="18" t="s">
        <v>12</v>
      </c>
      <c r="B17" s="1">
        <v>25</v>
      </c>
      <c r="C17" s="4">
        <f>$B$11*(1-POISSON(1,$B$4,TRUE))</f>
        <v>17.523096306421792</v>
      </c>
      <c r="D17" s="5">
        <f>(B17-C17)^2/C17</f>
        <v>3.1903088281581811</v>
      </c>
    </row>
    <row r="18" spans="1:5" x14ac:dyDescent="0.25">
      <c r="A18" s="6" t="s">
        <v>74</v>
      </c>
      <c r="B18" s="7">
        <f>SUM(B15:B17)</f>
        <v>1000</v>
      </c>
      <c r="C18" s="7">
        <f>SUM(C15:C17)</f>
        <v>1000</v>
      </c>
      <c r="D18" s="9">
        <f>SUM(D15:D17)</f>
        <v>4.3922750875211092</v>
      </c>
      <c r="E18" s="7" t="s">
        <v>3</v>
      </c>
    </row>
    <row r="19" spans="1:5" x14ac:dyDescent="0.25">
      <c r="D19" s="10">
        <f>_xlfn.CHISQ.INV(1-D4,C4)</f>
        <v>5.9914645471079799</v>
      </c>
      <c r="E19" s="7" t="s">
        <v>6</v>
      </c>
    </row>
    <row r="20" spans="1:5" x14ac:dyDescent="0.25">
      <c r="D20" s="10">
        <f>1-_xlfn.CHISQ.DIST(D18,C4,TRUE)</f>
        <v>0.11123195829008903</v>
      </c>
      <c r="E20" s="7" t="s">
        <v>4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67" r:id="rId4">
          <objectPr defaultSize="0" autoPict="0" r:id="rId5">
            <anchor moveWithCells="1" sizeWithCells="1">
              <from>
                <xdr:col>5</xdr:col>
                <xdr:colOff>57150</xdr:colOff>
                <xdr:row>2</xdr:row>
                <xdr:rowOff>9525</xdr:rowOff>
              </from>
              <to>
                <xdr:col>6</xdr:col>
                <xdr:colOff>485775</xdr:colOff>
                <xdr:row>5</xdr:row>
                <xdr:rowOff>38100</xdr:rowOff>
              </to>
            </anchor>
          </objectPr>
        </oleObject>
      </mc:Choice>
      <mc:Fallback>
        <oleObject progId="Equation.3" shapeId="1067" r:id="rId4"/>
      </mc:Fallback>
    </mc:AlternateContent>
    <mc:AlternateContent xmlns:mc="http://schemas.openxmlformats.org/markup-compatibility/2006">
      <mc:Choice Requires="x14">
        <oleObject progId="Equation.3" shapeId="1068" r:id="rId6">
          <objectPr defaultSize="0" autoPict="0" r:id="rId7">
            <anchor moveWithCells="1" sizeWithCells="1">
              <from>
                <xdr:col>5</xdr:col>
                <xdr:colOff>28575</xdr:colOff>
                <xdr:row>6</xdr:row>
                <xdr:rowOff>19050</xdr:rowOff>
              </from>
              <to>
                <xdr:col>7</xdr:col>
                <xdr:colOff>381000</xdr:colOff>
                <xdr:row>9</xdr:row>
                <xdr:rowOff>38100</xdr:rowOff>
              </to>
            </anchor>
          </objectPr>
        </oleObject>
      </mc:Choice>
      <mc:Fallback>
        <oleObject progId="Equation.3" shapeId="106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"/>
    </sheetView>
  </sheetViews>
  <sheetFormatPr defaultRowHeight="15" x14ac:dyDescent="0.25"/>
  <cols>
    <col min="1" max="1" width="14.140625" style="1" bestFit="1" customWidth="1"/>
    <col min="2" max="2" width="9.140625" style="1"/>
    <col min="3" max="3" width="11.42578125" style="1" bestFit="1" customWidth="1"/>
    <col min="4" max="16384" width="9.140625" style="1"/>
  </cols>
  <sheetData>
    <row r="1" spans="1:5" x14ac:dyDescent="0.25">
      <c r="A1" s="13" t="s">
        <v>81</v>
      </c>
    </row>
    <row r="3" spans="1:5" x14ac:dyDescent="0.25">
      <c r="A3" s="7" t="s">
        <v>77</v>
      </c>
      <c r="B3" s="1" t="s">
        <v>10</v>
      </c>
      <c r="C3" s="2" t="s">
        <v>15</v>
      </c>
      <c r="D3" s="2" t="s">
        <v>14</v>
      </c>
      <c r="E3" s="2" t="s">
        <v>16</v>
      </c>
    </row>
    <row r="4" spans="1:5" x14ac:dyDescent="0.25">
      <c r="A4" s="7" t="s">
        <v>78</v>
      </c>
      <c r="B4" s="1">
        <v>18</v>
      </c>
      <c r="C4" s="1">
        <v>7</v>
      </c>
      <c r="D4" s="1">
        <v>0</v>
      </c>
      <c r="E4" s="1">
        <v>0.1</v>
      </c>
    </row>
    <row r="5" spans="1:5" x14ac:dyDescent="0.25">
      <c r="A5" s="7" t="s">
        <v>85</v>
      </c>
      <c r="B5" s="1">
        <v>3.5</v>
      </c>
    </row>
    <row r="6" spans="1:5" x14ac:dyDescent="0.25">
      <c r="A6" s="7"/>
    </row>
    <row r="7" spans="1:5" x14ac:dyDescent="0.25">
      <c r="B7" s="26" t="s">
        <v>1</v>
      </c>
      <c r="C7" s="26" t="s">
        <v>2</v>
      </c>
    </row>
    <row r="8" spans="1:5" ht="18" x14ac:dyDescent="0.35">
      <c r="A8" s="24" t="s">
        <v>86</v>
      </c>
      <c r="B8" s="24" t="s">
        <v>83</v>
      </c>
      <c r="C8" s="24" t="s">
        <v>84</v>
      </c>
      <c r="D8" s="27" t="s">
        <v>76</v>
      </c>
    </row>
    <row r="9" spans="1:5" x14ac:dyDescent="0.25">
      <c r="A9" s="25" t="s">
        <v>24</v>
      </c>
      <c r="B9" s="28">
        <v>7</v>
      </c>
      <c r="C9" s="29">
        <f>$B$16*NORMDIST(12,B4,B5,TRUE)</f>
        <v>10.809533186708201</v>
      </c>
      <c r="D9" s="30">
        <f t="shared" ref="D9:D15" si="0">(B9-C9)^2/C9</f>
        <v>1.3425689019093161</v>
      </c>
    </row>
    <row r="10" spans="1:5" x14ac:dyDescent="0.25">
      <c r="A10" s="25" t="s">
        <v>19</v>
      </c>
      <c r="B10" s="28">
        <v>22</v>
      </c>
      <c r="C10" s="29">
        <f>$B$16*(NORMDIST(14,$B4,B5,TRUE)-NORMDIST(12,B4,B5,TRUE))</f>
        <v>20.827705431681249</v>
      </c>
      <c r="D10" s="30">
        <f t="shared" si="0"/>
        <v>6.5983003236603457E-2</v>
      </c>
    </row>
    <row r="11" spans="1:5" x14ac:dyDescent="0.25">
      <c r="A11" s="25" t="s">
        <v>20</v>
      </c>
      <c r="B11" s="28">
        <v>55</v>
      </c>
      <c r="C11" s="29">
        <f>$B$16*(NORMDIST(16,B4,B5,TRUE)-NORMDIST(14,B4,B5,TRUE))</f>
        <v>39.326407156279622</v>
      </c>
      <c r="D11" s="30">
        <f t="shared" si="0"/>
        <v>6.2467316593271738</v>
      </c>
    </row>
    <row r="12" spans="1:5" x14ac:dyDescent="0.25">
      <c r="A12" s="25" t="s">
        <v>21</v>
      </c>
      <c r="B12" s="28">
        <v>81</v>
      </c>
      <c r="C12" s="29">
        <f>$B$16*(NORMDIST(18,B4,B5,TRUE)-NORMDIST(16,B4,B5,TRUE))</f>
        <v>54.036354225330932</v>
      </c>
      <c r="D12" s="30">
        <f t="shared" si="0"/>
        <v>13.454612249192254</v>
      </c>
    </row>
    <row r="13" spans="1:5" x14ac:dyDescent="0.25">
      <c r="A13" s="25" t="s">
        <v>22</v>
      </c>
      <c r="B13" s="28">
        <v>53</v>
      </c>
      <c r="C13" s="29">
        <f>$B$16*(NORMDIST(20,B4,B5,TRUE)-NORMDIST(18,B4,B5,TRUE))</f>
        <v>54.036354225330932</v>
      </c>
      <c r="D13" s="30">
        <f t="shared" si="0"/>
        <v>1.9876064841136094E-2</v>
      </c>
    </row>
    <row r="14" spans="1:5" x14ac:dyDescent="0.25">
      <c r="A14" s="25" t="s">
        <v>23</v>
      </c>
      <c r="B14" s="28">
        <v>24</v>
      </c>
      <c r="C14" s="29">
        <f>$B$16*(NORMDIST(22,B4,B5,TRUE)-NORMDIST(20,B4,B5,TRUE))</f>
        <v>39.326407156279608</v>
      </c>
      <c r="D14" s="30">
        <f t="shared" si="0"/>
        <v>5.9730540699177581</v>
      </c>
    </row>
    <row r="15" spans="1:5" x14ac:dyDescent="0.25">
      <c r="A15" s="25" t="s">
        <v>87</v>
      </c>
      <c r="B15" s="28">
        <v>8</v>
      </c>
      <c r="C15" s="29">
        <f>$B$16*(1-NORMDIST(22,B4,B5,TRUE))</f>
        <v>31.637238618389464</v>
      </c>
      <c r="D15" s="30">
        <f t="shared" si="0"/>
        <v>17.660171174924262</v>
      </c>
    </row>
    <row r="16" spans="1:5" x14ac:dyDescent="0.25">
      <c r="A16" s="6" t="s">
        <v>0</v>
      </c>
      <c r="B16" s="7">
        <f>SUM(B9:B15)</f>
        <v>250</v>
      </c>
      <c r="C16" s="31">
        <f>SUM(C9:C15)</f>
        <v>250</v>
      </c>
      <c r="D16" s="32">
        <f>SUM(D9:D15)</f>
        <v>44.762997123348498</v>
      </c>
      <c r="E16" s="7" t="s">
        <v>3</v>
      </c>
    </row>
    <row r="17" spans="1:8" x14ac:dyDescent="0.25">
      <c r="D17" s="10">
        <f>_xlfn.CHISQ.INV(1-E4,C4-D4-1)</f>
        <v>10.64464067566842</v>
      </c>
      <c r="E17" s="7" t="s">
        <v>17</v>
      </c>
    </row>
    <row r="18" spans="1:8" x14ac:dyDescent="0.25">
      <c r="D18" s="10">
        <f>1-_xlfn.CHISQ.DIST(D16, C4-D4-1,TRUE)</f>
        <v>5.2161136077089054E-8</v>
      </c>
      <c r="E18" s="7" t="s">
        <v>4</v>
      </c>
    </row>
    <row r="21" spans="1:8" x14ac:dyDescent="0.25">
      <c r="A21" s="13" t="s">
        <v>82</v>
      </c>
    </row>
    <row r="23" spans="1:8" x14ac:dyDescent="0.25">
      <c r="A23" s="7" t="s">
        <v>77</v>
      </c>
      <c r="B23" s="1" t="s">
        <v>10</v>
      </c>
      <c r="C23" s="2" t="s">
        <v>15</v>
      </c>
      <c r="D23" s="2" t="s">
        <v>14</v>
      </c>
      <c r="E23" s="2" t="s">
        <v>16</v>
      </c>
    </row>
    <row r="24" spans="1:8" x14ac:dyDescent="0.25">
      <c r="A24" s="7" t="s">
        <v>78</v>
      </c>
      <c r="B24" s="22">
        <f>SUMPRODUCT(A29:A35,C29:C35)/C36</f>
        <v>16.899999999999999</v>
      </c>
      <c r="C24" s="1">
        <v>7</v>
      </c>
      <c r="D24" s="1">
        <v>2</v>
      </c>
      <c r="E24" s="1">
        <v>0.1</v>
      </c>
    </row>
    <row r="25" spans="1:8" x14ac:dyDescent="0.25">
      <c r="A25" s="7" t="s">
        <v>85</v>
      </c>
      <c r="B25" s="36">
        <f>SQRT(SUMPRODUCT(C29:C35, (A29:A35-$B$24)^2)/(C36-1))</f>
        <v>3.039565071403008</v>
      </c>
    </row>
    <row r="26" spans="1:8" x14ac:dyDescent="0.25">
      <c r="A26" s="7"/>
      <c r="B26" s="34"/>
    </row>
    <row r="27" spans="1:8" x14ac:dyDescent="0.25">
      <c r="B27" s="26" t="s">
        <v>1</v>
      </c>
      <c r="C27" s="26" t="s">
        <v>2</v>
      </c>
    </row>
    <row r="28" spans="1:8" ht="30" x14ac:dyDescent="0.25">
      <c r="A28" s="97" t="s">
        <v>131</v>
      </c>
      <c r="B28" s="98" t="s">
        <v>86</v>
      </c>
      <c r="C28" s="98" t="s">
        <v>83</v>
      </c>
      <c r="D28" s="98" t="s">
        <v>84</v>
      </c>
      <c r="E28" s="27" t="s">
        <v>76</v>
      </c>
      <c r="H28" s="75" t="s">
        <v>135</v>
      </c>
    </row>
    <row r="29" spans="1:8" x14ac:dyDescent="0.25">
      <c r="A29" s="35">
        <v>6</v>
      </c>
      <c r="B29" s="25" t="s">
        <v>18</v>
      </c>
      <c r="C29" s="28">
        <v>7</v>
      </c>
      <c r="D29" s="29">
        <f>$C$36*NORMDIST(12,B24,B25,TRUE)</f>
        <v>13.368263925566326</v>
      </c>
      <c r="E29" s="30">
        <f t="shared" ref="E29:E35" si="1">(C29-D29)^2/D29</f>
        <v>3.0336613378877013</v>
      </c>
      <c r="H29" s="100" t="s">
        <v>134</v>
      </c>
    </row>
    <row r="30" spans="1:8" x14ac:dyDescent="0.25">
      <c r="A30" s="35">
        <v>13</v>
      </c>
      <c r="B30" s="25" t="s">
        <v>19</v>
      </c>
      <c r="C30" s="28">
        <v>22</v>
      </c>
      <c r="D30" s="29">
        <f>$C$36*(NORMDIST(14,$B24,B25,TRUE)-NORMDIST(12,B24,B25,TRUE))</f>
        <v>29.136884981681177</v>
      </c>
      <c r="E30" s="30">
        <f t="shared" si="1"/>
        <v>1.7481322136450093</v>
      </c>
      <c r="H30" s="99" t="s">
        <v>133</v>
      </c>
    </row>
    <row r="31" spans="1:8" x14ac:dyDescent="0.25">
      <c r="A31" s="35">
        <v>15</v>
      </c>
      <c r="B31" s="25" t="s">
        <v>20</v>
      </c>
      <c r="C31" s="28">
        <v>55</v>
      </c>
      <c r="D31" s="29">
        <f>$C$36*(NORMDIST(16,B24,B25,TRUE)-NORMDIST(14,B24,B25,TRUE))</f>
        <v>53.38954325301075</v>
      </c>
      <c r="E31" s="30">
        <f t="shared" si="1"/>
        <v>4.8578256637865892E-2</v>
      </c>
    </row>
    <row r="32" spans="1:8" x14ac:dyDescent="0.25">
      <c r="A32" s="35">
        <v>17</v>
      </c>
      <c r="B32" s="25" t="s">
        <v>21</v>
      </c>
      <c r="C32" s="28">
        <v>81</v>
      </c>
      <c r="D32" s="29">
        <f>$C$36*(NORMDIST(18,B24,B25,TRUE)-NORMDIST(16,B24,B25,TRUE))</f>
        <v>64.426391241372926</v>
      </c>
      <c r="E32" s="30">
        <f t="shared" si="1"/>
        <v>4.2635401733885248</v>
      </c>
      <c r="H32" s="1" t="s">
        <v>136</v>
      </c>
    </row>
    <row r="33" spans="1:8" x14ac:dyDescent="0.25">
      <c r="A33" s="35">
        <v>19</v>
      </c>
      <c r="B33" s="25" t="s">
        <v>22</v>
      </c>
      <c r="C33" s="28">
        <v>53</v>
      </c>
      <c r="D33" s="29">
        <f>$C$36*(NORMDIST(20,B24,B25,TRUE)-NORMDIST(18,B24,B25,TRUE))</f>
        <v>51.205907974675725</v>
      </c>
      <c r="E33" s="30">
        <f t="shared" si="1"/>
        <v>6.2859273912768521E-2</v>
      </c>
      <c r="H33" s="99" t="s">
        <v>132</v>
      </c>
    </row>
    <row r="34" spans="1:8" x14ac:dyDescent="0.25">
      <c r="A34" s="35">
        <v>21</v>
      </c>
      <c r="B34" s="25" t="s">
        <v>23</v>
      </c>
      <c r="C34" s="28">
        <v>24</v>
      </c>
      <c r="D34" s="29">
        <f>$C$36*(NORMDIST(22,B24,B25,TRUE)-NORMDIST(20,B24,B25,TRUE))</f>
        <v>26.801488370078285</v>
      </c>
      <c r="E34" s="30">
        <f t="shared" si="1"/>
        <v>0.29283213601099584</v>
      </c>
    </row>
    <row r="35" spans="1:8" x14ac:dyDescent="0.25">
      <c r="A35" s="35">
        <v>23</v>
      </c>
      <c r="B35" s="25" t="s">
        <v>87</v>
      </c>
      <c r="C35" s="28">
        <v>8</v>
      </c>
      <c r="D35" s="29">
        <f>$C$36*(1-NORMDIST(22,B24,B25,TRUE))</f>
        <v>11.671520253614814</v>
      </c>
      <c r="E35" s="30">
        <f t="shared" si="1"/>
        <v>1.154953311975691</v>
      </c>
    </row>
    <row r="36" spans="1:8" x14ac:dyDescent="0.25">
      <c r="B36" s="6" t="s">
        <v>0</v>
      </c>
      <c r="C36" s="7">
        <f>SUM(C29:C35)</f>
        <v>250</v>
      </c>
      <c r="D36" s="31">
        <f>SUM(D29:D35)</f>
        <v>250</v>
      </c>
      <c r="E36" s="32">
        <f>SUM(E29:E35)</f>
        <v>10.604556703458556</v>
      </c>
      <c r="F36" s="7" t="s">
        <v>3</v>
      </c>
      <c r="H36" s="99"/>
    </row>
    <row r="37" spans="1:8" x14ac:dyDescent="0.25">
      <c r="E37" s="10">
        <f>_xlfn.CHISQ.INV(1-E24,C24-D24-1)</f>
        <v>7.779440339734859</v>
      </c>
      <c r="F37" s="7" t="s">
        <v>17</v>
      </c>
    </row>
    <row r="38" spans="1:8" x14ac:dyDescent="0.25">
      <c r="E38" s="10">
        <f>1-_xlfn.CHISQ.DIST(E36, C24-D24-1,TRUE)</f>
        <v>3.1386822474262943E-2</v>
      </c>
      <c r="F38" s="7" t="s">
        <v>4</v>
      </c>
    </row>
  </sheetData>
  <phoneticPr fontId="1" type="noConversion"/>
  <hyperlinks>
    <hyperlink ref="H30" r:id="rId1"/>
    <hyperlink ref="H33" r:id="rId2"/>
  </hyperlinks>
  <pageMargins left="0.75" right="0.75" top="1" bottom="1" header="0.5" footer="0.5"/>
  <pageSetup paperSize="9" orientation="portrait" horizontalDpi="1200" verticalDpi="1200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Equation.3" shapeId="5122" r:id="rId6">
          <objectPr defaultSize="0" autoPict="0" r:id="rId7">
            <anchor moveWithCells="1" sizeWithCells="1">
              <from>
                <xdr:col>4</xdr:col>
                <xdr:colOff>495300</xdr:colOff>
                <xdr:row>6</xdr:row>
                <xdr:rowOff>142875</xdr:rowOff>
              </from>
              <to>
                <xdr:col>7</xdr:col>
                <xdr:colOff>495300</xdr:colOff>
                <xdr:row>9</xdr:row>
                <xdr:rowOff>123825</xdr:rowOff>
              </to>
            </anchor>
          </objectPr>
        </oleObject>
      </mc:Choice>
      <mc:Fallback>
        <oleObject progId="Equation.3" shapeId="5122" r:id="rId6"/>
      </mc:Fallback>
    </mc:AlternateContent>
    <mc:AlternateContent xmlns:mc="http://schemas.openxmlformats.org/markup-compatibility/2006">
      <mc:Choice Requires="x14">
        <oleObject progId="Equation.3" shapeId="5123" r:id="rId8">
          <objectPr defaultSize="0" autoPict="0" r:id="rId9">
            <anchor moveWithCells="1" sizeWithCells="1">
              <from>
                <xdr:col>6</xdr:col>
                <xdr:colOff>76200</xdr:colOff>
                <xdr:row>22</xdr:row>
                <xdr:rowOff>161925</xdr:rowOff>
              </from>
              <to>
                <xdr:col>11</xdr:col>
                <xdr:colOff>323850</xdr:colOff>
                <xdr:row>25</xdr:row>
                <xdr:rowOff>180975</xdr:rowOff>
              </to>
            </anchor>
          </objectPr>
        </oleObject>
      </mc:Choice>
      <mc:Fallback>
        <oleObject progId="Equation.3" shapeId="5123" r:id="rId8"/>
      </mc:Fallback>
    </mc:AlternateContent>
    <mc:AlternateContent xmlns:mc="http://schemas.openxmlformats.org/markup-compatibility/2006">
      <mc:Choice Requires="x14">
        <oleObject progId="Equation.3" shapeId="5124" r:id="rId10">
          <objectPr defaultSize="0" autoPict="0" r:id="rId11">
            <anchor moveWithCells="1" sizeWithCells="1">
              <from>
                <xdr:col>6</xdr:col>
                <xdr:colOff>0</xdr:colOff>
                <xdr:row>1</xdr:row>
                <xdr:rowOff>104775</xdr:rowOff>
              </from>
              <to>
                <xdr:col>6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Equation.3" shapeId="5124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A2" sqref="A2"/>
    </sheetView>
  </sheetViews>
  <sheetFormatPr defaultRowHeight="15" customHeight="1" x14ac:dyDescent="0.2"/>
  <cols>
    <col min="1" max="1" width="12.85546875" style="37" customWidth="1"/>
    <col min="2" max="2" width="9.140625" style="37"/>
    <col min="3" max="3" width="14.140625" style="37" bestFit="1" customWidth="1"/>
    <col min="4" max="7" width="9.140625" style="37"/>
    <col min="8" max="8" width="15.28515625" style="37" bestFit="1" customWidth="1"/>
    <col min="9" max="16384" width="9.140625" style="37"/>
  </cols>
  <sheetData>
    <row r="1" spans="1:8" ht="15" customHeight="1" x14ac:dyDescent="0.2">
      <c r="A1" s="13" t="s">
        <v>88</v>
      </c>
    </row>
    <row r="3" spans="1:8" ht="15" customHeight="1" x14ac:dyDescent="0.2">
      <c r="A3" s="3" t="s">
        <v>91</v>
      </c>
      <c r="C3" s="12" t="s">
        <v>77</v>
      </c>
      <c r="D3" s="37" t="s">
        <v>10</v>
      </c>
      <c r="E3" s="3" t="s">
        <v>16</v>
      </c>
      <c r="F3" s="3" t="s">
        <v>25</v>
      </c>
    </row>
    <row r="4" spans="1:8" ht="15" customHeight="1" x14ac:dyDescent="0.2">
      <c r="A4" s="37">
        <v>4</v>
      </c>
      <c r="C4" s="12" t="s">
        <v>78</v>
      </c>
      <c r="D4" s="38">
        <f>AVERAGE(A4:A23)</f>
        <v>6.83</v>
      </c>
      <c r="E4" s="37">
        <v>0.05</v>
      </c>
      <c r="F4" s="37">
        <v>20</v>
      </c>
    </row>
    <row r="5" spans="1:8" ht="15" customHeight="1" x14ac:dyDescent="0.2">
      <c r="A5" s="37">
        <v>4.3</v>
      </c>
      <c r="C5" s="12" t="s">
        <v>85</v>
      </c>
      <c r="D5" s="39">
        <f>_xlfn.STDEV.S(A4:A23)</f>
        <v>1.7235520238586868</v>
      </c>
    </row>
    <row r="6" spans="1:8" ht="15" customHeight="1" x14ac:dyDescent="0.2">
      <c r="A6" s="37">
        <v>4.7</v>
      </c>
    </row>
    <row r="7" spans="1:8" ht="15" customHeight="1" x14ac:dyDescent="0.2">
      <c r="A7" s="37">
        <v>5</v>
      </c>
      <c r="C7" s="27" t="s">
        <v>26</v>
      </c>
      <c r="D7" s="27" t="s">
        <v>27</v>
      </c>
      <c r="E7" s="27" t="s">
        <v>32</v>
      </c>
      <c r="F7" s="27" t="s">
        <v>28</v>
      </c>
      <c r="G7" s="27" t="s">
        <v>29</v>
      </c>
      <c r="H7" s="27" t="s">
        <v>89</v>
      </c>
    </row>
    <row r="8" spans="1:8" ht="15" customHeight="1" x14ac:dyDescent="0.2">
      <c r="A8" s="37">
        <v>5.2</v>
      </c>
      <c r="C8" s="40">
        <v>1</v>
      </c>
      <c r="D8" s="40">
        <v>20</v>
      </c>
      <c r="E8" s="40">
        <v>0.47339999999999999</v>
      </c>
      <c r="F8" s="40">
        <v>9.5</v>
      </c>
      <c r="G8" s="40">
        <v>4</v>
      </c>
      <c r="H8" s="40">
        <f>E8*(F8-G8)</f>
        <v>2.6036999999999999</v>
      </c>
    </row>
    <row r="9" spans="1:8" ht="15" customHeight="1" x14ac:dyDescent="0.2">
      <c r="A9" s="37">
        <v>5.5</v>
      </c>
      <c r="C9" s="40">
        <v>2</v>
      </c>
      <c r="D9" s="40">
        <v>19</v>
      </c>
      <c r="E9" s="40">
        <v>0.3211</v>
      </c>
      <c r="F9" s="40">
        <v>9.1999999999999993</v>
      </c>
      <c r="G9" s="40">
        <v>4.3</v>
      </c>
      <c r="H9" s="40">
        <f t="shared" ref="H9:H17" si="0">E9*(F9-G9)</f>
        <v>1.5733899999999998</v>
      </c>
    </row>
    <row r="10" spans="1:8" ht="15" customHeight="1" x14ac:dyDescent="0.2">
      <c r="A10" s="37">
        <v>5.8</v>
      </c>
      <c r="C10" s="40">
        <v>3</v>
      </c>
      <c r="D10" s="40">
        <v>18</v>
      </c>
      <c r="E10" s="40">
        <v>0.25650000000000001</v>
      </c>
      <c r="F10" s="40">
        <v>9.1</v>
      </c>
      <c r="G10" s="40">
        <v>4.7</v>
      </c>
      <c r="H10" s="40">
        <f t="shared" si="0"/>
        <v>1.1285999999999998</v>
      </c>
    </row>
    <row r="11" spans="1:8" ht="15" customHeight="1" x14ac:dyDescent="0.2">
      <c r="A11" s="37">
        <v>6.1</v>
      </c>
      <c r="C11" s="40">
        <v>4</v>
      </c>
      <c r="D11" s="40">
        <v>17</v>
      </c>
      <c r="E11" s="40">
        <v>0.20849999999999999</v>
      </c>
      <c r="F11" s="40">
        <v>8.6</v>
      </c>
      <c r="G11" s="40">
        <v>5</v>
      </c>
      <c r="H11" s="40">
        <f t="shared" si="0"/>
        <v>0.75059999999999993</v>
      </c>
    </row>
    <row r="12" spans="1:8" ht="15" customHeight="1" x14ac:dyDescent="0.2">
      <c r="A12" s="37">
        <v>6.4</v>
      </c>
      <c r="C12" s="40">
        <v>5</v>
      </c>
      <c r="D12" s="40">
        <v>16</v>
      </c>
      <c r="E12" s="40">
        <v>0.1686</v>
      </c>
      <c r="F12" s="40">
        <v>8.5</v>
      </c>
      <c r="G12" s="40">
        <v>5.2</v>
      </c>
      <c r="H12" s="40">
        <f t="shared" si="0"/>
        <v>0.55637999999999999</v>
      </c>
    </row>
    <row r="13" spans="1:8" ht="15" customHeight="1" x14ac:dyDescent="0.2">
      <c r="A13" s="37">
        <v>6.7</v>
      </c>
      <c r="C13" s="40">
        <v>6</v>
      </c>
      <c r="D13" s="40">
        <v>15</v>
      </c>
      <c r="E13" s="40">
        <v>0.13339999999999999</v>
      </c>
      <c r="F13" s="40">
        <v>8.3000000000000007</v>
      </c>
      <c r="G13" s="40">
        <v>5.5</v>
      </c>
      <c r="H13" s="40">
        <f t="shared" si="0"/>
        <v>0.37352000000000007</v>
      </c>
    </row>
    <row r="14" spans="1:8" ht="15" customHeight="1" x14ac:dyDescent="0.2">
      <c r="A14" s="37">
        <v>7</v>
      </c>
      <c r="C14" s="40">
        <v>7</v>
      </c>
      <c r="D14" s="40">
        <v>14</v>
      </c>
      <c r="E14" s="40">
        <v>0.1013</v>
      </c>
      <c r="F14" s="40">
        <v>8</v>
      </c>
      <c r="G14" s="40">
        <v>5.8</v>
      </c>
      <c r="H14" s="40">
        <f t="shared" si="0"/>
        <v>0.22286000000000003</v>
      </c>
    </row>
    <row r="15" spans="1:8" ht="15" customHeight="1" x14ac:dyDescent="0.2">
      <c r="A15" s="37">
        <v>7.3</v>
      </c>
      <c r="C15" s="40">
        <v>8</v>
      </c>
      <c r="D15" s="40">
        <v>13</v>
      </c>
      <c r="E15" s="40">
        <v>7.1099999999999997E-2</v>
      </c>
      <c r="F15" s="40">
        <v>7.4</v>
      </c>
      <c r="G15" s="40">
        <v>6.1</v>
      </c>
      <c r="H15" s="40">
        <f t="shared" si="0"/>
        <v>9.243000000000004E-2</v>
      </c>
    </row>
    <row r="16" spans="1:8" ht="15" customHeight="1" x14ac:dyDescent="0.2">
      <c r="A16" s="37">
        <v>7.4</v>
      </c>
      <c r="C16" s="40">
        <v>9</v>
      </c>
      <c r="D16" s="40">
        <v>12</v>
      </c>
      <c r="E16" s="40">
        <v>4.2200000000000001E-2</v>
      </c>
      <c r="F16" s="40">
        <v>7.3</v>
      </c>
      <c r="G16" s="40">
        <v>6.4</v>
      </c>
      <c r="H16" s="40">
        <f t="shared" si="0"/>
        <v>3.7979999999999979E-2</v>
      </c>
    </row>
    <row r="17" spans="1:9" ht="15" customHeight="1" x14ac:dyDescent="0.2">
      <c r="A17" s="37">
        <v>8</v>
      </c>
      <c r="C17" s="40">
        <v>10</v>
      </c>
      <c r="D17" s="40">
        <v>11</v>
      </c>
      <c r="E17" s="40">
        <v>1.4E-2</v>
      </c>
      <c r="F17" s="40">
        <v>7</v>
      </c>
      <c r="G17" s="40">
        <v>6.7</v>
      </c>
      <c r="H17" s="40">
        <f t="shared" si="0"/>
        <v>4.199999999999998E-3</v>
      </c>
    </row>
    <row r="18" spans="1:9" ht="15" customHeight="1" x14ac:dyDescent="0.2">
      <c r="A18" s="37">
        <v>8.3000000000000007</v>
      </c>
      <c r="G18" s="41" t="s">
        <v>92</v>
      </c>
      <c r="H18" s="41">
        <f>SUM(H8:H17)</f>
        <v>7.343659999999999</v>
      </c>
    </row>
    <row r="19" spans="1:9" ht="15" customHeight="1" x14ac:dyDescent="0.2">
      <c r="A19" s="37">
        <v>8.5</v>
      </c>
      <c r="G19" s="40" t="s">
        <v>93</v>
      </c>
      <c r="H19" s="42">
        <f>D5^2</f>
        <v>2.9706315789473754</v>
      </c>
    </row>
    <row r="20" spans="1:9" ht="15" customHeight="1" x14ac:dyDescent="0.2">
      <c r="A20" s="37">
        <v>8.6</v>
      </c>
      <c r="G20" s="40" t="s">
        <v>90</v>
      </c>
      <c r="H20" s="43">
        <f>(F4-1)*H19</f>
        <v>56.442000000000135</v>
      </c>
    </row>
    <row r="21" spans="1:9" ht="15" customHeight="1" x14ac:dyDescent="0.2">
      <c r="A21" s="37">
        <v>9.1</v>
      </c>
      <c r="G21" s="44" t="s">
        <v>30</v>
      </c>
      <c r="H21" s="45">
        <f>H18^2/H20</f>
        <v>0.95548248105311395</v>
      </c>
    </row>
    <row r="22" spans="1:9" ht="15" customHeight="1" x14ac:dyDescent="0.2">
      <c r="A22" s="37">
        <v>9.1999999999999993</v>
      </c>
      <c r="G22" s="46" t="s">
        <v>31</v>
      </c>
      <c r="H22" s="46">
        <v>0.90500000000000003</v>
      </c>
      <c r="I22" s="47" t="s">
        <v>94</v>
      </c>
    </row>
    <row r="23" spans="1:9" ht="15" customHeight="1" x14ac:dyDescent="0.2">
      <c r="A23" s="37">
        <v>9.5</v>
      </c>
      <c r="G23" s="48"/>
      <c r="H23" s="48"/>
      <c r="I23" s="48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6</xdr:col>
                <xdr:colOff>266700</xdr:colOff>
                <xdr:row>1</xdr:row>
                <xdr:rowOff>104775</xdr:rowOff>
              </from>
              <to>
                <xdr:col>7</xdr:col>
                <xdr:colOff>695325</xdr:colOff>
                <xdr:row>4</xdr:row>
                <xdr:rowOff>95250</xdr:rowOff>
              </to>
            </anchor>
          </objectPr>
        </oleObject>
      </mc:Choice>
      <mc:Fallback>
        <oleObject progId="Equation.3" shapeId="819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selection activeCell="A2" sqref="A2"/>
    </sheetView>
  </sheetViews>
  <sheetFormatPr defaultRowHeight="15" customHeight="1" x14ac:dyDescent="0.2"/>
  <cols>
    <col min="1" max="1" width="12.85546875" style="49" customWidth="1"/>
    <col min="2" max="2" width="9.140625" style="49"/>
    <col min="3" max="3" width="14.140625" style="49" bestFit="1" customWidth="1"/>
    <col min="4" max="7" width="9.7109375" style="49" customWidth="1"/>
    <col min="8" max="8" width="15.28515625" style="49" bestFit="1" customWidth="1"/>
    <col min="9" max="16384" width="9.140625" style="49"/>
  </cols>
  <sheetData>
    <row r="1" spans="1:8" ht="15" customHeight="1" x14ac:dyDescent="0.2">
      <c r="A1" s="13" t="s">
        <v>88</v>
      </c>
    </row>
    <row r="3" spans="1:8" ht="15" customHeight="1" x14ac:dyDescent="0.2">
      <c r="A3" s="3" t="s">
        <v>91</v>
      </c>
      <c r="C3" s="12" t="s">
        <v>77</v>
      </c>
      <c r="D3" s="49" t="s">
        <v>10</v>
      </c>
      <c r="E3" s="50" t="s">
        <v>16</v>
      </c>
      <c r="F3" s="50" t="s">
        <v>25</v>
      </c>
    </row>
    <row r="4" spans="1:8" ht="15" customHeight="1" x14ac:dyDescent="0.2">
      <c r="A4" s="49">
        <v>395</v>
      </c>
      <c r="B4" s="51">
        <v>1</v>
      </c>
      <c r="C4" s="12" t="s">
        <v>85</v>
      </c>
      <c r="D4" s="52">
        <f>_xlfn.STDEV.S(A4:A18)</f>
        <v>78.822102290688917</v>
      </c>
      <c r="E4" s="49">
        <v>0.05</v>
      </c>
      <c r="F4" s="49">
        <v>15</v>
      </c>
    </row>
    <row r="5" spans="1:8" ht="15" customHeight="1" x14ac:dyDescent="0.2">
      <c r="A5" s="49">
        <v>481</v>
      </c>
      <c r="B5" s="51">
        <v>2</v>
      </c>
    </row>
    <row r="6" spans="1:8" ht="15" customHeight="1" x14ac:dyDescent="0.2">
      <c r="A6" s="49">
        <v>515</v>
      </c>
      <c r="B6" s="51">
        <v>3</v>
      </c>
    </row>
    <row r="7" spans="1:8" ht="15" customHeight="1" x14ac:dyDescent="0.2">
      <c r="A7" s="49">
        <v>525</v>
      </c>
      <c r="B7" s="51">
        <v>4</v>
      </c>
      <c r="C7" s="53" t="s">
        <v>26</v>
      </c>
      <c r="D7" s="53" t="s">
        <v>27</v>
      </c>
      <c r="E7" s="53" t="s">
        <v>32</v>
      </c>
      <c r="F7" s="53" t="s">
        <v>28</v>
      </c>
      <c r="G7" s="53" t="s">
        <v>29</v>
      </c>
      <c r="H7" s="53" t="s">
        <v>89</v>
      </c>
    </row>
    <row r="8" spans="1:8" ht="15" customHeight="1" x14ac:dyDescent="0.2">
      <c r="A8" s="49">
        <v>540</v>
      </c>
      <c r="B8" s="51">
        <v>5</v>
      </c>
      <c r="C8" s="54">
        <v>1</v>
      </c>
      <c r="D8" s="54">
        <v>15</v>
      </c>
      <c r="E8" s="54">
        <v>0.51500000000000001</v>
      </c>
      <c r="F8" s="54">
        <v>740</v>
      </c>
      <c r="G8" s="54">
        <v>395</v>
      </c>
      <c r="H8" s="54">
        <f t="shared" ref="H8:H15" si="0">E8*(F8-G8)</f>
        <v>177.67500000000001</v>
      </c>
    </row>
    <row r="9" spans="1:8" ht="15" customHeight="1" x14ac:dyDescent="0.2">
      <c r="A9" s="49">
        <v>562</v>
      </c>
      <c r="B9" s="51">
        <v>6</v>
      </c>
      <c r="C9" s="54">
        <v>2</v>
      </c>
      <c r="D9" s="54">
        <v>14</v>
      </c>
      <c r="E9" s="54">
        <v>0.3306</v>
      </c>
      <c r="F9" s="54">
        <v>642</v>
      </c>
      <c r="G9" s="54">
        <v>481</v>
      </c>
      <c r="H9" s="54">
        <f t="shared" si="0"/>
        <v>53.226599999999998</v>
      </c>
    </row>
    <row r="10" spans="1:8" ht="15" customHeight="1" x14ac:dyDescent="0.2">
      <c r="A10" s="49">
        <v>580</v>
      </c>
      <c r="B10" s="51">
        <v>7</v>
      </c>
      <c r="C10" s="54">
        <v>3</v>
      </c>
      <c r="D10" s="54">
        <v>13</v>
      </c>
      <c r="E10" s="54">
        <v>0.2495</v>
      </c>
      <c r="F10" s="54">
        <v>620</v>
      </c>
      <c r="G10" s="54">
        <v>515</v>
      </c>
      <c r="H10" s="54">
        <f t="shared" si="0"/>
        <v>26.197500000000002</v>
      </c>
    </row>
    <row r="11" spans="1:8" ht="15" customHeight="1" x14ac:dyDescent="0.2">
      <c r="A11" s="55">
        <v>584</v>
      </c>
      <c r="B11" s="56">
        <v>8</v>
      </c>
      <c r="C11" s="54">
        <v>4</v>
      </c>
      <c r="D11" s="54">
        <v>12</v>
      </c>
      <c r="E11" s="54">
        <v>0.18779999999999999</v>
      </c>
      <c r="F11" s="54">
        <v>618</v>
      </c>
      <c r="G11" s="54">
        <v>525</v>
      </c>
      <c r="H11" s="54">
        <f t="shared" si="0"/>
        <v>17.465399999999999</v>
      </c>
    </row>
    <row r="12" spans="1:8" ht="15" customHeight="1" x14ac:dyDescent="0.2">
      <c r="A12" s="49">
        <v>596</v>
      </c>
      <c r="B12" s="51">
        <v>9</v>
      </c>
      <c r="C12" s="54">
        <v>5</v>
      </c>
      <c r="D12" s="54">
        <v>11</v>
      </c>
      <c r="E12" s="54">
        <v>0.1353</v>
      </c>
      <c r="F12" s="54">
        <v>615</v>
      </c>
      <c r="G12" s="54">
        <v>540</v>
      </c>
      <c r="H12" s="54">
        <f t="shared" si="0"/>
        <v>10.147500000000001</v>
      </c>
    </row>
    <row r="13" spans="1:8" ht="15" customHeight="1" x14ac:dyDescent="0.2">
      <c r="A13" s="49">
        <v>598</v>
      </c>
      <c r="B13" s="51">
        <v>10</v>
      </c>
      <c r="C13" s="54">
        <v>6</v>
      </c>
      <c r="D13" s="54">
        <v>10</v>
      </c>
      <c r="E13" s="54">
        <v>8.7999999999999995E-2</v>
      </c>
      <c r="F13" s="54">
        <v>598</v>
      </c>
      <c r="G13" s="54">
        <v>562</v>
      </c>
      <c r="H13" s="54">
        <f t="shared" si="0"/>
        <v>3.1679999999999997</v>
      </c>
    </row>
    <row r="14" spans="1:8" ht="15" customHeight="1" x14ac:dyDescent="0.2">
      <c r="A14" s="49">
        <v>615</v>
      </c>
      <c r="B14" s="51">
        <v>11</v>
      </c>
      <c r="C14" s="54">
        <v>7</v>
      </c>
      <c r="D14" s="54">
        <v>9</v>
      </c>
      <c r="E14" s="54">
        <v>4.3299999999999998E-2</v>
      </c>
      <c r="F14" s="54">
        <v>596</v>
      </c>
      <c r="G14" s="54">
        <v>580</v>
      </c>
      <c r="H14" s="54">
        <f t="shared" si="0"/>
        <v>0.69279999999999997</v>
      </c>
    </row>
    <row r="15" spans="1:8" ht="15" customHeight="1" x14ac:dyDescent="0.2">
      <c r="A15" s="49">
        <v>618</v>
      </c>
      <c r="B15" s="51">
        <v>12</v>
      </c>
      <c r="C15" s="54">
        <v>8</v>
      </c>
      <c r="D15" s="54">
        <v>8</v>
      </c>
      <c r="E15" s="54">
        <v>0</v>
      </c>
      <c r="F15" s="54">
        <v>584</v>
      </c>
      <c r="G15" s="54">
        <v>584</v>
      </c>
      <c r="H15" s="54">
        <f t="shared" si="0"/>
        <v>0</v>
      </c>
    </row>
    <row r="16" spans="1:8" ht="15" customHeight="1" x14ac:dyDescent="0.2">
      <c r="A16" s="49">
        <v>620</v>
      </c>
      <c r="B16" s="51">
        <v>13</v>
      </c>
      <c r="G16" s="57" t="s">
        <v>92</v>
      </c>
      <c r="H16" s="57">
        <f>SUM(H8:H15)</f>
        <v>288.57279999999997</v>
      </c>
    </row>
    <row r="17" spans="1:9" ht="15" customHeight="1" x14ac:dyDescent="0.2">
      <c r="A17" s="49">
        <v>642</v>
      </c>
      <c r="B17" s="51">
        <v>14</v>
      </c>
      <c r="G17" s="54" t="s">
        <v>93</v>
      </c>
      <c r="H17" s="58">
        <f>D4^2</f>
        <v>6212.923809523827</v>
      </c>
    </row>
    <row r="18" spans="1:9" ht="15" customHeight="1" x14ac:dyDescent="0.2">
      <c r="A18" s="49">
        <v>740</v>
      </c>
      <c r="B18" s="51">
        <v>15</v>
      </c>
      <c r="G18" s="54" t="s">
        <v>90</v>
      </c>
      <c r="H18" s="59">
        <f>(F4-1)*H17</f>
        <v>86980.933333333582</v>
      </c>
    </row>
    <row r="19" spans="1:9" ht="15" customHeight="1" x14ac:dyDescent="0.2">
      <c r="G19" s="60" t="s">
        <v>30</v>
      </c>
      <c r="H19" s="61">
        <f>H16^2/H18</f>
        <v>0.95738523040114243</v>
      </c>
    </row>
    <row r="20" spans="1:9" ht="15" customHeight="1" x14ac:dyDescent="0.2">
      <c r="G20" s="62" t="s">
        <v>31</v>
      </c>
      <c r="H20" s="62">
        <v>0.88100000000000001</v>
      </c>
      <c r="I20" s="63" t="s">
        <v>94</v>
      </c>
    </row>
    <row r="21" spans="1:9" ht="15" customHeight="1" x14ac:dyDescent="0.2">
      <c r="G21" s="64"/>
      <c r="H21" s="64"/>
      <c r="I21" s="64"/>
    </row>
  </sheetData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82" r:id="rId4">
          <objectPr defaultSize="0" autoPict="0" r:id="rId5">
            <anchor moveWithCells="1" sizeWithCells="1">
              <from>
                <xdr:col>6</xdr:col>
                <xdr:colOff>266700</xdr:colOff>
                <xdr:row>1</xdr:row>
                <xdr:rowOff>104775</xdr:rowOff>
              </from>
              <to>
                <xdr:col>7</xdr:col>
                <xdr:colOff>695325</xdr:colOff>
                <xdr:row>4</xdr:row>
                <xdr:rowOff>95250</xdr:rowOff>
              </to>
            </anchor>
          </objectPr>
        </oleObject>
      </mc:Choice>
      <mc:Fallback>
        <oleObject progId="Equation.3" shapeId="20482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" sqref="A2"/>
    </sheetView>
  </sheetViews>
  <sheetFormatPr defaultRowHeight="15" customHeight="1" x14ac:dyDescent="0.2"/>
  <cols>
    <col min="1" max="7" width="9.140625" style="37"/>
    <col min="8" max="8" width="15.7109375" style="37" customWidth="1"/>
    <col min="9" max="16384" width="9.140625" style="37"/>
  </cols>
  <sheetData>
    <row r="1" spans="1:11" ht="15" customHeight="1" x14ac:dyDescent="0.2">
      <c r="A1" s="13" t="s">
        <v>95</v>
      </c>
    </row>
    <row r="3" spans="1:11" s="3" customFormat="1" ht="15" customHeight="1" x14ac:dyDescent="0.25">
      <c r="A3" s="3" t="s">
        <v>96</v>
      </c>
      <c r="B3" s="3" t="s">
        <v>97</v>
      </c>
      <c r="D3" s="2" t="s">
        <v>98</v>
      </c>
      <c r="E3" s="2" t="s">
        <v>33</v>
      </c>
      <c r="F3" s="2" t="s">
        <v>34</v>
      </c>
      <c r="H3" s="22" t="s">
        <v>99</v>
      </c>
      <c r="I3" s="1"/>
      <c r="J3" s="1"/>
      <c r="K3" s="1"/>
    </row>
    <row r="4" spans="1:11" ht="15" customHeight="1" x14ac:dyDescent="0.25">
      <c r="A4" s="37">
        <v>9.6</v>
      </c>
      <c r="B4" s="37">
        <v>-2.7</v>
      </c>
      <c r="D4" s="37" t="s">
        <v>96</v>
      </c>
      <c r="E4" s="37">
        <v>9.6</v>
      </c>
      <c r="F4" s="37">
        <f>_xlfn.RANK.AVG(E4, $E$4:$E$23,1)</f>
        <v>12</v>
      </c>
      <c r="H4" s="1"/>
      <c r="I4" s="1"/>
      <c r="J4" s="1"/>
      <c r="K4" s="1"/>
    </row>
    <row r="5" spans="1:11" ht="15" customHeight="1" x14ac:dyDescent="0.25">
      <c r="A5" s="37">
        <v>5.8</v>
      </c>
      <c r="B5" s="37">
        <v>6.2</v>
      </c>
      <c r="D5" s="37" t="s">
        <v>96</v>
      </c>
      <c r="E5" s="37">
        <v>5.8</v>
      </c>
      <c r="F5" s="37">
        <f t="shared" ref="F5:F23" si="0">_xlfn.RANK.AVG(E5, $E$4:$E$23,1)</f>
        <v>8</v>
      </c>
      <c r="H5" s="67" t="s">
        <v>100</v>
      </c>
      <c r="I5" s="1"/>
      <c r="J5" s="1"/>
      <c r="K5" s="1"/>
    </row>
    <row r="6" spans="1:11" ht="15" customHeight="1" x14ac:dyDescent="0.25">
      <c r="A6" s="37">
        <v>13.8</v>
      </c>
      <c r="B6" s="37">
        <v>8.9</v>
      </c>
      <c r="D6" s="37" t="s">
        <v>96</v>
      </c>
      <c r="E6" s="37">
        <v>13.8</v>
      </c>
      <c r="F6" s="37">
        <f t="shared" si="0"/>
        <v>18</v>
      </c>
      <c r="H6" s="68" t="s">
        <v>96</v>
      </c>
      <c r="I6" s="69">
        <f ca="1">SUMIF(D4:F23,"Buy",F4:F23)</f>
        <v>137</v>
      </c>
      <c r="J6" s="65"/>
      <c r="K6" s="1"/>
    </row>
    <row r="7" spans="1:11" ht="15" customHeight="1" x14ac:dyDescent="0.25">
      <c r="A7" s="37">
        <v>17.2</v>
      </c>
      <c r="B7" s="37">
        <v>11.3</v>
      </c>
      <c r="D7" s="37" t="s">
        <v>96</v>
      </c>
      <c r="E7" s="37">
        <v>17.2</v>
      </c>
      <c r="F7" s="37">
        <f t="shared" si="0"/>
        <v>20</v>
      </c>
      <c r="H7" s="66" t="s">
        <v>97</v>
      </c>
      <c r="I7" s="1">
        <f ca="1">SUMIF(D4:F23,"Sell",F4:F23)</f>
        <v>73</v>
      </c>
      <c r="J7" s="1"/>
      <c r="K7" s="1"/>
    </row>
    <row r="8" spans="1:11" ht="15" customHeight="1" x14ac:dyDescent="0.25">
      <c r="A8" s="37">
        <v>11.6</v>
      </c>
      <c r="B8" s="37">
        <v>2.1</v>
      </c>
      <c r="D8" s="37" t="s">
        <v>96</v>
      </c>
      <c r="E8" s="37">
        <v>11.6</v>
      </c>
      <c r="F8" s="37">
        <f t="shared" si="0"/>
        <v>15</v>
      </c>
      <c r="K8" s="1"/>
    </row>
    <row r="9" spans="1:11" ht="15" customHeight="1" x14ac:dyDescent="0.25">
      <c r="A9" s="37">
        <v>4.2</v>
      </c>
      <c r="B9" s="37">
        <v>3.9</v>
      </c>
      <c r="D9" s="37" t="s">
        <v>96</v>
      </c>
      <c r="E9" s="37">
        <v>4.2</v>
      </c>
      <c r="F9" s="37">
        <f t="shared" si="0"/>
        <v>7</v>
      </c>
      <c r="H9" s="7" t="s">
        <v>101</v>
      </c>
      <c r="I9" s="1"/>
      <c r="J9" s="1"/>
    </row>
    <row r="10" spans="1:11" ht="15" customHeight="1" x14ac:dyDescent="0.25">
      <c r="A10" s="37">
        <v>3.1</v>
      </c>
      <c r="B10" s="37">
        <v>-2.4</v>
      </c>
      <c r="D10" s="37" t="s">
        <v>96</v>
      </c>
      <c r="E10" s="37">
        <v>3.1</v>
      </c>
      <c r="F10" s="37">
        <f t="shared" si="0"/>
        <v>5</v>
      </c>
      <c r="H10" s="1" t="s">
        <v>36</v>
      </c>
      <c r="I10" s="1">
        <v>83</v>
      </c>
      <c r="J10" s="70" t="s">
        <v>94</v>
      </c>
    </row>
    <row r="11" spans="1:11" ht="15" customHeight="1" x14ac:dyDescent="0.25">
      <c r="A11" s="37">
        <v>11.7</v>
      </c>
      <c r="B11" s="37">
        <v>1.3</v>
      </c>
      <c r="D11" s="37" t="s">
        <v>96</v>
      </c>
      <c r="E11" s="37">
        <v>11.7</v>
      </c>
      <c r="F11" s="37">
        <f t="shared" si="0"/>
        <v>16</v>
      </c>
      <c r="H11" s="7" t="s">
        <v>37</v>
      </c>
      <c r="I11" s="7">
        <f>10*(10+10+1)-I10</f>
        <v>127</v>
      </c>
      <c r="J11" s="71" t="s">
        <v>102</v>
      </c>
    </row>
    <row r="12" spans="1:11" ht="15" customHeight="1" x14ac:dyDescent="0.25">
      <c r="A12" s="37">
        <v>13.9</v>
      </c>
      <c r="B12" s="37">
        <v>7.9</v>
      </c>
      <c r="D12" s="37" t="s">
        <v>96</v>
      </c>
      <c r="E12" s="37">
        <v>13.9</v>
      </c>
      <c r="F12" s="37">
        <f t="shared" si="0"/>
        <v>19</v>
      </c>
      <c r="H12" s="1"/>
      <c r="I12" s="1"/>
    </row>
    <row r="13" spans="1:11" ht="15" customHeight="1" x14ac:dyDescent="0.2">
      <c r="A13" s="37">
        <v>12.3</v>
      </c>
      <c r="B13" s="37">
        <v>10.199999999999999</v>
      </c>
      <c r="D13" s="37" t="s">
        <v>96</v>
      </c>
      <c r="E13" s="37">
        <v>12.3</v>
      </c>
      <c r="F13" s="37">
        <f t="shared" si="0"/>
        <v>17</v>
      </c>
    </row>
    <row r="14" spans="1:11" ht="15" customHeight="1" x14ac:dyDescent="0.2">
      <c r="D14" s="37" t="s">
        <v>97</v>
      </c>
      <c r="E14" s="37">
        <v>-2.7</v>
      </c>
      <c r="F14" s="37">
        <f t="shared" si="0"/>
        <v>1</v>
      </c>
    </row>
    <row r="15" spans="1:11" ht="15" customHeight="1" x14ac:dyDescent="0.2">
      <c r="D15" s="37" t="s">
        <v>97</v>
      </c>
      <c r="E15" s="37">
        <v>6.2</v>
      </c>
      <c r="F15" s="37">
        <f t="shared" si="0"/>
        <v>9</v>
      </c>
    </row>
    <row r="16" spans="1:11" ht="15" customHeight="1" x14ac:dyDescent="0.2">
      <c r="D16" s="37" t="s">
        <v>97</v>
      </c>
      <c r="E16" s="37">
        <v>8.9</v>
      </c>
      <c r="F16" s="37">
        <f t="shared" si="0"/>
        <v>11</v>
      </c>
    </row>
    <row r="17" spans="4:6" ht="15" customHeight="1" x14ac:dyDescent="0.2">
      <c r="D17" s="37" t="s">
        <v>97</v>
      </c>
      <c r="E17" s="37">
        <v>11.3</v>
      </c>
      <c r="F17" s="37">
        <f t="shared" si="0"/>
        <v>14</v>
      </c>
    </row>
    <row r="18" spans="4:6" ht="15" customHeight="1" x14ac:dyDescent="0.2">
      <c r="D18" s="37" t="s">
        <v>97</v>
      </c>
      <c r="E18" s="37">
        <v>2.1</v>
      </c>
      <c r="F18" s="37">
        <f t="shared" si="0"/>
        <v>4</v>
      </c>
    </row>
    <row r="19" spans="4:6" ht="15" customHeight="1" x14ac:dyDescent="0.2">
      <c r="D19" s="37" t="s">
        <v>97</v>
      </c>
      <c r="E19" s="37">
        <v>3.9</v>
      </c>
      <c r="F19" s="37">
        <f t="shared" si="0"/>
        <v>6</v>
      </c>
    </row>
    <row r="20" spans="4:6" ht="15" customHeight="1" x14ac:dyDescent="0.2">
      <c r="D20" s="37" t="s">
        <v>97</v>
      </c>
      <c r="E20" s="37">
        <v>-2.4</v>
      </c>
      <c r="F20" s="37">
        <f t="shared" si="0"/>
        <v>2</v>
      </c>
    </row>
    <row r="21" spans="4:6" ht="15" customHeight="1" x14ac:dyDescent="0.2">
      <c r="D21" s="37" t="s">
        <v>97</v>
      </c>
      <c r="E21" s="37">
        <v>1.3</v>
      </c>
      <c r="F21" s="37">
        <f t="shared" si="0"/>
        <v>3</v>
      </c>
    </row>
    <row r="22" spans="4:6" ht="15" customHeight="1" x14ac:dyDescent="0.2">
      <c r="D22" s="37" t="s">
        <v>97</v>
      </c>
      <c r="E22" s="37">
        <v>7.9</v>
      </c>
      <c r="F22" s="37">
        <f t="shared" si="0"/>
        <v>10</v>
      </c>
    </row>
    <row r="23" spans="4:6" ht="15" customHeight="1" x14ac:dyDescent="0.2">
      <c r="D23" s="37" t="s">
        <v>97</v>
      </c>
      <c r="E23" s="37">
        <v>10.199999999999999</v>
      </c>
      <c r="F23" s="37">
        <f t="shared" si="0"/>
        <v>13</v>
      </c>
    </row>
  </sheetData>
  <sortState ref="D4:E23">
    <sortCondition ref="D4:D23"/>
  </sortState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2" sqref="A2"/>
    </sheetView>
  </sheetViews>
  <sheetFormatPr defaultRowHeight="15" customHeight="1" x14ac:dyDescent="0.2"/>
  <cols>
    <col min="1" max="1" width="13.7109375" style="37" customWidth="1"/>
    <col min="2" max="2" width="18.42578125" style="37" customWidth="1"/>
    <col min="3" max="3" width="9.140625" style="37"/>
    <col min="4" max="5" width="9.140625" style="72"/>
    <col min="6" max="16384" width="9.140625" style="37"/>
  </cols>
  <sheetData>
    <row r="1" spans="1:10" ht="15" customHeight="1" x14ac:dyDescent="0.2">
      <c r="A1" s="13" t="s">
        <v>95</v>
      </c>
    </row>
    <row r="3" spans="1:10" s="3" customFormat="1" ht="33.75" customHeight="1" x14ac:dyDescent="0.2">
      <c r="A3" s="73" t="s">
        <v>103</v>
      </c>
      <c r="B3" s="73" t="s">
        <v>104</v>
      </c>
      <c r="D3" s="73" t="s">
        <v>98</v>
      </c>
      <c r="E3" s="73" t="s">
        <v>33</v>
      </c>
      <c r="F3" s="3" t="s">
        <v>34</v>
      </c>
      <c r="H3" s="13" t="s">
        <v>100</v>
      </c>
      <c r="I3" s="37"/>
      <c r="J3" s="37"/>
    </row>
    <row r="4" spans="1:10" ht="15" customHeight="1" x14ac:dyDescent="0.2">
      <c r="A4" s="72">
        <v>1</v>
      </c>
      <c r="B4" s="72">
        <v>2</v>
      </c>
      <c r="D4" s="72" t="s">
        <v>38</v>
      </c>
      <c r="E4" s="72">
        <v>1</v>
      </c>
      <c r="F4" s="37">
        <f>_xlfn.RANK.AVG(E4,$E$4:$E$25,1)</f>
        <v>1</v>
      </c>
      <c r="H4" s="76" t="s">
        <v>137</v>
      </c>
    </row>
    <row r="5" spans="1:10" ht="15" customHeight="1" x14ac:dyDescent="0.2">
      <c r="A5" s="72">
        <v>2</v>
      </c>
      <c r="B5" s="72">
        <v>4</v>
      </c>
      <c r="D5" s="72" t="s">
        <v>38</v>
      </c>
      <c r="E5" s="72">
        <v>2</v>
      </c>
      <c r="F5" s="37">
        <f t="shared" ref="F5:F25" si="0">_xlfn.RANK.AVG(E5,$E$4:$E$25,1)</f>
        <v>4</v>
      </c>
      <c r="H5" s="74" t="s">
        <v>39</v>
      </c>
      <c r="I5" s="75">
        <f ca="1">SUMIF($D$4:$F$25,"X",$F$4:$F$25)</f>
        <v>144.5</v>
      </c>
      <c r="J5" s="77"/>
    </row>
    <row r="6" spans="1:10" ht="15" customHeight="1" x14ac:dyDescent="0.2">
      <c r="A6" s="72">
        <v>3</v>
      </c>
      <c r="B6" s="72">
        <v>3</v>
      </c>
      <c r="D6" s="72" t="s">
        <v>38</v>
      </c>
      <c r="E6" s="72">
        <v>3</v>
      </c>
      <c r="F6" s="37">
        <f t="shared" si="0"/>
        <v>12</v>
      </c>
      <c r="H6" s="72" t="s">
        <v>38</v>
      </c>
      <c r="I6" s="37">
        <f ca="1">SUMIF($D$4:$F$25,"Y",$F$4:$F$25)</f>
        <v>108.5</v>
      </c>
    </row>
    <row r="7" spans="1:10" ht="15" customHeight="1" x14ac:dyDescent="0.2">
      <c r="A7" s="72">
        <v>3</v>
      </c>
      <c r="B7" s="72">
        <v>3</v>
      </c>
      <c r="D7" s="72" t="s">
        <v>38</v>
      </c>
      <c r="E7" s="72">
        <v>3</v>
      </c>
      <c r="F7" s="37">
        <f t="shared" si="0"/>
        <v>12</v>
      </c>
    </row>
    <row r="8" spans="1:10" ht="15" customHeight="1" x14ac:dyDescent="0.2">
      <c r="A8" s="72">
        <v>2</v>
      </c>
      <c r="B8" s="72">
        <v>3</v>
      </c>
      <c r="D8" s="72" t="s">
        <v>38</v>
      </c>
      <c r="E8" s="72">
        <v>2</v>
      </c>
      <c r="F8" s="37">
        <f t="shared" si="0"/>
        <v>4</v>
      </c>
      <c r="H8" s="74" t="s">
        <v>35</v>
      </c>
      <c r="I8" s="78">
        <f ca="1">(I5-10*23/2)/SQRT((12*10*$F$26)/(22*21)-(10*12*(23)^2)/(4*21))</f>
        <v>2.0989532784748328</v>
      </c>
    </row>
    <row r="9" spans="1:10" ht="15" customHeight="1" x14ac:dyDescent="0.2">
      <c r="A9" s="72">
        <v>4</v>
      </c>
      <c r="B9" s="72">
        <v>5</v>
      </c>
      <c r="D9" s="72" t="s">
        <v>38</v>
      </c>
      <c r="E9" s="72">
        <v>4</v>
      </c>
      <c r="F9" s="37">
        <f t="shared" si="0"/>
        <v>19.5</v>
      </c>
      <c r="H9" s="3" t="s">
        <v>40</v>
      </c>
      <c r="I9" s="79">
        <f>_xlfn.NORM.S.INV(0.95)</f>
        <v>1.6448536269514715</v>
      </c>
    </row>
    <row r="10" spans="1:10" ht="15" customHeight="1" x14ac:dyDescent="0.2">
      <c r="A10" s="72">
        <v>3</v>
      </c>
      <c r="B10" s="72">
        <v>4</v>
      </c>
      <c r="D10" s="72" t="s">
        <v>38</v>
      </c>
      <c r="E10" s="72">
        <v>3</v>
      </c>
      <c r="F10" s="37">
        <f t="shared" si="0"/>
        <v>12</v>
      </c>
      <c r="H10" s="3"/>
      <c r="I10" s="80"/>
      <c r="J10" s="77"/>
    </row>
    <row r="11" spans="1:10" ht="15" customHeight="1" x14ac:dyDescent="0.2">
      <c r="A11" s="72">
        <v>3</v>
      </c>
      <c r="B11" s="72">
        <v>3</v>
      </c>
      <c r="D11" s="72" t="s">
        <v>38</v>
      </c>
      <c r="E11" s="72">
        <v>3</v>
      </c>
      <c r="F11" s="37">
        <f t="shared" si="0"/>
        <v>12</v>
      </c>
    </row>
    <row r="12" spans="1:10" ht="15" customHeight="1" x14ac:dyDescent="0.2">
      <c r="A12" s="72">
        <v>3</v>
      </c>
      <c r="B12" s="72">
        <v>3</v>
      </c>
      <c r="D12" s="72" t="s">
        <v>38</v>
      </c>
      <c r="E12" s="72">
        <v>3</v>
      </c>
      <c r="F12" s="37">
        <f t="shared" si="0"/>
        <v>12</v>
      </c>
    </row>
    <row r="13" spans="1:10" ht="15" customHeight="1" x14ac:dyDescent="0.2">
      <c r="A13" s="72">
        <v>2</v>
      </c>
      <c r="B13" s="72">
        <v>4</v>
      </c>
      <c r="D13" s="72" t="s">
        <v>38</v>
      </c>
      <c r="E13" s="72">
        <v>2</v>
      </c>
      <c r="F13" s="37">
        <f t="shared" si="0"/>
        <v>4</v>
      </c>
    </row>
    <row r="14" spans="1:10" ht="15" customHeight="1" x14ac:dyDescent="0.2">
      <c r="A14" s="72">
        <v>3</v>
      </c>
      <c r="B14" s="72"/>
      <c r="D14" s="72" t="s">
        <v>38</v>
      </c>
      <c r="E14" s="72">
        <v>3</v>
      </c>
      <c r="F14" s="37">
        <f t="shared" si="0"/>
        <v>12</v>
      </c>
    </row>
    <row r="15" spans="1:10" ht="15" customHeight="1" x14ac:dyDescent="0.2">
      <c r="A15" s="72">
        <v>2</v>
      </c>
      <c r="D15" s="72" t="s">
        <v>38</v>
      </c>
      <c r="E15" s="72">
        <v>2</v>
      </c>
      <c r="F15" s="37">
        <f t="shared" si="0"/>
        <v>4</v>
      </c>
    </row>
    <row r="16" spans="1:10" ht="15" customHeight="1" x14ac:dyDescent="0.2">
      <c r="A16" s="74" t="s">
        <v>41</v>
      </c>
      <c r="B16" s="74" t="s">
        <v>42</v>
      </c>
      <c r="D16" s="72" t="s">
        <v>39</v>
      </c>
      <c r="E16" s="72">
        <v>2</v>
      </c>
      <c r="F16" s="37">
        <f t="shared" si="0"/>
        <v>4</v>
      </c>
    </row>
    <row r="17" spans="4:9" ht="15" customHeight="1" x14ac:dyDescent="0.2">
      <c r="D17" s="72" t="s">
        <v>39</v>
      </c>
      <c r="E17" s="72">
        <v>4</v>
      </c>
      <c r="F17" s="37">
        <f t="shared" si="0"/>
        <v>19.5</v>
      </c>
    </row>
    <row r="18" spans="4:9" ht="15" customHeight="1" x14ac:dyDescent="0.2">
      <c r="D18" s="72" t="s">
        <v>39</v>
      </c>
      <c r="E18" s="72">
        <v>3</v>
      </c>
      <c r="F18" s="37">
        <f t="shared" si="0"/>
        <v>12</v>
      </c>
      <c r="H18" s="75" t="s">
        <v>106</v>
      </c>
    </row>
    <row r="19" spans="4:9" ht="15" customHeight="1" x14ac:dyDescent="0.2">
      <c r="D19" s="72" t="s">
        <v>39</v>
      </c>
      <c r="E19" s="72">
        <v>3</v>
      </c>
      <c r="F19" s="37">
        <f t="shared" si="0"/>
        <v>12</v>
      </c>
      <c r="H19" s="76" t="s">
        <v>138</v>
      </c>
    </row>
    <row r="20" spans="4:9" ht="15" customHeight="1" x14ac:dyDescent="0.2">
      <c r="D20" s="72" t="s">
        <v>39</v>
      </c>
      <c r="E20" s="72">
        <v>3</v>
      </c>
      <c r="F20" s="37">
        <f t="shared" si="0"/>
        <v>12</v>
      </c>
      <c r="H20" s="72" t="s">
        <v>39</v>
      </c>
      <c r="I20" s="37">
        <f ca="1">SUMIF($D$4:$F$25,"X",$F$4:$F$25)</f>
        <v>144.5</v>
      </c>
    </row>
    <row r="21" spans="4:9" ht="15" customHeight="1" x14ac:dyDescent="0.2">
      <c r="D21" s="72" t="s">
        <v>39</v>
      </c>
      <c r="E21" s="72">
        <v>5</v>
      </c>
      <c r="F21" s="37">
        <f t="shared" si="0"/>
        <v>22</v>
      </c>
      <c r="H21" s="74" t="s">
        <v>38</v>
      </c>
      <c r="I21" s="75">
        <f ca="1">SUMIF($D$4:$F$25,"Y",$F$4:$F$25)</f>
        <v>108.5</v>
      </c>
    </row>
    <row r="22" spans="4:9" ht="15" customHeight="1" x14ac:dyDescent="0.2">
      <c r="D22" s="72" t="s">
        <v>39</v>
      </c>
      <c r="E22" s="72">
        <v>4</v>
      </c>
      <c r="F22" s="37">
        <f t="shared" si="0"/>
        <v>19.5</v>
      </c>
    </row>
    <row r="23" spans="4:9" ht="15" customHeight="1" x14ac:dyDescent="0.2">
      <c r="D23" s="72" t="s">
        <v>39</v>
      </c>
      <c r="E23" s="72">
        <v>3</v>
      </c>
      <c r="F23" s="37">
        <f t="shared" si="0"/>
        <v>12</v>
      </c>
      <c r="H23" s="74" t="s">
        <v>35</v>
      </c>
      <c r="I23" s="78">
        <f ca="1">(I21-12*23/2)/SQRT((12*10*$F$26)/(22*21)-(10*12*(23)^2)/(4*21))</f>
        <v>-2.0989532784748328</v>
      </c>
    </row>
    <row r="24" spans="4:9" ht="15" customHeight="1" x14ac:dyDescent="0.2">
      <c r="D24" s="72" t="s">
        <v>39</v>
      </c>
      <c r="E24" s="72">
        <v>3</v>
      </c>
      <c r="F24" s="37">
        <f t="shared" si="0"/>
        <v>12</v>
      </c>
      <c r="H24" s="3" t="s">
        <v>43</v>
      </c>
      <c r="I24" s="79">
        <f>_xlfn.NORM.S.INV(0.05)</f>
        <v>-1.6448536269514726</v>
      </c>
    </row>
    <row r="25" spans="4:9" ht="15" customHeight="1" x14ac:dyDescent="0.2">
      <c r="D25" s="72" t="s">
        <v>39</v>
      </c>
      <c r="E25" s="72">
        <v>4</v>
      </c>
      <c r="F25" s="37">
        <f t="shared" si="0"/>
        <v>19.5</v>
      </c>
    </row>
    <row r="26" spans="4:9" ht="15" customHeight="1" x14ac:dyDescent="0.2">
      <c r="E26" s="81" t="s">
        <v>105</v>
      </c>
      <c r="F26" s="81">
        <f>SUMSQ(F4:F25)</f>
        <v>3670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2289" r:id="rId4">
          <objectPr defaultSize="0" autoPict="0" r:id="rId5">
            <anchor moveWithCells="1" sizeWithCells="1">
              <from>
                <xdr:col>7</xdr:col>
                <xdr:colOff>47625</xdr:colOff>
                <xdr:row>9</xdr:row>
                <xdr:rowOff>133350</xdr:rowOff>
              </from>
              <to>
                <xdr:col>12</xdr:col>
                <xdr:colOff>0</xdr:colOff>
                <xdr:row>14</xdr:row>
                <xdr:rowOff>104775</xdr:rowOff>
              </to>
            </anchor>
          </objectPr>
        </oleObject>
      </mc:Choice>
      <mc:Fallback>
        <oleObject progId="Equation.3" shapeId="1228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2" sqref="A2"/>
    </sheetView>
  </sheetViews>
  <sheetFormatPr defaultRowHeight="15" x14ac:dyDescent="0.25"/>
  <cols>
    <col min="1" max="1" width="15" style="1" customWidth="1"/>
    <col min="2" max="2" width="12" style="1" bestFit="1" customWidth="1"/>
    <col min="3" max="3" width="10" style="1" bestFit="1" customWidth="1"/>
    <col min="4" max="4" width="10.85546875" style="1" bestFit="1" customWidth="1"/>
    <col min="5" max="5" width="13.28515625" style="1" customWidth="1"/>
    <col min="6" max="6" width="10.85546875" style="1" bestFit="1" customWidth="1"/>
    <col min="7" max="7" width="9.7109375" style="1" bestFit="1" customWidth="1"/>
    <col min="8" max="16384" width="9.140625" style="1"/>
  </cols>
  <sheetData>
    <row r="1" spans="1:12" x14ac:dyDescent="0.25">
      <c r="A1" s="13" t="s">
        <v>44</v>
      </c>
    </row>
    <row r="2" spans="1:12" x14ac:dyDescent="0.25">
      <c r="E2" s="82"/>
      <c r="I2" s="70" t="s">
        <v>111</v>
      </c>
    </row>
    <row r="3" spans="1:12" s="2" customFormat="1" x14ac:dyDescent="0.25">
      <c r="A3" s="2" t="s">
        <v>112</v>
      </c>
      <c r="B3" s="2" t="s">
        <v>113</v>
      </c>
      <c r="C3" s="2" t="s">
        <v>47</v>
      </c>
      <c r="D3" s="2" t="s">
        <v>107</v>
      </c>
      <c r="E3" s="2" t="s">
        <v>48</v>
      </c>
      <c r="F3" s="2" t="s">
        <v>107</v>
      </c>
      <c r="G3" s="2" t="s">
        <v>108</v>
      </c>
      <c r="I3" s="67" t="s">
        <v>110</v>
      </c>
      <c r="J3" s="1"/>
      <c r="K3" s="1"/>
      <c r="L3" s="1"/>
    </row>
    <row r="4" spans="1:12" x14ac:dyDescent="0.25">
      <c r="A4" s="66">
        <v>174</v>
      </c>
      <c r="B4" s="66">
        <v>165</v>
      </c>
      <c r="C4" s="66">
        <f>A4-B4</f>
        <v>9</v>
      </c>
      <c r="D4" s="2" t="s">
        <v>50</v>
      </c>
      <c r="E4" s="1">
        <f>ABS(C4)</f>
        <v>9</v>
      </c>
      <c r="F4" s="2" t="s">
        <v>50</v>
      </c>
      <c r="G4" s="66">
        <f>_xlfn.RANK.AVG(E4,$E$4:$E$9,1)</f>
        <v>6</v>
      </c>
    </row>
    <row r="5" spans="1:12" x14ac:dyDescent="0.25">
      <c r="A5" s="66">
        <v>191</v>
      </c>
      <c r="B5" s="66">
        <v>186</v>
      </c>
      <c r="C5" s="66">
        <f t="shared" ref="C5:C9" si="0">A5-B5</f>
        <v>5</v>
      </c>
      <c r="D5" s="2" t="s">
        <v>50</v>
      </c>
      <c r="E5" s="1">
        <f t="shared" ref="E5:E9" si="1">ABS(C5)</f>
        <v>5</v>
      </c>
      <c r="F5" s="2" t="s">
        <v>50</v>
      </c>
      <c r="G5" s="66">
        <f t="shared" ref="G5:G9" si="2">_xlfn.RANK.AVG(E5,$E$4:$E$9,1)</f>
        <v>3.5</v>
      </c>
      <c r="J5" s="6" t="s">
        <v>57</v>
      </c>
      <c r="K5" s="7">
        <f>SUMIF(F4:F9,"+",G4:G9)</f>
        <v>20</v>
      </c>
    </row>
    <row r="6" spans="1:12" x14ac:dyDescent="0.25">
      <c r="A6" s="66">
        <v>188</v>
      </c>
      <c r="B6" s="66">
        <v>183</v>
      </c>
      <c r="C6" s="66">
        <f t="shared" si="0"/>
        <v>5</v>
      </c>
      <c r="D6" s="2" t="s">
        <v>50</v>
      </c>
      <c r="E6" s="1">
        <f t="shared" si="1"/>
        <v>5</v>
      </c>
      <c r="F6" s="2" t="s">
        <v>50</v>
      </c>
      <c r="G6" s="66">
        <f t="shared" si="2"/>
        <v>3.5</v>
      </c>
      <c r="J6" s="18" t="s">
        <v>55</v>
      </c>
      <c r="K6" s="1">
        <v>3</v>
      </c>
      <c r="L6" s="83" t="s">
        <v>94</v>
      </c>
    </row>
    <row r="7" spans="1:12" x14ac:dyDescent="0.25">
      <c r="A7" s="66">
        <v>182</v>
      </c>
      <c r="B7" s="66">
        <v>178</v>
      </c>
      <c r="C7" s="66">
        <f t="shared" si="0"/>
        <v>4</v>
      </c>
      <c r="D7" s="2" t="s">
        <v>50</v>
      </c>
      <c r="E7" s="1">
        <f t="shared" si="1"/>
        <v>4</v>
      </c>
      <c r="F7" s="2" t="s">
        <v>50</v>
      </c>
      <c r="G7" s="66">
        <f t="shared" si="2"/>
        <v>2</v>
      </c>
      <c r="J7" s="6" t="s">
        <v>56</v>
      </c>
      <c r="K7" s="7">
        <f>6*7/2-K6</f>
        <v>18</v>
      </c>
      <c r="L7" s="69" t="s">
        <v>51</v>
      </c>
    </row>
    <row r="8" spans="1:12" x14ac:dyDescent="0.25">
      <c r="A8" s="66">
        <v>201</v>
      </c>
      <c r="B8" s="66">
        <v>203</v>
      </c>
      <c r="C8" s="66">
        <f t="shared" si="0"/>
        <v>-2</v>
      </c>
      <c r="D8" s="2" t="s">
        <v>49</v>
      </c>
      <c r="E8" s="1">
        <f t="shared" si="1"/>
        <v>2</v>
      </c>
      <c r="F8" s="2" t="s">
        <v>49</v>
      </c>
      <c r="G8" s="66">
        <f t="shared" si="2"/>
        <v>1</v>
      </c>
      <c r="K8" s="66"/>
      <c r="L8" s="22" t="s">
        <v>109</v>
      </c>
    </row>
    <row r="9" spans="1:12" x14ac:dyDescent="0.25">
      <c r="A9" s="66">
        <v>188</v>
      </c>
      <c r="B9" s="66">
        <v>181</v>
      </c>
      <c r="C9" s="66">
        <f t="shared" si="0"/>
        <v>7</v>
      </c>
      <c r="D9" s="2" t="s">
        <v>50</v>
      </c>
      <c r="E9" s="1">
        <f t="shared" si="1"/>
        <v>7</v>
      </c>
      <c r="F9" s="2" t="s">
        <v>50</v>
      </c>
      <c r="G9" s="66">
        <f t="shared" si="2"/>
        <v>5</v>
      </c>
    </row>
    <row r="11" spans="1:12" x14ac:dyDescent="0.25">
      <c r="A11" s="68" t="s">
        <v>45</v>
      </c>
      <c r="B11" s="68">
        <f>COUNT(B4:B9)</f>
        <v>6</v>
      </c>
      <c r="E11" s="68" t="s">
        <v>46</v>
      </c>
      <c r="F11" s="68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defaultRowHeight="15" x14ac:dyDescent="0.25"/>
  <cols>
    <col min="1" max="2" width="9.140625" style="1"/>
    <col min="3" max="3" width="10" style="1" bestFit="1" customWidth="1"/>
    <col min="4" max="4" width="10.85546875" style="1" bestFit="1" customWidth="1"/>
    <col min="5" max="5" width="13.42578125" style="1" bestFit="1" customWidth="1"/>
    <col min="6" max="6" width="11.7109375" style="1" bestFit="1" customWidth="1"/>
    <col min="7" max="7" width="11.28515625" style="1" bestFit="1" customWidth="1"/>
    <col min="8" max="16384" width="9.140625" style="1"/>
  </cols>
  <sheetData>
    <row r="1" spans="1:12" x14ac:dyDescent="0.25">
      <c r="A1" s="13" t="s">
        <v>44</v>
      </c>
    </row>
    <row r="3" spans="1:12" x14ac:dyDescent="0.25">
      <c r="A3" s="69" t="s">
        <v>117</v>
      </c>
    </row>
    <row r="4" spans="1:12" x14ac:dyDescent="0.25">
      <c r="I4" s="70" t="s">
        <v>111</v>
      </c>
    </row>
    <row r="5" spans="1:12" s="2" customFormat="1" x14ac:dyDescent="0.25">
      <c r="A5" s="2" t="s">
        <v>115</v>
      </c>
      <c r="B5" s="2" t="s">
        <v>116</v>
      </c>
      <c r="C5" s="2" t="s">
        <v>47</v>
      </c>
      <c r="D5" s="2" t="s">
        <v>107</v>
      </c>
      <c r="E5" s="2" t="s">
        <v>48</v>
      </c>
      <c r="F5" s="2" t="s">
        <v>130</v>
      </c>
      <c r="G5" s="2" t="s">
        <v>129</v>
      </c>
      <c r="I5" s="67" t="s">
        <v>110</v>
      </c>
      <c r="J5" s="1"/>
      <c r="K5" s="1"/>
      <c r="L5" s="1"/>
    </row>
    <row r="6" spans="1:12" x14ac:dyDescent="0.25">
      <c r="A6" s="1">
        <v>80</v>
      </c>
      <c r="B6" s="1">
        <v>82</v>
      </c>
      <c r="C6" s="1">
        <f>A6-B6</f>
        <v>-2</v>
      </c>
      <c r="D6" s="84" t="s">
        <v>49</v>
      </c>
      <c r="E6" s="1">
        <f>ABS(C6)</f>
        <v>2</v>
      </c>
      <c r="F6" s="1">
        <f>_xlfn.RANK.AVG(E6,$E$6:$E$20,1)</f>
        <v>2</v>
      </c>
      <c r="G6" s="1">
        <f>IF(D6="-", -F6, F6)</f>
        <v>-2</v>
      </c>
    </row>
    <row r="7" spans="1:12" x14ac:dyDescent="0.25">
      <c r="A7" s="33">
        <v>82</v>
      </c>
      <c r="B7" s="33">
        <v>82</v>
      </c>
      <c r="C7" s="33">
        <f t="shared" ref="C7:C20" si="0">A7-B7</f>
        <v>0</v>
      </c>
      <c r="J7" s="6" t="s">
        <v>57</v>
      </c>
      <c r="K7" s="7">
        <f>SUMIF(D6:D20,"+",F6:F20)</f>
        <v>11.5</v>
      </c>
    </row>
    <row r="8" spans="1:12" x14ac:dyDescent="0.25">
      <c r="A8" s="1">
        <v>71</v>
      </c>
      <c r="B8" s="1">
        <v>81</v>
      </c>
      <c r="C8" s="1">
        <f t="shared" si="0"/>
        <v>-10</v>
      </c>
      <c r="D8" s="84" t="s">
        <v>49</v>
      </c>
      <c r="E8" s="1">
        <f t="shared" ref="E8:E19" si="1">ABS(C8)</f>
        <v>10</v>
      </c>
      <c r="F8" s="1">
        <f t="shared" ref="F8:F20" si="2">_xlfn.RANK.AVG(E8,$E$6:$E$20,1)</f>
        <v>10.5</v>
      </c>
      <c r="G8" s="1">
        <f t="shared" ref="G8:G20" si="3">IF(D8="-", -F8, F8)</f>
        <v>-10.5</v>
      </c>
      <c r="J8" s="6" t="s">
        <v>54</v>
      </c>
      <c r="K8" s="7">
        <v>26</v>
      </c>
      <c r="L8" s="1" t="s">
        <v>94</v>
      </c>
    </row>
    <row r="9" spans="1:12" x14ac:dyDescent="0.25">
      <c r="A9" s="1">
        <v>77</v>
      </c>
      <c r="B9" s="1">
        <v>79</v>
      </c>
      <c r="C9" s="1">
        <f t="shared" si="0"/>
        <v>-2</v>
      </c>
      <c r="D9" s="84" t="s">
        <v>49</v>
      </c>
      <c r="E9" s="1">
        <f t="shared" si="1"/>
        <v>2</v>
      </c>
      <c r="F9" s="1">
        <f t="shared" si="2"/>
        <v>2</v>
      </c>
      <c r="G9" s="1">
        <f t="shared" si="3"/>
        <v>-2</v>
      </c>
      <c r="K9" s="1" t="s">
        <v>109</v>
      </c>
    </row>
    <row r="10" spans="1:12" x14ac:dyDescent="0.25">
      <c r="A10" s="1">
        <v>75</v>
      </c>
      <c r="B10" s="1">
        <v>77</v>
      </c>
      <c r="C10" s="1">
        <f t="shared" si="0"/>
        <v>-2</v>
      </c>
      <c r="D10" s="84" t="s">
        <v>49</v>
      </c>
      <c r="E10" s="1">
        <f t="shared" si="1"/>
        <v>2</v>
      </c>
      <c r="F10" s="1">
        <f t="shared" si="2"/>
        <v>2</v>
      </c>
      <c r="G10" s="1">
        <f t="shared" si="3"/>
        <v>-2</v>
      </c>
    </row>
    <row r="11" spans="1:12" x14ac:dyDescent="0.25">
      <c r="A11" s="1">
        <v>90</v>
      </c>
      <c r="B11" s="1">
        <v>95</v>
      </c>
      <c r="C11" s="1">
        <f t="shared" si="0"/>
        <v>-5</v>
      </c>
      <c r="D11" s="84" t="s">
        <v>49</v>
      </c>
      <c r="E11" s="1">
        <f t="shared" si="1"/>
        <v>5</v>
      </c>
      <c r="F11" s="1">
        <f t="shared" si="2"/>
        <v>7</v>
      </c>
      <c r="G11" s="1">
        <f t="shared" si="3"/>
        <v>-7</v>
      </c>
    </row>
    <row r="12" spans="1:12" x14ac:dyDescent="0.25">
      <c r="A12" s="1">
        <v>92</v>
      </c>
      <c r="B12" s="1">
        <v>95</v>
      </c>
      <c r="C12" s="1">
        <f t="shared" si="0"/>
        <v>-3</v>
      </c>
      <c r="D12" s="84" t="s">
        <v>49</v>
      </c>
      <c r="E12" s="1">
        <f t="shared" si="1"/>
        <v>3</v>
      </c>
      <c r="F12" s="1">
        <f t="shared" si="2"/>
        <v>4.5</v>
      </c>
      <c r="G12" s="1">
        <f t="shared" si="3"/>
        <v>-4.5</v>
      </c>
    </row>
    <row r="13" spans="1:12" x14ac:dyDescent="0.25">
      <c r="A13" s="1">
        <v>81</v>
      </c>
      <c r="B13" s="1">
        <v>90</v>
      </c>
      <c r="C13" s="1">
        <f t="shared" si="0"/>
        <v>-9</v>
      </c>
      <c r="D13" s="84" t="s">
        <v>49</v>
      </c>
      <c r="E13" s="1">
        <f t="shared" si="1"/>
        <v>9</v>
      </c>
      <c r="F13" s="1">
        <f t="shared" si="2"/>
        <v>9</v>
      </c>
      <c r="G13" s="1">
        <f t="shared" si="3"/>
        <v>-9</v>
      </c>
      <c r="I13" s="70" t="s">
        <v>114</v>
      </c>
    </row>
    <row r="14" spans="1:12" x14ac:dyDescent="0.25">
      <c r="A14" s="1">
        <v>70</v>
      </c>
      <c r="B14" s="1">
        <v>80</v>
      </c>
      <c r="C14" s="1">
        <f t="shared" si="0"/>
        <v>-10</v>
      </c>
      <c r="D14" s="84" t="s">
        <v>49</v>
      </c>
      <c r="E14" s="1">
        <f t="shared" si="1"/>
        <v>10</v>
      </c>
      <c r="F14" s="1">
        <f t="shared" si="2"/>
        <v>10.5</v>
      </c>
      <c r="G14" s="1">
        <f t="shared" si="3"/>
        <v>-10.5</v>
      </c>
    </row>
    <row r="15" spans="1:12" x14ac:dyDescent="0.25">
      <c r="A15" s="1">
        <v>70</v>
      </c>
      <c r="B15" s="1">
        <v>82</v>
      </c>
      <c r="C15" s="1">
        <f t="shared" si="0"/>
        <v>-12</v>
      </c>
      <c r="D15" s="84" t="s">
        <v>49</v>
      </c>
      <c r="E15" s="1">
        <f t="shared" si="1"/>
        <v>12</v>
      </c>
      <c r="F15" s="1">
        <f t="shared" si="2"/>
        <v>12</v>
      </c>
      <c r="G15" s="1">
        <f t="shared" si="3"/>
        <v>-12</v>
      </c>
      <c r="J15" s="86" t="s">
        <v>52</v>
      </c>
      <c r="K15" s="96">
        <f>SUM(G6:G20)/SQRT(SUMSQ(G6:G20))</f>
        <v>-2.5801987796629655</v>
      </c>
    </row>
    <row r="16" spans="1:12" x14ac:dyDescent="0.25">
      <c r="A16" s="1">
        <v>80</v>
      </c>
      <c r="B16" s="1">
        <v>85</v>
      </c>
      <c r="C16" s="1">
        <f t="shared" si="0"/>
        <v>-5</v>
      </c>
      <c r="D16" s="84" t="s">
        <v>49</v>
      </c>
      <c r="E16" s="1">
        <f t="shared" si="1"/>
        <v>5</v>
      </c>
      <c r="F16" s="1">
        <f t="shared" si="2"/>
        <v>7</v>
      </c>
      <c r="G16" s="1">
        <f t="shared" si="3"/>
        <v>-7</v>
      </c>
      <c r="J16" s="6" t="s">
        <v>53</v>
      </c>
      <c r="K16" s="4">
        <f>_xlfn.NORM.S.INV(0.05)</f>
        <v>-1.6448536269514726</v>
      </c>
    </row>
    <row r="17" spans="1:11" x14ac:dyDescent="0.25">
      <c r="A17" s="1">
        <v>90</v>
      </c>
      <c r="B17" s="1">
        <v>85</v>
      </c>
      <c r="C17" s="1">
        <f t="shared" si="0"/>
        <v>5</v>
      </c>
      <c r="D17" s="85" t="s">
        <v>50</v>
      </c>
      <c r="E17" s="1">
        <f t="shared" si="1"/>
        <v>5</v>
      </c>
      <c r="F17" s="1">
        <f t="shared" si="2"/>
        <v>7</v>
      </c>
      <c r="G17" s="1">
        <f t="shared" si="3"/>
        <v>7</v>
      </c>
      <c r="K17" s="1" t="s">
        <v>109</v>
      </c>
    </row>
    <row r="18" spans="1:11" x14ac:dyDescent="0.25">
      <c r="A18" s="1">
        <v>70</v>
      </c>
      <c r="B18" s="1">
        <v>83</v>
      </c>
      <c r="C18" s="1">
        <f t="shared" si="0"/>
        <v>-13</v>
      </c>
      <c r="D18" s="84" t="s">
        <v>49</v>
      </c>
      <c r="E18" s="1">
        <f t="shared" si="1"/>
        <v>13</v>
      </c>
      <c r="F18" s="1">
        <f t="shared" si="2"/>
        <v>13</v>
      </c>
      <c r="G18" s="1">
        <f t="shared" si="3"/>
        <v>-13</v>
      </c>
    </row>
    <row r="19" spans="1:11" x14ac:dyDescent="0.25">
      <c r="A19" s="1">
        <v>60</v>
      </c>
      <c r="B19" s="1">
        <v>77</v>
      </c>
      <c r="C19" s="1">
        <f t="shared" si="0"/>
        <v>-17</v>
      </c>
      <c r="D19" s="84" t="s">
        <v>49</v>
      </c>
      <c r="E19" s="1">
        <f t="shared" si="1"/>
        <v>17</v>
      </c>
      <c r="F19" s="1">
        <f t="shared" si="2"/>
        <v>14</v>
      </c>
      <c r="G19" s="1">
        <f t="shared" si="3"/>
        <v>-14</v>
      </c>
    </row>
    <row r="20" spans="1:11" x14ac:dyDescent="0.25">
      <c r="A20" s="1">
        <v>98</v>
      </c>
      <c r="B20" s="1">
        <v>95</v>
      </c>
      <c r="C20" s="1">
        <f t="shared" si="0"/>
        <v>3</v>
      </c>
      <c r="D20" s="85" t="s">
        <v>50</v>
      </c>
      <c r="E20" s="1">
        <f>ABS(C20)</f>
        <v>3</v>
      </c>
      <c r="F20" s="1">
        <f t="shared" si="2"/>
        <v>4.5</v>
      </c>
      <c r="G20" s="1">
        <f t="shared" si="3"/>
        <v>4.5</v>
      </c>
    </row>
    <row r="22" spans="1:11" x14ac:dyDescent="0.25">
      <c r="A22" s="68" t="s">
        <v>45</v>
      </c>
      <c r="B22" s="68">
        <v>15</v>
      </c>
      <c r="D22" s="68" t="s">
        <v>46</v>
      </c>
      <c r="E22" s="68">
        <v>14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 sizeWithCells="1">
              <from>
                <xdr:col>8</xdr:col>
                <xdr:colOff>371475</xdr:colOff>
                <xdr:row>17</xdr:row>
                <xdr:rowOff>0</xdr:rowOff>
              </from>
              <to>
                <xdr:col>10</xdr:col>
                <xdr:colOff>342900</xdr:colOff>
                <xdr:row>22</xdr:row>
                <xdr:rowOff>57150</xdr:rowOff>
              </to>
            </anchor>
          </objectPr>
        </oleObject>
      </mc:Choice>
      <mc:Fallback>
        <oleObject progId="Equation.3" shapeId="1331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Exerc1</vt:lpstr>
      <vt:lpstr>Exerc2</vt:lpstr>
      <vt:lpstr>Exerc3</vt:lpstr>
      <vt:lpstr>Exerc4</vt:lpstr>
      <vt:lpstr>Exerc5</vt:lpstr>
      <vt:lpstr>Exerc6</vt:lpstr>
      <vt:lpstr>Exerc7</vt:lpstr>
      <vt:lpstr>Exerc8</vt:lpstr>
      <vt:lpstr>Exerc9</vt:lpstr>
      <vt:lpstr>Exerc10</vt:lpstr>
      <vt:lpstr>Exerc11</vt:lpstr>
    </vt:vector>
  </TitlesOfParts>
  <Company>ISEGI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Costa</dc:creator>
  <cp:lastModifiedBy>Ana Cristina Costa</cp:lastModifiedBy>
  <dcterms:created xsi:type="dcterms:W3CDTF">2011-11-13T00:56:59Z</dcterms:created>
  <dcterms:modified xsi:type="dcterms:W3CDTF">2019-01-21T12:40:06Z</dcterms:modified>
</cp:coreProperties>
</file>