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/>
  <mc:AlternateContent xmlns:mc="http://schemas.openxmlformats.org/markup-compatibility/2006">
    <mc:Choice Requires="x15">
      <x15ac:absPath xmlns:x15ac="http://schemas.microsoft.com/office/spreadsheetml/2010/11/ac" url="D:\Ahmed Osama\Documents\"/>
    </mc:Choice>
  </mc:AlternateContent>
  <xr:revisionPtr revIDLastSave="0" documentId="13_ncr:1_{1A331E4E-D16E-4EB4-8AE8-7B99B15A03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ear" sheetId="1" r:id="rId1"/>
    <sheet name="Pinion Shaft" sheetId="2" r:id="rId2"/>
    <sheet name="Gear Shaft" sheetId="6" r:id="rId3"/>
    <sheet name="Key" sheetId="7" r:id="rId4"/>
    <sheet name="Bearing" sheetId="8" r:id="rId5"/>
  </sheets>
  <definedNames>
    <definedName name="C_Dist">Gear!$C$17</definedName>
    <definedName name="CH">Gear!$G$15</definedName>
    <definedName name="Cp">Gear!$C$24</definedName>
    <definedName name="dia" localSheetId="2">'Gear Shaft'!$B$32</definedName>
    <definedName name="dia">'Pinion Shaft'!$B$31</definedName>
    <definedName name="Dp">Gear!$C$13</definedName>
    <definedName name="F">Gear!$C$21</definedName>
    <definedName name="I">Gear!$C$32</definedName>
    <definedName name="JG">Gear!$C$31</definedName>
    <definedName name="JP">Gear!$C$30</definedName>
    <definedName name="KB_pinion">Gear!$G$12</definedName>
    <definedName name="Kf" localSheetId="2">'Gear Shaft'!$B$67</definedName>
    <definedName name="Kf">'Pinion Shaft'!$B$65</definedName>
    <definedName name="KfA">'Gear Shaft'!$C$49</definedName>
    <definedName name="Kfs" localSheetId="2">'Gear Shaft'!$B$68</definedName>
    <definedName name="Kfs">'Pinion Shaft'!$B$66</definedName>
    <definedName name="KfsA">'Gear Shaft'!$C$50</definedName>
    <definedName name="Km">Gear!$G$8</definedName>
    <definedName name="Ko">Gear!$G$9</definedName>
    <definedName name="KR">Gear!$G$17</definedName>
    <definedName name="KsG">Gear!$G$11</definedName>
    <definedName name="KsP">Gear!$G$10</definedName>
    <definedName name="KT">Gear!$G$16</definedName>
    <definedName name="KtA" comment="location A" localSheetId="2">'Gear Shaft'!$C$47</definedName>
    <definedName name="KtsA">'Gear Shaft'!$C$48</definedName>
    <definedName name="Kv">Gear!$G$14</definedName>
    <definedName name="Ma" localSheetId="2">'Gear Shaft'!$B$13</definedName>
    <definedName name="Ma">'Pinion Shaft'!$B$13</definedName>
    <definedName name="Mm" localSheetId="2">'Gear Shaft'!$B$17</definedName>
    <definedName name="Mm">'Pinion Shaft'!$B$17</definedName>
    <definedName name="NeuberBending" localSheetId="2">'Gear Shaft'!$B$55</definedName>
    <definedName name="NeuberBending">'Pinion Shaft'!$B$54</definedName>
    <definedName name="NeuberTorsion" localSheetId="2">'Gear Shaft'!$B$59</definedName>
    <definedName name="NeuberTorsion">'Pinion Shaft'!$B$57</definedName>
    <definedName name="Pd">Gear!$C$4</definedName>
    <definedName name="Re">Gear!$C$28</definedName>
    <definedName name="rr" localSheetId="2">'Gear Shaft'!$B$53</definedName>
    <definedName name="rr">'Pinion Shaft'!$B$49</definedName>
    <definedName name="ScG">Gear!$G$47</definedName>
    <definedName name="ScP">Gear!$G$46</definedName>
    <definedName name="Se" localSheetId="2">'Gear Shaft'!$B$48</definedName>
    <definedName name="Se">'Pinion Shaft'!$B$45</definedName>
    <definedName name="SF">Gear!$G$26</definedName>
    <definedName name="SH">Gear!$G$40</definedName>
    <definedName name="Sigma_bG">Gear!$G$28</definedName>
    <definedName name="Sigma_bP">Gear!$G$27</definedName>
    <definedName name="SigmaC_Gear">Gear!$G$42</definedName>
    <definedName name="SigmaC_Pinion">Gear!$G$41</definedName>
    <definedName name="StG">Gear!$G$33</definedName>
    <definedName name="StP">Gear!$G$32</definedName>
    <definedName name="Sut" localSheetId="2">'Gear Shaft'!$B$13</definedName>
    <definedName name="Sut">'Pinion Shaft'!$B$13</definedName>
    <definedName name="Ta" localSheetId="2">'Gear Shaft'!$B$19</definedName>
    <definedName name="Ta">'Pinion Shaft'!$B$19</definedName>
    <definedName name="Tm" localSheetId="2">'Gear Shaft'!$B$21</definedName>
    <definedName name="Tm">'Pinion Shaft'!$B$21</definedName>
    <definedName name="Wt">Gear!$C$17</definedName>
    <definedName name="YG">Gear!$C$27</definedName>
    <definedName name="YN_Gear">Gear!$G$22</definedName>
    <definedName name="YN_Pinion">Gear!$G$21</definedName>
    <definedName name="YP">Gear!$C$26</definedName>
    <definedName name="ZN_Gear">Gear!$G$24</definedName>
    <definedName name="ZN_Pinion">Gear!$G$23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4" i="7" l="1"/>
  <c r="P33" i="2"/>
  <c r="P32" i="2"/>
  <c r="C37" i="7"/>
  <c r="G28" i="2"/>
  <c r="B4" i="8"/>
  <c r="C36" i="1"/>
  <c r="C25" i="6"/>
  <c r="E25" i="6"/>
  <c r="G25" i="6"/>
  <c r="I25" i="6"/>
  <c r="K25" i="6"/>
  <c r="C26" i="6"/>
  <c r="E26" i="6"/>
  <c r="C14" i="2" l="1"/>
  <c r="C14" i="6"/>
  <c r="F38" i="6"/>
  <c r="F39" i="6" s="1"/>
  <c r="G49" i="6" s="1"/>
  <c r="F41" i="6"/>
  <c r="F42" i="6" s="1"/>
  <c r="G50" i="6" s="1"/>
  <c r="C28" i="1"/>
  <c r="B27" i="8"/>
  <c r="H27" i="8" s="1"/>
  <c r="B7" i="8"/>
  <c r="H7" i="8" s="1"/>
  <c r="K43" i="2"/>
  <c r="I43" i="2"/>
  <c r="C43" i="2"/>
  <c r="I46" i="6"/>
  <c r="E46" i="6"/>
  <c r="C46" i="6"/>
  <c r="I45" i="6"/>
  <c r="E45" i="6"/>
  <c r="C45" i="6"/>
  <c r="I42" i="2"/>
  <c r="K42" i="2"/>
  <c r="C42" i="2"/>
  <c r="O23" i="7"/>
  <c r="O25" i="7"/>
  <c r="O38" i="7" s="1"/>
  <c r="O28" i="7"/>
  <c r="O24" i="7"/>
  <c r="O26" i="7" s="1"/>
  <c r="O33" i="7" s="1"/>
  <c r="O27" i="7"/>
  <c r="G19" i="7"/>
  <c r="G14" i="7"/>
  <c r="K28" i="7"/>
  <c r="G28" i="7"/>
  <c r="G27" i="7"/>
  <c r="G24" i="7"/>
  <c r="G26" i="7" s="1"/>
  <c r="G23" i="7"/>
  <c r="G25" i="7" s="1"/>
  <c r="G38" i="7" s="1"/>
  <c r="K27" i="7"/>
  <c r="K24" i="7"/>
  <c r="K26" i="7" s="1"/>
  <c r="K32" i="7" s="1"/>
  <c r="K23" i="7"/>
  <c r="K25" i="7" s="1"/>
  <c r="C27" i="7"/>
  <c r="C24" i="7"/>
  <c r="C26" i="7" s="1"/>
  <c r="C23" i="7"/>
  <c r="C25" i="7" s="1"/>
  <c r="P18" i="6"/>
  <c r="G22" i="6" s="1"/>
  <c r="J38" i="6"/>
  <c r="J39" i="6" s="1"/>
  <c r="K49" i="6" s="1"/>
  <c r="J41" i="6"/>
  <c r="J42" i="6" s="1"/>
  <c r="K50" i="6" s="1"/>
  <c r="R25" i="6"/>
  <c r="R24" i="6"/>
  <c r="R23" i="6"/>
  <c r="L39" i="2"/>
  <c r="L40" i="2" s="1"/>
  <c r="M47" i="2" s="1"/>
  <c r="J39" i="2"/>
  <c r="J40" i="2" s="1"/>
  <c r="K47" i="2" s="1"/>
  <c r="J36" i="2"/>
  <c r="J37" i="2" s="1"/>
  <c r="K46" i="2" s="1"/>
  <c r="B36" i="2"/>
  <c r="B37" i="2" s="1"/>
  <c r="C46" i="2" s="1"/>
  <c r="H36" i="2"/>
  <c r="H37" i="2" s="1"/>
  <c r="I46" i="2" s="1"/>
  <c r="T23" i="2"/>
  <c r="T24" i="2"/>
  <c r="T25" i="2"/>
  <c r="K24" i="2"/>
  <c r="K25" i="2"/>
  <c r="K28" i="2"/>
  <c r="C28" i="7"/>
  <c r="H39" i="2"/>
  <c r="H40" i="2" s="1"/>
  <c r="I47" i="2" s="1"/>
  <c r="D39" i="2"/>
  <c r="D40" i="2" s="1"/>
  <c r="E47" i="2" s="1"/>
  <c r="F39" i="2"/>
  <c r="F40" i="2" s="1"/>
  <c r="G47" i="2" s="1"/>
  <c r="H41" i="6"/>
  <c r="H42" i="6" s="1"/>
  <c r="I50" i="6" s="1"/>
  <c r="D41" i="6"/>
  <c r="D42" i="6" s="1"/>
  <c r="E50" i="6" s="1"/>
  <c r="I14" i="1"/>
  <c r="I36" i="1" s="1"/>
  <c r="E42" i="2"/>
  <c r="B41" i="6"/>
  <c r="B42" i="6" s="1"/>
  <c r="C50" i="6" s="1"/>
  <c r="H38" i="6"/>
  <c r="H39" i="6" s="1"/>
  <c r="I49" i="6" s="1"/>
  <c r="D38" i="6"/>
  <c r="D39" i="6" s="1"/>
  <c r="E49" i="6" s="1"/>
  <c r="B38" i="6"/>
  <c r="B39" i="6" s="1"/>
  <c r="C49" i="6" s="1"/>
  <c r="K29" i="6"/>
  <c r="I29" i="6"/>
  <c r="E29" i="6"/>
  <c r="G29" i="6"/>
  <c r="C29" i="6"/>
  <c r="K26" i="6"/>
  <c r="K27" i="6" s="1"/>
  <c r="I26" i="6"/>
  <c r="I27" i="6" s="1"/>
  <c r="G26" i="6"/>
  <c r="G27" i="6" s="1"/>
  <c r="C27" i="6"/>
  <c r="I7" i="6"/>
  <c r="H7" i="6"/>
  <c r="G7" i="6"/>
  <c r="E7" i="6"/>
  <c r="C7" i="6"/>
  <c r="L36" i="2"/>
  <c r="L37" i="2" s="1"/>
  <c r="M46" i="2" s="1"/>
  <c r="D36" i="2"/>
  <c r="D37" i="2" s="1"/>
  <c r="E46" i="2" s="1"/>
  <c r="F36" i="2"/>
  <c r="F37" i="2" s="1"/>
  <c r="G46" i="2" s="1"/>
  <c r="R18" i="2"/>
  <c r="G22" i="2" s="1"/>
  <c r="M22" i="2" s="1"/>
  <c r="E27" i="6"/>
  <c r="M28" i="2"/>
  <c r="M25" i="2"/>
  <c r="M24" i="2"/>
  <c r="I28" i="2"/>
  <c r="I25" i="2"/>
  <c r="I24" i="2"/>
  <c r="E25" i="2"/>
  <c r="E24" i="2"/>
  <c r="E26" i="2" s="1"/>
  <c r="G25" i="2"/>
  <c r="G24" i="2"/>
  <c r="C25" i="2"/>
  <c r="C24" i="2"/>
  <c r="B39" i="2"/>
  <c r="B40" i="2" s="1"/>
  <c r="C47" i="2" s="1"/>
  <c r="C28" i="2"/>
  <c r="H7" i="2"/>
  <c r="I7" i="2"/>
  <c r="G7" i="2"/>
  <c r="E7" i="2"/>
  <c r="C7" i="2"/>
  <c r="O82" i="1"/>
  <c r="O81" i="1"/>
  <c r="O68" i="1"/>
  <c r="O67" i="1"/>
  <c r="O54" i="1"/>
  <c r="O58" i="1" s="1"/>
  <c r="O47" i="1"/>
  <c r="O48" i="1" s="1"/>
  <c r="O44" i="1"/>
  <c r="O43" i="1"/>
  <c r="O40" i="1"/>
  <c r="O28" i="1"/>
  <c r="P22" i="1"/>
  <c r="O22" i="1"/>
  <c r="N22" i="1"/>
  <c r="O17" i="1"/>
  <c r="O16" i="1"/>
  <c r="O15" i="1"/>
  <c r="O14" i="1"/>
  <c r="O13" i="1"/>
  <c r="O10" i="1"/>
  <c r="L82" i="1"/>
  <c r="L81" i="1"/>
  <c r="L68" i="1"/>
  <c r="L67" i="1"/>
  <c r="L54" i="1"/>
  <c r="L47" i="1"/>
  <c r="L48" i="1" s="1"/>
  <c r="L44" i="1"/>
  <c r="L43" i="1"/>
  <c r="L40" i="1"/>
  <c r="L28" i="1"/>
  <c r="M22" i="1"/>
  <c r="L22" i="1"/>
  <c r="K22" i="1"/>
  <c r="L17" i="1"/>
  <c r="L16" i="1"/>
  <c r="L15" i="1"/>
  <c r="L18" i="1"/>
  <c r="L19" i="1" s="1"/>
  <c r="L14" i="1"/>
  <c r="L13" i="1"/>
  <c r="L10" i="1"/>
  <c r="I54" i="1"/>
  <c r="I47" i="1"/>
  <c r="I48" i="1" s="1"/>
  <c r="I44" i="1"/>
  <c r="I43" i="1"/>
  <c r="I40" i="1"/>
  <c r="I28" i="1"/>
  <c r="J22" i="1"/>
  <c r="I22" i="1"/>
  <c r="H22" i="1"/>
  <c r="I17" i="1"/>
  <c r="I16" i="1"/>
  <c r="I15" i="1"/>
  <c r="I24" i="1" s="1"/>
  <c r="I39" i="1" s="1"/>
  <c r="I13" i="1"/>
  <c r="I10" i="1"/>
  <c r="F28" i="1"/>
  <c r="F54" i="1"/>
  <c r="F58" i="1"/>
  <c r="F83" i="1" s="1"/>
  <c r="F47" i="1"/>
  <c r="F48" i="1" s="1"/>
  <c r="F44" i="1"/>
  <c r="F43" i="1"/>
  <c r="F40" i="1"/>
  <c r="G22" i="1"/>
  <c r="F22" i="1"/>
  <c r="E22" i="1"/>
  <c r="F17" i="1"/>
  <c r="F16" i="1"/>
  <c r="F15" i="1"/>
  <c r="F24" i="1" s="1"/>
  <c r="F39" i="1" s="1"/>
  <c r="F14" i="1"/>
  <c r="F36" i="1" s="1"/>
  <c r="F13" i="1"/>
  <c r="F10" i="1"/>
  <c r="C54" i="1"/>
  <c r="C56" i="1" s="1"/>
  <c r="C69" i="1" s="1"/>
  <c r="C47" i="1"/>
  <c r="C48" i="1" s="1"/>
  <c r="C44" i="1"/>
  <c r="C43" i="1"/>
  <c r="C40" i="1"/>
  <c r="D22" i="1"/>
  <c r="C22" i="1"/>
  <c r="B22" i="1"/>
  <c r="C17" i="1"/>
  <c r="C16" i="1"/>
  <c r="C15" i="1"/>
  <c r="C18" i="1" s="1"/>
  <c r="C14" i="1"/>
  <c r="C13" i="1"/>
  <c r="C10" i="1"/>
  <c r="L24" i="1"/>
  <c r="L39" i="1" s="1"/>
  <c r="L41" i="1" s="1"/>
  <c r="L56" i="1"/>
  <c r="L58" i="1"/>
  <c r="F56" i="1"/>
  <c r="F69" i="1"/>
  <c r="F55" i="1" l="1"/>
  <c r="F59" i="1" s="1"/>
  <c r="F84" i="1" s="1"/>
  <c r="K33" i="6"/>
  <c r="C33" i="6"/>
  <c r="L49" i="1"/>
  <c r="L63" i="1" s="1"/>
  <c r="F18" i="1"/>
  <c r="F19" i="1" s="1"/>
  <c r="O56" i="1"/>
  <c r="O69" i="1" s="1"/>
  <c r="G33" i="6"/>
  <c r="I33" i="6"/>
  <c r="E43" i="2"/>
  <c r="O55" i="1"/>
  <c r="O57" i="1" s="1"/>
  <c r="O36" i="1"/>
  <c r="C52" i="2"/>
  <c r="I52" i="2"/>
  <c r="C55" i="1"/>
  <c r="L55" i="1"/>
  <c r="L57" i="1" s="1"/>
  <c r="L70" i="1" s="1"/>
  <c r="L36" i="1"/>
  <c r="C58" i="1"/>
  <c r="C83" i="1" s="1"/>
  <c r="O70" i="1"/>
  <c r="E22" i="2"/>
  <c r="E52" i="2"/>
  <c r="C36" i="7"/>
  <c r="C30" i="7"/>
  <c r="C31" i="7"/>
  <c r="C33" i="7"/>
  <c r="M26" i="2"/>
  <c r="M32" i="2" s="1"/>
  <c r="M49" i="2" s="1"/>
  <c r="E33" i="6"/>
  <c r="C24" i="1"/>
  <c r="C39" i="1" s="1"/>
  <c r="C41" i="1" s="1"/>
  <c r="F41" i="1"/>
  <c r="I41" i="1"/>
  <c r="L83" i="1"/>
  <c r="E28" i="2"/>
  <c r="E32" i="2" s="1"/>
  <c r="G36" i="7"/>
  <c r="O32" i="7"/>
  <c r="O37" i="7"/>
  <c r="L69" i="1"/>
  <c r="O83" i="1"/>
  <c r="I18" i="1"/>
  <c r="C26" i="2"/>
  <c r="C32" i="2" s="1"/>
  <c r="G26" i="2"/>
  <c r="G32" i="2" s="1"/>
  <c r="I26" i="2"/>
  <c r="I32" i="2" s="1"/>
  <c r="K26" i="2"/>
  <c r="K32" i="2" s="1"/>
  <c r="K49" i="2" s="1"/>
  <c r="C49" i="1"/>
  <c r="C19" i="1"/>
  <c r="I56" i="1"/>
  <c r="I69" i="1" s="1"/>
  <c r="I55" i="1"/>
  <c r="O18" i="1"/>
  <c r="O24" i="1"/>
  <c r="O39" i="1" s="1"/>
  <c r="O41" i="1" s="1"/>
  <c r="C56" i="6"/>
  <c r="G56" i="6"/>
  <c r="G52" i="2"/>
  <c r="K52" i="2"/>
  <c r="K51" i="2"/>
  <c r="K38" i="7"/>
  <c r="K35" i="7"/>
  <c r="K37" i="7"/>
  <c r="K36" i="7"/>
  <c r="O59" i="1"/>
  <c r="O84" i="1" s="1"/>
  <c r="E56" i="6"/>
  <c r="K55" i="6"/>
  <c r="G32" i="7"/>
  <c r="G31" i="7"/>
  <c r="G33" i="7"/>
  <c r="G30" i="7"/>
  <c r="I58" i="1"/>
  <c r="I83" i="1" s="1"/>
  <c r="M51" i="2"/>
  <c r="M52" i="2"/>
  <c r="I22" i="6"/>
  <c r="I56" i="6" s="1"/>
  <c r="K22" i="6"/>
  <c r="K56" i="6" s="1"/>
  <c r="K33" i="7"/>
  <c r="C38" i="7"/>
  <c r="G37" i="7"/>
  <c r="O31" i="7"/>
  <c r="O36" i="7"/>
  <c r="K30" i="7"/>
  <c r="C35" i="7"/>
  <c r="G35" i="7"/>
  <c r="O30" i="7"/>
  <c r="O35" i="7"/>
  <c r="C32" i="7"/>
  <c r="K31" i="7"/>
  <c r="F57" i="1" l="1"/>
  <c r="F70" i="1" s="1"/>
  <c r="N41" i="7"/>
  <c r="B41" i="7"/>
  <c r="L76" i="1"/>
  <c r="L78" i="1" s="1"/>
  <c r="L62" i="1"/>
  <c r="L64" i="1" s="1"/>
  <c r="L73" i="1"/>
  <c r="F49" i="1"/>
  <c r="F63" i="1" s="1"/>
  <c r="L77" i="1"/>
  <c r="L87" i="1" s="1"/>
  <c r="L65" i="1"/>
  <c r="C57" i="1"/>
  <c r="C70" i="1" s="1"/>
  <c r="C59" i="1"/>
  <c r="C84" i="1" s="1"/>
  <c r="L59" i="1"/>
  <c r="L84" i="1" s="1"/>
  <c r="K53" i="2"/>
  <c r="K54" i="2" s="1"/>
  <c r="J44" i="7"/>
  <c r="I19" i="1"/>
  <c r="I49" i="1"/>
  <c r="F44" i="7"/>
  <c r="N44" i="7"/>
  <c r="J41" i="7"/>
  <c r="O19" i="1"/>
  <c r="O49" i="1"/>
  <c r="I57" i="1"/>
  <c r="I70" i="1" s="1"/>
  <c r="I59" i="1"/>
  <c r="I84" i="1" s="1"/>
  <c r="M53" i="2"/>
  <c r="M54" i="2" s="1"/>
  <c r="F41" i="7"/>
  <c r="K57" i="6"/>
  <c r="K58" i="6" s="1"/>
  <c r="K53" i="6"/>
  <c r="C77" i="1"/>
  <c r="C76" i="1"/>
  <c r="C78" i="1" s="1"/>
  <c r="C62" i="1"/>
  <c r="C63" i="1"/>
  <c r="F65" i="1" l="1"/>
  <c r="L86" i="1"/>
  <c r="L72" i="1"/>
  <c r="F62" i="1"/>
  <c r="F72" i="1" s="1"/>
  <c r="G93" i="1" s="1"/>
  <c r="F76" i="1"/>
  <c r="F78" i="1" s="1"/>
  <c r="F77" i="1"/>
  <c r="F79" i="1" s="1"/>
  <c r="L79" i="1"/>
  <c r="F73" i="1"/>
  <c r="G94" i="1" s="1"/>
  <c r="I62" i="1"/>
  <c r="I77" i="1"/>
  <c r="I79" i="1" s="1"/>
  <c r="P20" i="6"/>
  <c r="I63" i="1"/>
  <c r="I65" i="1" s="1"/>
  <c r="I76" i="1"/>
  <c r="R20" i="2"/>
  <c r="C79" i="1"/>
  <c r="C87" i="1"/>
  <c r="C65" i="1"/>
  <c r="C73" i="1"/>
  <c r="C72" i="1"/>
  <c r="C64" i="1"/>
  <c r="O63" i="1"/>
  <c r="O76" i="1"/>
  <c r="O62" i="1"/>
  <c r="O77" i="1"/>
  <c r="C86" i="1"/>
  <c r="F86" i="1" l="1"/>
  <c r="G96" i="1" s="1"/>
  <c r="F87" i="1"/>
  <c r="G97" i="1" s="1"/>
  <c r="F64" i="1"/>
  <c r="R21" i="2"/>
  <c r="I78" i="1"/>
  <c r="I86" i="1"/>
  <c r="I64" i="1"/>
  <c r="I72" i="1"/>
  <c r="I87" i="1"/>
  <c r="P21" i="6"/>
  <c r="P22" i="6" s="1"/>
  <c r="B24" i="8"/>
  <c r="I73" i="1"/>
  <c r="O65" i="1"/>
  <c r="O73" i="1"/>
  <c r="O79" i="1"/>
  <c r="O87" i="1"/>
  <c r="O72" i="1"/>
  <c r="O64" i="1"/>
  <c r="O78" i="1"/>
  <c r="O86" i="1"/>
  <c r="R22" i="2" l="1"/>
  <c r="C19" i="2" s="1"/>
  <c r="F11" i="8"/>
  <c r="E19" i="6"/>
  <c r="C19" i="6"/>
  <c r="C53" i="6" s="1"/>
  <c r="G19" i="6"/>
  <c r="C31" i="8"/>
  <c r="D36" i="8"/>
  <c r="D38" i="8" s="1"/>
  <c r="D39" i="8" s="1"/>
  <c r="F31" i="8"/>
  <c r="B33" i="8"/>
  <c r="B36" i="8"/>
  <c r="B38" i="8" s="1"/>
  <c r="B39" i="8" s="1"/>
  <c r="F36" i="8"/>
  <c r="F38" i="8" s="1"/>
  <c r="F39" i="8" s="1"/>
  <c r="B31" i="8"/>
  <c r="C36" i="8"/>
  <c r="C38" i="8" s="1"/>
  <c r="C39" i="8" s="1"/>
  <c r="D31" i="8"/>
  <c r="E31" i="8"/>
  <c r="E36" i="8"/>
  <c r="E38" i="8" s="1"/>
  <c r="E39" i="8" s="1"/>
  <c r="H24" i="8"/>
  <c r="B13" i="8" l="1"/>
  <c r="D11" i="8"/>
  <c r="D16" i="8"/>
  <c r="D18" i="8" s="1"/>
  <c r="D19" i="8" s="1"/>
  <c r="B16" i="8"/>
  <c r="B18" i="8" s="1"/>
  <c r="B19" i="8" s="1"/>
  <c r="C11" i="8"/>
  <c r="B11" i="8"/>
  <c r="C16" i="8"/>
  <c r="C18" i="8" s="1"/>
  <c r="C19" i="8" s="1"/>
  <c r="E19" i="2"/>
  <c r="E51" i="2" s="1"/>
  <c r="E53" i="2" s="1"/>
  <c r="E54" i="2" s="1"/>
  <c r="H4" i="8"/>
  <c r="L16" i="8" s="1"/>
  <c r="L18" i="8" s="1"/>
  <c r="L19" i="8" s="1"/>
  <c r="E11" i="8"/>
  <c r="G19" i="2"/>
  <c r="G49" i="2" s="1"/>
  <c r="E16" i="8"/>
  <c r="E18" i="8" s="1"/>
  <c r="E19" i="8" s="1"/>
  <c r="F16" i="8"/>
  <c r="F18" i="8" s="1"/>
  <c r="F19" i="8" s="1"/>
  <c r="H36" i="8"/>
  <c r="H38" i="8" s="1"/>
  <c r="H39" i="8" s="1"/>
  <c r="K31" i="8"/>
  <c r="J36" i="8"/>
  <c r="J38" i="8" s="1"/>
  <c r="J39" i="8" s="1"/>
  <c r="I31" i="8"/>
  <c r="H31" i="8"/>
  <c r="I36" i="8"/>
  <c r="I38" i="8" s="1"/>
  <c r="I39" i="8" s="1"/>
  <c r="J31" i="8"/>
  <c r="H33" i="8"/>
  <c r="K36" i="8"/>
  <c r="K38" i="8" s="1"/>
  <c r="K39" i="8" s="1"/>
  <c r="L31" i="8"/>
  <c r="L36" i="8"/>
  <c r="L38" i="8" s="1"/>
  <c r="L39" i="8" s="1"/>
  <c r="G55" i="6"/>
  <c r="G57" i="6" s="1"/>
  <c r="G58" i="6" s="1"/>
  <c r="G53" i="6"/>
  <c r="C55" i="6"/>
  <c r="C57" i="6" s="1"/>
  <c r="C58" i="6" s="1"/>
  <c r="C51" i="2"/>
  <c r="C53" i="2"/>
  <c r="C54" i="2" s="1"/>
  <c r="C49" i="2"/>
  <c r="E55" i="6"/>
  <c r="E57" i="6" s="1"/>
  <c r="E58" i="6" s="1"/>
  <c r="I19" i="6"/>
  <c r="E53" i="6"/>
  <c r="E49" i="2" l="1"/>
  <c r="J16" i="8"/>
  <c r="J18" i="8" s="1"/>
  <c r="J19" i="8" s="1"/>
  <c r="J11" i="8"/>
  <c r="H16" i="8"/>
  <c r="H18" i="8" s="1"/>
  <c r="H19" i="8" s="1"/>
  <c r="K16" i="8"/>
  <c r="K18" i="8" s="1"/>
  <c r="K19" i="8" s="1"/>
  <c r="I11" i="8"/>
  <c r="I16" i="8"/>
  <c r="I18" i="8" s="1"/>
  <c r="I19" i="8" s="1"/>
  <c r="I19" i="2"/>
  <c r="I49" i="2" s="1"/>
  <c r="H11" i="8"/>
  <c r="G51" i="2"/>
  <c r="G53" i="2" s="1"/>
  <c r="G54" i="2" s="1"/>
  <c r="L11" i="8"/>
  <c r="H13" i="8"/>
  <c r="K11" i="8"/>
  <c r="I55" i="6"/>
  <c r="I57" i="6" s="1"/>
  <c r="I58" i="6" s="1"/>
  <c r="I53" i="6"/>
  <c r="I51" i="2" l="1"/>
  <c r="I53" i="2" s="1"/>
  <c r="I54" i="2" s="1"/>
</calcChain>
</file>

<file path=xl/sharedStrings.xml><?xml version="1.0" encoding="utf-8"?>
<sst xmlns="http://schemas.openxmlformats.org/spreadsheetml/2006/main" count="1359" uniqueCount="368">
  <si>
    <t>Variable</t>
  </si>
  <si>
    <t>Initial Input Data</t>
  </si>
  <si>
    <t>Input Power:</t>
  </si>
  <si>
    <t>hp</t>
  </si>
  <si>
    <t>Input Speed:</t>
  </si>
  <si>
    <r>
      <t>n</t>
    </r>
    <r>
      <rPr>
        <i/>
        <vertAlign val="subscript"/>
        <sz val="10"/>
        <rFont val="Arial"/>
        <family val="2"/>
      </rPr>
      <t>P</t>
    </r>
    <r>
      <rPr>
        <i/>
        <sz val="10"/>
        <rFont val="Arial"/>
        <family val="2"/>
      </rPr>
      <t xml:space="preserve"> =</t>
    </r>
  </si>
  <si>
    <t>rpm</t>
  </si>
  <si>
    <t>Diametral Pitch:</t>
  </si>
  <si>
    <r>
      <t xml:space="preserve"> </t>
    </r>
    <r>
      <rPr>
        <i/>
        <sz val="10"/>
        <rFont val="Arial"/>
        <family val="2"/>
      </rPr>
      <t>P</t>
    </r>
    <r>
      <rPr>
        <i/>
        <vertAlign val="subscript"/>
        <sz val="10"/>
        <rFont val="Arial"/>
        <family val="2"/>
      </rPr>
      <t>d</t>
    </r>
    <r>
      <rPr>
        <sz val="10"/>
        <rFont val="Arial"/>
        <family val="2"/>
      </rPr>
      <t xml:space="preserve"> =</t>
    </r>
  </si>
  <si>
    <t>Number of Pinion Teeth:</t>
  </si>
  <si>
    <r>
      <t>N</t>
    </r>
    <r>
      <rPr>
        <i/>
        <vertAlign val="subscript"/>
        <sz val="10"/>
        <rFont val="Arial"/>
        <family val="2"/>
      </rPr>
      <t>P</t>
    </r>
    <r>
      <rPr>
        <i/>
        <sz val="10"/>
        <rFont val="Arial"/>
        <family val="2"/>
      </rPr>
      <t xml:space="preserve"> =</t>
    </r>
  </si>
  <si>
    <t>Desired Output Speed:</t>
  </si>
  <si>
    <r>
      <t>n</t>
    </r>
    <r>
      <rPr>
        <i/>
        <vertAlign val="subscript"/>
        <sz val="10"/>
        <rFont val="Arial"/>
        <family val="2"/>
      </rPr>
      <t>G</t>
    </r>
    <r>
      <rPr>
        <i/>
        <sz val="10"/>
        <rFont val="Arial"/>
        <family val="2"/>
      </rPr>
      <t xml:space="preserve"> =</t>
    </r>
  </si>
  <si>
    <t>Computed number of gear teeth:</t>
  </si>
  <si>
    <r>
      <t>N</t>
    </r>
    <r>
      <rPr>
        <i/>
        <vertAlign val="subscript"/>
        <sz val="10"/>
        <rFont val="Arial"/>
        <family val="2"/>
      </rPr>
      <t>G</t>
    </r>
    <r>
      <rPr>
        <i/>
        <sz val="10"/>
        <rFont val="Arial"/>
        <family val="2"/>
      </rPr>
      <t xml:space="preserve"> =</t>
    </r>
  </si>
  <si>
    <t>Computed Data:</t>
  </si>
  <si>
    <t xml:space="preserve">Actual Output Speed: </t>
  </si>
  <si>
    <t>Gear Ratio:</t>
  </si>
  <si>
    <r>
      <t>m</t>
    </r>
    <r>
      <rPr>
        <i/>
        <vertAlign val="subscript"/>
        <sz val="10"/>
        <rFont val="Arial"/>
        <family val="2"/>
      </rPr>
      <t>G</t>
    </r>
    <r>
      <rPr>
        <i/>
        <sz val="10"/>
        <rFont val="Arial"/>
        <family val="2"/>
      </rPr>
      <t xml:space="preserve"> =</t>
    </r>
  </si>
  <si>
    <t>Pitch Diameter - Pinion:</t>
  </si>
  <si>
    <t>Pitch Diameter - Gear:</t>
  </si>
  <si>
    <t>Center Distance:</t>
  </si>
  <si>
    <t>C =</t>
  </si>
  <si>
    <t xml:space="preserve"> V =</t>
  </si>
  <si>
    <r>
      <t>W</t>
    </r>
    <r>
      <rPr>
        <i/>
        <vertAlign val="subscript"/>
        <sz val="10"/>
        <rFont val="Arial"/>
        <family val="2"/>
      </rPr>
      <t>t</t>
    </r>
    <r>
      <rPr>
        <i/>
        <sz val="10"/>
        <rFont val="Arial"/>
        <family val="2"/>
      </rPr>
      <t xml:space="preserve"> =</t>
    </r>
  </si>
  <si>
    <t>in</t>
  </si>
  <si>
    <t>ft/min</t>
  </si>
  <si>
    <t>lb</t>
  </si>
  <si>
    <t>Secondary Input Data:</t>
  </si>
  <si>
    <t>Min</t>
  </si>
  <si>
    <t>Nom</t>
  </si>
  <si>
    <t>Max</t>
  </si>
  <si>
    <t>Face Width Guidelines (in):</t>
  </si>
  <si>
    <t>F =</t>
  </si>
  <si>
    <t>Ratio:  Face width/pinion diameter:</t>
  </si>
  <si>
    <r>
      <t>F/D</t>
    </r>
    <r>
      <rPr>
        <i/>
        <vertAlign val="subscript"/>
        <sz val="10"/>
        <rFont val="Arial"/>
        <family val="2"/>
      </rPr>
      <t>P</t>
    </r>
    <r>
      <rPr>
        <i/>
        <sz val="10"/>
        <rFont val="Arial"/>
        <family val="2"/>
      </rPr>
      <t xml:space="preserve"> =</t>
    </r>
  </si>
  <si>
    <r>
      <t xml:space="preserve">        Recommended range of ratio:  0.50 &lt; </t>
    </r>
    <r>
      <rPr>
        <i/>
        <sz val="10"/>
        <rFont val="Arial"/>
        <family val="2"/>
      </rPr>
      <t>F/D</t>
    </r>
    <r>
      <rPr>
        <i/>
        <vertAlign val="subscript"/>
        <sz val="10"/>
        <rFont val="Arial"/>
        <family val="2"/>
      </rPr>
      <t>P</t>
    </r>
    <r>
      <rPr>
        <i/>
        <sz val="10"/>
        <rFont val="Arial"/>
        <family val="2"/>
      </rPr>
      <t xml:space="preserve"> &lt;</t>
    </r>
    <r>
      <rPr>
        <sz val="10"/>
        <rFont val="Arial"/>
        <family val="2"/>
      </rPr>
      <t xml:space="preserve"> 2.00</t>
    </r>
    <r>
      <rPr>
        <i/>
        <sz val="10"/>
        <rFont val="Arial"/>
        <family val="2"/>
      </rPr>
      <t xml:space="preserve">        </t>
    </r>
  </si>
  <si>
    <r>
      <t xml:space="preserve"> Cp </t>
    </r>
    <r>
      <rPr>
        <sz val="10"/>
        <rFont val="Arial"/>
        <family val="2"/>
      </rPr>
      <t>=</t>
    </r>
  </si>
  <si>
    <t>Eq. (14-13)</t>
  </si>
  <si>
    <r>
      <t>Q</t>
    </r>
    <r>
      <rPr>
        <i/>
        <vertAlign val="subscript"/>
        <sz val="10"/>
        <rFont val="Arial"/>
        <family val="2"/>
      </rPr>
      <t>v</t>
    </r>
    <r>
      <rPr>
        <i/>
        <sz val="10"/>
        <rFont val="Arial"/>
        <family val="2"/>
      </rPr>
      <t xml:space="preserve"> =</t>
    </r>
  </si>
  <si>
    <t xml:space="preserve">Reliability: </t>
  </si>
  <si>
    <t>R=</t>
  </si>
  <si>
    <t>Pinion:</t>
  </si>
  <si>
    <r>
      <t xml:space="preserve"> </t>
    </r>
    <r>
      <rPr>
        <i/>
        <sz val="10"/>
        <rFont val="Arial"/>
        <family val="2"/>
      </rPr>
      <t>J</t>
    </r>
    <r>
      <rPr>
        <i/>
        <vertAlign val="subscript"/>
        <sz val="10"/>
        <rFont val="Arial"/>
        <family val="2"/>
      </rPr>
      <t>P</t>
    </r>
    <r>
      <rPr>
        <i/>
        <sz val="10"/>
        <rFont val="Arial"/>
        <family val="2"/>
      </rPr>
      <t xml:space="preserve"> =</t>
    </r>
  </si>
  <si>
    <t>Gear:</t>
  </si>
  <si>
    <r>
      <t xml:space="preserve"> </t>
    </r>
    <r>
      <rPr>
        <i/>
        <sz val="10"/>
        <rFont val="Arial"/>
        <family val="2"/>
      </rPr>
      <t>J</t>
    </r>
    <r>
      <rPr>
        <i/>
        <vertAlign val="subscript"/>
        <sz val="10"/>
        <rFont val="Arial"/>
        <family val="2"/>
      </rPr>
      <t>G</t>
    </r>
    <r>
      <rPr>
        <i/>
        <sz val="10"/>
        <rFont val="Arial"/>
        <family val="2"/>
      </rPr>
      <t xml:space="preserve"> =</t>
    </r>
  </si>
  <si>
    <t>I =</t>
  </si>
  <si>
    <t>teeth/in</t>
  </si>
  <si>
    <t>Youngs Modulus Pinion/Gear</t>
  </si>
  <si>
    <t>Poisson Ratio</t>
  </si>
  <si>
    <r>
      <t>E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&amp; E</t>
    </r>
    <r>
      <rPr>
        <vertAlign val="subscript"/>
        <sz val="11"/>
        <color theme="1"/>
        <rFont val="Calibri"/>
        <family val="2"/>
        <scheme val="minor"/>
      </rPr>
      <t xml:space="preserve">p </t>
    </r>
    <r>
      <rPr>
        <sz val="11"/>
        <color theme="1"/>
        <rFont val="Calibri"/>
        <family val="2"/>
        <scheme val="minor"/>
      </rPr>
      <t xml:space="preserve"> =</t>
    </r>
  </si>
  <si>
    <t>v =</t>
  </si>
  <si>
    <t>Actual Chosen No. of Gear Teeth:</t>
  </si>
  <si>
    <t>Bending Geometry Factors:</t>
  </si>
  <si>
    <t>Pitting Geometry Factor:</t>
  </si>
  <si>
    <t>Elastic Coefficient:</t>
  </si>
  <si>
    <t>Quality Number:</t>
  </si>
  <si>
    <t>Fig. 14-6 tooth#</t>
  </si>
  <si>
    <t>T-14-2 tooth#</t>
  </si>
  <si>
    <t>(given)</t>
  </si>
  <si>
    <t>Factors in Design Analysis:</t>
  </si>
  <si>
    <t>Fig. 14-17</t>
  </si>
  <si>
    <t>Eq. (14-36) Gear only</t>
  </si>
  <si>
    <t>Stress Analysis: Bending</t>
  </si>
  <si>
    <t>psi</t>
  </si>
  <si>
    <t xml:space="preserve">psi, </t>
  </si>
  <si>
    <r>
      <t xml:space="preserve">Pinion:  Max Allowed Bending stress </t>
    </r>
    <r>
      <rPr>
        <i/>
        <sz val="10"/>
        <rFont val="Arial"/>
        <family val="2"/>
      </rPr>
      <t xml:space="preserve"> =</t>
    </r>
  </si>
  <si>
    <t>Eq. (14-40)</t>
  </si>
  <si>
    <t>F&gt;1.0in</t>
  </si>
  <si>
    <t>Mesh Alignment Factor:</t>
  </si>
  <si>
    <t xml:space="preserve">Pinion Lewis Form factor: </t>
  </si>
  <si>
    <t>Gear Lewis Form factor:</t>
  </si>
  <si>
    <t>Pinion Proportion Factor:</t>
  </si>
  <si>
    <t>Eq. (14-32)</t>
  </si>
  <si>
    <t>Eq. (14-34) Com.</t>
  </si>
  <si>
    <r>
      <t>C</t>
    </r>
    <r>
      <rPr>
        <vertAlign val="subscript"/>
        <sz val="11"/>
        <color theme="1"/>
        <rFont val="Calibri"/>
        <family val="2"/>
        <scheme val="minor"/>
      </rPr>
      <t>pf</t>
    </r>
    <r>
      <rPr>
        <sz val="11"/>
        <color theme="1"/>
        <rFont val="Calibri"/>
        <family val="2"/>
        <scheme val="minor"/>
      </rPr>
      <t xml:space="preserve"> =</t>
    </r>
  </si>
  <si>
    <r>
      <t>C</t>
    </r>
    <r>
      <rPr>
        <vertAlign val="subscript"/>
        <sz val="11"/>
        <color theme="1"/>
        <rFont val="Calibri"/>
        <family val="2"/>
        <scheme val="minor"/>
      </rPr>
      <t>ma</t>
    </r>
    <r>
      <rPr>
        <sz val="11"/>
        <color theme="1"/>
        <rFont val="Calibri"/>
        <family val="2"/>
        <scheme val="minor"/>
      </rPr>
      <t xml:space="preserve"> =</t>
    </r>
  </si>
  <si>
    <t>Load Distribution Factor:</t>
  </si>
  <si>
    <r>
      <t>K</t>
    </r>
    <r>
      <rPr>
        <vertAlign val="sub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=</t>
    </r>
  </si>
  <si>
    <t>Eq. (14-30)</t>
  </si>
  <si>
    <t>Overload Factor:</t>
  </si>
  <si>
    <t>Pinion Size Factor:</t>
  </si>
  <si>
    <t>Gear Size Factor:</t>
  </si>
  <si>
    <r>
      <t>Pinion Rim Thickness Factor:</t>
    </r>
    <r>
      <rPr>
        <i/>
        <sz val="10"/>
        <rFont val="Arial"/>
        <family val="2"/>
      </rPr>
      <t xml:space="preserve"> </t>
    </r>
  </si>
  <si>
    <r>
      <t>K</t>
    </r>
    <r>
      <rPr>
        <vertAlign val="sub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 =</t>
    </r>
  </si>
  <si>
    <r>
      <t>K</t>
    </r>
    <r>
      <rPr>
        <vertAlign val="subscript"/>
        <sz val="11"/>
        <color theme="1"/>
        <rFont val="Calibri"/>
        <family val="2"/>
        <scheme val="minor"/>
      </rPr>
      <t>sG</t>
    </r>
    <r>
      <rPr>
        <sz val="11"/>
        <color theme="1"/>
        <rFont val="Calibri"/>
        <family val="2"/>
        <scheme val="minor"/>
      </rPr>
      <t xml:space="preserve"> =</t>
    </r>
  </si>
  <si>
    <r>
      <t>K</t>
    </r>
    <r>
      <rPr>
        <vertAlign val="subscript"/>
        <sz val="11"/>
        <color theme="1"/>
        <rFont val="Calibri"/>
        <family val="2"/>
        <scheme val="minor"/>
      </rPr>
      <t>sP</t>
    </r>
    <r>
      <rPr>
        <sz val="11"/>
        <color theme="1"/>
        <rFont val="Calibri"/>
        <family val="2"/>
        <scheme val="minor"/>
      </rPr>
      <t xml:space="preserve"> =</t>
    </r>
  </si>
  <si>
    <r>
      <t>K</t>
    </r>
    <r>
      <rPr>
        <vertAlign val="subscript"/>
        <sz val="11"/>
        <color theme="1"/>
        <rFont val="Calibri"/>
        <family val="2"/>
        <scheme val="minor"/>
      </rPr>
      <t>BP</t>
    </r>
    <r>
      <rPr>
        <sz val="11"/>
        <color theme="1"/>
        <rFont val="Calibri"/>
        <family val="2"/>
        <scheme val="minor"/>
      </rPr>
      <t xml:space="preserve"> =</t>
    </r>
  </si>
  <si>
    <r>
      <t>K</t>
    </r>
    <r>
      <rPr>
        <vertAlign val="subscript"/>
        <sz val="11"/>
        <color theme="1"/>
        <rFont val="Calibri"/>
        <family val="2"/>
        <scheme val="minor"/>
      </rPr>
      <t>BG</t>
    </r>
    <r>
      <rPr>
        <sz val="11"/>
        <color theme="1"/>
        <rFont val="Calibri"/>
        <family val="2"/>
        <scheme val="minor"/>
      </rPr>
      <t xml:space="preserve"> =</t>
    </r>
  </si>
  <si>
    <r>
      <t>K</t>
    </r>
    <r>
      <rPr>
        <vertAlign val="subscript"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 =</t>
    </r>
  </si>
  <si>
    <r>
      <t>C</t>
    </r>
    <r>
      <rPr>
        <vertAlign val="sub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=</t>
    </r>
  </si>
  <si>
    <r>
      <t>K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=</t>
    </r>
  </si>
  <si>
    <r>
      <t>K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=</t>
    </r>
  </si>
  <si>
    <r>
      <t>Gear Rim Thickness Factor:</t>
    </r>
    <r>
      <rPr>
        <i/>
        <sz val="10"/>
        <rFont val="Arial"/>
        <family val="2"/>
      </rPr>
      <t xml:space="preserve"> </t>
    </r>
  </si>
  <si>
    <r>
      <t xml:space="preserve"> Dynamic Factor:</t>
    </r>
    <r>
      <rPr>
        <i/>
        <sz val="10"/>
        <rFont val="Arial"/>
        <family val="2"/>
      </rPr>
      <t/>
    </r>
  </si>
  <si>
    <r>
      <t>Hardness Ratio Factor:</t>
    </r>
    <r>
      <rPr>
        <i/>
        <sz val="10"/>
        <rFont val="Arial"/>
        <family val="2"/>
      </rPr>
      <t xml:space="preserve"> </t>
    </r>
  </si>
  <si>
    <t>Temperature Factor:</t>
  </si>
  <si>
    <r>
      <t xml:space="preserve"> Reliability Factor:</t>
    </r>
    <r>
      <rPr>
        <i/>
        <sz val="10"/>
        <rFont val="Arial"/>
        <family val="2"/>
      </rPr>
      <t xml:space="preserve"> </t>
    </r>
  </si>
  <si>
    <t>A =</t>
  </si>
  <si>
    <t>B =</t>
  </si>
  <si>
    <r>
      <t>Y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=</t>
    </r>
  </si>
  <si>
    <r>
      <t>Y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=</t>
    </r>
  </si>
  <si>
    <t>Eq. (14-27)</t>
  </si>
  <si>
    <t>Design Life:</t>
  </si>
  <si>
    <t>hrs =</t>
  </si>
  <si>
    <r>
      <t>N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=</t>
    </r>
  </si>
  <si>
    <r>
      <t>N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=</t>
    </r>
  </si>
  <si>
    <r>
      <t>Y</t>
    </r>
    <r>
      <rPr>
        <vertAlign val="subscript"/>
        <sz val="11"/>
        <color theme="1"/>
        <rFont val="Calibri"/>
        <family val="2"/>
        <scheme val="minor"/>
      </rPr>
      <t>NP</t>
    </r>
    <r>
      <rPr>
        <sz val="11"/>
        <color theme="1"/>
        <rFont val="Calibri"/>
        <family val="2"/>
        <scheme val="minor"/>
      </rPr>
      <t xml:space="preserve"> =</t>
    </r>
  </si>
  <si>
    <r>
      <t>Y</t>
    </r>
    <r>
      <rPr>
        <vertAlign val="subscript"/>
        <sz val="11"/>
        <color theme="1"/>
        <rFont val="Calibri"/>
        <family val="2"/>
        <scheme val="minor"/>
      </rPr>
      <t>NG</t>
    </r>
    <r>
      <rPr>
        <sz val="11"/>
        <color theme="1"/>
        <rFont val="Calibri"/>
        <family val="2"/>
        <scheme val="minor"/>
      </rPr>
      <t xml:space="preserve"> =</t>
    </r>
  </si>
  <si>
    <r>
      <t>Z</t>
    </r>
    <r>
      <rPr>
        <vertAlign val="subscript"/>
        <sz val="11"/>
        <color theme="1"/>
        <rFont val="Calibri"/>
        <family val="2"/>
        <scheme val="minor"/>
      </rPr>
      <t>NP</t>
    </r>
    <r>
      <rPr>
        <sz val="11"/>
        <color theme="1"/>
        <rFont val="Calibri"/>
        <family val="2"/>
        <scheme val="minor"/>
      </rPr>
      <t xml:space="preserve"> =</t>
    </r>
  </si>
  <si>
    <r>
      <t>Z</t>
    </r>
    <r>
      <rPr>
        <vertAlign val="subscript"/>
        <sz val="11"/>
        <color theme="1"/>
        <rFont val="Calibri"/>
        <family val="2"/>
        <scheme val="minor"/>
      </rPr>
      <t>NG</t>
    </r>
    <r>
      <rPr>
        <sz val="11"/>
        <color theme="1"/>
        <rFont val="Calibri"/>
        <family val="2"/>
        <scheme val="minor"/>
      </rPr>
      <t xml:space="preserve"> =</t>
    </r>
  </si>
  <si>
    <t>Eq. (14-28)</t>
  </si>
  <si>
    <r>
      <t>Pinion - Number of load cycles:</t>
    </r>
    <r>
      <rPr>
        <i/>
        <sz val="10"/>
        <rFont val="Arial"/>
        <family val="2"/>
      </rPr>
      <t/>
    </r>
  </si>
  <si>
    <r>
      <t xml:space="preserve">Gear - Number of load cycles: </t>
    </r>
    <r>
      <rPr>
        <i/>
        <sz val="10"/>
        <rFont val="Arial"/>
        <family val="2"/>
      </rPr>
      <t/>
    </r>
  </si>
  <si>
    <r>
      <t>Bending Stress Cycle Factor:</t>
    </r>
    <r>
      <rPr>
        <i/>
        <sz val="10"/>
        <rFont val="Arial"/>
        <family val="2"/>
      </rPr>
      <t/>
    </r>
  </si>
  <si>
    <t>Bending Stress Cycle Factor:</t>
  </si>
  <si>
    <r>
      <t xml:space="preserve"> Pitting Stress Cycle Factor:</t>
    </r>
    <r>
      <rPr>
        <i/>
        <sz val="10"/>
        <rFont val="Arial"/>
        <family val="2"/>
      </rPr>
      <t/>
    </r>
  </si>
  <si>
    <t xml:space="preserve"> Pitting Stress Cycle Factor:</t>
  </si>
  <si>
    <t>T-14-10</t>
  </si>
  <si>
    <t>Actual Safety Factor for Bending</t>
  </si>
  <si>
    <t>Pinion</t>
  </si>
  <si>
    <t>&gt;SF</t>
  </si>
  <si>
    <t>Gear</t>
  </si>
  <si>
    <t>Stress Analysis: Pitting</t>
  </si>
  <si>
    <r>
      <t xml:space="preserve">Pinion:  Max allowed Contact Stress </t>
    </r>
    <r>
      <rPr>
        <i/>
        <sz val="10"/>
        <rFont val="Arial"/>
        <family val="2"/>
      </rPr>
      <t>=</t>
    </r>
  </si>
  <si>
    <r>
      <t xml:space="preserve">Gear:  Max Alowed Contact Stress </t>
    </r>
    <r>
      <rPr>
        <i/>
        <sz val="10"/>
        <rFont val="Arial"/>
        <family val="2"/>
      </rPr>
      <t>=</t>
    </r>
  </si>
  <si>
    <t>Actual Safety Factor for Contact Stress</t>
  </si>
  <si>
    <t>&gt;SH</t>
  </si>
  <si>
    <t>Bending</t>
  </si>
  <si>
    <r>
      <rPr>
        <sz val="11"/>
        <color theme="1"/>
        <rFont val="Calibri"/>
        <family val="2"/>
      </rPr>
      <t>σ</t>
    </r>
    <r>
      <rPr>
        <vertAlign val="subscript"/>
        <sz val="11"/>
        <color theme="1"/>
        <rFont val="Calibri"/>
        <family val="2"/>
        <scheme val="minor"/>
      </rPr>
      <t>bP</t>
    </r>
    <r>
      <rPr>
        <sz val="11"/>
        <color theme="1"/>
        <rFont val="Calibri"/>
        <family val="2"/>
        <scheme val="minor"/>
      </rPr>
      <t xml:space="preserve"> =</t>
    </r>
  </si>
  <si>
    <r>
      <rPr>
        <sz val="11"/>
        <color theme="1"/>
        <rFont val="Calibri"/>
        <family val="2"/>
      </rPr>
      <t>σ</t>
    </r>
    <r>
      <rPr>
        <vertAlign val="subscript"/>
        <sz val="11"/>
        <color theme="1"/>
        <rFont val="Calibri"/>
        <family val="2"/>
        <scheme val="minor"/>
      </rPr>
      <t>bG</t>
    </r>
    <r>
      <rPr>
        <sz val="11"/>
        <color theme="1"/>
        <rFont val="Calibri"/>
        <family val="2"/>
        <scheme val="minor"/>
      </rPr>
      <t xml:space="preserve"> =</t>
    </r>
  </si>
  <si>
    <r>
      <t>S</t>
    </r>
    <r>
      <rPr>
        <vertAlign val="subscript"/>
        <sz val="11"/>
        <color theme="1"/>
        <rFont val="Calibri"/>
        <family val="2"/>
        <scheme val="minor"/>
      </rPr>
      <t>tP</t>
    </r>
    <r>
      <rPr>
        <sz val="11"/>
        <color theme="1"/>
        <rFont val="Calibri"/>
        <family val="2"/>
        <scheme val="minor"/>
      </rPr>
      <t xml:space="preserve"> =</t>
    </r>
  </si>
  <si>
    <r>
      <t>S</t>
    </r>
    <r>
      <rPr>
        <vertAlign val="subscript"/>
        <sz val="11"/>
        <color theme="1"/>
        <rFont val="Calibri"/>
        <family val="2"/>
        <scheme val="minor"/>
      </rPr>
      <t>tG</t>
    </r>
    <r>
      <rPr>
        <sz val="11"/>
        <color theme="1"/>
        <rFont val="Calibri"/>
        <family val="2"/>
        <scheme val="minor"/>
      </rPr>
      <t xml:space="preserve"> =</t>
    </r>
  </si>
  <si>
    <t xml:space="preserve"> Safety Factor:</t>
  </si>
  <si>
    <t>Pinion Bending Stress:</t>
  </si>
  <si>
    <t>Gear Bending Stress:</t>
  </si>
  <si>
    <t>Pinion:  Bending stress number:</t>
  </si>
  <si>
    <t>Gear:  Bending stress number:</t>
  </si>
  <si>
    <t>psi T-14-3,14-4</t>
  </si>
  <si>
    <t>For Given MATL St below:</t>
  </si>
  <si>
    <t>See Fig. 14-2,3,4 for Steel or…</t>
  </si>
  <si>
    <t>psi T-14-5,6,7</t>
  </si>
  <si>
    <r>
      <rPr>
        <sz val="11"/>
        <color theme="1"/>
        <rFont val="Calibri"/>
        <family val="2"/>
      </rPr>
      <t>σ</t>
    </r>
    <r>
      <rPr>
        <vertAlign val="subscript"/>
        <sz val="11"/>
        <color theme="1"/>
        <rFont val="Calibri"/>
        <family val="2"/>
        <scheme val="minor"/>
      </rPr>
      <t>cP</t>
    </r>
    <r>
      <rPr>
        <sz val="11"/>
        <color theme="1"/>
        <rFont val="Calibri"/>
        <family val="2"/>
        <scheme val="minor"/>
      </rPr>
      <t xml:space="preserve"> =</t>
    </r>
  </si>
  <si>
    <r>
      <t>S</t>
    </r>
    <r>
      <rPr>
        <vertAlign val="subscript"/>
        <sz val="11"/>
        <color theme="1"/>
        <rFont val="Calibri"/>
        <family val="2"/>
        <scheme val="minor"/>
      </rPr>
      <t>cP</t>
    </r>
    <r>
      <rPr>
        <sz val="11"/>
        <color theme="1"/>
        <rFont val="Calibri"/>
        <family val="2"/>
        <scheme val="minor"/>
      </rPr>
      <t xml:space="preserve"> =</t>
    </r>
  </si>
  <si>
    <r>
      <t>S</t>
    </r>
    <r>
      <rPr>
        <vertAlign val="subscript"/>
        <sz val="11"/>
        <color theme="1"/>
        <rFont val="Calibri"/>
        <family val="2"/>
        <scheme val="minor"/>
      </rPr>
      <t>cG</t>
    </r>
    <r>
      <rPr>
        <sz val="11"/>
        <color theme="1"/>
        <rFont val="Calibri"/>
        <family val="2"/>
        <scheme val="minor"/>
      </rPr>
      <t xml:space="preserve"> =</t>
    </r>
  </si>
  <si>
    <r>
      <rPr>
        <sz val="11"/>
        <color theme="1"/>
        <rFont val="Calibri"/>
        <family val="2"/>
      </rPr>
      <t>σ</t>
    </r>
    <r>
      <rPr>
        <vertAlign val="subscript"/>
        <sz val="11"/>
        <color theme="1"/>
        <rFont val="Calibri"/>
        <family val="2"/>
        <scheme val="minor"/>
      </rPr>
      <t>cG</t>
    </r>
    <r>
      <rPr>
        <sz val="11"/>
        <color theme="1"/>
        <rFont val="Calibri"/>
        <family val="2"/>
        <scheme val="minor"/>
      </rPr>
      <t xml:space="preserve"> =</t>
    </r>
  </si>
  <si>
    <t>Pinion Contact Stress:</t>
  </si>
  <si>
    <t>Gear Contact Stress:</t>
  </si>
  <si>
    <t>Pinion:  Required Contact Stress # :</t>
  </si>
  <si>
    <r>
      <t xml:space="preserve">Gear:  Required Contact Stress  # </t>
    </r>
    <r>
      <rPr>
        <i/>
        <sz val="10"/>
        <rFont val="Arial"/>
        <family val="2"/>
      </rPr>
      <t>:</t>
    </r>
  </si>
  <si>
    <r>
      <t xml:space="preserve">Gear: Max Allowed Bending stress </t>
    </r>
    <r>
      <rPr>
        <i/>
        <sz val="10"/>
        <rFont val="Arial"/>
        <family val="2"/>
      </rPr>
      <t xml:space="preserve"> =</t>
    </r>
  </si>
  <si>
    <t>Pinion:  Required Bending stress #:</t>
  </si>
  <si>
    <t>Gear:  Required Bending stress #:</t>
  </si>
  <si>
    <t>Pinion:  Contact Stress #:</t>
  </si>
  <si>
    <t>Gear:  Contact Stress  #:</t>
  </si>
  <si>
    <t>For Given MATL Sc below:</t>
  </si>
  <si>
    <t>Face Width:</t>
  </si>
  <si>
    <t>Note:</t>
  </si>
  <si>
    <t>Everything satisfied</t>
  </si>
  <si>
    <t>All teeth and Pd do not satisfy design specs for Cast Iron 30</t>
  </si>
  <si>
    <t>Steel Grade 1 HB = 275</t>
  </si>
  <si>
    <t xml:space="preserve"> </t>
  </si>
  <si>
    <t>HB =</t>
  </si>
  <si>
    <t>Eq. (14-36)</t>
  </si>
  <si>
    <t xml:space="preserve">Eq. (14-36) </t>
  </si>
  <si>
    <t>Steel Grade 2 HB = 275</t>
  </si>
  <si>
    <t>Material Properties</t>
  </si>
  <si>
    <r>
      <t>S</t>
    </r>
    <r>
      <rPr>
        <vertAlign val="subscript"/>
        <sz val="11"/>
        <color theme="1"/>
        <rFont val="Calibri"/>
        <family val="2"/>
        <scheme val="minor"/>
      </rPr>
      <t>ut</t>
    </r>
    <r>
      <rPr>
        <sz val="11"/>
        <color theme="1"/>
        <rFont val="Calibri"/>
        <family val="2"/>
        <scheme val="minor"/>
      </rPr>
      <t xml:space="preserve"> =</t>
    </r>
  </si>
  <si>
    <r>
      <t>S</t>
    </r>
    <r>
      <rPr>
        <vertAlign val="subscript"/>
        <sz val="11"/>
        <color theme="1"/>
        <rFont val="Calibri"/>
        <family val="2"/>
        <scheme val="minor"/>
      </rPr>
      <t>yt</t>
    </r>
    <r>
      <rPr>
        <sz val="11"/>
        <color theme="1"/>
        <rFont val="Calibri"/>
        <family val="2"/>
        <scheme val="minor"/>
      </rPr>
      <t xml:space="preserve"> =</t>
    </r>
  </si>
  <si>
    <r>
      <t>S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=</t>
    </r>
  </si>
  <si>
    <t>Stresses</t>
  </si>
  <si>
    <r>
      <t>M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=</t>
    </r>
  </si>
  <si>
    <r>
      <t>M</t>
    </r>
    <r>
      <rPr>
        <vertAlign val="sub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=</t>
    </r>
  </si>
  <si>
    <r>
      <t>T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=</t>
    </r>
  </si>
  <si>
    <r>
      <t>T</t>
    </r>
    <r>
      <rPr>
        <vertAlign val="sub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=</t>
    </r>
  </si>
  <si>
    <t>Calculation:</t>
  </si>
  <si>
    <t>Tensile strength(room temperature) (ksi)</t>
  </si>
  <si>
    <t>Yield strength (ksi)</t>
  </si>
  <si>
    <t>Corrected endurance limit (ksi)</t>
  </si>
  <si>
    <t>AISI 1020 CD (T-A-20)</t>
  </si>
  <si>
    <t>AISI 1040 CD (T-A-20)</t>
  </si>
  <si>
    <t>AISI 1030 Q&amp;T (T-A-21)</t>
  </si>
  <si>
    <r>
      <t>Temp (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F)</t>
    </r>
  </si>
  <si>
    <t>Location</t>
  </si>
  <si>
    <t>Marin Factors</t>
  </si>
  <si>
    <t>a:</t>
  </si>
  <si>
    <t>b:</t>
  </si>
  <si>
    <r>
      <t>K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:</t>
    </r>
  </si>
  <si>
    <t>a =</t>
  </si>
  <si>
    <t>Surface factor (machined) T-6-2</t>
  </si>
  <si>
    <r>
      <t>K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:</t>
    </r>
  </si>
  <si>
    <r>
      <t>K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:</t>
    </r>
  </si>
  <si>
    <t>Temperature Factor</t>
  </si>
  <si>
    <r>
      <t>K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:</t>
    </r>
  </si>
  <si>
    <r>
      <t>K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:</t>
    </r>
  </si>
  <si>
    <r>
      <t>S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' =</t>
    </r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</si>
  <si>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e </t>
    </r>
    <r>
      <rPr>
        <sz val="11"/>
        <color theme="1"/>
        <rFont val="Calibri"/>
        <family val="2"/>
        <scheme val="minor"/>
      </rPr>
      <t>=</t>
    </r>
  </si>
  <si>
    <t>Fatigue Stress Concentration Factor</t>
  </si>
  <si>
    <t>Notch radius, r (in) :</t>
  </si>
  <si>
    <t>Torsion</t>
  </si>
  <si>
    <t>Notch Sensitivity, q</t>
  </si>
  <si>
    <r>
      <t>K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:</t>
    </r>
  </si>
  <si>
    <r>
      <t>K</t>
    </r>
    <r>
      <rPr>
        <vertAlign val="subscript"/>
        <sz val="11"/>
        <color theme="1"/>
        <rFont val="Calibri"/>
        <family val="2"/>
        <scheme val="minor"/>
      </rPr>
      <t>ts</t>
    </r>
    <r>
      <rPr>
        <sz val="11"/>
        <color theme="1"/>
        <rFont val="Calibri"/>
        <family val="2"/>
        <scheme val="minor"/>
      </rPr>
      <t>:</t>
    </r>
  </si>
  <si>
    <r>
      <t>K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:</t>
    </r>
  </si>
  <si>
    <r>
      <t>K</t>
    </r>
    <r>
      <rPr>
        <vertAlign val="subscript"/>
        <sz val="11"/>
        <color theme="1"/>
        <rFont val="Calibri"/>
        <family val="2"/>
        <scheme val="minor"/>
      </rPr>
      <t>fs</t>
    </r>
    <r>
      <rPr>
        <sz val="11"/>
        <color theme="1"/>
        <rFont val="Calibri"/>
        <family val="2"/>
        <scheme val="minor"/>
      </rPr>
      <t>:</t>
    </r>
  </si>
  <si>
    <t>Fatigue Factor of Saftey</t>
  </si>
  <si>
    <t>E (outside key)</t>
  </si>
  <si>
    <r>
      <t>n</t>
    </r>
    <r>
      <rPr>
        <vertAlign val="subscript"/>
        <sz val="11"/>
        <color theme="1"/>
        <rFont val="Calibri"/>
        <family val="2"/>
        <scheme val="minor"/>
      </rPr>
      <t>f:</t>
    </r>
  </si>
  <si>
    <t>Shaft Diameter (in)</t>
  </si>
  <si>
    <t xml:space="preserve"> b = </t>
  </si>
  <si>
    <t>Note: The moment calc. are based on the assumptions that bearings are 0.5 in wide and spacers are 0.5 in wide.</t>
  </si>
  <si>
    <t>Calculations:</t>
  </si>
  <si>
    <t>T</t>
  </si>
  <si>
    <t>Transmitted load</t>
  </si>
  <si>
    <t>total force</t>
  </si>
  <si>
    <t>W</t>
  </si>
  <si>
    <t>Moment max</t>
  </si>
  <si>
    <t>in lb</t>
  </si>
  <si>
    <t>lb in</t>
  </si>
  <si>
    <r>
      <t>W</t>
    </r>
    <r>
      <rPr>
        <vertAlign val="subscript"/>
        <sz val="11"/>
        <color theme="1"/>
        <rFont val="Calibri"/>
        <family val="2"/>
        <scheme val="minor"/>
      </rPr>
      <t>t</t>
    </r>
  </si>
  <si>
    <t>Stress Conc. Factor (shear) (Fig.A15-8)</t>
  </si>
  <si>
    <t>Stress Conc. Factor (Fig.A15-9)</t>
  </si>
  <si>
    <r>
      <t>σ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':</t>
    </r>
  </si>
  <si>
    <r>
      <t>σ</t>
    </r>
    <r>
      <rPr>
        <vertAlign val="sub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':</t>
    </r>
  </si>
  <si>
    <r>
      <t>σ</t>
    </r>
    <r>
      <rPr>
        <vertAlign val="subscript"/>
        <sz val="11"/>
        <color theme="1"/>
        <rFont val="Calibri"/>
        <family val="2"/>
        <scheme val="minor"/>
      </rPr>
      <t>max</t>
    </r>
    <r>
      <rPr>
        <sz val="11"/>
        <color theme="1"/>
        <rFont val="Calibri"/>
        <family val="2"/>
        <scheme val="minor"/>
      </rPr>
      <t>':</t>
    </r>
  </si>
  <si>
    <t>Fatigue Stress Concentration Factor (Eq.6-32)</t>
  </si>
  <si>
    <t>Fatigue Stress Concentration Factor (shear) (Eq. 6-32)</t>
  </si>
  <si>
    <r>
      <t>K</t>
    </r>
    <r>
      <rPr>
        <vertAlign val="subscript"/>
        <sz val="11"/>
        <color theme="1"/>
        <rFont val="Calibri"/>
        <family val="2"/>
        <scheme val="minor"/>
      </rPr>
      <t xml:space="preserve">t </t>
    </r>
    <r>
      <rPr>
        <sz val="11"/>
        <color theme="1"/>
        <rFont val="Calibri"/>
        <family val="2"/>
        <scheme val="minor"/>
      </rPr>
      <t>(T-7-1):</t>
    </r>
  </si>
  <si>
    <r>
      <t>K</t>
    </r>
    <r>
      <rPr>
        <vertAlign val="subscript"/>
        <sz val="11"/>
        <color theme="1"/>
        <rFont val="Calibri"/>
        <family val="2"/>
        <scheme val="minor"/>
      </rPr>
      <t xml:space="preserve">ts </t>
    </r>
    <r>
      <rPr>
        <sz val="11"/>
        <color theme="1"/>
        <rFont val="Calibri"/>
        <family val="2"/>
        <scheme val="minor"/>
      </rPr>
      <t>(T-7-1):</t>
    </r>
  </si>
  <si>
    <r>
      <t>K</t>
    </r>
    <r>
      <rPr>
        <vertAlign val="subscript"/>
        <sz val="11"/>
        <color theme="1"/>
        <rFont val="Calibri"/>
        <family val="2"/>
        <scheme val="minor"/>
      </rPr>
      <t>t s</t>
    </r>
    <r>
      <rPr>
        <sz val="11"/>
        <color theme="1"/>
        <rFont val="Calibri"/>
        <family val="2"/>
        <scheme val="minor"/>
      </rPr>
      <t>(T-7-1):</t>
    </r>
  </si>
  <si>
    <t>changeable parameter</t>
  </si>
  <si>
    <t>changable parameter</t>
  </si>
  <si>
    <t>Selected Material</t>
  </si>
  <si>
    <t>Torque alternating (lbf in)</t>
  </si>
  <si>
    <t>Torque mean (lbf in)</t>
  </si>
  <si>
    <t>Bending moment mean (lbf in)</t>
  </si>
  <si>
    <t>Bending moment alternating (lbf in)</t>
  </si>
  <si>
    <t>WorkSheet 1: Gear Design</t>
  </si>
  <si>
    <t>WorkSheet 2: Pinion Shaft Design</t>
  </si>
  <si>
    <t>WorkSheet 3: Gear Shaft Design</t>
  </si>
  <si>
    <t>H =</t>
  </si>
  <si>
    <t>40 Cast Iron</t>
  </si>
  <si>
    <t>30 Cast Iron</t>
  </si>
  <si>
    <r>
      <t>d</t>
    </r>
    <r>
      <rPr>
        <i/>
        <vertAlign val="subscript"/>
        <sz val="10"/>
        <rFont val="Arial"/>
        <family val="2"/>
      </rPr>
      <t xml:space="preserve">P </t>
    </r>
    <r>
      <rPr>
        <i/>
        <sz val="10"/>
        <rFont val="Arial"/>
        <family val="2"/>
      </rPr>
      <t>=</t>
    </r>
  </si>
  <si>
    <r>
      <t>d</t>
    </r>
    <r>
      <rPr>
        <i/>
        <vertAlign val="subscript"/>
        <sz val="10"/>
        <rFont val="Arial"/>
        <family val="2"/>
      </rPr>
      <t>G</t>
    </r>
    <r>
      <rPr>
        <i/>
        <sz val="10"/>
        <rFont val="Arial"/>
        <family val="2"/>
      </rPr>
      <t xml:space="preserve"> =</t>
    </r>
  </si>
  <si>
    <t>Maximum Von Mises (kpsi) (Eq. 7-15)</t>
  </si>
  <si>
    <t>Fig. 14-14</t>
  </si>
  <si>
    <t>Fig. 14-15</t>
  </si>
  <si>
    <r>
      <rPr>
        <sz val="11"/>
        <color theme="1"/>
        <rFont val="Calibri"/>
        <family val="2"/>
      </rPr>
      <t>σ</t>
    </r>
    <r>
      <rPr>
        <vertAlign val="subscript"/>
        <sz val="11"/>
        <color theme="1"/>
        <rFont val="Calibri"/>
        <family val="2"/>
        <scheme val="minor"/>
      </rPr>
      <t>Pall</t>
    </r>
    <r>
      <rPr>
        <sz val="11"/>
        <color theme="1"/>
        <rFont val="Calibri"/>
        <family val="2"/>
        <scheme val="minor"/>
      </rPr>
      <t xml:space="preserve"> =</t>
    </r>
  </si>
  <si>
    <r>
      <rPr>
        <sz val="11"/>
        <color theme="1"/>
        <rFont val="Calibri"/>
        <family val="2"/>
      </rPr>
      <t>σ</t>
    </r>
    <r>
      <rPr>
        <vertAlign val="subscript"/>
        <sz val="11"/>
        <color theme="1"/>
        <rFont val="Calibri"/>
        <family val="2"/>
        <scheme val="minor"/>
      </rPr>
      <t>Gall</t>
    </r>
    <r>
      <rPr>
        <sz val="11"/>
        <color theme="1"/>
        <rFont val="Calibri"/>
        <family val="2"/>
        <scheme val="minor"/>
      </rPr>
      <t xml:space="preserve"> =</t>
    </r>
  </si>
  <si>
    <t>psi Eq. 14-16</t>
  </si>
  <si>
    <t xml:space="preserve"> Safety Factor (1.2 for pinion, 1.5 for gear):</t>
  </si>
  <si>
    <t>First Cycle Yielding (2.5 min) (Eq. 7-16)</t>
  </si>
  <si>
    <t>sf pinion</t>
  </si>
  <si>
    <t>sf gear</t>
  </si>
  <si>
    <t>sh pinion</t>
  </si>
  <si>
    <t>sh gear</t>
  </si>
  <si>
    <r>
      <t>Gear Torque T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(lb*in)</t>
    </r>
  </si>
  <si>
    <t>Pinion Key Material</t>
  </si>
  <si>
    <t>AISI 1006 HR</t>
  </si>
  <si>
    <t xml:space="preserve">Gear Key Material </t>
  </si>
  <si>
    <t>AISI 1018 CD</t>
  </si>
  <si>
    <r>
      <t>Pinion Torque T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(lb*in)</t>
    </r>
  </si>
  <si>
    <t>Key Thickness (t)</t>
  </si>
  <si>
    <r>
      <t>Gear Force F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(lb)</t>
    </r>
  </si>
  <si>
    <t>Key Hieght (H)</t>
  </si>
  <si>
    <r>
      <t>Pinion Force F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(lb)</t>
    </r>
  </si>
  <si>
    <t>Length for Shear (in)</t>
  </si>
  <si>
    <t>Length For Bearing Stress</t>
  </si>
  <si>
    <t>Key Length (in)</t>
  </si>
  <si>
    <t>Shaft Length (in)</t>
  </si>
  <si>
    <t>Hub Length (in)</t>
  </si>
  <si>
    <t>Desired Safety Factor</t>
  </si>
  <si>
    <t>Bearing A</t>
  </si>
  <si>
    <t>Bearing B</t>
  </si>
  <si>
    <t>Radial Force (lbf)</t>
  </si>
  <si>
    <t>Axial Force (lbf)</t>
  </si>
  <si>
    <t>Life (hours)</t>
  </si>
  <si>
    <t>RPM</t>
  </si>
  <si>
    <t>V (1 for internal rotation)</t>
  </si>
  <si>
    <t>e Table 11-1</t>
  </si>
  <si>
    <t>a (3 for ball bearing)</t>
  </si>
  <si>
    <t>Safety Factor</t>
  </si>
  <si>
    <t>Total force</t>
  </si>
  <si>
    <t>Final Length Pinion Key (in)</t>
  </si>
  <si>
    <t>Final Length Gear Key (in)</t>
  </si>
  <si>
    <t>Input Values</t>
  </si>
  <si>
    <t>WorkSheet 4: Key Design</t>
  </si>
  <si>
    <t>Gear Width (in)</t>
  </si>
  <si>
    <t>Bearing Width (mm)</t>
  </si>
  <si>
    <t>A (Bearing to Shoulder)</t>
  </si>
  <si>
    <t>B (Shoulder to Gear)</t>
  </si>
  <si>
    <t>C (keyseat)</t>
  </si>
  <si>
    <t>D (Gear Snap ring Groove)</t>
  </si>
  <si>
    <t>D (Outside Snap ring Groove)</t>
  </si>
  <si>
    <t>Half Widths (in)</t>
  </si>
  <si>
    <t>D (Gear Snap Ring Groove)</t>
  </si>
  <si>
    <r>
      <t>F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/C</t>
    </r>
    <r>
      <rPr>
        <vertAlign val="subscript"/>
        <sz val="11"/>
        <color theme="1"/>
        <rFont val="Calibri"/>
        <family val="2"/>
        <scheme val="minor"/>
      </rPr>
      <t>0</t>
    </r>
  </si>
  <si>
    <r>
      <t>F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/V(F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)</t>
    </r>
  </si>
  <si>
    <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Table 11-1</t>
    </r>
  </si>
  <si>
    <r>
      <t>Y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Table 11-1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</si>
  <si>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e </t>
    </r>
    <r>
      <rPr>
        <sz val="11"/>
        <color theme="1"/>
        <rFont val="Calibri"/>
        <family val="2"/>
        <scheme val="minor"/>
      </rPr>
      <t>(lbf)</t>
    </r>
    <r>
      <rPr>
        <vertAlign val="subscript"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eq 11-12</t>
    </r>
  </si>
  <si>
    <r>
      <t>C</t>
    </r>
    <r>
      <rPr>
        <vertAlign val="subscript"/>
        <sz val="11"/>
        <color theme="1"/>
        <rFont val="Calibri"/>
        <family val="2"/>
        <scheme val="minor"/>
      </rPr>
      <t xml:space="preserve">required </t>
    </r>
  </si>
  <si>
    <t>Pinion Shaft Bearings</t>
  </si>
  <si>
    <t>Gear Shaft Bearing</t>
  </si>
  <si>
    <t>D/d</t>
  </si>
  <si>
    <t>r/d</t>
  </si>
  <si>
    <t>r/t</t>
  </si>
  <si>
    <t>a/t</t>
  </si>
  <si>
    <r>
      <t>S</t>
    </r>
    <r>
      <rPr>
        <vertAlign val="subscript"/>
        <sz val="11"/>
        <color theme="1"/>
        <rFont val="Calibri"/>
        <family val="2"/>
        <scheme val="minor"/>
      </rPr>
      <t>yt</t>
    </r>
    <r>
      <rPr>
        <sz val="11"/>
        <color theme="1"/>
        <rFont val="Calibri"/>
        <family val="2"/>
        <scheme val="minor"/>
      </rPr>
      <t xml:space="preserve"> of Pinion key (ksi)</t>
    </r>
  </si>
  <si>
    <r>
      <t>S</t>
    </r>
    <r>
      <rPr>
        <vertAlign val="subscript"/>
        <sz val="11"/>
        <color theme="1"/>
        <rFont val="Calibri"/>
        <family val="2"/>
        <scheme val="minor"/>
      </rPr>
      <t>yt</t>
    </r>
    <r>
      <rPr>
        <sz val="11"/>
        <color theme="1"/>
        <rFont val="Calibri"/>
        <family val="2"/>
        <scheme val="minor"/>
      </rPr>
      <t xml:space="preserve"> of Gear key (ksi)</t>
    </r>
  </si>
  <si>
    <r>
      <t>S</t>
    </r>
    <r>
      <rPr>
        <vertAlign val="subscript"/>
        <sz val="11"/>
        <color theme="1"/>
        <rFont val="Calibri"/>
        <family val="2"/>
        <scheme val="minor"/>
      </rPr>
      <t>sy</t>
    </r>
    <r>
      <rPr>
        <sz val="11"/>
        <color theme="1"/>
        <rFont val="Calibri"/>
        <family val="2"/>
        <scheme val="minor"/>
      </rPr>
      <t xml:space="preserve"> of Pinion Key (ksi)</t>
    </r>
  </si>
  <si>
    <r>
      <t>S</t>
    </r>
    <r>
      <rPr>
        <vertAlign val="subscript"/>
        <sz val="11"/>
        <color theme="1"/>
        <rFont val="Calibri"/>
        <family val="2"/>
        <scheme val="minor"/>
      </rPr>
      <t>sy</t>
    </r>
    <r>
      <rPr>
        <sz val="11"/>
        <color theme="1"/>
        <rFont val="Calibri"/>
        <family val="2"/>
        <scheme val="minor"/>
      </rPr>
      <t xml:space="preserve"> of Gear Key (ksi)</t>
    </r>
  </si>
  <si>
    <t xml:space="preserve">Horsepower (hp) </t>
  </si>
  <si>
    <t>RPM Pinion</t>
  </si>
  <si>
    <t>RPM Gear</t>
  </si>
  <si>
    <r>
      <t>S</t>
    </r>
    <r>
      <rPr>
        <vertAlign val="subscript"/>
        <sz val="11"/>
        <color theme="1"/>
        <rFont val="Calibri"/>
        <family val="2"/>
        <scheme val="minor"/>
      </rPr>
      <t>yt</t>
    </r>
    <r>
      <rPr>
        <sz val="11"/>
        <color theme="1"/>
        <rFont val="Calibri"/>
        <family val="2"/>
        <scheme val="minor"/>
      </rPr>
      <t xml:space="preserve"> of Shaft (ksi)</t>
    </r>
  </si>
  <si>
    <r>
      <t>S</t>
    </r>
    <r>
      <rPr>
        <vertAlign val="subscript"/>
        <sz val="11"/>
        <color theme="1"/>
        <rFont val="Calibri"/>
        <family val="2"/>
        <scheme val="minor"/>
      </rPr>
      <t>yt</t>
    </r>
    <r>
      <rPr>
        <sz val="11"/>
        <color theme="1"/>
        <rFont val="Calibri"/>
        <family val="2"/>
        <scheme val="minor"/>
      </rPr>
      <t xml:space="preserve"> of Hub (ksi)</t>
    </r>
  </si>
  <si>
    <t>Torque (eq 18-1)</t>
  </si>
  <si>
    <t>Torque (18-1)</t>
  </si>
  <si>
    <t>Pitch Line Speed (eq 13-34):</t>
  </si>
  <si>
    <t>Transmitted Load (eq 13-35):</t>
  </si>
  <si>
    <t>Table 7-6</t>
  </si>
  <si>
    <t>Table A-20</t>
  </si>
  <si>
    <t>Eq 5-21</t>
  </si>
  <si>
    <t>Eq 8-53</t>
  </si>
  <si>
    <t>Length For Bearing Stress (Eq 8-55)</t>
  </si>
  <si>
    <r>
      <t>F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/V(F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) (Eq 11-11a)</t>
    </r>
  </si>
  <si>
    <r>
      <t>M</t>
    </r>
    <r>
      <rPr>
        <vertAlign val="subscript"/>
        <sz val="11"/>
        <color theme="1"/>
        <rFont val="Calibri"/>
        <family val="2"/>
        <scheme val="minor"/>
      </rPr>
      <t>max</t>
    </r>
  </si>
  <si>
    <t>Bore (mm) Table 11-2</t>
  </si>
  <si>
    <r>
      <t>C</t>
    </r>
    <r>
      <rPr>
        <vertAlign val="subscript"/>
        <sz val="11"/>
        <color theme="1"/>
        <rFont val="Calibri"/>
        <family val="2"/>
        <scheme val="minor"/>
      </rPr>
      <t xml:space="preserve">10 </t>
    </r>
    <r>
      <rPr>
        <sz val="11"/>
        <color theme="1"/>
        <rFont val="Calibri"/>
        <family val="2"/>
        <scheme val="minor"/>
      </rPr>
      <t>(KN)Table 11-2</t>
    </r>
  </si>
  <si>
    <r>
      <t>C</t>
    </r>
    <r>
      <rPr>
        <vertAlign val="subscript"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>(KN)Table 11-2</t>
    </r>
  </si>
  <si>
    <t xml:space="preserve"> b =</t>
  </si>
  <si>
    <t>Size Factor (rotating shaft), Eq. 6-19</t>
  </si>
  <si>
    <t>Loading Factor, Eq. 6-25</t>
  </si>
  <si>
    <t>Reliability Factor (0.999) T-6-4</t>
  </si>
  <si>
    <r>
      <t xml:space="preserve">Modified Endurance Limit, </t>
    </r>
    <r>
      <rPr>
        <sz val="12"/>
        <color theme="1"/>
        <rFont val="Calibri"/>
        <family val="2"/>
        <scheme val="minor"/>
      </rPr>
      <t>Eq.6-17</t>
    </r>
  </si>
  <si>
    <t>q (Eq. 6-33):</t>
  </si>
  <si>
    <t>qs (Eq. 6-33):</t>
  </si>
  <si>
    <t>Neuber constant, √a (Eq. 6-36) :</t>
  </si>
  <si>
    <t>Neuber constant, √a (Eq. 6-35) :</t>
  </si>
  <si>
    <t>DE Goodman Safety Factor (Eq.7-7)</t>
  </si>
  <si>
    <t>Alternating Stress(kpsi) (Eq. 7-4)</t>
  </si>
  <si>
    <t>Mean Stress (kpsi) (Eq. 7-5)</t>
  </si>
  <si>
    <t>Surface Factor Eq. 6-18</t>
  </si>
  <si>
    <t>interpolate if needed</t>
  </si>
  <si>
    <t>psi Eq. 14-15</t>
  </si>
  <si>
    <t>take average value</t>
  </si>
  <si>
    <t>Eq. 14-23 external</t>
  </si>
  <si>
    <t xml:space="preserve">T-14-8 </t>
  </si>
  <si>
    <t xml:space="preserve">T-A-5 </t>
  </si>
  <si>
    <t xml:space="preserve">Eq. (a) </t>
  </si>
  <si>
    <t>Does not satisfy Bending or surface safety  factors</t>
  </si>
  <si>
    <t>Satisfies Bending but not surface safety  factor</t>
  </si>
  <si>
    <t>σbG =</t>
  </si>
  <si>
    <t>StP =</t>
  </si>
  <si>
    <t>Rejected Material</t>
  </si>
  <si>
    <t>qs (Eq. 6-34):</t>
  </si>
  <si>
    <t>q (Eq. 6-34):</t>
  </si>
  <si>
    <t>Surface Factor Eq. 6-19</t>
  </si>
  <si>
    <t>Size Factor (rotating shaft), Eq. 6-20</t>
  </si>
  <si>
    <r>
      <t xml:space="preserve">Modified Endurance Limit, </t>
    </r>
    <r>
      <rPr>
        <sz val="12"/>
        <color theme="1"/>
        <rFont val="Calibri"/>
        <family val="2"/>
        <scheme val="minor"/>
      </rPr>
      <t>Eq.6-18</t>
    </r>
  </si>
  <si>
    <t>Loading Factor, Eq. 6-26</t>
  </si>
  <si>
    <t>Reliability Factor (0.999) T-6-5</t>
  </si>
  <si>
    <t>d (40mm) :</t>
  </si>
  <si>
    <t>d (45mm) :</t>
  </si>
  <si>
    <t>d (48mm) :</t>
  </si>
  <si>
    <t>d (44.5mm)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</si>
</sst>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E+00"/>
    <numFmt numFmtId="166" formatCode="0.00000000"/>
    <numFmt numFmtId="167" formatCode="0.00000"/>
    <numFmt numFmtId="168" formatCode="0.0000"/>
    <numFmt numFmtId="169" formatCode="0.0"/>
  </numFmts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i/>
      <vertAlign val="subscript"/>
      <sz val="10"/>
      <name val="Arial"/>
      <family val="2"/>
    </font>
    <font>
      <b/>
      <sz val="10"/>
      <color rgb="FF7030A0"/>
      <name val="Arial"/>
      <family val="2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0" fontId="19" fillId="8" borderId="0" applyNumberFormat="0" applyBorder="0" applyAlignment="0" applyProtection="0"/>
  </cellStyleXfs>
  <cellXfs count="157">
    <xf numFmtId="0" fontId="0" fillId="0" borderId="0" xfId="0"/>
    <xf numFmtId="0" fontId="0" fillId="0" borderId="1" xfId="0" applyFill="1" applyBorder="1" applyAlignment="1">
      <alignment horizontal="right"/>
    </xf>
    <xf numFmtId="0" fontId="9" fillId="0" borderId="1" xfId="0" applyFont="1" applyFill="1" applyBorder="1" applyAlignment="1">
      <alignment horizontal="right"/>
    </xf>
    <xf numFmtId="0" fontId="7" fillId="0" borderId="0" xfId="0" applyFont="1" applyFill="1" applyBorder="1" applyAlignment="1">
      <alignment horizontal="right"/>
    </xf>
    <xf numFmtId="0" fontId="0" fillId="0" borderId="0" xfId="0" applyBorder="1"/>
    <xf numFmtId="0" fontId="0" fillId="0" borderId="1" xfId="0" applyFon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4" fillId="0" borderId="0" xfId="0" applyFont="1"/>
    <xf numFmtId="0" fontId="0" fillId="0" borderId="0" xfId="0" applyFill="1" applyBorder="1"/>
    <xf numFmtId="0" fontId="0" fillId="0" borderId="1" xfId="0" applyBorder="1" applyAlignment="1">
      <alignment horizontal="right"/>
    </xf>
    <xf numFmtId="0" fontId="7" fillId="0" borderId="0" xfId="0" applyFon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4" fontId="7" fillId="0" borderId="0" xfId="0" applyNumberFormat="1" applyFont="1" applyBorder="1" applyAlignment="1">
      <alignment horizontal="right"/>
    </xf>
    <xf numFmtId="0" fontId="0" fillId="0" borderId="0" xfId="0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8" fillId="0" borderId="0" xfId="0" applyFont="1" applyBorder="1" applyAlignment="1">
      <alignment horizontal="left"/>
    </xf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/>
    </xf>
    <xf numFmtId="0" fontId="0" fillId="4" borderId="0" xfId="0" applyFill="1"/>
    <xf numFmtId="164" fontId="7" fillId="4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left"/>
    </xf>
    <xf numFmtId="0" fontId="9" fillId="0" borderId="0" xfId="0" applyFont="1" applyFill="1" applyBorder="1"/>
    <xf numFmtId="0" fontId="9" fillId="0" borderId="0" xfId="0" applyFont="1" applyFill="1" applyBorder="1" applyAlignment="1">
      <alignment horizontal="right"/>
    </xf>
    <xf numFmtId="164" fontId="7" fillId="0" borderId="0" xfId="0" applyNumberFormat="1" applyFont="1" applyFill="1" applyBorder="1" applyAlignment="1">
      <alignment horizontal="left"/>
    </xf>
    <xf numFmtId="0" fontId="4" fillId="0" borderId="0" xfId="0" applyFont="1" applyAlignment="1">
      <alignment horizontal="center"/>
    </xf>
    <xf numFmtId="0" fontId="13" fillId="0" borderId="0" xfId="0" applyFont="1" applyBorder="1" applyAlignment="1">
      <alignment horizontal="right"/>
    </xf>
    <xf numFmtId="0" fontId="0" fillId="0" borderId="0" xfId="0" applyAlignment="1">
      <alignment horizontal="left"/>
    </xf>
    <xf numFmtId="2" fontId="0" fillId="0" borderId="0" xfId="0" applyNumberFormat="1" applyBorder="1" applyAlignment="1">
      <alignment horizontal="left"/>
    </xf>
    <xf numFmtId="11" fontId="0" fillId="0" borderId="0" xfId="0" applyNumberFormat="1" applyBorder="1" applyAlignment="1">
      <alignment horizontal="left"/>
    </xf>
    <xf numFmtId="0" fontId="7" fillId="4" borderId="0" xfId="0" applyFont="1" applyFill="1" applyBorder="1" applyAlignment="1">
      <alignment horizontal="left"/>
    </xf>
    <xf numFmtId="164" fontId="7" fillId="4" borderId="0" xfId="0" applyNumberFormat="1" applyFont="1" applyFill="1" applyBorder="1" applyAlignment="1">
      <alignment horizontal="left"/>
    </xf>
    <xf numFmtId="2" fontId="7" fillId="0" borderId="0" xfId="0" applyNumberFormat="1" applyFont="1" applyFill="1" applyBorder="1" applyAlignment="1">
      <alignment horizontal="center"/>
    </xf>
    <xf numFmtId="0" fontId="0" fillId="0" borderId="0" xfId="0" applyFill="1"/>
    <xf numFmtId="0" fontId="8" fillId="0" borderId="0" xfId="0" applyFont="1" applyFill="1" applyBorder="1"/>
    <xf numFmtId="1" fontId="0" fillId="0" borderId="0" xfId="0" applyNumberFormat="1" applyFill="1" applyBorder="1"/>
    <xf numFmtId="3" fontId="0" fillId="0" borderId="0" xfId="0" applyNumberFormat="1" applyFill="1" applyBorder="1"/>
    <xf numFmtId="0" fontId="11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7" fillId="0" borderId="0" xfId="0" applyFont="1" applyBorder="1" applyAlignment="1">
      <alignment horizontal="center" vertic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left"/>
    </xf>
    <xf numFmtId="164" fontId="9" fillId="0" borderId="0" xfId="0" applyNumberFormat="1" applyFont="1" applyFill="1" applyBorder="1" applyAlignment="1">
      <alignment horizontal="left"/>
    </xf>
    <xf numFmtId="164" fontId="0" fillId="0" borderId="0" xfId="0" applyNumberFormat="1" applyBorder="1" applyAlignment="1">
      <alignment horizontal="left"/>
    </xf>
    <xf numFmtId="165" fontId="0" fillId="0" borderId="0" xfId="0" applyNumberFormat="1" applyAlignment="1">
      <alignment horizontal="left"/>
    </xf>
    <xf numFmtId="165" fontId="9" fillId="0" borderId="0" xfId="0" applyNumberFormat="1" applyFont="1" applyBorder="1" applyAlignment="1">
      <alignment horizontal="left"/>
    </xf>
    <xf numFmtId="165" fontId="0" fillId="0" borderId="0" xfId="0" applyNumberFormat="1" applyBorder="1" applyAlignment="1">
      <alignment horizontal="left"/>
    </xf>
    <xf numFmtId="0" fontId="0" fillId="0" borderId="0" xfId="0" applyFont="1" applyFill="1" applyBorder="1"/>
    <xf numFmtId="4" fontId="0" fillId="0" borderId="0" xfId="0" applyNumberFormat="1" applyFill="1" applyBorder="1"/>
    <xf numFmtId="0" fontId="0" fillId="0" borderId="0" xfId="0"/>
    <xf numFmtId="0" fontId="0" fillId="4" borderId="0" xfId="0" applyFill="1"/>
    <xf numFmtId="0" fontId="0" fillId="0" borderId="0" xfId="0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0" xfId="2" applyFont="1" applyFill="1" applyBorder="1" applyAlignment="1">
      <alignment horizontal="right"/>
    </xf>
    <xf numFmtId="0" fontId="17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ont="1" applyAlignment="1">
      <alignment horizontal="right"/>
    </xf>
    <xf numFmtId="167" fontId="0" fillId="0" borderId="0" xfId="0" applyNumberFormat="1"/>
    <xf numFmtId="164" fontId="0" fillId="4" borderId="0" xfId="0" applyNumberFormat="1" applyFill="1"/>
    <xf numFmtId="164" fontId="0" fillId="0" borderId="0" xfId="0" applyNumberFormat="1"/>
    <xf numFmtId="164" fontId="0" fillId="0" borderId="0" xfId="0" applyNumberFormat="1" applyFill="1"/>
    <xf numFmtId="0" fontId="0" fillId="0" borderId="0" xfId="0" applyFont="1"/>
    <xf numFmtId="167" fontId="0" fillId="0" borderId="0" xfId="0" applyNumberFormat="1" applyFont="1"/>
    <xf numFmtId="166" fontId="0" fillId="0" borderId="0" xfId="0" applyNumberFormat="1" applyFont="1"/>
    <xf numFmtId="0" fontId="0" fillId="4" borderId="0" xfId="0" applyFill="1" applyBorder="1" applyAlignment="1">
      <alignment horizontal="left"/>
    </xf>
    <xf numFmtId="2" fontId="0" fillId="0" borderId="0" xfId="0" applyNumberFormat="1"/>
    <xf numFmtId="0" fontId="0" fillId="0" borderId="2" xfId="0" applyFill="1" applyBorder="1"/>
    <xf numFmtId="0" fontId="0" fillId="0" borderId="4" xfId="0" applyFill="1" applyBorder="1"/>
    <xf numFmtId="0" fontId="0" fillId="0" borderId="0" xfId="0" applyFill="1" applyAlignment="1">
      <alignment horizontal="right"/>
    </xf>
    <xf numFmtId="0" fontId="4" fillId="0" borderId="2" xfId="0" applyFont="1" applyBorder="1"/>
    <xf numFmtId="164" fontId="18" fillId="0" borderId="0" xfId="0" applyNumberFormat="1" applyFont="1" applyFill="1"/>
    <xf numFmtId="164" fontId="18" fillId="0" borderId="0" xfId="0" applyNumberFormat="1" applyFont="1"/>
    <xf numFmtId="0" fontId="0" fillId="6" borderId="2" xfId="0" applyFill="1" applyBorder="1"/>
    <xf numFmtId="0" fontId="0" fillId="0" borderId="2" xfId="0" applyFont="1" applyBorder="1"/>
    <xf numFmtId="2" fontId="0" fillId="0" borderId="2" xfId="0" applyNumberFormat="1" applyBorder="1"/>
    <xf numFmtId="2" fontId="18" fillId="0" borderId="2" xfId="0" applyNumberFormat="1" applyFont="1" applyBorder="1"/>
    <xf numFmtId="168" fontId="0" fillId="0" borderId="0" xfId="0" applyNumberFormat="1"/>
    <xf numFmtId="164" fontId="0" fillId="0" borderId="0" xfId="0" applyNumberFormat="1" applyBorder="1"/>
    <xf numFmtId="164" fontId="0" fillId="0" borderId="0" xfId="0" applyNumberFormat="1" applyAlignment="1">
      <alignment horizontal="right"/>
    </xf>
    <xf numFmtId="168" fontId="0" fillId="0" borderId="0" xfId="0" applyNumberFormat="1" applyFont="1"/>
    <xf numFmtId="2" fontId="0" fillId="4" borderId="0" xfId="0" applyNumberFormat="1" applyFill="1"/>
    <xf numFmtId="164" fontId="0" fillId="0" borderId="0" xfId="0" applyNumberFormat="1" applyFont="1"/>
    <xf numFmtId="164" fontId="0" fillId="0" borderId="2" xfId="0" applyNumberFormat="1" applyFill="1" applyBorder="1"/>
    <xf numFmtId="169" fontId="0" fillId="0" borderId="2" xfId="0" applyNumberFormat="1" applyFill="1" applyBorder="1"/>
    <xf numFmtId="169" fontId="0" fillId="4" borderId="2" xfId="0" applyNumberFormat="1" applyFill="1" applyBorder="1"/>
    <xf numFmtId="169" fontId="0" fillId="0" borderId="0" xfId="0" applyNumberFormat="1"/>
    <xf numFmtId="0" fontId="0" fillId="0" borderId="5" xfId="0" applyBorder="1"/>
    <xf numFmtId="164" fontId="0" fillId="0" borderId="2" xfId="0" applyNumberFormat="1" applyBorder="1"/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/>
    <xf numFmtId="2" fontId="0" fillId="0" borderId="0" xfId="0" applyNumberFormat="1" applyAlignment="1">
      <alignment horizontal="left"/>
    </xf>
    <xf numFmtId="2" fontId="15" fillId="0" borderId="0" xfId="1" applyNumberFormat="1" applyFont="1" applyFill="1" applyAlignment="1">
      <alignment horizontal="left"/>
    </xf>
    <xf numFmtId="4" fontId="18" fillId="0" borderId="0" xfId="0" applyNumberFormat="1" applyFont="1" applyFill="1" applyBorder="1"/>
    <xf numFmtId="0" fontId="0" fillId="7" borderId="2" xfId="0" applyFill="1" applyBorder="1" applyAlignment="1">
      <alignment horizontal="center"/>
    </xf>
    <xf numFmtId="164" fontId="0" fillId="7" borderId="2" xfId="0" applyNumberFormat="1" applyFill="1" applyBorder="1"/>
    <xf numFmtId="0" fontId="0" fillId="0" borderId="0" xfId="0" applyAlignment="1">
      <alignment horizontal="center"/>
    </xf>
    <xf numFmtId="0" fontId="5" fillId="0" borderId="0" xfId="0" applyFont="1" applyFill="1" applyBorder="1"/>
    <xf numFmtId="0" fontId="0" fillId="0" borderId="0" xfId="0" applyAlignment="1"/>
    <xf numFmtId="164" fontId="7" fillId="5" borderId="0" xfId="0" applyNumberFormat="1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Fill="1" applyBorder="1" applyAlignment="1">
      <alignment horizontal="center"/>
    </xf>
    <xf numFmtId="4" fontId="19" fillId="8" borderId="0" xfId="4" applyNumberFormat="1" applyBorder="1"/>
    <xf numFmtId="0" fontId="19" fillId="8" borderId="0" xfId="4" applyBorder="1"/>
    <xf numFmtId="4" fontId="3" fillId="2" borderId="0" xfId="1" applyNumberFormat="1" applyBorder="1"/>
    <xf numFmtId="0" fontId="3" fillId="2" borderId="0" xfId="1" applyBorder="1"/>
    <xf numFmtId="0" fontId="3" fillId="2" borderId="0" xfId="1" applyBorder="1" applyAlignment="1">
      <alignment horizontal="right"/>
    </xf>
    <xf numFmtId="0" fontId="3" fillId="2" borderId="2" xfId="1" applyBorder="1" applyAlignment="1">
      <alignment horizontal="center"/>
    </xf>
    <xf numFmtId="0" fontId="19" fillId="8" borderId="0" xfId="4" applyAlignment="1">
      <alignment horizontal="center"/>
    </xf>
    <xf numFmtId="3" fontId="0" fillId="0" borderId="0" xfId="0" applyNumberFormat="1" applyFill="1" applyBorder="1" applyAlignment="1">
      <alignment horizontal="center"/>
    </xf>
    <xf numFmtId="0" fontId="19" fillId="8" borderId="0" xfId="4" applyAlignment="1">
      <alignment horizontal="left" vertical="center"/>
    </xf>
    <xf numFmtId="0" fontId="0" fillId="0" borderId="0" xfId="0" applyBorder="1" applyAlignment="1">
      <alignment horizontal="left"/>
    </xf>
    <xf numFmtId="0" fontId="3" fillId="2" borderId="0" xfId="1" applyAlignment="1">
      <alignment horizontal="center"/>
    </xf>
    <xf numFmtId="0" fontId="19" fillId="8" borderId="0" xfId="4" applyAlignment="1">
      <alignment horizontal="left" vertical="center" wrapText="1"/>
    </xf>
    <xf numFmtId="0" fontId="3" fillId="2" borderId="0" xfId="1" applyAlignment="1">
      <alignment horizontal="left" vertical="center"/>
    </xf>
    <xf numFmtId="0" fontId="19" fillId="8" borderId="0" xfId="4" applyAlignment="1">
      <alignment horizontal="center" vertic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20" fillId="0" borderId="2" xfId="1" applyFont="1" applyFill="1" applyBorder="1" applyAlignment="1">
      <alignment horizontal="center" vertical="center"/>
    </xf>
    <xf numFmtId="0" fontId="15" fillId="0" borderId="2" xfId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2" borderId="2" xfId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17" fillId="0" borderId="0" xfId="0" applyFont="1" applyAlignment="1">
      <alignment horizontal="left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164" fontId="18" fillId="0" borderId="6" xfId="0" applyNumberFormat="1" applyFont="1" applyBorder="1" applyAlignment="1">
      <alignment horizontal="center"/>
    </xf>
    <xf numFmtId="164" fontId="18" fillId="0" borderId="3" xfId="0" applyNumberFormat="1" applyFont="1" applyBorder="1" applyAlignment="1">
      <alignment horizontal="center"/>
    </xf>
    <xf numFmtId="164" fontId="18" fillId="7" borderId="6" xfId="0" applyNumberFormat="1" applyFont="1" applyFill="1" applyBorder="1" applyAlignment="1">
      <alignment horizontal="center"/>
    </xf>
    <xf numFmtId="164" fontId="18" fillId="7" borderId="3" xfId="0" applyNumberFormat="1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2" xfId="0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0" fillId="0" borderId="7" xfId="0" applyFill="1" applyBorder="1" applyAlignment="1">
      <alignment horizontal="center" wrapText="1"/>
    </xf>
    <xf numFmtId="0" fontId="0" fillId="0" borderId="5" xfId="0" applyFill="1" applyBorder="1" applyAlignment="1">
      <alignment horizont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2" fontId="0" fillId="5" borderId="2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</cellXfs>
  <cellStyles count="5">
    <cellStyle name="40% - Accent5" xfId="2" builtinId="47"/>
    <cellStyle name="Bad" xfId="4" builtinId="27"/>
    <cellStyle name="Good" xfId="1" builtinId="26"/>
    <cellStyle name="Normal" xfId="0" builtinId="0"/>
    <cellStyle name="Normal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9525</xdr:colOff>
      <xdr:row>27</xdr:row>
      <xdr:rowOff>0</xdr:rowOff>
    </xdr:from>
    <xdr:to>
      <xdr:col>16</xdr:col>
      <xdr:colOff>571501</xdr:colOff>
      <xdr:row>28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9813CC8-6DDF-45AB-B229-58828FC64821}"/>
            </a:ext>
          </a:extLst>
        </xdr:cNvPr>
        <xdr:cNvSpPr/>
      </xdr:nvSpPr>
      <xdr:spPr>
        <a:xfrm>
          <a:off x="16954500" y="5219700"/>
          <a:ext cx="1971676" cy="209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15</xdr:col>
      <xdr:colOff>0</xdr:colOff>
      <xdr:row>26</xdr:row>
      <xdr:rowOff>0</xdr:rowOff>
    </xdr:from>
    <xdr:to>
      <xdr:col>15</xdr:col>
      <xdr:colOff>257175</xdr:colOff>
      <xdr:row>29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166F9C9-509A-4493-A84B-0A69ED495E31}"/>
            </a:ext>
          </a:extLst>
        </xdr:cNvPr>
        <xdr:cNvSpPr/>
      </xdr:nvSpPr>
      <xdr:spPr>
        <a:xfrm>
          <a:off x="16944975" y="5038725"/>
          <a:ext cx="257175" cy="5810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15</xdr:col>
      <xdr:colOff>514351</xdr:colOff>
      <xdr:row>25</xdr:row>
      <xdr:rowOff>0</xdr:rowOff>
    </xdr:from>
    <xdr:to>
      <xdr:col>15</xdr:col>
      <xdr:colOff>771525</xdr:colOff>
      <xdr:row>30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204B2FCE-7E0F-4279-8ABC-9881E67B8479}"/>
            </a:ext>
          </a:extLst>
        </xdr:cNvPr>
        <xdr:cNvSpPr/>
      </xdr:nvSpPr>
      <xdr:spPr>
        <a:xfrm>
          <a:off x="17459326" y="4838700"/>
          <a:ext cx="257174" cy="9810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15</xdr:col>
      <xdr:colOff>1047750</xdr:colOff>
      <xdr:row>26</xdr:row>
      <xdr:rowOff>0</xdr:rowOff>
    </xdr:from>
    <xdr:to>
      <xdr:col>15</xdr:col>
      <xdr:colOff>1304925</xdr:colOff>
      <xdr:row>29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8EB1B4AA-E36E-49F7-8ACF-7A4287D75784}"/>
            </a:ext>
          </a:extLst>
        </xdr:cNvPr>
        <xdr:cNvSpPr/>
      </xdr:nvSpPr>
      <xdr:spPr>
        <a:xfrm>
          <a:off x="17992725" y="5038725"/>
          <a:ext cx="257175" cy="5810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19050</xdr:colOff>
      <xdr:row>26</xdr:row>
      <xdr:rowOff>190500</xdr:rowOff>
    </xdr:from>
    <xdr:to>
      <xdr:col>14</xdr:col>
      <xdr:colOff>666751</xdr:colOff>
      <xdr:row>28</xdr:row>
      <xdr:rowOff>19050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3B399C1-D553-480E-A9AF-0565499C280A}"/>
            </a:ext>
          </a:extLst>
        </xdr:cNvPr>
        <xdr:cNvSpPr/>
      </xdr:nvSpPr>
      <xdr:spPr>
        <a:xfrm>
          <a:off x="14963775" y="5219700"/>
          <a:ext cx="1971676" cy="209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13</xdr:col>
      <xdr:colOff>9525</xdr:colOff>
      <xdr:row>26</xdr:row>
      <xdr:rowOff>9525</xdr:rowOff>
    </xdr:from>
    <xdr:to>
      <xdr:col>13</xdr:col>
      <xdr:colOff>266700</xdr:colOff>
      <xdr:row>29</xdr:row>
      <xdr:rowOff>9525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4812412-D9A7-4226-9726-98D526420820}"/>
            </a:ext>
          </a:extLst>
        </xdr:cNvPr>
        <xdr:cNvSpPr/>
      </xdr:nvSpPr>
      <xdr:spPr>
        <a:xfrm>
          <a:off x="14954250" y="5038725"/>
          <a:ext cx="257175" cy="5810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13</xdr:col>
      <xdr:colOff>523876</xdr:colOff>
      <xdr:row>24</xdr:row>
      <xdr:rowOff>171450</xdr:rowOff>
    </xdr:from>
    <xdr:to>
      <xdr:col>13</xdr:col>
      <xdr:colOff>781050</xdr:colOff>
      <xdr:row>30</xdr:row>
      <xdr:rowOff>9525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F616E81B-D3C5-480D-9638-6EA3ABDB19A5}"/>
            </a:ext>
          </a:extLst>
        </xdr:cNvPr>
        <xdr:cNvSpPr/>
      </xdr:nvSpPr>
      <xdr:spPr>
        <a:xfrm>
          <a:off x="15468601" y="4838700"/>
          <a:ext cx="257174" cy="9810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13</xdr:col>
      <xdr:colOff>1057275</xdr:colOff>
      <xdr:row>26</xdr:row>
      <xdr:rowOff>9525</xdr:rowOff>
    </xdr:from>
    <xdr:to>
      <xdr:col>13</xdr:col>
      <xdr:colOff>1314450</xdr:colOff>
      <xdr:row>29</xdr:row>
      <xdr:rowOff>9525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EE724C08-DA21-48C1-9B32-C98D407ABA79}"/>
            </a:ext>
          </a:extLst>
        </xdr:cNvPr>
        <xdr:cNvSpPr/>
      </xdr:nvSpPr>
      <xdr:spPr>
        <a:xfrm>
          <a:off x="16002000" y="5038725"/>
          <a:ext cx="257175" cy="5810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97"/>
  <sheetViews>
    <sheetView tabSelected="1" zoomScale="83" zoomScaleNormal="100" zoomScalePageLayoutView="85" workbookViewId="0">
      <selection activeCell="F16" sqref="F16"/>
    </sheetView>
  </sheetViews>
  <sheetFormatPr defaultColWidth="8.85546875" defaultRowHeight="15" x14ac:dyDescent="0.25"/>
  <cols>
    <col min="1" max="1" width="45.5703125" customWidth="1"/>
    <col min="2" max="3" width="9.7109375" customWidth="1"/>
    <col min="4" max="4" width="19" bestFit="1" customWidth="1"/>
    <col min="5" max="6" width="9.7109375" customWidth="1"/>
    <col min="7" max="7" width="15.28515625" bestFit="1" customWidth="1"/>
    <col min="8" max="9" width="9.7109375" customWidth="1"/>
    <col min="10" max="10" width="34.28515625" customWidth="1"/>
    <col min="11" max="12" width="9.7109375" customWidth="1"/>
    <col min="13" max="13" width="33.42578125" customWidth="1"/>
    <col min="14" max="15" width="9.7109375" customWidth="1"/>
    <col min="16" max="16" width="32.28515625" customWidth="1"/>
    <col min="19" max="19" width="6" bestFit="1" customWidth="1"/>
    <col min="21" max="21" width="12.42578125" customWidth="1"/>
  </cols>
  <sheetData>
    <row r="2" spans="1:21" ht="15.75" x14ac:dyDescent="0.25">
      <c r="A2" s="60" t="s">
        <v>237</v>
      </c>
    </row>
    <row r="3" spans="1:21" x14ac:dyDescent="0.25">
      <c r="B3" s="117" t="s">
        <v>242</v>
      </c>
      <c r="C3" s="117"/>
      <c r="D3" s="117"/>
      <c r="E3" s="121" t="s">
        <v>241</v>
      </c>
      <c r="F3" s="121"/>
      <c r="G3" s="121"/>
      <c r="H3" s="117" t="s">
        <v>241</v>
      </c>
      <c r="I3" s="117"/>
      <c r="J3" s="117"/>
      <c r="K3" s="117" t="s">
        <v>160</v>
      </c>
      <c r="L3" s="117"/>
      <c r="M3" s="117"/>
      <c r="N3" s="117" t="s">
        <v>165</v>
      </c>
      <c r="O3" s="117"/>
      <c r="P3" s="117"/>
      <c r="S3" s="50" t="s">
        <v>157</v>
      </c>
      <c r="T3" s="125" t="s">
        <v>231</v>
      </c>
      <c r="U3" s="125"/>
    </row>
    <row r="4" spans="1:21" x14ac:dyDescent="0.25">
      <c r="A4" s="7" t="s">
        <v>1</v>
      </c>
      <c r="B4" s="7" t="s">
        <v>0</v>
      </c>
      <c r="T4" s="121" t="s">
        <v>232</v>
      </c>
      <c r="U4" s="121"/>
    </row>
    <row r="5" spans="1:21" x14ac:dyDescent="0.25">
      <c r="A5" s="5" t="s">
        <v>2</v>
      </c>
      <c r="B5" s="3" t="s">
        <v>240</v>
      </c>
      <c r="C5" s="50">
        <v>25</v>
      </c>
      <c r="D5" s="8" t="s">
        <v>3</v>
      </c>
      <c r="E5" s="3" t="s">
        <v>240</v>
      </c>
      <c r="F5">
        <v>25</v>
      </c>
      <c r="G5" s="8" t="s">
        <v>3</v>
      </c>
      <c r="H5" s="3" t="s">
        <v>240</v>
      </c>
      <c r="I5">
        <v>25</v>
      </c>
      <c r="J5" s="8" t="s">
        <v>3</v>
      </c>
      <c r="K5" s="3" t="s">
        <v>240</v>
      </c>
      <c r="L5">
        <v>25</v>
      </c>
      <c r="M5" s="8" t="s">
        <v>3</v>
      </c>
      <c r="N5" s="3" t="s">
        <v>240</v>
      </c>
      <c r="O5">
        <v>25</v>
      </c>
      <c r="P5" s="8" t="s">
        <v>3</v>
      </c>
      <c r="T5" s="117" t="s">
        <v>356</v>
      </c>
      <c r="U5" s="117"/>
    </row>
    <row r="6" spans="1:21" ht="15.75" x14ac:dyDescent="0.3">
      <c r="A6" s="1" t="s">
        <v>4</v>
      </c>
      <c r="B6" s="3" t="s">
        <v>5</v>
      </c>
      <c r="C6" s="50">
        <v>1750</v>
      </c>
      <c r="D6" s="8" t="s">
        <v>6</v>
      </c>
      <c r="E6" s="3" t="s">
        <v>5</v>
      </c>
      <c r="F6">
        <v>1750</v>
      </c>
      <c r="G6" s="8" t="s">
        <v>6</v>
      </c>
      <c r="H6" s="3" t="s">
        <v>5</v>
      </c>
      <c r="I6">
        <v>1750</v>
      </c>
      <c r="J6" s="8" t="s">
        <v>6</v>
      </c>
      <c r="K6" s="3" t="s">
        <v>5</v>
      </c>
      <c r="L6">
        <v>1750</v>
      </c>
      <c r="M6" s="8" t="s">
        <v>6</v>
      </c>
      <c r="N6" s="3" t="s">
        <v>5</v>
      </c>
      <c r="O6">
        <v>1750</v>
      </c>
      <c r="P6" s="8" t="s">
        <v>6</v>
      </c>
    </row>
    <row r="7" spans="1:21" ht="15.75" x14ac:dyDescent="0.3">
      <c r="A7" s="1" t="s">
        <v>7</v>
      </c>
      <c r="B7" s="6" t="s">
        <v>8</v>
      </c>
      <c r="C7" s="51">
        <v>6</v>
      </c>
      <c r="D7" s="8" t="s">
        <v>47</v>
      </c>
      <c r="E7" s="6" t="s">
        <v>8</v>
      </c>
      <c r="F7" s="20">
        <v>4</v>
      </c>
      <c r="G7" s="8" t="s">
        <v>47</v>
      </c>
      <c r="H7" s="6" t="s">
        <v>8</v>
      </c>
      <c r="I7" s="20">
        <v>6</v>
      </c>
      <c r="J7" s="8" t="s">
        <v>47</v>
      </c>
      <c r="K7" s="6" t="s">
        <v>8</v>
      </c>
      <c r="L7" s="20">
        <v>6</v>
      </c>
      <c r="M7" s="8" t="s">
        <v>47</v>
      </c>
      <c r="N7" s="6" t="s">
        <v>8</v>
      </c>
      <c r="O7" s="20">
        <v>6</v>
      </c>
      <c r="P7" s="8" t="s">
        <v>47</v>
      </c>
    </row>
    <row r="8" spans="1:21" ht="15.75" x14ac:dyDescent="0.3">
      <c r="A8" s="1" t="s">
        <v>9</v>
      </c>
      <c r="B8" s="3" t="s">
        <v>10</v>
      </c>
      <c r="C8" s="51">
        <v>20</v>
      </c>
      <c r="D8" s="8"/>
      <c r="E8" s="3" t="s">
        <v>10</v>
      </c>
      <c r="F8" s="20">
        <v>20</v>
      </c>
      <c r="G8" s="8"/>
      <c r="H8" s="3" t="s">
        <v>10</v>
      </c>
      <c r="I8" s="20">
        <v>18</v>
      </c>
      <c r="J8" s="8"/>
      <c r="K8" s="3" t="s">
        <v>10</v>
      </c>
      <c r="L8" s="20">
        <v>18</v>
      </c>
      <c r="M8" s="8"/>
      <c r="N8" s="3" t="s">
        <v>10</v>
      </c>
      <c r="O8" s="20">
        <v>20</v>
      </c>
      <c r="P8" s="8"/>
    </row>
    <row r="9" spans="1:21" ht="15.75" x14ac:dyDescent="0.3">
      <c r="A9" s="1" t="s">
        <v>11</v>
      </c>
      <c r="B9" s="3" t="s">
        <v>12</v>
      </c>
      <c r="C9" s="50">
        <v>500</v>
      </c>
      <c r="D9" s="8" t="s">
        <v>6</v>
      </c>
      <c r="E9" s="3" t="s">
        <v>12</v>
      </c>
      <c r="F9">
        <v>500</v>
      </c>
      <c r="G9" s="8" t="s">
        <v>6</v>
      </c>
      <c r="H9" s="3" t="s">
        <v>12</v>
      </c>
      <c r="I9">
        <v>500</v>
      </c>
      <c r="J9" s="8" t="s">
        <v>6</v>
      </c>
      <c r="K9" s="3" t="s">
        <v>12</v>
      </c>
      <c r="L9">
        <v>500</v>
      </c>
      <c r="M9" s="8" t="s">
        <v>6</v>
      </c>
      <c r="N9" s="3" t="s">
        <v>12</v>
      </c>
      <c r="O9">
        <v>500</v>
      </c>
      <c r="P9" s="8" t="s">
        <v>6</v>
      </c>
    </row>
    <row r="10" spans="1:21" x14ac:dyDescent="0.25">
      <c r="A10" s="2" t="s">
        <v>13</v>
      </c>
      <c r="B10" s="3"/>
      <c r="C10" s="50">
        <f>C8*C6/C9</f>
        <v>70</v>
      </c>
      <c r="D10" s="8"/>
      <c r="E10" s="3"/>
      <c r="F10">
        <f>F8*F6/F9</f>
        <v>70</v>
      </c>
      <c r="G10" s="8"/>
      <c r="H10" s="3"/>
      <c r="I10">
        <f>I8*I6/I9</f>
        <v>63</v>
      </c>
      <c r="J10" s="8"/>
      <c r="K10" s="3"/>
      <c r="L10">
        <f>L8*L6/L9</f>
        <v>63</v>
      </c>
      <c r="M10" s="8"/>
      <c r="N10" s="3"/>
      <c r="O10">
        <f>O8*O6/O9</f>
        <v>70</v>
      </c>
      <c r="P10" s="8"/>
    </row>
    <row r="11" spans="1:21" ht="15.75" x14ac:dyDescent="0.3">
      <c r="A11" s="24" t="s">
        <v>52</v>
      </c>
      <c r="B11" s="3" t="s">
        <v>14</v>
      </c>
      <c r="C11" s="51">
        <v>70</v>
      </c>
      <c r="D11" s="8"/>
      <c r="E11" s="3" t="s">
        <v>14</v>
      </c>
      <c r="F11" s="20">
        <v>70</v>
      </c>
      <c r="G11" s="8"/>
      <c r="H11" s="3" t="s">
        <v>14</v>
      </c>
      <c r="I11" s="20">
        <v>63</v>
      </c>
      <c r="J11" s="8"/>
      <c r="K11" s="3" t="s">
        <v>14</v>
      </c>
      <c r="L11" s="20">
        <v>63</v>
      </c>
      <c r="M11" s="8"/>
      <c r="N11" s="3" t="s">
        <v>14</v>
      </c>
      <c r="O11" s="20">
        <v>70</v>
      </c>
      <c r="P11" s="8"/>
    </row>
    <row r="12" spans="1:21" x14ac:dyDescent="0.25">
      <c r="A12" s="14" t="s">
        <v>15</v>
      </c>
    </row>
    <row r="13" spans="1:21" ht="15.75" x14ac:dyDescent="0.3">
      <c r="A13" s="9" t="s">
        <v>16</v>
      </c>
      <c r="B13" s="10" t="s">
        <v>12</v>
      </c>
      <c r="C13" s="28">
        <f>C6*C8/C11</f>
        <v>500</v>
      </c>
      <c r="D13" s="4" t="s">
        <v>6</v>
      </c>
      <c r="E13" s="10" t="s">
        <v>12</v>
      </c>
      <c r="F13" s="28">
        <f>F6*F8/F11</f>
        <v>500</v>
      </c>
      <c r="G13" s="4" t="s">
        <v>6</v>
      </c>
      <c r="H13" s="10" t="s">
        <v>12</v>
      </c>
      <c r="I13" s="28">
        <f>I6*I8/I11</f>
        <v>500</v>
      </c>
      <c r="J13" s="4" t="s">
        <v>6</v>
      </c>
      <c r="K13" s="10" t="s">
        <v>12</v>
      </c>
      <c r="L13" s="28">
        <f>L6*L8/L11</f>
        <v>500</v>
      </c>
      <c r="M13" s="4" t="s">
        <v>6</v>
      </c>
      <c r="N13" s="10" t="s">
        <v>12</v>
      </c>
      <c r="O13" s="28">
        <f>O6*O8/O11</f>
        <v>500</v>
      </c>
      <c r="P13" s="4" t="s">
        <v>6</v>
      </c>
    </row>
    <row r="14" spans="1:21" ht="15.75" x14ac:dyDescent="0.3">
      <c r="A14" s="9" t="s">
        <v>17</v>
      </c>
      <c r="B14" s="10" t="s">
        <v>18</v>
      </c>
      <c r="C14" s="28">
        <f>C11/C8</f>
        <v>3.5</v>
      </c>
      <c r="D14" s="4"/>
      <c r="E14" s="10" t="s">
        <v>18</v>
      </c>
      <c r="F14" s="28">
        <f>F11/F8</f>
        <v>3.5</v>
      </c>
      <c r="G14" s="4"/>
      <c r="H14" s="10" t="s">
        <v>18</v>
      </c>
      <c r="I14" s="28">
        <f>I11/I8</f>
        <v>3.5</v>
      </c>
      <c r="J14" s="4"/>
      <c r="K14" s="10" t="s">
        <v>18</v>
      </c>
      <c r="L14" s="28">
        <f>L11/L8</f>
        <v>3.5</v>
      </c>
      <c r="M14" s="4"/>
      <c r="N14" s="10" t="s">
        <v>18</v>
      </c>
      <c r="O14" s="28">
        <f>O11/O8</f>
        <v>3.5</v>
      </c>
      <c r="P14" s="4"/>
    </row>
    <row r="15" spans="1:21" ht="15.75" x14ac:dyDescent="0.3">
      <c r="A15" s="11" t="s">
        <v>19</v>
      </c>
      <c r="B15" s="12" t="s">
        <v>243</v>
      </c>
      <c r="C15" s="100">
        <f>C8/C7</f>
        <v>3.3333333333333335</v>
      </c>
      <c r="D15" s="4" t="s">
        <v>25</v>
      </c>
      <c r="E15" s="12" t="s">
        <v>243</v>
      </c>
      <c r="F15" s="100">
        <f>F8/F7</f>
        <v>5</v>
      </c>
      <c r="G15" s="4" t="s">
        <v>25</v>
      </c>
      <c r="H15" s="12" t="s">
        <v>243</v>
      </c>
      <c r="I15" s="100">
        <f>I8/I7</f>
        <v>3</v>
      </c>
      <c r="J15" s="4" t="s">
        <v>25</v>
      </c>
      <c r="K15" s="12" t="s">
        <v>243</v>
      </c>
      <c r="L15" s="100">
        <f>L8/L7</f>
        <v>3</v>
      </c>
      <c r="M15" s="4" t="s">
        <v>25</v>
      </c>
      <c r="N15" s="12" t="s">
        <v>243</v>
      </c>
      <c r="O15" s="100">
        <f>O8/O7</f>
        <v>3.3333333333333335</v>
      </c>
      <c r="P15" s="4" t="s">
        <v>25</v>
      </c>
    </row>
    <row r="16" spans="1:21" ht="15.75" x14ac:dyDescent="0.3">
      <c r="A16" s="11" t="s">
        <v>20</v>
      </c>
      <c r="B16" s="12" t="s">
        <v>244</v>
      </c>
      <c r="C16" s="100">
        <f>C11/C7</f>
        <v>11.666666666666666</v>
      </c>
      <c r="D16" s="4" t="s">
        <v>25</v>
      </c>
      <c r="E16" s="12" t="s">
        <v>244</v>
      </c>
      <c r="F16" s="100">
        <f>F11/F7</f>
        <v>17.5</v>
      </c>
      <c r="G16" s="4" t="s">
        <v>25</v>
      </c>
      <c r="H16" s="12" t="s">
        <v>244</v>
      </c>
      <c r="I16" s="100">
        <f>I11/I7</f>
        <v>10.5</v>
      </c>
      <c r="J16" s="4" t="s">
        <v>25</v>
      </c>
      <c r="K16" s="12" t="s">
        <v>244</v>
      </c>
      <c r="L16" s="100">
        <f>L11/L7</f>
        <v>10.5</v>
      </c>
      <c r="M16" s="4" t="s">
        <v>25</v>
      </c>
      <c r="N16" s="12" t="s">
        <v>244</v>
      </c>
      <c r="O16" s="100">
        <f>O11/O7</f>
        <v>11.666666666666666</v>
      </c>
      <c r="P16" s="4" t="s">
        <v>25</v>
      </c>
    </row>
    <row r="17" spans="1:17" x14ac:dyDescent="0.25">
      <c r="A17" s="11" t="s">
        <v>21</v>
      </c>
      <c r="B17" s="12" t="s">
        <v>22</v>
      </c>
      <c r="C17" s="100">
        <f>(C8+C11)/(2*C7)</f>
        <v>7.5</v>
      </c>
      <c r="D17" s="4" t="s">
        <v>25</v>
      </c>
      <c r="E17" s="12" t="s">
        <v>22</v>
      </c>
      <c r="F17" s="100">
        <f>(F8+F11)/(2*F7)</f>
        <v>11.25</v>
      </c>
      <c r="G17" s="4" t="s">
        <v>25</v>
      </c>
      <c r="H17" s="12" t="s">
        <v>22</v>
      </c>
      <c r="I17" s="100">
        <f>(I8+I11)/(2*I7)</f>
        <v>6.75</v>
      </c>
      <c r="J17" s="4" t="s">
        <v>25</v>
      </c>
      <c r="K17" s="12" t="s">
        <v>22</v>
      </c>
      <c r="L17" s="100">
        <f>(L8+L11)/(2*L7)</f>
        <v>6.75</v>
      </c>
      <c r="M17" s="4" t="s">
        <v>25</v>
      </c>
      <c r="N17" s="12" t="s">
        <v>22</v>
      </c>
      <c r="O17" s="100">
        <f>(O8+O11)/(2*O7)</f>
        <v>7.5</v>
      </c>
      <c r="P17" s="4" t="s">
        <v>25</v>
      </c>
    </row>
    <row r="18" spans="1:17" x14ac:dyDescent="0.25">
      <c r="A18" s="9" t="s">
        <v>320</v>
      </c>
      <c r="B18" s="10" t="s">
        <v>23</v>
      </c>
      <c r="C18" s="100">
        <f>PI()*C15*C6/12</f>
        <v>1527.1630954950385</v>
      </c>
      <c r="D18" s="4" t="s">
        <v>26</v>
      </c>
      <c r="E18" s="10" t="s">
        <v>23</v>
      </c>
      <c r="F18" s="100">
        <f>PI()*F15*F6/12</f>
        <v>2290.7446432425572</v>
      </c>
      <c r="G18" s="4" t="s">
        <v>26</v>
      </c>
      <c r="H18" s="10" t="s">
        <v>23</v>
      </c>
      <c r="I18" s="100">
        <f>PI()*I15*I6/12</f>
        <v>1374.4467859455344</v>
      </c>
      <c r="J18" s="4" t="s">
        <v>26</v>
      </c>
      <c r="K18" s="10" t="s">
        <v>23</v>
      </c>
      <c r="L18" s="100">
        <f>PI()*L15*L6/12</f>
        <v>1374.4467859455344</v>
      </c>
      <c r="M18" s="4" t="s">
        <v>26</v>
      </c>
      <c r="N18" s="10" t="s">
        <v>23</v>
      </c>
      <c r="O18" s="100">
        <f>PI()*O15*O6/12</f>
        <v>1527.1630954950385</v>
      </c>
      <c r="P18" s="4" t="s">
        <v>26</v>
      </c>
    </row>
    <row r="19" spans="1:17" ht="15.75" x14ac:dyDescent="0.3">
      <c r="A19" s="9" t="s">
        <v>321</v>
      </c>
      <c r="B19" s="10" t="s">
        <v>24</v>
      </c>
      <c r="C19" s="100">
        <f>33000*C5/C18</f>
        <v>540.21734969477609</v>
      </c>
      <c r="D19" s="4" t="s">
        <v>27</v>
      </c>
      <c r="E19" s="10" t="s">
        <v>24</v>
      </c>
      <c r="F19" s="100">
        <f>33000*F5/F18</f>
        <v>360.14489979651751</v>
      </c>
      <c r="G19" s="4" t="s">
        <v>27</v>
      </c>
      <c r="H19" s="10" t="s">
        <v>24</v>
      </c>
      <c r="I19" s="101">
        <f>33000*I5/I18</f>
        <v>600.24149966086247</v>
      </c>
      <c r="J19" s="4" t="s">
        <v>27</v>
      </c>
      <c r="K19" s="10" t="s">
        <v>24</v>
      </c>
      <c r="L19" s="100">
        <f>33000*L5/L18</f>
        <v>600.24149966086247</v>
      </c>
      <c r="M19" s="4" t="s">
        <v>27</v>
      </c>
      <c r="N19" s="10" t="s">
        <v>24</v>
      </c>
      <c r="O19" s="100">
        <f>33000*O5/O18</f>
        <v>540.21734969477609</v>
      </c>
      <c r="P19" s="4" t="s">
        <v>27</v>
      </c>
    </row>
    <row r="20" spans="1:17" x14ac:dyDescent="0.25">
      <c r="A20" s="15" t="s">
        <v>28</v>
      </c>
    </row>
    <row r="21" spans="1:17" x14ac:dyDescent="0.25">
      <c r="A21" s="4"/>
      <c r="B21" s="17" t="s">
        <v>29</v>
      </c>
      <c r="C21" s="17" t="s">
        <v>30</v>
      </c>
      <c r="D21" s="17" t="s">
        <v>31</v>
      </c>
      <c r="E21" s="17" t="s">
        <v>29</v>
      </c>
      <c r="F21" s="17" t="s">
        <v>30</v>
      </c>
      <c r="G21" s="17" t="s">
        <v>31</v>
      </c>
      <c r="H21" s="17" t="s">
        <v>29</v>
      </c>
      <c r="I21" s="17" t="s">
        <v>30</v>
      </c>
      <c r="J21" s="17" t="s">
        <v>31</v>
      </c>
      <c r="K21" s="17" t="s">
        <v>29</v>
      </c>
      <c r="L21" s="17" t="s">
        <v>30</v>
      </c>
      <c r="M21" s="17" t="s">
        <v>31</v>
      </c>
      <c r="N21" s="17" t="s">
        <v>29</v>
      </c>
      <c r="O21" s="17" t="s">
        <v>30</v>
      </c>
      <c r="P21" s="17" t="s">
        <v>31</v>
      </c>
    </row>
    <row r="22" spans="1:17" x14ac:dyDescent="0.25">
      <c r="A22" s="18" t="s">
        <v>32</v>
      </c>
      <c r="B22" s="16">
        <f>8/C7</f>
        <v>1.3333333333333333</v>
      </c>
      <c r="C22" s="16">
        <f>12/C7</f>
        <v>2</v>
      </c>
      <c r="D22" s="16">
        <f>16/C7</f>
        <v>2.6666666666666665</v>
      </c>
      <c r="E22" s="16">
        <f>8/F7</f>
        <v>2</v>
      </c>
      <c r="F22" s="16">
        <f>12/F7</f>
        <v>3</v>
      </c>
      <c r="G22" s="16">
        <f>16/F7</f>
        <v>4</v>
      </c>
      <c r="H22" s="16">
        <f>8/I7</f>
        <v>1.3333333333333333</v>
      </c>
      <c r="I22" s="16">
        <f>12/I7</f>
        <v>2</v>
      </c>
      <c r="J22" s="16">
        <f>16/I7</f>
        <v>2.6666666666666665</v>
      </c>
      <c r="K22" s="16">
        <f>8/L7</f>
        <v>1.3333333333333333</v>
      </c>
      <c r="L22" s="16">
        <f>12/L7</f>
        <v>2</v>
      </c>
      <c r="M22" s="16">
        <f>16/L7</f>
        <v>2.6666666666666665</v>
      </c>
      <c r="N22" s="16">
        <f>8/O7</f>
        <v>1.3333333333333333</v>
      </c>
      <c r="O22" s="16">
        <f>12/O7</f>
        <v>2</v>
      </c>
      <c r="P22" s="16">
        <f>16/O7</f>
        <v>2.6666666666666665</v>
      </c>
    </row>
    <row r="23" spans="1:17" x14ac:dyDescent="0.25">
      <c r="A23" s="24" t="s">
        <v>156</v>
      </c>
      <c r="B23" s="3" t="s">
        <v>33</v>
      </c>
      <c r="C23" s="21">
        <v>2</v>
      </c>
      <c r="D23" s="13" t="s">
        <v>25</v>
      </c>
      <c r="E23" s="3" t="s">
        <v>33</v>
      </c>
      <c r="F23" s="21">
        <v>3</v>
      </c>
      <c r="G23" s="13" t="s">
        <v>25</v>
      </c>
      <c r="H23" s="3" t="s">
        <v>33</v>
      </c>
      <c r="I23" s="21">
        <v>2</v>
      </c>
      <c r="J23" s="13" t="s">
        <v>25</v>
      </c>
      <c r="K23" s="3" t="s">
        <v>33</v>
      </c>
      <c r="L23" s="21">
        <v>2</v>
      </c>
      <c r="M23" s="13" t="s">
        <v>25</v>
      </c>
      <c r="N23" s="3" t="s">
        <v>33</v>
      </c>
      <c r="O23" s="21">
        <v>2</v>
      </c>
      <c r="P23" s="13" t="s">
        <v>25</v>
      </c>
    </row>
    <row r="24" spans="1:17" ht="15.75" x14ac:dyDescent="0.3">
      <c r="A24" s="18" t="s">
        <v>34</v>
      </c>
      <c r="B24" s="10" t="s">
        <v>35</v>
      </c>
      <c r="C24" s="29">
        <f>C23/C15</f>
        <v>0.6</v>
      </c>
      <c r="D24" s="4"/>
      <c r="E24" s="10" t="s">
        <v>35</v>
      </c>
      <c r="F24" s="29">
        <f>F23/F15</f>
        <v>0.6</v>
      </c>
      <c r="G24" s="4"/>
      <c r="H24" s="10" t="s">
        <v>35</v>
      </c>
      <c r="I24" s="29">
        <f>I23/I15</f>
        <v>0.66666666666666663</v>
      </c>
      <c r="J24" s="4"/>
      <c r="K24" s="10" t="s">
        <v>35</v>
      </c>
      <c r="L24" s="29">
        <f>L23/L15</f>
        <v>0.66666666666666663</v>
      </c>
      <c r="M24" s="4"/>
      <c r="N24" s="10" t="s">
        <v>35</v>
      </c>
      <c r="O24" s="29">
        <f>O23/O15</f>
        <v>0.6</v>
      </c>
      <c r="P24" s="4"/>
    </row>
    <row r="25" spans="1:17" ht="15.75" x14ac:dyDescent="0.3">
      <c r="A25" s="120" t="s">
        <v>36</v>
      </c>
      <c r="B25" s="120"/>
      <c r="C25" s="120"/>
      <c r="D25" s="120"/>
    </row>
    <row r="26" spans="1:17" ht="18" x14ac:dyDescent="0.35">
      <c r="A26" s="18" t="s">
        <v>48</v>
      </c>
      <c r="B26" s="18" t="s">
        <v>50</v>
      </c>
      <c r="C26" s="30">
        <v>14500000</v>
      </c>
      <c r="D26" s="19" t="s">
        <v>349</v>
      </c>
      <c r="E26" s="18" t="s">
        <v>50</v>
      </c>
      <c r="F26" s="30">
        <v>14500000</v>
      </c>
      <c r="G26" s="109" t="s">
        <v>349</v>
      </c>
      <c r="H26" s="18" t="s">
        <v>50</v>
      </c>
      <c r="I26" s="30">
        <v>14500000</v>
      </c>
      <c r="J26" s="109" t="s">
        <v>349</v>
      </c>
      <c r="K26" s="18" t="s">
        <v>50</v>
      </c>
      <c r="L26" s="30">
        <v>30000000</v>
      </c>
      <c r="M26" s="109" t="s">
        <v>349</v>
      </c>
      <c r="N26" s="18" t="s">
        <v>50</v>
      </c>
      <c r="O26" s="30">
        <v>30000000</v>
      </c>
      <c r="P26" s="109" t="s">
        <v>349</v>
      </c>
    </row>
    <row r="27" spans="1:17" x14ac:dyDescent="0.25">
      <c r="A27" s="18" t="s">
        <v>49</v>
      </c>
      <c r="B27" s="27" t="s">
        <v>51</v>
      </c>
      <c r="C27" s="19">
        <v>0.21099999999999999</v>
      </c>
      <c r="D27" s="19" t="s">
        <v>350</v>
      </c>
      <c r="E27" s="27" t="s">
        <v>51</v>
      </c>
      <c r="F27" s="19">
        <v>0.21099999999999999</v>
      </c>
      <c r="G27" s="109" t="s">
        <v>350</v>
      </c>
      <c r="H27" s="27" t="s">
        <v>51</v>
      </c>
      <c r="I27" s="19">
        <v>0.21099999999999999</v>
      </c>
      <c r="J27" s="109" t="s">
        <v>350</v>
      </c>
      <c r="K27" s="27" t="s">
        <v>51</v>
      </c>
      <c r="L27" s="19">
        <v>0.29199999999999998</v>
      </c>
      <c r="M27" s="109" t="s">
        <v>350</v>
      </c>
      <c r="N27" s="27" t="s">
        <v>51</v>
      </c>
      <c r="O27" s="19">
        <v>0.29199999999999998</v>
      </c>
      <c r="P27" s="109" t="s">
        <v>350</v>
      </c>
    </row>
    <row r="28" spans="1:17" x14ac:dyDescent="0.25">
      <c r="A28" s="24" t="s">
        <v>55</v>
      </c>
      <c r="B28" s="3" t="s">
        <v>37</v>
      </c>
      <c r="C28" s="22">
        <f>SQRT(1/(PI()*(((1-C27^2)/C26)+((1-C27^2)/C26))))</f>
        <v>1554.1162223272247</v>
      </c>
      <c r="D28" s="106" t="s">
        <v>38</v>
      </c>
      <c r="E28" s="3" t="s">
        <v>37</v>
      </c>
      <c r="F28" s="22">
        <f>SQRT(1/(PI()*(((1-F27^2)/F26)+((1-F27^2)/F26))))</f>
        <v>1554.1162223272247</v>
      </c>
      <c r="G28" s="23" t="s">
        <v>38</v>
      </c>
      <c r="H28" s="3" t="s">
        <v>37</v>
      </c>
      <c r="I28" s="22">
        <f>SQRT(1/(PI()*(((1-I27^2)/I26)+((1-I27^2)/I26))))</f>
        <v>1554.1162223272247</v>
      </c>
      <c r="J28" s="23" t="s">
        <v>38</v>
      </c>
      <c r="K28" s="3" t="s">
        <v>37</v>
      </c>
      <c r="L28" s="22">
        <f>SQRT(1/(PI()*(((1-L27^2)/L26)+((1-L27^2)/L26))))</f>
        <v>2284.6664674576809</v>
      </c>
      <c r="M28" s="23" t="s">
        <v>38</v>
      </c>
      <c r="N28" s="3" t="s">
        <v>37</v>
      </c>
      <c r="O28" s="22">
        <f>SQRT(1/(PI()*(((1-O27^2)/O26)+((1-O27^2)/O26))))</f>
        <v>2284.6664674576809</v>
      </c>
      <c r="P28" s="23" t="s">
        <v>38</v>
      </c>
    </row>
    <row r="29" spans="1:17" ht="15.75" x14ac:dyDescent="0.3">
      <c r="A29" s="24" t="s">
        <v>56</v>
      </c>
      <c r="B29" s="3" t="s">
        <v>39</v>
      </c>
      <c r="C29" s="22">
        <v>7</v>
      </c>
      <c r="D29" s="106"/>
      <c r="E29" s="3" t="s">
        <v>39</v>
      </c>
      <c r="F29" s="22">
        <v>7</v>
      </c>
      <c r="G29" s="106"/>
      <c r="H29" s="3" t="s">
        <v>39</v>
      </c>
      <c r="I29" s="22">
        <v>7</v>
      </c>
      <c r="J29" s="106"/>
      <c r="K29" s="3" t="s">
        <v>39</v>
      </c>
      <c r="L29" s="22">
        <v>7</v>
      </c>
      <c r="M29" s="106"/>
      <c r="N29" s="3" t="s">
        <v>39</v>
      </c>
      <c r="O29" s="22">
        <v>7</v>
      </c>
      <c r="P29" s="106"/>
    </row>
    <row r="30" spans="1:17" ht="18" x14ac:dyDescent="0.35">
      <c r="A30" s="24" t="s">
        <v>70</v>
      </c>
      <c r="B30" s="6" t="s">
        <v>100</v>
      </c>
      <c r="C30" s="31">
        <v>0.32200000000000001</v>
      </c>
      <c r="D30" s="23" t="s">
        <v>58</v>
      </c>
      <c r="E30" s="6" t="s">
        <v>100</v>
      </c>
      <c r="F30" s="31">
        <v>0.309</v>
      </c>
      <c r="G30" s="23" t="s">
        <v>58</v>
      </c>
      <c r="H30" s="6" t="s">
        <v>100</v>
      </c>
      <c r="I30" s="31">
        <v>0.309</v>
      </c>
      <c r="J30" s="23" t="s">
        <v>58</v>
      </c>
      <c r="K30" s="6" t="s">
        <v>100</v>
      </c>
      <c r="L30" s="31">
        <v>0.309</v>
      </c>
      <c r="M30" s="23" t="s">
        <v>58</v>
      </c>
      <c r="N30" s="6" t="s">
        <v>100</v>
      </c>
      <c r="O30" s="31">
        <v>0.32200000000000001</v>
      </c>
      <c r="P30" s="23" t="s">
        <v>58</v>
      </c>
      <c r="Q30" s="107" t="s">
        <v>345</v>
      </c>
    </row>
    <row r="31" spans="1:17" ht="18" x14ac:dyDescent="0.35">
      <c r="A31" s="24" t="s">
        <v>71</v>
      </c>
      <c r="B31" s="6" t="s">
        <v>101</v>
      </c>
      <c r="C31" s="31">
        <v>0.43065999999999999</v>
      </c>
      <c r="D31" s="106" t="s">
        <v>58</v>
      </c>
      <c r="E31" s="6" t="s">
        <v>101</v>
      </c>
      <c r="F31" s="31">
        <v>0.42459999999999998</v>
      </c>
      <c r="G31" s="106" t="s">
        <v>58</v>
      </c>
      <c r="H31" s="6" t="s">
        <v>101</v>
      </c>
      <c r="I31" s="31">
        <v>0.42459999999999998</v>
      </c>
      <c r="J31" s="106" t="s">
        <v>58</v>
      </c>
      <c r="K31" s="6" t="s">
        <v>101</v>
      </c>
      <c r="L31" s="31">
        <v>0.42459999999999998</v>
      </c>
      <c r="M31" s="106" t="s">
        <v>58</v>
      </c>
      <c r="N31" s="6" t="s">
        <v>101</v>
      </c>
      <c r="O31" s="31">
        <v>0.43065999999999999</v>
      </c>
      <c r="P31" s="106" t="s">
        <v>58</v>
      </c>
      <c r="Q31" s="107"/>
    </row>
    <row r="32" spans="1:17" x14ac:dyDescent="0.25">
      <c r="A32" s="24" t="s">
        <v>40</v>
      </c>
      <c r="B32" s="3" t="s">
        <v>41</v>
      </c>
      <c r="C32" s="13">
        <v>0.999</v>
      </c>
      <c r="D32" s="23" t="s">
        <v>59</v>
      </c>
      <c r="E32" s="3" t="s">
        <v>41</v>
      </c>
      <c r="F32" s="13">
        <v>0.999</v>
      </c>
      <c r="G32" s="23" t="s">
        <v>59</v>
      </c>
      <c r="H32" s="3" t="s">
        <v>41</v>
      </c>
      <c r="I32" s="13">
        <v>0.999</v>
      </c>
      <c r="J32" s="23" t="s">
        <v>59</v>
      </c>
      <c r="K32" s="3" t="s">
        <v>41</v>
      </c>
      <c r="L32" s="13">
        <v>0.999</v>
      </c>
      <c r="M32" s="23" t="s">
        <v>59</v>
      </c>
      <c r="N32" s="3" t="s">
        <v>41</v>
      </c>
      <c r="O32" s="13">
        <v>0.999</v>
      </c>
      <c r="P32" s="23" t="s">
        <v>59</v>
      </c>
    </row>
    <row r="33" spans="1:16" x14ac:dyDescent="0.25">
      <c r="A33" s="24" t="s">
        <v>53</v>
      </c>
      <c r="B33" s="8"/>
      <c r="C33" s="13"/>
      <c r="D33" s="8"/>
      <c r="E33" s="8"/>
      <c r="F33" s="13"/>
      <c r="G33" s="8"/>
      <c r="H33" s="8"/>
      <c r="I33" s="13"/>
      <c r="J33" s="8"/>
      <c r="K33" s="8"/>
      <c r="L33" s="13"/>
      <c r="M33" s="8"/>
      <c r="N33" s="8"/>
      <c r="O33" s="13"/>
      <c r="P33" s="8"/>
    </row>
    <row r="34" spans="1:16" ht="15.75" x14ac:dyDescent="0.3">
      <c r="A34" s="6" t="s">
        <v>42</v>
      </c>
      <c r="B34" s="6" t="s">
        <v>43</v>
      </c>
      <c r="C34" s="32">
        <v>0.33500000000000002</v>
      </c>
      <c r="D34" s="23" t="s">
        <v>57</v>
      </c>
      <c r="E34" s="6" t="s">
        <v>43</v>
      </c>
      <c r="F34" s="32">
        <v>0.32</v>
      </c>
      <c r="G34" s="23" t="s">
        <v>57</v>
      </c>
      <c r="H34" s="6" t="s">
        <v>43</v>
      </c>
      <c r="I34" s="32">
        <v>0.32</v>
      </c>
      <c r="J34" s="23" t="s">
        <v>57</v>
      </c>
      <c r="K34" s="6" t="s">
        <v>43</v>
      </c>
      <c r="L34" s="32">
        <v>0.32</v>
      </c>
      <c r="M34" s="23" t="s">
        <v>57</v>
      </c>
      <c r="N34" s="6" t="s">
        <v>43</v>
      </c>
      <c r="O34" s="32">
        <v>0.33500000000000002</v>
      </c>
      <c r="P34" s="23" t="s">
        <v>57</v>
      </c>
    </row>
    <row r="35" spans="1:16" ht="15.75" x14ac:dyDescent="0.3">
      <c r="A35" s="6" t="s">
        <v>44</v>
      </c>
      <c r="B35" s="6" t="s">
        <v>45</v>
      </c>
      <c r="C35" s="32">
        <v>0.41499999999999998</v>
      </c>
      <c r="D35" s="23" t="s">
        <v>57</v>
      </c>
      <c r="E35" s="6" t="s">
        <v>45</v>
      </c>
      <c r="F35" s="32">
        <v>0.40500000000000003</v>
      </c>
      <c r="G35" s="23" t="s">
        <v>57</v>
      </c>
      <c r="H35" s="6" t="s">
        <v>45</v>
      </c>
      <c r="I35" s="32">
        <v>0.41</v>
      </c>
      <c r="J35" s="23" t="s">
        <v>57</v>
      </c>
      <c r="K35" s="6" t="s">
        <v>45</v>
      </c>
      <c r="L35" s="32">
        <v>0.41</v>
      </c>
      <c r="M35" s="23" t="s">
        <v>57</v>
      </c>
      <c r="N35" s="6" t="s">
        <v>45</v>
      </c>
      <c r="O35" s="32">
        <v>0.41499999999999998</v>
      </c>
      <c r="P35" s="23" t="s">
        <v>57</v>
      </c>
    </row>
    <row r="36" spans="1:16" x14ac:dyDescent="0.25">
      <c r="A36" s="24" t="s">
        <v>54</v>
      </c>
      <c r="B36" s="3" t="s">
        <v>46</v>
      </c>
      <c r="C36" s="108">
        <f>COS(RADIANS(20))*SIN(RADIANS(20))/2*(C14/(C14+1))</f>
        <v>0.12498647966127155</v>
      </c>
      <c r="D36" s="106" t="s">
        <v>348</v>
      </c>
      <c r="E36" s="3" t="s">
        <v>46</v>
      </c>
      <c r="F36" s="108">
        <f>COS(RADIANS(20))*SIN(RADIANS(20))/2*(F14/(F14+1))</f>
        <v>0.12498647966127155</v>
      </c>
      <c r="G36" s="106" t="s">
        <v>348</v>
      </c>
      <c r="H36" s="3" t="s">
        <v>46</v>
      </c>
      <c r="I36" s="108">
        <f>COS(RADIANS(20))*SIN(RADIANS(20))/2*(I14/(I14+1))</f>
        <v>0.12498647966127155</v>
      </c>
      <c r="J36" s="106" t="s">
        <v>348</v>
      </c>
      <c r="K36" s="3" t="s">
        <v>46</v>
      </c>
      <c r="L36" s="108">
        <f>COS(RADIANS(20))*SIN(RADIANS(20))/2*(L14/(L14+1))</f>
        <v>0.12498647966127155</v>
      </c>
      <c r="M36" s="106" t="s">
        <v>348</v>
      </c>
      <c r="N36" s="3" t="s">
        <v>46</v>
      </c>
      <c r="O36" s="108">
        <f>COS(RADIANS(20))*SIN(RADIANS(20))/2*(O14/(O14+1))</f>
        <v>0.12498647966127155</v>
      </c>
      <c r="P36" s="106" t="s">
        <v>348</v>
      </c>
    </row>
    <row r="37" spans="1:16" x14ac:dyDescent="0.25">
      <c r="A37" s="39" t="s">
        <v>60</v>
      </c>
      <c r="C37" s="40"/>
    </row>
    <row r="38" spans="1:16" x14ac:dyDescent="0.25">
      <c r="B38" s="40"/>
      <c r="C38" s="40" t="s">
        <v>68</v>
      </c>
      <c r="F38" s="40" t="s">
        <v>68</v>
      </c>
      <c r="I38" s="40" t="s">
        <v>68</v>
      </c>
      <c r="L38" s="40" t="s">
        <v>68</v>
      </c>
      <c r="O38" s="40" t="s">
        <v>68</v>
      </c>
    </row>
    <row r="39" spans="1:16" ht="18" x14ac:dyDescent="0.35">
      <c r="A39" s="41" t="s">
        <v>72</v>
      </c>
      <c r="B39" s="41" t="s">
        <v>75</v>
      </c>
      <c r="C39" s="42">
        <f>C24/10-0.0375+0.0125*C23</f>
        <v>4.7500000000000001E-2</v>
      </c>
      <c r="D39" s="23" t="s">
        <v>73</v>
      </c>
      <c r="E39" s="41" t="s">
        <v>75</v>
      </c>
      <c r="F39" s="42">
        <f>F24/10-0.0375+0.0125*F23</f>
        <v>6.0000000000000005E-2</v>
      </c>
      <c r="G39" s="23" t="s">
        <v>73</v>
      </c>
      <c r="H39" s="41" t="s">
        <v>75</v>
      </c>
      <c r="I39" s="42">
        <f>I24/10-0.0375+0.0125*I23</f>
        <v>5.4166666666666669E-2</v>
      </c>
      <c r="J39" s="23" t="s">
        <v>73</v>
      </c>
      <c r="K39" s="41" t="s">
        <v>75</v>
      </c>
      <c r="L39" s="42">
        <f>L24/10-0.0375+0.0125*L23</f>
        <v>5.4166666666666669E-2</v>
      </c>
      <c r="M39" s="23" t="s">
        <v>73</v>
      </c>
      <c r="N39" s="41" t="s">
        <v>75</v>
      </c>
      <c r="O39" s="42">
        <f>O24/10-0.0375+0.0125*O23</f>
        <v>4.7500000000000001E-2</v>
      </c>
      <c r="P39" s="23" t="s">
        <v>73</v>
      </c>
    </row>
    <row r="40" spans="1:16" ht="18" x14ac:dyDescent="0.35">
      <c r="A40" s="41" t="s">
        <v>69</v>
      </c>
      <c r="B40" s="41" t="s">
        <v>76</v>
      </c>
      <c r="C40" s="42">
        <f>0.127+0.0158*C23-0.0001093*C23^2</f>
        <v>0.15816280000000002</v>
      </c>
      <c r="D40" s="23" t="s">
        <v>74</v>
      </c>
      <c r="E40" s="41" t="s">
        <v>76</v>
      </c>
      <c r="F40" s="42">
        <f>0.127+0.0158*F23-0.0001093*F23^2</f>
        <v>0.1734163</v>
      </c>
      <c r="G40" s="23" t="s">
        <v>74</v>
      </c>
      <c r="H40" s="41" t="s">
        <v>76</v>
      </c>
      <c r="I40" s="42">
        <f>0.127+0.0158*I23-0.0001093*I23^2</f>
        <v>0.15816280000000002</v>
      </c>
      <c r="J40" s="23" t="s">
        <v>74</v>
      </c>
      <c r="K40" s="41" t="s">
        <v>76</v>
      </c>
      <c r="L40" s="42">
        <f>0.127+0.0158*L23-0.0001093*L23^2</f>
        <v>0.15816280000000002</v>
      </c>
      <c r="M40" s="23" t="s">
        <v>74</v>
      </c>
      <c r="N40" s="41" t="s">
        <v>76</v>
      </c>
      <c r="O40" s="42">
        <f>0.127+0.0158*O23-0.0001093*O23^2</f>
        <v>0.15816280000000002</v>
      </c>
      <c r="P40" s="23" t="s">
        <v>74</v>
      </c>
    </row>
    <row r="41" spans="1:16" ht="18" x14ac:dyDescent="0.35">
      <c r="A41" s="41" t="s">
        <v>77</v>
      </c>
      <c r="B41" s="41" t="s">
        <v>78</v>
      </c>
      <c r="C41" s="42">
        <f>1+C39+C40</f>
        <v>1.2056628</v>
      </c>
      <c r="D41" s="23" t="s">
        <v>79</v>
      </c>
      <c r="E41" s="41" t="s">
        <v>78</v>
      </c>
      <c r="F41" s="42">
        <f>1+F39+F40</f>
        <v>1.2334163</v>
      </c>
      <c r="G41" s="23" t="s">
        <v>79</v>
      </c>
      <c r="H41" s="41" t="s">
        <v>78</v>
      </c>
      <c r="I41" s="42">
        <f>1+I39+I40</f>
        <v>1.2123294666666666</v>
      </c>
      <c r="J41" s="23" t="s">
        <v>79</v>
      </c>
      <c r="K41" s="41" t="s">
        <v>78</v>
      </c>
      <c r="L41" s="42">
        <f>1+L39+L40</f>
        <v>1.2123294666666666</v>
      </c>
      <c r="M41" s="23" t="s">
        <v>79</v>
      </c>
      <c r="N41" s="41" t="s">
        <v>78</v>
      </c>
      <c r="O41" s="42">
        <f>1+O39+O40</f>
        <v>1.2056628</v>
      </c>
      <c r="P41" s="23" t="s">
        <v>79</v>
      </c>
    </row>
    <row r="42" spans="1:16" ht="18" x14ac:dyDescent="0.35">
      <c r="A42" s="41" t="s">
        <v>80</v>
      </c>
      <c r="B42" s="41" t="s">
        <v>84</v>
      </c>
      <c r="C42" s="42">
        <v>1</v>
      </c>
      <c r="D42" s="23" t="s">
        <v>61</v>
      </c>
      <c r="E42" s="41" t="s">
        <v>84</v>
      </c>
      <c r="F42" s="42">
        <v>1</v>
      </c>
      <c r="G42" s="23" t="s">
        <v>61</v>
      </c>
      <c r="H42" s="41" t="s">
        <v>84</v>
      </c>
      <c r="I42" s="42">
        <v>1</v>
      </c>
      <c r="J42" s="23" t="s">
        <v>61</v>
      </c>
      <c r="K42" s="41" t="s">
        <v>84</v>
      </c>
      <c r="L42" s="42">
        <v>1</v>
      </c>
      <c r="M42" s="23" t="s">
        <v>61</v>
      </c>
      <c r="N42" s="41" t="s">
        <v>84</v>
      </c>
      <c r="O42" s="42">
        <v>1</v>
      </c>
      <c r="P42" s="23" t="s">
        <v>61</v>
      </c>
    </row>
    <row r="43" spans="1:16" ht="18" x14ac:dyDescent="0.35">
      <c r="A43" s="41" t="s">
        <v>81</v>
      </c>
      <c r="B43" s="41" t="s">
        <v>86</v>
      </c>
      <c r="C43" s="43">
        <f>1.192*(C23*SQRT(JP)/C7)^0.0535</f>
        <v>1.0903989204279545</v>
      </c>
      <c r="D43" s="106" t="s">
        <v>351</v>
      </c>
      <c r="E43" s="41" t="s">
        <v>86</v>
      </c>
      <c r="F43" s="43">
        <f>1.192*(F23*SQRT(JP)/F7)^0.0535</f>
        <v>1.1387468209623226</v>
      </c>
      <c r="G43" s="106" t="s">
        <v>351</v>
      </c>
      <c r="H43" s="41" t="s">
        <v>86</v>
      </c>
      <c r="I43" s="43">
        <f>1.192*(I23*SQRT(JP)/I7)^0.0535</f>
        <v>1.0903989204279545</v>
      </c>
      <c r="J43" s="106" t="s">
        <v>351</v>
      </c>
      <c r="K43" s="41" t="s">
        <v>86</v>
      </c>
      <c r="L43" s="43">
        <f>1.192*(L23*SQRT(JP)/L7)^0.0535</f>
        <v>1.0903989204279545</v>
      </c>
      <c r="M43" s="106" t="s">
        <v>351</v>
      </c>
      <c r="N43" s="41" t="s">
        <v>86</v>
      </c>
      <c r="O43" s="43">
        <f>1.192*(O23*SQRT(JP)/O7)^0.0535</f>
        <v>1.0903989204279545</v>
      </c>
      <c r="P43" s="106" t="s">
        <v>351</v>
      </c>
    </row>
    <row r="44" spans="1:16" ht="18" x14ac:dyDescent="0.35">
      <c r="A44" s="41" t="s">
        <v>82</v>
      </c>
      <c r="B44" s="41" t="s">
        <v>85</v>
      </c>
      <c r="C44" s="43">
        <f>1.192*(C23*SQRT(JG)/C7)^0.0535</f>
        <v>1.0989131418349996</v>
      </c>
      <c r="D44" s="106" t="s">
        <v>351</v>
      </c>
      <c r="E44" s="41" t="s">
        <v>85</v>
      </c>
      <c r="F44" s="43">
        <f>1.192*(F23*SQRT(JG)/F7)^0.0535</f>
        <v>1.147638559920058</v>
      </c>
      <c r="G44" s="106" t="s">
        <v>351</v>
      </c>
      <c r="H44" s="41" t="s">
        <v>85</v>
      </c>
      <c r="I44" s="43">
        <f>1.192*(I23*SQRT(JG)/I7)^0.0535</f>
        <v>1.0989131418349996</v>
      </c>
      <c r="J44" s="106" t="s">
        <v>351</v>
      </c>
      <c r="K44" s="41" t="s">
        <v>85</v>
      </c>
      <c r="L44" s="43">
        <f>1.192*(L23*SQRT(JG)/L7)^0.0535</f>
        <v>1.0989131418349996</v>
      </c>
      <c r="M44" s="106" t="s">
        <v>351</v>
      </c>
      <c r="N44" s="41" t="s">
        <v>85</v>
      </c>
      <c r="O44" s="43">
        <f>1.192*(O23*SQRT(JG)/O7)^0.0535</f>
        <v>1.0989131418349996</v>
      </c>
      <c r="P44" s="106" t="s">
        <v>351</v>
      </c>
    </row>
    <row r="45" spans="1:16" ht="18" x14ac:dyDescent="0.35">
      <c r="A45" s="24" t="s">
        <v>83</v>
      </c>
      <c r="B45" s="41" t="s">
        <v>87</v>
      </c>
      <c r="C45" s="42">
        <v>1</v>
      </c>
      <c r="D45" s="23" t="s">
        <v>67</v>
      </c>
      <c r="E45" s="41" t="s">
        <v>87</v>
      </c>
      <c r="F45" s="42">
        <v>1</v>
      </c>
      <c r="G45" s="23" t="s">
        <v>67</v>
      </c>
      <c r="H45" s="41" t="s">
        <v>87</v>
      </c>
      <c r="I45" s="42">
        <v>1</v>
      </c>
      <c r="J45" s="23" t="s">
        <v>67</v>
      </c>
      <c r="K45" s="41" t="s">
        <v>87</v>
      </c>
      <c r="L45" s="42">
        <v>1</v>
      </c>
      <c r="M45" s="23" t="s">
        <v>67</v>
      </c>
      <c r="N45" s="41" t="s">
        <v>87</v>
      </c>
      <c r="O45" s="42">
        <v>1</v>
      </c>
      <c r="P45" s="23" t="s">
        <v>67</v>
      </c>
    </row>
    <row r="46" spans="1:16" ht="18" x14ac:dyDescent="0.35">
      <c r="A46" s="24" t="s">
        <v>93</v>
      </c>
      <c r="B46" s="41" t="s">
        <v>88</v>
      </c>
      <c r="C46" s="42">
        <v>1</v>
      </c>
      <c r="D46" s="23" t="s">
        <v>67</v>
      </c>
      <c r="E46" s="41" t="s">
        <v>88</v>
      </c>
      <c r="F46" s="42">
        <v>1</v>
      </c>
      <c r="G46" s="23" t="s">
        <v>67</v>
      </c>
      <c r="H46" s="41" t="s">
        <v>88</v>
      </c>
      <c r="I46" s="42">
        <v>1</v>
      </c>
      <c r="J46" s="23" t="s">
        <v>67</v>
      </c>
      <c r="K46" s="41" t="s">
        <v>88</v>
      </c>
      <c r="L46" s="42">
        <v>1</v>
      </c>
      <c r="M46" s="23" t="s">
        <v>67</v>
      </c>
      <c r="N46" s="41" t="s">
        <v>88</v>
      </c>
      <c r="O46" s="42">
        <v>1</v>
      </c>
      <c r="P46" s="23" t="s">
        <v>67</v>
      </c>
    </row>
    <row r="47" spans="1:16" x14ac:dyDescent="0.25">
      <c r="A47" s="24"/>
      <c r="B47" s="41" t="s">
        <v>99</v>
      </c>
      <c r="C47" s="44">
        <f>(0.25)*(12-C29)^0.667</f>
        <v>0.73139670851761562</v>
      </c>
      <c r="D47" s="23" t="s">
        <v>111</v>
      </c>
      <c r="E47" s="41" t="s">
        <v>99</v>
      </c>
      <c r="F47" s="44">
        <f>(0.25)*(12-F29)^0.667</f>
        <v>0.73139670851761562</v>
      </c>
      <c r="G47" s="23" t="s">
        <v>111</v>
      </c>
      <c r="H47" s="41" t="s">
        <v>99</v>
      </c>
      <c r="I47" s="44">
        <f>(0.25)*(12-I29)^0.667</f>
        <v>0.73139670851761562</v>
      </c>
      <c r="J47" s="23" t="s">
        <v>111</v>
      </c>
      <c r="K47" s="41" t="s">
        <v>99</v>
      </c>
      <c r="L47" s="44">
        <f>(0.25)*(12-L29)^0.667</f>
        <v>0.73139670851761562</v>
      </c>
      <c r="M47" s="23" t="s">
        <v>111</v>
      </c>
      <c r="N47" s="41" t="s">
        <v>99</v>
      </c>
      <c r="O47" s="44">
        <f>(0.25)*(12-O29)^0.667</f>
        <v>0.73139670851761562</v>
      </c>
      <c r="P47" s="23" t="s">
        <v>111</v>
      </c>
    </row>
    <row r="48" spans="1:16" x14ac:dyDescent="0.25">
      <c r="A48" s="24"/>
      <c r="B48" s="41" t="s">
        <v>98</v>
      </c>
      <c r="C48" s="44">
        <f>50+56*(1-C47)</f>
        <v>65.04178432301353</v>
      </c>
      <c r="D48" s="23" t="s">
        <v>111</v>
      </c>
      <c r="E48" s="41" t="s">
        <v>98</v>
      </c>
      <c r="F48" s="44">
        <f>50+56*(1-F47)</f>
        <v>65.04178432301353</v>
      </c>
      <c r="G48" s="23" t="s">
        <v>111</v>
      </c>
      <c r="H48" s="41" t="s">
        <v>98</v>
      </c>
      <c r="I48" s="44">
        <f>50+56*(1-I47)</f>
        <v>65.04178432301353</v>
      </c>
      <c r="J48" s="23" t="s">
        <v>111</v>
      </c>
      <c r="K48" s="41" t="s">
        <v>98</v>
      </c>
      <c r="L48" s="44">
        <f>50+56*(1-L47)</f>
        <v>65.04178432301353</v>
      </c>
      <c r="M48" s="23" t="s">
        <v>111</v>
      </c>
      <c r="N48" s="41" t="s">
        <v>98</v>
      </c>
      <c r="O48" s="44">
        <f>50+56*(1-O47)</f>
        <v>65.04178432301353</v>
      </c>
      <c r="P48" s="23" t="s">
        <v>111</v>
      </c>
    </row>
    <row r="49" spans="1:16" ht="18" x14ac:dyDescent="0.35">
      <c r="A49" s="24" t="s">
        <v>94</v>
      </c>
      <c r="B49" s="41" t="s">
        <v>89</v>
      </c>
      <c r="C49" s="42">
        <f>((C48+SQRT(C18))/C48)^C47</f>
        <v>1.4107727026587675</v>
      </c>
      <c r="D49" s="23" t="s">
        <v>102</v>
      </c>
      <c r="E49" s="41" t="s">
        <v>89</v>
      </c>
      <c r="F49" s="42">
        <f>((F48+SQRT(F18))/F48)^F47</f>
        <v>1.4968575633276828</v>
      </c>
      <c r="G49" s="23" t="s">
        <v>102</v>
      </c>
      <c r="H49" s="41" t="s">
        <v>89</v>
      </c>
      <c r="I49" s="42">
        <f>((I48+SQRT(I18))/I48)^I47</f>
        <v>1.3908473734654174</v>
      </c>
      <c r="J49" s="23" t="s">
        <v>102</v>
      </c>
      <c r="K49" s="41" t="s">
        <v>89</v>
      </c>
      <c r="L49" s="42">
        <f>((L48+SQRT(L18))/L48)^L47</f>
        <v>1.3908473734654174</v>
      </c>
      <c r="M49" s="23" t="s">
        <v>102</v>
      </c>
      <c r="N49" s="41" t="s">
        <v>89</v>
      </c>
      <c r="O49" s="42">
        <f>((O48+SQRT(O18))/O48)^O47</f>
        <v>1.4107727026587675</v>
      </c>
      <c r="P49" s="23" t="s">
        <v>102</v>
      </c>
    </row>
    <row r="50" spans="1:16" ht="18" x14ac:dyDescent="0.35">
      <c r="A50" s="24" t="s">
        <v>95</v>
      </c>
      <c r="B50" s="41" t="s">
        <v>90</v>
      </c>
      <c r="C50" s="42">
        <v>1</v>
      </c>
      <c r="D50" s="23" t="s">
        <v>62</v>
      </c>
      <c r="E50" s="41" t="s">
        <v>90</v>
      </c>
      <c r="F50" s="42">
        <v>1</v>
      </c>
      <c r="G50" s="23" t="s">
        <v>163</v>
      </c>
      <c r="H50" s="41" t="s">
        <v>90</v>
      </c>
      <c r="I50" s="42">
        <v>1</v>
      </c>
      <c r="J50" s="23" t="s">
        <v>164</v>
      </c>
      <c r="K50" s="41" t="s">
        <v>90</v>
      </c>
      <c r="L50" s="42">
        <v>1</v>
      </c>
      <c r="M50" s="23" t="s">
        <v>163</v>
      </c>
      <c r="N50" s="41" t="s">
        <v>90</v>
      </c>
      <c r="O50" s="42">
        <v>1</v>
      </c>
      <c r="P50" s="23" t="s">
        <v>163</v>
      </c>
    </row>
    <row r="51" spans="1:16" ht="18" x14ac:dyDescent="0.35">
      <c r="A51" s="24" t="s">
        <v>96</v>
      </c>
      <c r="B51" s="41" t="s">
        <v>91</v>
      </c>
      <c r="C51" s="42">
        <v>1</v>
      </c>
      <c r="D51" s="23" t="s">
        <v>59</v>
      </c>
      <c r="E51" s="41" t="s">
        <v>91</v>
      </c>
      <c r="F51" s="42">
        <v>1</v>
      </c>
      <c r="G51" s="23" t="s">
        <v>59</v>
      </c>
      <c r="H51" s="41" t="s">
        <v>91</v>
      </c>
      <c r="I51" s="42">
        <v>1</v>
      </c>
      <c r="J51" s="23" t="s">
        <v>59</v>
      </c>
      <c r="K51" s="41" t="s">
        <v>91</v>
      </c>
      <c r="L51" s="42">
        <v>1</v>
      </c>
      <c r="M51" s="23" t="s">
        <v>59</v>
      </c>
      <c r="N51" s="41" t="s">
        <v>91</v>
      </c>
      <c r="O51" s="42">
        <v>1</v>
      </c>
      <c r="P51" s="23" t="s">
        <v>59</v>
      </c>
    </row>
    <row r="52" spans="1:16" ht="18" x14ac:dyDescent="0.35">
      <c r="A52" s="24" t="s">
        <v>97</v>
      </c>
      <c r="B52" s="41" t="s">
        <v>92</v>
      </c>
      <c r="C52" s="42">
        <v>1.25</v>
      </c>
      <c r="D52" s="23" t="s">
        <v>118</v>
      </c>
      <c r="E52" s="41" t="s">
        <v>92</v>
      </c>
      <c r="F52" s="42">
        <v>1.25</v>
      </c>
      <c r="G52" s="23" t="s">
        <v>118</v>
      </c>
      <c r="H52" s="41" t="s">
        <v>92</v>
      </c>
      <c r="I52" s="42">
        <v>1.25</v>
      </c>
      <c r="J52" s="23" t="s">
        <v>118</v>
      </c>
      <c r="K52" s="41" t="s">
        <v>92</v>
      </c>
      <c r="L52" s="42">
        <v>1.25</v>
      </c>
      <c r="M52" s="23" t="s">
        <v>118</v>
      </c>
      <c r="N52" s="41" t="s">
        <v>92</v>
      </c>
      <c r="O52" s="42">
        <v>1.25</v>
      </c>
      <c r="P52" s="23" t="s">
        <v>118</v>
      </c>
    </row>
    <row r="53" spans="1:16" x14ac:dyDescent="0.25">
      <c r="A53" s="24" t="s">
        <v>103</v>
      </c>
      <c r="B53" s="41" t="s">
        <v>104</v>
      </c>
      <c r="C53" s="45">
        <v>20000</v>
      </c>
      <c r="D53" s="23" t="s">
        <v>59</v>
      </c>
      <c r="E53" s="41" t="s">
        <v>104</v>
      </c>
      <c r="F53" s="45">
        <v>20000</v>
      </c>
      <c r="G53" s="23" t="s">
        <v>59</v>
      </c>
      <c r="H53" s="41" t="s">
        <v>104</v>
      </c>
      <c r="I53" s="45">
        <v>20000</v>
      </c>
      <c r="J53" s="23" t="s">
        <v>59</v>
      </c>
      <c r="K53" s="41" t="s">
        <v>104</v>
      </c>
      <c r="L53" s="45">
        <v>20000</v>
      </c>
      <c r="M53" s="23" t="s">
        <v>59</v>
      </c>
      <c r="N53" s="41" t="s">
        <v>104</v>
      </c>
      <c r="O53" s="45">
        <v>20000</v>
      </c>
      <c r="P53" s="23" t="s">
        <v>59</v>
      </c>
    </row>
    <row r="54" spans="1:16" ht="18" x14ac:dyDescent="0.35">
      <c r="A54" s="9" t="s">
        <v>112</v>
      </c>
      <c r="B54" s="41" t="s">
        <v>105</v>
      </c>
      <c r="C54" s="46">
        <f>C6*C53*60</f>
        <v>2100000000</v>
      </c>
      <c r="D54" s="23" t="s">
        <v>59</v>
      </c>
      <c r="E54" s="41" t="s">
        <v>105</v>
      </c>
      <c r="F54" s="46">
        <f>F6*F53*60</f>
        <v>2100000000</v>
      </c>
      <c r="G54" s="23" t="s">
        <v>59</v>
      </c>
      <c r="H54" s="41" t="s">
        <v>105</v>
      </c>
      <c r="I54" s="46">
        <f>I6*I53*60</f>
        <v>2100000000</v>
      </c>
      <c r="J54" s="23" t="s">
        <v>59</v>
      </c>
      <c r="K54" s="41" t="s">
        <v>105</v>
      </c>
      <c r="L54" s="46">
        <f>L6*L53*60</f>
        <v>2100000000</v>
      </c>
      <c r="M54" s="23" t="s">
        <v>59</v>
      </c>
      <c r="N54" s="41" t="s">
        <v>105</v>
      </c>
      <c r="O54" s="46">
        <f>O6*O53*60</f>
        <v>2100000000</v>
      </c>
      <c r="P54" s="23" t="s">
        <v>59</v>
      </c>
    </row>
    <row r="55" spans="1:16" ht="18" x14ac:dyDescent="0.35">
      <c r="A55" s="9" t="s">
        <v>113</v>
      </c>
      <c r="B55" s="41" t="s">
        <v>106</v>
      </c>
      <c r="C55" s="47">
        <f>C54/C14</f>
        <v>600000000</v>
      </c>
      <c r="D55" s="23" t="s">
        <v>59</v>
      </c>
      <c r="E55" s="41" t="s">
        <v>106</v>
      </c>
      <c r="F55" s="47">
        <f>F54/F14</f>
        <v>600000000</v>
      </c>
      <c r="G55" s="23" t="s">
        <v>59</v>
      </c>
      <c r="H55" s="41" t="s">
        <v>106</v>
      </c>
      <c r="I55" s="47">
        <f>I54/I14</f>
        <v>600000000</v>
      </c>
      <c r="J55" s="23" t="s">
        <v>59</v>
      </c>
      <c r="K55" s="41" t="s">
        <v>106</v>
      </c>
      <c r="L55" s="47">
        <f>L54/L14</f>
        <v>600000000</v>
      </c>
      <c r="M55" s="23" t="s">
        <v>59</v>
      </c>
      <c r="N55" s="41" t="s">
        <v>106</v>
      </c>
      <c r="O55" s="47">
        <f>O54/O14</f>
        <v>600000000</v>
      </c>
      <c r="P55" s="23" t="s">
        <v>59</v>
      </c>
    </row>
    <row r="56" spans="1:16" ht="18" x14ac:dyDescent="0.35">
      <c r="A56" s="24" t="s">
        <v>114</v>
      </c>
      <c r="B56" s="6" t="s">
        <v>107</v>
      </c>
      <c r="C56" s="25">
        <f>1.6831*C54^-0.0323</f>
        <v>0.84139947514121483</v>
      </c>
      <c r="D56" s="23" t="s">
        <v>246</v>
      </c>
      <c r="E56" s="6" t="s">
        <v>107</v>
      </c>
      <c r="F56" s="25">
        <f>1.6831*F54^-0.0323</f>
        <v>0.84139947514121483</v>
      </c>
      <c r="G56" s="23" t="s">
        <v>246</v>
      </c>
      <c r="H56" s="6" t="s">
        <v>107</v>
      </c>
      <c r="I56" s="25">
        <f>1.6831*I54^-0.0323</f>
        <v>0.84139947514121483</v>
      </c>
      <c r="J56" s="23" t="s">
        <v>246</v>
      </c>
      <c r="K56" s="6" t="s">
        <v>107</v>
      </c>
      <c r="L56" s="25">
        <f>1.6831*L54^-0.0323</f>
        <v>0.84139947514121483</v>
      </c>
      <c r="M56" s="23" t="s">
        <v>246</v>
      </c>
      <c r="N56" s="6" t="s">
        <v>107</v>
      </c>
      <c r="O56" s="25">
        <f>1.6831*O54^-0.0323</f>
        <v>0.84139947514121483</v>
      </c>
      <c r="P56" s="23" t="s">
        <v>246</v>
      </c>
    </row>
    <row r="57" spans="1:16" ht="18" x14ac:dyDescent="0.35">
      <c r="A57" s="24" t="s">
        <v>115</v>
      </c>
      <c r="B57" s="6" t="s">
        <v>108</v>
      </c>
      <c r="C57" s="25">
        <f>1.6831*C55^-0.0323</f>
        <v>0.87614428935348565</v>
      </c>
      <c r="D57" s="23" t="s">
        <v>246</v>
      </c>
      <c r="E57" s="6" t="s">
        <v>108</v>
      </c>
      <c r="F57" s="25">
        <f>1.6831*F55^-0.0323</f>
        <v>0.87614428935348565</v>
      </c>
      <c r="G57" s="23" t="s">
        <v>246</v>
      </c>
      <c r="H57" s="6" t="s">
        <v>108</v>
      </c>
      <c r="I57" s="25">
        <f>1.6831*I55^-0.0323</f>
        <v>0.87614428935348565</v>
      </c>
      <c r="J57" s="23" t="s">
        <v>246</v>
      </c>
      <c r="K57" s="6" t="s">
        <v>108</v>
      </c>
      <c r="L57" s="25">
        <f>1.6831*L55^-0.0323</f>
        <v>0.87614428935348565</v>
      </c>
      <c r="M57" s="23" t="s">
        <v>246</v>
      </c>
      <c r="N57" s="6" t="s">
        <v>108</v>
      </c>
      <c r="O57" s="25">
        <f>1.6831*O55^-0.0323</f>
        <v>0.87614428935348565</v>
      </c>
      <c r="P57" s="23" t="s">
        <v>246</v>
      </c>
    </row>
    <row r="58" spans="1:16" ht="18" x14ac:dyDescent="0.35">
      <c r="A58" s="24" t="s">
        <v>116</v>
      </c>
      <c r="B58" s="6" t="s">
        <v>109</v>
      </c>
      <c r="C58" s="25">
        <f>2.466*C54^-0.056</f>
        <v>0.74122283756822915</v>
      </c>
      <c r="D58" s="23" t="s">
        <v>247</v>
      </c>
      <c r="E58" s="6" t="s">
        <v>109</v>
      </c>
      <c r="F58" s="25">
        <f>2.466*F54^-0.056</f>
        <v>0.74122283756822915</v>
      </c>
      <c r="G58" s="23" t="s">
        <v>247</v>
      </c>
      <c r="H58" s="6" t="s">
        <v>109</v>
      </c>
      <c r="I58" s="25">
        <f>2.466*I54^-0.056</f>
        <v>0.74122283756822915</v>
      </c>
      <c r="J58" s="23" t="s">
        <v>247</v>
      </c>
      <c r="K58" s="6" t="s">
        <v>109</v>
      </c>
      <c r="L58" s="25">
        <f>2.466*L54^-0.056</f>
        <v>0.74122283756822915</v>
      </c>
      <c r="M58" s="23" t="s">
        <v>247</v>
      </c>
      <c r="N58" s="6" t="s">
        <v>109</v>
      </c>
      <c r="O58" s="25">
        <f>2.466*O54^-0.056</f>
        <v>0.74122283756822915</v>
      </c>
      <c r="P58" s="23" t="s">
        <v>247</v>
      </c>
    </row>
    <row r="59" spans="1:16" ht="18" x14ac:dyDescent="0.35">
      <c r="A59" s="24" t="s">
        <v>117</v>
      </c>
      <c r="B59" s="6" t="s">
        <v>110</v>
      </c>
      <c r="C59" s="25">
        <f>2.466*C55^-0.056</f>
        <v>0.79509056927842225</v>
      </c>
      <c r="D59" s="23" t="s">
        <v>247</v>
      </c>
      <c r="E59" s="6" t="s">
        <v>110</v>
      </c>
      <c r="F59" s="25">
        <f>2.466*F55^-0.056</f>
        <v>0.79509056927842225</v>
      </c>
      <c r="G59" s="23" t="s">
        <v>247</v>
      </c>
      <c r="H59" s="6" t="s">
        <v>110</v>
      </c>
      <c r="I59" s="25">
        <f>2.466*I55^-0.056</f>
        <v>0.79509056927842225</v>
      </c>
      <c r="J59" s="23" t="s">
        <v>247</v>
      </c>
      <c r="K59" s="6" t="s">
        <v>110</v>
      </c>
      <c r="L59" s="25">
        <f>2.466*L55^-0.056</f>
        <v>0.79509056927842225</v>
      </c>
      <c r="M59" s="23" t="s">
        <v>247</v>
      </c>
      <c r="N59" s="6" t="s">
        <v>110</v>
      </c>
      <c r="O59" s="25">
        <f>2.466*O55^-0.056</f>
        <v>0.79509056927842225</v>
      </c>
      <c r="P59" s="23" t="s">
        <v>247</v>
      </c>
    </row>
    <row r="60" spans="1:16" x14ac:dyDescent="0.25">
      <c r="A60" s="39" t="s">
        <v>63</v>
      </c>
      <c r="J60" s="23" t="s">
        <v>161</v>
      </c>
      <c r="K60" s="6" t="s">
        <v>162</v>
      </c>
      <c r="L60">
        <v>275</v>
      </c>
      <c r="N60" s="6" t="s">
        <v>162</v>
      </c>
      <c r="O60">
        <v>275</v>
      </c>
    </row>
    <row r="61" spans="1:16" ht="18" x14ac:dyDescent="0.35">
      <c r="A61" s="24" t="s">
        <v>251</v>
      </c>
      <c r="B61" s="41" t="s">
        <v>207</v>
      </c>
      <c r="C61" s="33">
        <v>1.5</v>
      </c>
      <c r="D61" s="23" t="s">
        <v>59</v>
      </c>
      <c r="E61" s="41" t="s">
        <v>207</v>
      </c>
      <c r="F61" s="33">
        <v>1.5</v>
      </c>
      <c r="G61" s="23" t="s">
        <v>59</v>
      </c>
      <c r="H61" s="41" t="s">
        <v>207</v>
      </c>
      <c r="I61" s="33">
        <v>1.5</v>
      </c>
      <c r="J61" s="23" t="s">
        <v>59</v>
      </c>
      <c r="K61" s="41" t="s">
        <v>207</v>
      </c>
      <c r="L61" s="33">
        <v>1.5</v>
      </c>
      <c r="M61" s="23" t="s">
        <v>59</v>
      </c>
      <c r="N61" s="41" t="s">
        <v>207</v>
      </c>
      <c r="O61" s="33">
        <v>1.5</v>
      </c>
      <c r="P61" s="23" t="s">
        <v>59</v>
      </c>
    </row>
    <row r="62" spans="1:16" ht="18" x14ac:dyDescent="0.35">
      <c r="A62" s="24" t="s">
        <v>134</v>
      </c>
      <c r="B62" s="6" t="s">
        <v>129</v>
      </c>
      <c r="C62" s="36">
        <f>C19*C42*C49*C43*C41*C45*(C7/(C23*C34))</f>
        <v>8972.4964981996636</v>
      </c>
      <c r="D62" s="106" t="s">
        <v>346</v>
      </c>
      <c r="E62" s="6" t="s">
        <v>129</v>
      </c>
      <c r="F62" s="36">
        <f>F19*F42*F49*F43*F41*F45*(F7/(F23*F34))</f>
        <v>3154.8837728521926</v>
      </c>
      <c r="G62" s="106" t="s">
        <v>346</v>
      </c>
      <c r="H62" s="6" t="s">
        <v>129</v>
      </c>
      <c r="I62" s="36">
        <f>I19*I42*I49*I43*I41*I45*(I7/(I23*I34))</f>
        <v>10346.247032112455</v>
      </c>
      <c r="J62" s="106" t="s">
        <v>346</v>
      </c>
      <c r="K62" s="6" t="s">
        <v>129</v>
      </c>
      <c r="L62" s="36">
        <f>L19*L42*L49*L43*L41*L45*(L7/(L23*L34))</f>
        <v>10346.247032112455</v>
      </c>
      <c r="M62" s="106" t="s">
        <v>346</v>
      </c>
      <c r="N62" s="6" t="s">
        <v>129</v>
      </c>
      <c r="O62" s="36">
        <f>O19*O42*O49*O43*O41*O45*(O7/(O23*O34))</f>
        <v>8972.4964981996636</v>
      </c>
      <c r="P62" s="106" t="s">
        <v>346</v>
      </c>
    </row>
    <row r="63" spans="1:16" ht="18" x14ac:dyDescent="0.35">
      <c r="A63" s="24" t="s">
        <v>135</v>
      </c>
      <c r="B63" s="6" t="s">
        <v>130</v>
      </c>
      <c r="C63" s="36">
        <f>C19*C42*C49*C44*C41*C46*(C7/(C23*C35))</f>
        <v>7299.4134273167265</v>
      </c>
      <c r="D63" s="106" t="s">
        <v>346</v>
      </c>
      <c r="E63" s="6" t="s">
        <v>130</v>
      </c>
      <c r="F63" s="36">
        <f>F19*F42*F49*F44*F41*F46*(F7/(F23*F35))</f>
        <v>2512.2119300875897</v>
      </c>
      <c r="G63" s="106" t="s">
        <v>346</v>
      </c>
      <c r="H63" s="6" t="s">
        <v>130</v>
      </c>
      <c r="I63" s="36">
        <f>I19*I42*I49*I44*I41*I46*(I7/(I23*I35))</f>
        <v>8138.1730322240228</v>
      </c>
      <c r="J63" s="106" t="s">
        <v>346</v>
      </c>
      <c r="K63" s="115" t="s">
        <v>354</v>
      </c>
      <c r="L63" s="36">
        <f>L19*L42*L49*L44*L41*L46*(L7/(L23*L35))</f>
        <v>8138.1730322240228</v>
      </c>
      <c r="M63" s="106" t="s">
        <v>346</v>
      </c>
      <c r="N63" s="6" t="s">
        <v>130</v>
      </c>
      <c r="O63" s="36">
        <f>O19*O42*O49*O44*O41*O46*(O7/(O23*O35))</f>
        <v>7299.4134273167265</v>
      </c>
      <c r="P63" s="106" t="s">
        <v>346</v>
      </c>
    </row>
    <row r="64" spans="1:16" ht="18" x14ac:dyDescent="0.35">
      <c r="A64" s="24" t="s">
        <v>151</v>
      </c>
      <c r="B64" s="6" t="s">
        <v>131</v>
      </c>
      <c r="C64" s="37">
        <f>C62*(C61*C52/C56)</f>
        <v>19994.582158850098</v>
      </c>
      <c r="D64" s="23" t="s">
        <v>65</v>
      </c>
      <c r="E64" s="6" t="s">
        <v>131</v>
      </c>
      <c r="F64" s="37">
        <f>F62*(F61*F52/F56)</f>
        <v>7030.4382744059349</v>
      </c>
      <c r="G64" s="23" t="s">
        <v>65</v>
      </c>
      <c r="H64" s="6" t="s">
        <v>131</v>
      </c>
      <c r="I64" s="37">
        <f>I62*(I61*I52/I56)</f>
        <v>23055.889334795484</v>
      </c>
      <c r="J64" s="23" t="s">
        <v>65</v>
      </c>
      <c r="K64" s="115" t="s">
        <v>355</v>
      </c>
      <c r="L64" s="37">
        <f>L62*(L61*L52/L56)</f>
        <v>23055.889334795484</v>
      </c>
      <c r="M64" s="23" t="s">
        <v>65</v>
      </c>
      <c r="N64" s="6" t="s">
        <v>131</v>
      </c>
      <c r="O64" s="37">
        <f>O62*(O61*O52/O56)</f>
        <v>19994.582158850098</v>
      </c>
      <c r="P64" s="23" t="s">
        <v>65</v>
      </c>
    </row>
    <row r="65" spans="1:16" ht="18" x14ac:dyDescent="0.35">
      <c r="A65" s="24" t="s">
        <v>152</v>
      </c>
      <c r="B65" s="6" t="s">
        <v>132</v>
      </c>
      <c r="C65" s="37">
        <f>C63*(C61*C52/C57)</f>
        <v>15621.171469733796</v>
      </c>
      <c r="D65" s="8" t="s">
        <v>64</v>
      </c>
      <c r="E65" s="6" t="s">
        <v>132</v>
      </c>
      <c r="F65" s="37">
        <f>F63*(F61*F52/F57)</f>
        <v>5376.2803982778605</v>
      </c>
      <c r="G65" s="8" t="s">
        <v>64</v>
      </c>
      <c r="H65" s="6" t="s">
        <v>132</v>
      </c>
      <c r="I65" s="37">
        <f>I63*(I61*I52/I57)</f>
        <v>17416.166059451058</v>
      </c>
      <c r="J65" s="8" t="s">
        <v>64</v>
      </c>
      <c r="K65" s="6" t="s">
        <v>132</v>
      </c>
      <c r="L65" s="37">
        <f>L63*(L61*L52/L57)</f>
        <v>17416.166059451058</v>
      </c>
      <c r="M65" s="8" t="s">
        <v>64</v>
      </c>
      <c r="N65" s="6" t="s">
        <v>132</v>
      </c>
      <c r="O65" s="37">
        <f>O63*(O61*O52/O57)</f>
        <v>15621.171469733796</v>
      </c>
      <c r="P65" s="8" t="s">
        <v>64</v>
      </c>
    </row>
    <row r="66" spans="1:16" x14ac:dyDescent="0.25">
      <c r="A66" s="38" t="s">
        <v>139</v>
      </c>
      <c r="B66" s="118" t="s">
        <v>140</v>
      </c>
      <c r="C66" s="118"/>
      <c r="D66" s="118"/>
      <c r="E66" s="118" t="s">
        <v>140</v>
      </c>
      <c r="F66" s="118"/>
      <c r="G66" s="118"/>
      <c r="H66" s="118" t="s">
        <v>140</v>
      </c>
      <c r="I66" s="118"/>
      <c r="J66" s="118"/>
      <c r="K66" s="118" t="s">
        <v>140</v>
      </c>
      <c r="L66" s="118"/>
      <c r="M66" s="118"/>
      <c r="N66" s="118" t="s">
        <v>140</v>
      </c>
      <c r="O66" s="118"/>
      <c r="P66" s="118"/>
    </row>
    <row r="67" spans="1:16" ht="18" x14ac:dyDescent="0.35">
      <c r="A67" s="24" t="s">
        <v>136</v>
      </c>
      <c r="B67" s="6" t="s">
        <v>131</v>
      </c>
      <c r="C67" s="37">
        <v>8500</v>
      </c>
      <c r="D67" s="23" t="s">
        <v>138</v>
      </c>
      <c r="E67" s="6" t="s">
        <v>131</v>
      </c>
      <c r="F67" s="37">
        <v>13000</v>
      </c>
      <c r="G67" s="23" t="s">
        <v>138</v>
      </c>
      <c r="H67" s="6" t="s">
        <v>131</v>
      </c>
      <c r="I67" s="37">
        <v>13000</v>
      </c>
      <c r="J67" s="23" t="s">
        <v>138</v>
      </c>
      <c r="K67" s="6" t="s">
        <v>131</v>
      </c>
      <c r="L67" s="37">
        <f>82.3*L60+12150</f>
        <v>34782.5</v>
      </c>
      <c r="M67" s="23" t="s">
        <v>138</v>
      </c>
      <c r="N67" s="6" t="s">
        <v>131</v>
      </c>
      <c r="O67" s="37">
        <f>108.6*O60+15890</f>
        <v>45755</v>
      </c>
      <c r="P67" s="23" t="s">
        <v>138</v>
      </c>
    </row>
    <row r="68" spans="1:16" ht="18" x14ac:dyDescent="0.35">
      <c r="A68" s="24" t="s">
        <v>137</v>
      </c>
      <c r="B68" s="6" t="s">
        <v>132</v>
      </c>
      <c r="C68" s="37">
        <v>8500</v>
      </c>
      <c r="D68" s="23" t="s">
        <v>138</v>
      </c>
      <c r="E68" s="6" t="s">
        <v>132</v>
      </c>
      <c r="F68" s="37">
        <v>13000</v>
      </c>
      <c r="G68" s="23" t="s">
        <v>138</v>
      </c>
      <c r="H68" s="6" t="s">
        <v>132</v>
      </c>
      <c r="I68" s="37">
        <v>13000</v>
      </c>
      <c r="J68" s="23" t="s">
        <v>138</v>
      </c>
      <c r="K68" s="6" t="s">
        <v>132</v>
      </c>
      <c r="L68" s="37">
        <f>82.3*L60+12150</f>
        <v>34782.5</v>
      </c>
      <c r="M68" s="23" t="s">
        <v>138</v>
      </c>
      <c r="N68" s="6" t="s">
        <v>132</v>
      </c>
      <c r="O68" s="37">
        <f>108.6*O60+15890</f>
        <v>45755</v>
      </c>
      <c r="P68" s="23" t="s">
        <v>138</v>
      </c>
    </row>
    <row r="69" spans="1:16" ht="18" x14ac:dyDescent="0.35">
      <c r="A69" s="24" t="s">
        <v>66</v>
      </c>
      <c r="B69" s="6" t="s">
        <v>248</v>
      </c>
      <c r="C69" s="37">
        <f>C67*C56/(C51*C52)</f>
        <v>5721.5164309602605</v>
      </c>
      <c r="D69" s="23" t="s">
        <v>64</v>
      </c>
      <c r="E69" s="6" t="s">
        <v>248</v>
      </c>
      <c r="F69" s="37">
        <f>F67*F56/(F51*F52)</f>
        <v>8750.5545414686349</v>
      </c>
      <c r="G69" s="23" t="s">
        <v>64</v>
      </c>
      <c r="H69" s="6" t="s">
        <v>248</v>
      </c>
      <c r="I69" s="37">
        <f>I67*I56/(I51*I52)</f>
        <v>8750.5545414686349</v>
      </c>
      <c r="J69" s="23" t="s">
        <v>64</v>
      </c>
      <c r="K69" s="6" t="s">
        <v>248</v>
      </c>
      <c r="L69" s="37">
        <f>L67*L56/(L51*L52)</f>
        <v>23412.781795279443</v>
      </c>
      <c r="M69" s="23" t="s">
        <v>64</v>
      </c>
      <c r="N69" s="6" t="s">
        <v>248</v>
      </c>
      <c r="O69" s="37">
        <f>O67*O56/(O51*O52)</f>
        <v>30798.58638806903</v>
      </c>
      <c r="P69" s="23" t="s">
        <v>64</v>
      </c>
    </row>
    <row r="70" spans="1:16" ht="18" x14ac:dyDescent="0.35">
      <c r="A70" s="24" t="s">
        <v>150</v>
      </c>
      <c r="B70" s="6" t="s">
        <v>249</v>
      </c>
      <c r="C70" s="37">
        <f>C68*C57/(C51*C52)</f>
        <v>5957.7811676037027</v>
      </c>
      <c r="D70" s="23" t="s">
        <v>64</v>
      </c>
      <c r="E70" s="6" t="s">
        <v>249</v>
      </c>
      <c r="F70" s="37">
        <f>F68*F57/(F51*F52)</f>
        <v>9111.9006092762502</v>
      </c>
      <c r="G70" s="23" t="s">
        <v>64</v>
      </c>
      <c r="H70" s="6" t="s">
        <v>249</v>
      </c>
      <c r="I70" s="37">
        <f>I68*I57/(I51*I52)</f>
        <v>9111.9006092762502</v>
      </c>
      <c r="J70" s="23" t="s">
        <v>64</v>
      </c>
      <c r="K70" s="6" t="s">
        <v>249</v>
      </c>
      <c r="L70" s="37">
        <f>L68*L57/(L51*L52)</f>
        <v>24379.59099555009</v>
      </c>
      <c r="M70" s="23" t="s">
        <v>64</v>
      </c>
      <c r="N70" s="6" t="s">
        <v>249</v>
      </c>
      <c r="O70" s="37">
        <f>O68*O57/(O51*O52)</f>
        <v>32070.385567494988</v>
      </c>
      <c r="P70" s="23" t="s">
        <v>64</v>
      </c>
    </row>
    <row r="71" spans="1:16" x14ac:dyDescent="0.25">
      <c r="A71" s="35" t="s">
        <v>119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 spans="1:16" x14ac:dyDescent="0.25">
      <c r="A72" s="24" t="s">
        <v>120</v>
      </c>
      <c r="B72" s="111"/>
      <c r="C72" s="111">
        <f>C69/C62</f>
        <v>0.63767274048067735</v>
      </c>
      <c r="D72" s="112" t="s">
        <v>121</v>
      </c>
      <c r="E72" s="49"/>
      <c r="F72" s="113">
        <f>F69/F62</f>
        <v>2.7736535389250303</v>
      </c>
      <c r="G72" s="114" t="s">
        <v>121</v>
      </c>
      <c r="H72" s="49"/>
      <c r="I72" s="111">
        <f>I69/I62</f>
        <v>0.84577088815962498</v>
      </c>
      <c r="J72" s="112" t="s">
        <v>121</v>
      </c>
      <c r="K72" s="49"/>
      <c r="L72" s="102">
        <f>L69/L62</f>
        <v>2.2629250705701658</v>
      </c>
      <c r="M72" s="23" t="s">
        <v>121</v>
      </c>
      <c r="N72" s="49"/>
      <c r="O72" s="102">
        <f>O69/O62</f>
        <v>3.4325548518462821</v>
      </c>
      <c r="P72" s="23" t="s">
        <v>121</v>
      </c>
    </row>
    <row r="73" spans="1:16" x14ac:dyDescent="0.25">
      <c r="A73" s="3" t="s">
        <v>122</v>
      </c>
      <c r="B73" s="111"/>
      <c r="C73" s="111">
        <f>C70/C63</f>
        <v>0.81619999016740041</v>
      </c>
      <c r="D73" s="112" t="s">
        <v>121</v>
      </c>
      <c r="E73" s="49"/>
      <c r="F73" s="113">
        <f>F70/F63</f>
        <v>3.6270429656619609</v>
      </c>
      <c r="G73" s="114" t="s">
        <v>121</v>
      </c>
      <c r="H73" s="49"/>
      <c r="I73" s="111">
        <f>I70/I63</f>
        <v>1.1196494069610761</v>
      </c>
      <c r="J73" s="112" t="s">
        <v>121</v>
      </c>
      <c r="K73" s="49"/>
      <c r="L73" s="102">
        <f>L70/L63</f>
        <v>2.9957081152018179</v>
      </c>
      <c r="M73" s="23" t="s">
        <v>121</v>
      </c>
      <c r="N73" s="49"/>
      <c r="O73" s="102">
        <f>O70/O63</f>
        <v>4.3935565353069883</v>
      </c>
      <c r="P73" s="23" t="s">
        <v>121</v>
      </c>
    </row>
    <row r="74" spans="1:16" x14ac:dyDescent="0.25">
      <c r="A74" s="35" t="s">
        <v>123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spans="1:16" ht="18" x14ac:dyDescent="0.35">
      <c r="A75" s="24" t="s">
        <v>133</v>
      </c>
      <c r="B75" s="41" t="s">
        <v>207</v>
      </c>
      <c r="C75" s="33">
        <v>1.2</v>
      </c>
      <c r="D75" s="23" t="s">
        <v>59</v>
      </c>
      <c r="E75" s="41" t="s">
        <v>207</v>
      </c>
      <c r="F75" s="33">
        <v>1.2</v>
      </c>
      <c r="G75" s="23" t="s">
        <v>59</v>
      </c>
      <c r="H75" s="41" t="s">
        <v>207</v>
      </c>
      <c r="I75" s="33">
        <v>1.2</v>
      </c>
      <c r="J75" s="23" t="s">
        <v>59</v>
      </c>
      <c r="K75" s="41" t="s">
        <v>207</v>
      </c>
      <c r="L75" s="33">
        <v>1.2</v>
      </c>
      <c r="M75" s="23" t="s">
        <v>59</v>
      </c>
      <c r="N75" s="41" t="s">
        <v>207</v>
      </c>
      <c r="O75" s="33">
        <v>1.2</v>
      </c>
      <c r="P75" s="23" t="s">
        <v>59</v>
      </c>
    </row>
    <row r="76" spans="1:16" ht="18" x14ac:dyDescent="0.35">
      <c r="A76" s="24" t="s">
        <v>146</v>
      </c>
      <c r="B76" s="6" t="s">
        <v>142</v>
      </c>
      <c r="C76" s="37">
        <f>1554*SQRT(C19*C42*C49*C43*C41/(C15*C23*C36))</f>
        <v>53886.943507017917</v>
      </c>
      <c r="D76" s="23" t="s">
        <v>250</v>
      </c>
      <c r="E76" s="6" t="s">
        <v>142</v>
      </c>
      <c r="F76" s="37">
        <f>Re*SQRT(F19*F42*F49*F43*F41/(F15*F23*F36))</f>
        <v>31232.277105315927</v>
      </c>
      <c r="G76" s="23" t="s">
        <v>250</v>
      </c>
      <c r="H76" s="6" t="s">
        <v>142</v>
      </c>
      <c r="I76" s="37">
        <f>Re*SQRT(I19*I42*I49*I43*I41/(I15*I23*I36))</f>
        <v>59618.649520374791</v>
      </c>
      <c r="J76" s="23" t="s">
        <v>250</v>
      </c>
      <c r="K76" s="6" t="s">
        <v>142</v>
      </c>
      <c r="L76" s="37">
        <f>L28*SQRT(L19*L42*L49*L43*L41/(L15*L23*L36))</f>
        <v>87643.85020725496</v>
      </c>
      <c r="M76" s="23" t="s">
        <v>250</v>
      </c>
      <c r="N76" s="6" t="s">
        <v>142</v>
      </c>
      <c r="O76" s="37">
        <f>O28*SQRT(O19*O42*O49*O43*O41/(O15*O23*O36))</f>
        <v>79223.740581898484</v>
      </c>
      <c r="P76" s="23" t="s">
        <v>250</v>
      </c>
    </row>
    <row r="77" spans="1:16" ht="18" x14ac:dyDescent="0.35">
      <c r="A77" s="24" t="s">
        <v>147</v>
      </c>
      <c r="B77" s="6" t="s">
        <v>145</v>
      </c>
      <c r="C77" s="37">
        <f>1554*SQRT(C19*C42*C49*C44*C41/(C15*C23*C36))</f>
        <v>54096.918595199451</v>
      </c>
      <c r="D77" s="23" t="s">
        <v>250</v>
      </c>
      <c r="E77" s="6" t="s">
        <v>145</v>
      </c>
      <c r="F77" s="37">
        <f>Re*SQRT(F19*F42*F49*F44*F41/(F15*F23*F36))</f>
        <v>31353.976346588446</v>
      </c>
      <c r="G77" s="23" t="s">
        <v>250</v>
      </c>
      <c r="H77" s="6" t="s">
        <v>145</v>
      </c>
      <c r="I77" s="37">
        <f>Re*SQRT(I19*I42*I49*I44*I41/(I15*I23*I36))</f>
        <v>59850.95869168036</v>
      </c>
      <c r="J77" s="23" t="s">
        <v>250</v>
      </c>
      <c r="K77" s="6" t="s">
        <v>145</v>
      </c>
      <c r="L77" s="37">
        <f>L28*SQRT(L19*L42*L49*L44*L41/(L15*L23*L36))</f>
        <v>87985.361972037877</v>
      </c>
      <c r="M77" s="23" t="s">
        <v>250</v>
      </c>
      <c r="N77" s="6" t="s">
        <v>145</v>
      </c>
      <c r="O77" s="37">
        <f>O28*SQRT(O19*O42*O49*O44*O41/(O15*O23*O36))</f>
        <v>79532.442668751653</v>
      </c>
      <c r="P77" s="23" t="s">
        <v>250</v>
      </c>
    </row>
    <row r="78" spans="1:16" ht="18" x14ac:dyDescent="0.35">
      <c r="A78" s="24" t="s">
        <v>148</v>
      </c>
      <c r="B78" s="6" t="s">
        <v>143</v>
      </c>
      <c r="C78" s="37">
        <f>C76*(C75*C52*C51/(C58*C50))</f>
        <v>109050.08745509204</v>
      </c>
      <c r="D78" s="23"/>
      <c r="E78" s="6" t="s">
        <v>143</v>
      </c>
      <c r="F78" s="37">
        <f>F76*(F75*F52*F51/(F58*F50))</f>
        <v>63204.225886606626</v>
      </c>
      <c r="G78" s="23"/>
      <c r="H78" s="6" t="s">
        <v>143</v>
      </c>
      <c r="I78" s="37">
        <f>I76*(I75*I52*I51/(I58*I50))</f>
        <v>120649.24304538901</v>
      </c>
      <c r="J78" s="23"/>
      <c r="K78" s="6" t="s">
        <v>143</v>
      </c>
      <c r="L78" s="37">
        <f>L76*(L75*L52*L51/(L58*L50))</f>
        <v>177363.36314486677</v>
      </c>
      <c r="M78" s="23"/>
      <c r="N78" s="6" t="s">
        <v>143</v>
      </c>
      <c r="O78" s="37">
        <f>O76*(O75*O52*O51/(O58*O50))</f>
        <v>160323.73106948283</v>
      </c>
      <c r="P78" s="23"/>
    </row>
    <row r="79" spans="1:16" ht="18" x14ac:dyDescent="0.35">
      <c r="A79" s="24" t="s">
        <v>149</v>
      </c>
      <c r="B79" s="6" t="s">
        <v>144</v>
      </c>
      <c r="C79" s="37">
        <f>C77*(C75*C52*C51/(C59*C50))</f>
        <v>102058.03090639344</v>
      </c>
      <c r="D79" s="23"/>
      <c r="E79" s="6" t="s">
        <v>144</v>
      </c>
      <c r="F79" s="37">
        <f>F77*(F75*F52*F51/(F59*F50))</f>
        <v>59151.707160311591</v>
      </c>
      <c r="G79" s="23"/>
      <c r="H79" s="6" t="s">
        <v>144</v>
      </c>
      <c r="I79" s="37">
        <f>I77*(I75*I52*I51/(I59*I50))</f>
        <v>112913.4736423756</v>
      </c>
      <c r="J79" s="23"/>
      <c r="K79" s="6" t="s">
        <v>144</v>
      </c>
      <c r="L79" s="37">
        <f>L77*(L75*L52*L51/(L59*L50))</f>
        <v>165991.20660911922</v>
      </c>
      <c r="M79" s="23"/>
      <c r="N79" s="6" t="s">
        <v>144</v>
      </c>
      <c r="O79" s="37">
        <f>O77*(O75*O52*O51/(O59*O50))</f>
        <v>150044.11901325401</v>
      </c>
      <c r="P79" s="23"/>
    </row>
    <row r="80" spans="1:16" x14ac:dyDescent="0.25">
      <c r="A80" s="38" t="s">
        <v>155</v>
      </c>
      <c r="B80" s="37"/>
      <c r="C80" s="37"/>
      <c r="D80" s="23"/>
      <c r="E80" s="37"/>
      <c r="F80" s="37"/>
      <c r="G80" s="23"/>
      <c r="H80" s="37"/>
      <c r="I80" s="37"/>
      <c r="J80" s="23"/>
      <c r="K80" s="37"/>
      <c r="L80" s="37"/>
      <c r="M80" s="23"/>
      <c r="N80" s="37"/>
      <c r="O80" s="37"/>
      <c r="P80" s="23"/>
    </row>
    <row r="81" spans="1:17" ht="18" x14ac:dyDescent="0.35">
      <c r="A81" s="24" t="s">
        <v>153</v>
      </c>
      <c r="B81" s="6" t="s">
        <v>143</v>
      </c>
      <c r="C81" s="37">
        <v>70000</v>
      </c>
      <c r="D81" s="23" t="s">
        <v>141</v>
      </c>
      <c r="E81" s="6" t="s">
        <v>143</v>
      </c>
      <c r="F81" s="37">
        <v>80000</v>
      </c>
      <c r="G81" s="23" t="s">
        <v>141</v>
      </c>
      <c r="H81" s="6" t="s">
        <v>143</v>
      </c>
      <c r="I81" s="37">
        <v>80000</v>
      </c>
      <c r="J81" s="23" t="s">
        <v>141</v>
      </c>
      <c r="K81" s="6" t="s">
        <v>143</v>
      </c>
      <c r="L81" s="37">
        <f>322*L60+29100</f>
        <v>117650</v>
      </c>
      <c r="M81" s="23" t="s">
        <v>141</v>
      </c>
      <c r="N81" s="6" t="s">
        <v>143</v>
      </c>
      <c r="O81" s="37">
        <f>349*O60+34300</f>
        <v>130275</v>
      </c>
      <c r="P81" s="23" t="s">
        <v>141</v>
      </c>
      <c r="Q81" t="s">
        <v>347</v>
      </c>
    </row>
    <row r="82" spans="1:17" ht="18" x14ac:dyDescent="0.35">
      <c r="A82" s="24" t="s">
        <v>154</v>
      </c>
      <c r="B82" s="6" t="s">
        <v>144</v>
      </c>
      <c r="C82" s="37">
        <v>70000</v>
      </c>
      <c r="D82" s="23" t="s">
        <v>141</v>
      </c>
      <c r="E82" s="6" t="s">
        <v>144</v>
      </c>
      <c r="F82" s="37">
        <v>80000</v>
      </c>
      <c r="G82" s="23" t="s">
        <v>141</v>
      </c>
      <c r="H82" s="6" t="s">
        <v>144</v>
      </c>
      <c r="I82" s="37">
        <v>80000</v>
      </c>
      <c r="J82" s="23" t="s">
        <v>141</v>
      </c>
      <c r="K82" s="6" t="s">
        <v>144</v>
      </c>
      <c r="L82" s="37">
        <f>322*L60+29100</f>
        <v>117650</v>
      </c>
      <c r="M82" s="23" t="s">
        <v>141</v>
      </c>
      <c r="N82" s="6" t="s">
        <v>144</v>
      </c>
      <c r="O82" s="37">
        <f>349*O60+34300</f>
        <v>130275</v>
      </c>
      <c r="P82" s="23" t="s">
        <v>141</v>
      </c>
    </row>
    <row r="83" spans="1:17" x14ac:dyDescent="0.25">
      <c r="A83" s="24" t="s">
        <v>124</v>
      </c>
      <c r="B83" s="37"/>
      <c r="C83" s="37">
        <f>C81*C58/(C51*C52)</f>
        <v>41508.478903820833</v>
      </c>
      <c r="D83" s="23" t="s">
        <v>64</v>
      </c>
      <c r="E83" s="37"/>
      <c r="F83" s="37">
        <f>F81*F58/(F51*F52)</f>
        <v>47438.261604366664</v>
      </c>
      <c r="G83" s="23" t="s">
        <v>64</v>
      </c>
      <c r="H83" s="37"/>
      <c r="I83" s="37">
        <f>I81*I58/(I51*I52)</f>
        <v>47438.261604366664</v>
      </c>
      <c r="J83" s="23" t="s">
        <v>64</v>
      </c>
      <c r="K83" s="37"/>
      <c r="L83" s="37">
        <f>L81*L58/(L51*L52)</f>
        <v>69763.893471921721</v>
      </c>
      <c r="M83" s="23" t="s">
        <v>64</v>
      </c>
      <c r="N83" s="37"/>
      <c r="O83" s="37">
        <f>O81*O58/(O51*O52)</f>
        <v>77250.244131360843</v>
      </c>
      <c r="P83" s="23" t="s">
        <v>64</v>
      </c>
    </row>
    <row r="84" spans="1:17" x14ac:dyDescent="0.25">
      <c r="A84" s="24" t="s">
        <v>125</v>
      </c>
      <c r="B84" s="37"/>
      <c r="C84" s="37">
        <f>C82*C59/(C51*C52)</f>
        <v>44525.071879591647</v>
      </c>
      <c r="D84" s="23" t="s">
        <v>64</v>
      </c>
      <c r="E84" s="37"/>
      <c r="F84" s="37">
        <f>F82*F59/(F51*F52)</f>
        <v>50885.796433819029</v>
      </c>
      <c r="G84" s="23" t="s">
        <v>64</v>
      </c>
      <c r="H84" s="37"/>
      <c r="I84" s="37">
        <f>I82*I59/(I51*I52)</f>
        <v>50885.796433819029</v>
      </c>
      <c r="J84" s="23" t="s">
        <v>64</v>
      </c>
      <c r="K84" s="37"/>
      <c r="L84" s="37">
        <f>L82*L59/(L51*L52)</f>
        <v>74833.924380485114</v>
      </c>
      <c r="M84" s="23" t="s">
        <v>64</v>
      </c>
      <c r="N84" s="37"/>
      <c r="O84" s="37">
        <f>O82*O59/(O51*O52)</f>
        <v>82864.339130197157</v>
      </c>
      <c r="P84" s="23" t="s">
        <v>64</v>
      </c>
    </row>
    <row r="85" spans="1:17" x14ac:dyDescent="0.25">
      <c r="A85" s="35" t="s">
        <v>126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</row>
    <row r="86" spans="1:17" x14ac:dyDescent="0.25">
      <c r="A86" s="24" t="s">
        <v>120</v>
      </c>
      <c r="B86" s="111"/>
      <c r="C86" s="111">
        <f>C83/C76</f>
        <v>0.77028824057194878</v>
      </c>
      <c r="D86" s="112" t="s">
        <v>127</v>
      </c>
      <c r="E86" s="49"/>
      <c r="F86" s="113">
        <f>F83/F76</f>
        <v>1.5188857810272303</v>
      </c>
      <c r="G86" s="114" t="s">
        <v>127</v>
      </c>
      <c r="H86" s="49"/>
      <c r="I86" s="111">
        <f>I83/I76</f>
        <v>0.795695004600105</v>
      </c>
      <c r="J86" s="112" t="s">
        <v>127</v>
      </c>
      <c r="K86" s="49"/>
      <c r="L86" s="111">
        <f>L83/L76</f>
        <v>0.79599302526016624</v>
      </c>
      <c r="M86" s="112" t="s">
        <v>127</v>
      </c>
      <c r="N86" s="49"/>
      <c r="O86" s="111">
        <f>O83/O76</f>
        <v>0.97508958254126465</v>
      </c>
      <c r="P86" s="112" t="s">
        <v>127</v>
      </c>
    </row>
    <row r="87" spans="1:17" x14ac:dyDescent="0.25">
      <c r="A87" s="3" t="s">
        <v>122</v>
      </c>
      <c r="B87" s="111"/>
      <c r="C87" s="111">
        <f>C84/C77</f>
        <v>0.82306114721186341</v>
      </c>
      <c r="D87" s="112" t="s">
        <v>127</v>
      </c>
      <c r="E87" s="49"/>
      <c r="F87" s="113">
        <f>F84/F77</f>
        <v>1.6229455515091564</v>
      </c>
      <c r="G87" s="114" t="s">
        <v>127</v>
      </c>
      <c r="H87" s="49"/>
      <c r="I87" s="111">
        <f>I84/I77</f>
        <v>0.85020854379217248</v>
      </c>
      <c r="J87" s="112" t="s">
        <v>127</v>
      </c>
      <c r="K87" s="49"/>
      <c r="L87" s="111">
        <f>L84/L77</f>
        <v>0.85052698202534704</v>
      </c>
      <c r="M87" s="112" t="s">
        <v>127</v>
      </c>
      <c r="N87" s="49"/>
      <c r="O87" s="111">
        <f>O84/O77</f>
        <v>1.041893551230693</v>
      </c>
      <c r="P87" s="112" t="s">
        <v>127</v>
      </c>
    </row>
    <row r="88" spans="1:17" x14ac:dyDescent="0.25">
      <c r="A88" s="24" t="s">
        <v>157</v>
      </c>
      <c r="B88" s="122" t="s">
        <v>159</v>
      </c>
      <c r="C88" s="122"/>
      <c r="D88" s="122"/>
      <c r="E88" s="41" t="s">
        <v>157</v>
      </c>
      <c r="F88" s="123" t="s">
        <v>158</v>
      </c>
      <c r="G88" s="123"/>
      <c r="H88" s="41" t="s">
        <v>157</v>
      </c>
      <c r="I88" s="124" t="s">
        <v>352</v>
      </c>
      <c r="J88" s="124"/>
      <c r="K88" s="41" t="s">
        <v>157</v>
      </c>
      <c r="L88" s="119" t="s">
        <v>353</v>
      </c>
      <c r="M88" s="119"/>
      <c r="N88" s="41" t="s">
        <v>157</v>
      </c>
      <c r="O88" s="119" t="s">
        <v>353</v>
      </c>
      <c r="P88" s="119"/>
    </row>
    <row r="89" spans="1:17" ht="28.5" customHeight="1" x14ac:dyDescent="0.25">
      <c r="B89" s="122"/>
      <c r="C89" s="122"/>
      <c r="D89" s="122"/>
      <c r="F89" s="123"/>
      <c r="G89" s="123"/>
      <c r="I89" s="124"/>
      <c r="J89" s="124"/>
      <c r="L89" s="119"/>
      <c r="M89" s="119"/>
      <c r="O89" s="119"/>
      <c r="P89" s="119"/>
    </row>
    <row r="90" spans="1:17" x14ac:dyDescent="0.25">
      <c r="I90" s="50"/>
      <c r="J90" s="50"/>
    </row>
    <row r="93" spans="1:17" x14ac:dyDescent="0.25">
      <c r="G93" s="85">
        <f>F72</f>
        <v>2.7736535389250303</v>
      </c>
      <c r="H93" s="55" t="s">
        <v>253</v>
      </c>
    </row>
    <row r="94" spans="1:17" x14ac:dyDescent="0.25">
      <c r="G94" s="85">
        <f>F73</f>
        <v>3.6270429656619609</v>
      </c>
      <c r="H94" s="55" t="s">
        <v>254</v>
      </c>
    </row>
    <row r="95" spans="1:17" x14ac:dyDescent="0.25">
      <c r="G95" s="85"/>
      <c r="H95" s="55"/>
    </row>
    <row r="96" spans="1:17" x14ac:dyDescent="0.25">
      <c r="G96" s="85">
        <f>F86</f>
        <v>1.5188857810272303</v>
      </c>
      <c r="H96" s="55" t="s">
        <v>255</v>
      </c>
    </row>
    <row r="97" spans="7:8" x14ac:dyDescent="0.25">
      <c r="G97" s="85">
        <f>F87</f>
        <v>1.6229455515091564</v>
      </c>
      <c r="H97" s="55" t="s">
        <v>256</v>
      </c>
    </row>
  </sheetData>
  <mergeCells count="19">
    <mergeCell ref="B88:D89"/>
    <mergeCell ref="F88:G89"/>
    <mergeCell ref="H3:J3"/>
    <mergeCell ref="H66:J66"/>
    <mergeCell ref="I88:J89"/>
    <mergeCell ref="B3:D3"/>
    <mergeCell ref="A25:D25"/>
    <mergeCell ref="B66:D66"/>
    <mergeCell ref="E3:G3"/>
    <mergeCell ref="E66:G66"/>
    <mergeCell ref="N3:P3"/>
    <mergeCell ref="N66:P66"/>
    <mergeCell ref="O88:P89"/>
    <mergeCell ref="T5:U5"/>
    <mergeCell ref="K3:M3"/>
    <mergeCell ref="K66:M66"/>
    <mergeCell ref="L88:M89"/>
    <mergeCell ref="T3:U3"/>
    <mergeCell ref="T4:U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Y55"/>
  <sheetViews>
    <sheetView zoomScale="81" zoomScaleNormal="70" zoomScalePageLayoutView="85" workbookViewId="0">
      <selection activeCell="O33" sqref="O33"/>
    </sheetView>
  </sheetViews>
  <sheetFormatPr defaultColWidth="8.85546875" defaultRowHeight="15" x14ac:dyDescent="0.25"/>
  <cols>
    <col min="1" max="1" width="48.85546875" bestFit="1" customWidth="1"/>
    <col min="2" max="11" width="14.7109375" customWidth="1"/>
    <col min="12" max="13" width="14.7109375" style="50" customWidth="1"/>
    <col min="15" max="15" width="12.7109375" customWidth="1"/>
    <col min="16" max="16" width="20.5703125" customWidth="1"/>
    <col min="17" max="17" width="10.7109375" bestFit="1" customWidth="1"/>
  </cols>
  <sheetData>
    <row r="1" spans="1:20" s="50" customFormat="1" x14ac:dyDescent="0.25"/>
    <row r="2" spans="1:20" s="50" customFormat="1" ht="15.75" x14ac:dyDescent="0.25">
      <c r="A2" s="60" t="s">
        <v>238</v>
      </c>
    </row>
    <row r="3" spans="1:20" s="50" customFormat="1" x14ac:dyDescent="0.25">
      <c r="B3" s="127" t="s">
        <v>179</v>
      </c>
      <c r="C3" s="128"/>
      <c r="D3" s="129" t="s">
        <v>180</v>
      </c>
      <c r="E3" s="129"/>
      <c r="F3" s="130" t="s">
        <v>181</v>
      </c>
      <c r="G3" s="130"/>
      <c r="H3" s="130"/>
      <c r="I3" s="130"/>
    </row>
    <row r="4" spans="1:20" ht="17.25" x14ac:dyDescent="0.25">
      <c r="B4" s="128"/>
      <c r="C4" s="128"/>
      <c r="D4" s="129"/>
      <c r="E4" s="129"/>
      <c r="F4" s="58" t="s">
        <v>182</v>
      </c>
      <c r="G4" s="116">
        <v>400</v>
      </c>
      <c r="H4" s="56">
        <v>800</v>
      </c>
      <c r="I4" s="56">
        <v>1200</v>
      </c>
    </row>
    <row r="5" spans="1:20" s="50" customFormat="1" ht="18" x14ac:dyDescent="0.35">
      <c r="A5" s="55" t="s">
        <v>176</v>
      </c>
      <c r="B5" s="53" t="s">
        <v>167</v>
      </c>
      <c r="C5" s="55">
        <v>68</v>
      </c>
      <c r="D5" s="53" t="s">
        <v>167</v>
      </c>
      <c r="E5" s="54">
        <v>85</v>
      </c>
      <c r="F5" s="53" t="s">
        <v>167</v>
      </c>
      <c r="G5" s="116">
        <v>123</v>
      </c>
      <c r="H5" s="57">
        <v>106</v>
      </c>
      <c r="I5" s="57">
        <v>85</v>
      </c>
    </row>
    <row r="6" spans="1:20" s="50" customFormat="1" ht="18" x14ac:dyDescent="0.35">
      <c r="A6" s="55" t="s">
        <v>177</v>
      </c>
      <c r="B6" s="53" t="s">
        <v>168</v>
      </c>
      <c r="C6" s="55">
        <v>57</v>
      </c>
      <c r="D6" s="53" t="s">
        <v>168</v>
      </c>
      <c r="E6" s="54">
        <v>71</v>
      </c>
      <c r="F6" s="53" t="s">
        <v>168</v>
      </c>
      <c r="G6" s="116">
        <v>94</v>
      </c>
      <c r="H6" s="57">
        <v>84</v>
      </c>
      <c r="I6" s="57">
        <v>64</v>
      </c>
    </row>
    <row r="7" spans="1:20" s="50" customFormat="1" ht="18" x14ac:dyDescent="0.35">
      <c r="A7" s="55" t="s">
        <v>178</v>
      </c>
      <c r="B7" s="53" t="s">
        <v>169</v>
      </c>
      <c r="C7" s="55">
        <f>0.5*C5</f>
        <v>34</v>
      </c>
      <c r="D7" s="53" t="s">
        <v>169</v>
      </c>
      <c r="E7" s="54">
        <f>0.5*E5</f>
        <v>42.5</v>
      </c>
      <c r="F7" s="53" t="s">
        <v>169</v>
      </c>
      <c r="G7" s="116">
        <f>0.5*G5</f>
        <v>61.5</v>
      </c>
      <c r="H7" s="56">
        <f>0.5*H5</f>
        <v>53</v>
      </c>
      <c r="I7" s="56">
        <f>0.5*I5</f>
        <v>42.5</v>
      </c>
    </row>
    <row r="8" spans="1:20" s="50" customFormat="1" x14ac:dyDescent="0.25">
      <c r="A8" s="8"/>
      <c r="B8" s="18"/>
      <c r="C8" s="19"/>
      <c r="D8" s="18"/>
      <c r="E8" s="19"/>
      <c r="F8" s="18"/>
      <c r="G8" s="17"/>
      <c r="H8" s="17"/>
      <c r="I8" s="17"/>
    </row>
    <row r="9" spans="1:20" s="50" customFormat="1" x14ac:dyDescent="0.25">
      <c r="B9" s="6"/>
      <c r="C9" s="13"/>
      <c r="D9" s="6"/>
      <c r="E9" s="13"/>
    </row>
    <row r="10" spans="1:20" ht="15.75" x14ac:dyDescent="0.25">
      <c r="A10" s="60" t="s">
        <v>175</v>
      </c>
    </row>
    <row r="11" spans="1:20" ht="15.75" x14ac:dyDescent="0.25">
      <c r="A11" s="60" t="s">
        <v>166</v>
      </c>
      <c r="B11" s="26" t="s">
        <v>0</v>
      </c>
      <c r="C11" s="26"/>
      <c r="D11" s="62"/>
    </row>
    <row r="12" spans="1:20" ht="18" x14ac:dyDescent="0.35">
      <c r="A12" t="s">
        <v>176</v>
      </c>
      <c r="B12" s="18" t="s">
        <v>167</v>
      </c>
      <c r="C12" s="74">
        <v>123</v>
      </c>
      <c r="D12" s="52"/>
      <c r="E12" s="50" t="s">
        <v>157</v>
      </c>
      <c r="F12" s="125" t="s">
        <v>230</v>
      </c>
      <c r="G12" s="125"/>
    </row>
    <row r="13" spans="1:20" ht="18" x14ac:dyDescent="0.35">
      <c r="A13" t="s">
        <v>177</v>
      </c>
      <c r="B13" s="18" t="s">
        <v>168</v>
      </c>
      <c r="C13" s="74">
        <v>94</v>
      </c>
      <c r="D13" s="52"/>
      <c r="F13" s="121" t="s">
        <v>232</v>
      </c>
      <c r="G13" s="121"/>
      <c r="O13" s="131" t="s">
        <v>210</v>
      </c>
      <c r="P13" s="131"/>
      <c r="Q13" s="131"/>
      <c r="R13" s="131"/>
      <c r="S13" s="131"/>
      <c r="T13" s="131"/>
    </row>
    <row r="14" spans="1:20" ht="18" x14ac:dyDescent="0.35">
      <c r="A14" s="50" t="s">
        <v>178</v>
      </c>
      <c r="B14" s="18" t="s">
        <v>195</v>
      </c>
      <c r="C14" s="74">
        <f>0.5*C12</f>
        <v>61.5</v>
      </c>
      <c r="D14" s="52"/>
      <c r="I14" s="69"/>
      <c r="O14" s="131"/>
      <c r="P14" s="131"/>
      <c r="Q14" s="131"/>
      <c r="R14" s="131"/>
      <c r="S14" s="131"/>
      <c r="T14" s="131"/>
    </row>
    <row r="15" spans="1:20" s="50" customFormat="1" x14ac:dyDescent="0.25">
      <c r="B15" s="18" t="s">
        <v>188</v>
      </c>
      <c r="C15" s="65">
        <v>2</v>
      </c>
      <c r="D15" s="87"/>
      <c r="O15" s="131"/>
      <c r="P15" s="131"/>
      <c r="Q15" s="131"/>
      <c r="R15" s="131"/>
      <c r="S15" s="131"/>
      <c r="T15" s="131"/>
    </row>
    <row r="16" spans="1:20" s="50" customFormat="1" x14ac:dyDescent="0.25">
      <c r="B16" s="18" t="s">
        <v>209</v>
      </c>
      <c r="C16" s="13">
        <v>-0.217</v>
      </c>
      <c r="D16" s="52"/>
      <c r="O16" s="131"/>
      <c r="P16" s="131"/>
      <c r="Q16" s="131"/>
      <c r="R16" s="131"/>
      <c r="S16" s="131"/>
      <c r="T16" s="131"/>
    </row>
    <row r="17" spans="1:20" s="50" customFormat="1" ht="15.75" x14ac:dyDescent="0.25">
      <c r="A17" s="60" t="s">
        <v>170</v>
      </c>
      <c r="B17" s="41"/>
      <c r="C17" s="28"/>
      <c r="O17" s="7" t="s">
        <v>211</v>
      </c>
      <c r="R17" s="34"/>
    </row>
    <row r="18" spans="1:20" x14ac:dyDescent="0.25">
      <c r="A18" t="s">
        <v>183</v>
      </c>
      <c r="B18" s="121" t="s">
        <v>290</v>
      </c>
      <c r="C18" s="121"/>
      <c r="D18" s="132" t="s">
        <v>291</v>
      </c>
      <c r="E18" s="132"/>
      <c r="F18" s="132" t="s">
        <v>292</v>
      </c>
      <c r="G18" s="132"/>
      <c r="H18" s="132" t="s">
        <v>293</v>
      </c>
      <c r="I18" s="132"/>
      <c r="J18" s="132" t="s">
        <v>294</v>
      </c>
      <c r="K18" s="132"/>
      <c r="L18" s="132" t="s">
        <v>206</v>
      </c>
      <c r="M18" s="132"/>
      <c r="P18" t="s">
        <v>318</v>
      </c>
      <c r="Q18" s="41" t="s">
        <v>212</v>
      </c>
      <c r="R18">
        <f>63000*25/Gear!I6</f>
        <v>900</v>
      </c>
      <c r="S18" t="s">
        <v>217</v>
      </c>
    </row>
    <row r="19" spans="1:20" ht="18" x14ac:dyDescent="0.35">
      <c r="A19" s="50" t="s">
        <v>236</v>
      </c>
      <c r="B19" s="41" t="s">
        <v>171</v>
      </c>
      <c r="C19" s="75">
        <f>R22*(T25/T23)</f>
        <v>113.16679052185589</v>
      </c>
      <c r="D19" s="41" t="s">
        <v>171</v>
      </c>
      <c r="E19" s="75">
        <f>R22*((T23-T24)/T23)</f>
        <v>958.14549308504638</v>
      </c>
      <c r="F19" s="41" t="s">
        <v>171</v>
      </c>
      <c r="G19" s="75">
        <f>R22</f>
        <v>1437.2182396275696</v>
      </c>
      <c r="H19" s="41" t="s">
        <v>171</v>
      </c>
      <c r="I19" s="75">
        <f>E19</f>
        <v>958.14549308504638</v>
      </c>
      <c r="J19" s="41" t="s">
        <v>171</v>
      </c>
      <c r="K19" s="50">
        <v>0</v>
      </c>
      <c r="L19" s="41" t="s">
        <v>171</v>
      </c>
      <c r="M19" s="50">
        <v>0</v>
      </c>
      <c r="Q19" s="41"/>
      <c r="R19" s="34"/>
    </row>
    <row r="20" spans="1:20" ht="18" x14ac:dyDescent="0.35">
      <c r="A20" s="50" t="s">
        <v>235</v>
      </c>
      <c r="B20" s="41" t="s">
        <v>172</v>
      </c>
      <c r="C20" s="50">
        <v>0</v>
      </c>
      <c r="D20" s="41" t="s">
        <v>172</v>
      </c>
      <c r="E20" s="50">
        <v>0</v>
      </c>
      <c r="F20" s="41" t="s">
        <v>172</v>
      </c>
      <c r="G20" s="50">
        <v>0</v>
      </c>
      <c r="H20" s="41" t="s">
        <v>172</v>
      </c>
      <c r="I20" s="50">
        <v>0</v>
      </c>
      <c r="J20" s="41" t="s">
        <v>172</v>
      </c>
      <c r="K20" s="50">
        <v>0</v>
      </c>
      <c r="L20" s="41" t="s">
        <v>172</v>
      </c>
      <c r="M20" s="50">
        <v>0</v>
      </c>
      <c r="P20" s="50" t="s">
        <v>213</v>
      </c>
      <c r="Q20" s="41" t="s">
        <v>219</v>
      </c>
      <c r="R20" s="75">
        <f>Gear!I19</f>
        <v>600.24149966086247</v>
      </c>
      <c r="S20" s="50" t="s">
        <v>27</v>
      </c>
    </row>
    <row r="21" spans="1:20" ht="18" x14ac:dyDescent="0.35">
      <c r="A21" s="50" t="s">
        <v>233</v>
      </c>
      <c r="B21" s="41" t="s">
        <v>173</v>
      </c>
      <c r="C21" s="50">
        <v>0</v>
      </c>
      <c r="D21" s="41" t="s">
        <v>173</v>
      </c>
      <c r="E21" s="50">
        <v>0</v>
      </c>
      <c r="F21" s="41" t="s">
        <v>173</v>
      </c>
      <c r="G21" s="50">
        <v>0</v>
      </c>
      <c r="H21" s="41" t="s">
        <v>173</v>
      </c>
      <c r="I21" s="50">
        <v>0</v>
      </c>
      <c r="J21" s="41" t="s">
        <v>173</v>
      </c>
      <c r="K21" s="50">
        <v>0</v>
      </c>
      <c r="L21" s="41" t="s">
        <v>173</v>
      </c>
      <c r="M21" s="50">
        <v>0</v>
      </c>
      <c r="P21" s="50" t="s">
        <v>283</v>
      </c>
      <c r="Q21" s="41" t="s">
        <v>215</v>
      </c>
      <c r="R21" s="75">
        <f>R20/COS(20*PI()/180)</f>
        <v>638.76366205669763</v>
      </c>
      <c r="S21" s="50" t="s">
        <v>27</v>
      </c>
    </row>
    <row r="22" spans="1:20" ht="18" x14ac:dyDescent="0.35">
      <c r="A22" s="50" t="s">
        <v>234</v>
      </c>
      <c r="B22" s="41" t="s">
        <v>174</v>
      </c>
      <c r="C22" s="50">
        <v>900</v>
      </c>
      <c r="D22" s="41" t="s">
        <v>174</v>
      </c>
      <c r="E22" s="50">
        <f>G22</f>
        <v>900</v>
      </c>
      <c r="F22" s="41" t="s">
        <v>174</v>
      </c>
      <c r="G22" s="50">
        <f>R18</f>
        <v>900</v>
      </c>
      <c r="H22" s="41" t="s">
        <v>174</v>
      </c>
      <c r="I22" s="50">
        <v>0</v>
      </c>
      <c r="J22" s="41" t="s">
        <v>174</v>
      </c>
      <c r="K22" s="50">
        <v>900</v>
      </c>
      <c r="L22" s="41" t="s">
        <v>174</v>
      </c>
      <c r="M22" s="50">
        <f>G22</f>
        <v>900</v>
      </c>
      <c r="P22" s="50" t="s">
        <v>216</v>
      </c>
      <c r="Q22" s="41" t="s">
        <v>328</v>
      </c>
      <c r="R22" s="75">
        <f>(R21/2)*T23</f>
        <v>1437.2182396275696</v>
      </c>
      <c r="S22" s="50" t="s">
        <v>218</v>
      </c>
    </row>
    <row r="23" spans="1:20" ht="15.75" x14ac:dyDescent="0.25">
      <c r="A23" s="60" t="s">
        <v>184</v>
      </c>
      <c r="J23" s="50"/>
      <c r="K23" s="50"/>
      <c r="L23"/>
      <c r="M23"/>
      <c r="P23" s="50" t="s">
        <v>270</v>
      </c>
      <c r="Q23" s="41"/>
      <c r="R23" s="90">
        <v>9</v>
      </c>
      <c r="S23" s="126" t="s">
        <v>295</v>
      </c>
      <c r="T23" s="69">
        <f>R23/2</f>
        <v>4.5</v>
      </c>
    </row>
    <row r="24" spans="1:20" x14ac:dyDescent="0.25">
      <c r="A24" t="s">
        <v>189</v>
      </c>
      <c r="B24" s="41" t="s">
        <v>185</v>
      </c>
      <c r="C24" s="41">
        <f>$C$15</f>
        <v>2</v>
      </c>
      <c r="D24" s="41" t="s">
        <v>185</v>
      </c>
      <c r="E24" s="41">
        <f>$C$15</f>
        <v>2</v>
      </c>
      <c r="F24" s="41" t="s">
        <v>185</v>
      </c>
      <c r="G24" s="41">
        <f>$C$15</f>
        <v>2</v>
      </c>
      <c r="H24" s="41" t="s">
        <v>185</v>
      </c>
      <c r="I24" s="41">
        <f>$C$15</f>
        <v>2</v>
      </c>
      <c r="J24" s="41" t="s">
        <v>185</v>
      </c>
      <c r="K24" s="41">
        <f>$C$15</f>
        <v>2</v>
      </c>
      <c r="L24" s="41" t="s">
        <v>185</v>
      </c>
      <c r="M24" s="41">
        <f>$C$15</f>
        <v>2</v>
      </c>
      <c r="P24" t="s">
        <v>288</v>
      </c>
      <c r="R24" s="90">
        <v>3</v>
      </c>
      <c r="S24" s="126"/>
      <c r="T24" s="69">
        <f>R24/2</f>
        <v>1.5</v>
      </c>
    </row>
    <row r="25" spans="1:20" x14ac:dyDescent="0.25">
      <c r="B25" s="41" t="s">
        <v>186</v>
      </c>
      <c r="C25" s="6">
        <f>$C$16</f>
        <v>-0.217</v>
      </c>
      <c r="D25" s="41" t="s">
        <v>186</v>
      </c>
      <c r="E25" s="6">
        <f>$C$16</f>
        <v>-0.217</v>
      </c>
      <c r="F25" s="41" t="s">
        <v>186</v>
      </c>
      <c r="G25" s="6">
        <f>$C$16</f>
        <v>-0.217</v>
      </c>
      <c r="H25" s="41" t="s">
        <v>186</v>
      </c>
      <c r="I25" s="6">
        <f>$C$16</f>
        <v>-0.217</v>
      </c>
      <c r="J25" s="41" t="s">
        <v>186</v>
      </c>
      <c r="K25" s="6">
        <f>$C$16</f>
        <v>-0.217</v>
      </c>
      <c r="L25" s="41" t="s">
        <v>186</v>
      </c>
      <c r="M25" s="6">
        <f>$C$16</f>
        <v>-0.217</v>
      </c>
      <c r="O25" s="50"/>
      <c r="P25" t="s">
        <v>289</v>
      </c>
      <c r="R25" s="90">
        <v>18</v>
      </c>
      <c r="S25" s="126"/>
      <c r="T25" s="69">
        <f>(R25/25.4)/2</f>
        <v>0.35433070866141736</v>
      </c>
    </row>
    <row r="26" spans="1:20" ht="18" x14ac:dyDescent="0.35">
      <c r="A26" t="s">
        <v>359</v>
      </c>
      <c r="B26" s="41" t="s">
        <v>187</v>
      </c>
      <c r="C26" s="88">
        <f>C24*C12^C25</f>
        <v>0.70391559424113026</v>
      </c>
      <c r="D26" s="41" t="s">
        <v>187</v>
      </c>
      <c r="E26" s="88">
        <f>E24*$C$12^E25</f>
        <v>0.70391559424113026</v>
      </c>
      <c r="F26" s="41" t="s">
        <v>187</v>
      </c>
      <c r="G26" s="88">
        <f>G24*$C$12^G25</f>
        <v>0.70391559424113026</v>
      </c>
      <c r="H26" s="41" t="s">
        <v>187</v>
      </c>
      <c r="I26" s="88">
        <f>I24*$C$12^I25</f>
        <v>0.70391559424113026</v>
      </c>
      <c r="J26" s="41" t="s">
        <v>187</v>
      </c>
      <c r="K26" s="88">
        <f>K24*$C$12^K25</f>
        <v>0.70391559424113026</v>
      </c>
      <c r="L26" s="41" t="s">
        <v>187</v>
      </c>
      <c r="M26" s="88">
        <f>M24*$C$12^M25</f>
        <v>0.70391559424113026</v>
      </c>
    </row>
    <row r="27" spans="1:20" x14ac:dyDescent="0.25">
      <c r="A27" t="s">
        <v>208</v>
      </c>
      <c r="B27" s="41" t="s">
        <v>366</v>
      </c>
      <c r="C27" s="68">
        <v>1.8897637795</v>
      </c>
      <c r="D27" s="41" t="s">
        <v>366</v>
      </c>
      <c r="E27" s="68">
        <v>1.8897637795</v>
      </c>
      <c r="F27" s="41" t="s">
        <v>365</v>
      </c>
      <c r="G27" s="68">
        <v>1.7716535433</v>
      </c>
      <c r="H27" s="41" t="s">
        <v>367</v>
      </c>
      <c r="I27" s="68">
        <v>1.7519685038999999</v>
      </c>
      <c r="J27" s="41" t="s">
        <v>367</v>
      </c>
      <c r="K27" s="68">
        <v>1.7519685038999999</v>
      </c>
      <c r="L27" s="41" t="s">
        <v>364</v>
      </c>
      <c r="M27" s="68">
        <v>1.5748031495999999</v>
      </c>
    </row>
    <row r="28" spans="1:20" ht="18" x14ac:dyDescent="0.35">
      <c r="A28" s="50" t="s">
        <v>360</v>
      </c>
      <c r="B28" s="41" t="s">
        <v>190</v>
      </c>
      <c r="C28" s="69">
        <f>0.879*C27^-0.107</f>
        <v>0.82113255432528076</v>
      </c>
      <c r="D28" s="41" t="s">
        <v>190</v>
      </c>
      <c r="E28" s="69">
        <f>0.879*E27^-0.107</f>
        <v>0.82113255432528076</v>
      </c>
      <c r="F28" s="41" t="s">
        <v>190</v>
      </c>
      <c r="G28" s="69">
        <f>0.879*G27^-0.107</f>
        <v>0.82682260923217232</v>
      </c>
      <c r="H28" s="41" t="s">
        <v>190</v>
      </c>
      <c r="I28" s="69">
        <f>0.879*I27^-0.107</f>
        <v>0.82781170248602365</v>
      </c>
      <c r="J28" s="41" t="s">
        <v>190</v>
      </c>
      <c r="K28" s="69">
        <f>0.879*K27^-0.107</f>
        <v>0.82781170248602365</v>
      </c>
      <c r="L28" s="41" t="s">
        <v>190</v>
      </c>
      <c r="M28" s="69">
        <f>0.879*M27^-0.107</f>
        <v>0.83730881556418646</v>
      </c>
    </row>
    <row r="29" spans="1:20" ht="18" x14ac:dyDescent="0.35">
      <c r="A29" t="s">
        <v>362</v>
      </c>
      <c r="B29" s="41" t="s">
        <v>191</v>
      </c>
      <c r="C29" s="41">
        <v>1</v>
      </c>
      <c r="D29" s="41" t="s">
        <v>191</v>
      </c>
      <c r="E29" s="41">
        <v>1</v>
      </c>
      <c r="F29" s="41" t="s">
        <v>191</v>
      </c>
      <c r="G29" s="41">
        <v>1</v>
      </c>
      <c r="H29" s="41" t="s">
        <v>191</v>
      </c>
      <c r="I29" s="41">
        <v>1</v>
      </c>
      <c r="J29" s="41" t="s">
        <v>191</v>
      </c>
      <c r="K29" s="41">
        <v>1</v>
      </c>
      <c r="L29" s="41" t="s">
        <v>191</v>
      </c>
      <c r="M29" s="41">
        <v>1</v>
      </c>
    </row>
    <row r="30" spans="1:20" ht="18" x14ac:dyDescent="0.35">
      <c r="A30" t="s">
        <v>192</v>
      </c>
      <c r="B30" s="41" t="s">
        <v>193</v>
      </c>
      <c r="C30" s="41">
        <v>1</v>
      </c>
      <c r="D30" s="41" t="s">
        <v>193</v>
      </c>
      <c r="E30" s="41">
        <v>1</v>
      </c>
      <c r="F30" s="41" t="s">
        <v>193</v>
      </c>
      <c r="G30" s="41">
        <v>1</v>
      </c>
      <c r="H30" s="41" t="s">
        <v>193</v>
      </c>
      <c r="I30" s="41">
        <v>1</v>
      </c>
      <c r="J30" s="41" t="s">
        <v>193</v>
      </c>
      <c r="K30" s="41">
        <v>1</v>
      </c>
      <c r="L30" s="41" t="s">
        <v>193</v>
      </c>
      <c r="M30" s="41">
        <v>1</v>
      </c>
      <c r="P30" s="75"/>
    </row>
    <row r="31" spans="1:20" ht="18" x14ac:dyDescent="0.35">
      <c r="A31" t="s">
        <v>363</v>
      </c>
      <c r="B31" s="41" t="s">
        <v>194</v>
      </c>
      <c r="C31" s="41">
        <v>0.753</v>
      </c>
      <c r="D31" s="41" t="s">
        <v>194</v>
      </c>
      <c r="E31" s="41">
        <v>0.753</v>
      </c>
      <c r="F31" s="41" t="s">
        <v>194</v>
      </c>
      <c r="G31" s="41">
        <v>0.753</v>
      </c>
      <c r="H31" s="41" t="s">
        <v>194</v>
      </c>
      <c r="I31" s="41">
        <v>0.753</v>
      </c>
      <c r="J31" s="41" t="s">
        <v>194</v>
      </c>
      <c r="K31" s="41">
        <v>0.753</v>
      </c>
      <c r="L31" s="41" t="s">
        <v>194</v>
      </c>
      <c r="M31" s="41">
        <v>0.753</v>
      </c>
    </row>
    <row r="32" spans="1:20" ht="18" x14ac:dyDescent="0.35">
      <c r="A32" s="60" t="s">
        <v>361</v>
      </c>
      <c r="B32" s="41" t="s">
        <v>196</v>
      </c>
      <c r="C32" s="69">
        <f>C26*C28*C29*C30*C31*C14</f>
        <v>26.7672619357893</v>
      </c>
      <c r="D32" s="41" t="s">
        <v>196</v>
      </c>
      <c r="E32" s="69">
        <f>E26*E28*E29*E30*E31*$C$14</f>
        <v>26.7672619357893</v>
      </c>
      <c r="F32" s="41" t="s">
        <v>196</v>
      </c>
      <c r="G32" s="69">
        <f>G26*G28*G29*G30*G31*$C$14</f>
        <v>26.952746227356499</v>
      </c>
      <c r="H32" s="41" t="s">
        <v>196</v>
      </c>
      <c r="I32" s="69">
        <f>I26*I28*I29*I30*I31*$C$14</f>
        <v>26.984988668683791</v>
      </c>
      <c r="J32" s="41" t="s">
        <v>196</v>
      </c>
      <c r="K32" s="69">
        <f>K26*K28*K29*K30*K31*$C$14</f>
        <v>26.984988668683791</v>
      </c>
      <c r="L32" s="41" t="s">
        <v>196</v>
      </c>
      <c r="M32" s="69">
        <f>M26*M28*M29*M30*M31*$C$14</f>
        <v>27.294575363375092</v>
      </c>
      <c r="O32">
        <v>0.45200000000000001</v>
      </c>
      <c r="P32">
        <f>O32*25.4</f>
        <v>11.4808</v>
      </c>
    </row>
    <row r="33" spans="1:25" ht="15.75" x14ac:dyDescent="0.25">
      <c r="A33" s="60" t="s">
        <v>200</v>
      </c>
      <c r="B33" s="50"/>
      <c r="C33" s="50"/>
      <c r="D33" s="50"/>
      <c r="E33" s="50"/>
      <c r="F33" s="50"/>
      <c r="G33" s="50"/>
      <c r="H33" s="69"/>
      <c r="I33" s="50"/>
      <c r="J33" s="50"/>
      <c r="K33" s="50"/>
      <c r="O33">
        <v>1.7272000000000001</v>
      </c>
      <c r="P33" s="50">
        <f>O33/25.4</f>
        <v>6.8000000000000005E-2</v>
      </c>
      <c r="Q33" s="50"/>
      <c r="R33" s="50"/>
      <c r="S33" s="50"/>
      <c r="T33" s="50"/>
      <c r="U33" s="50"/>
      <c r="V33" s="50"/>
      <c r="W33" s="50"/>
      <c r="X33" s="50"/>
      <c r="Y33" s="50"/>
    </row>
    <row r="34" spans="1:25" x14ac:dyDescent="0.25">
      <c r="A34" s="59" t="s">
        <v>198</v>
      </c>
      <c r="B34" s="91">
        <v>0.02</v>
      </c>
      <c r="C34" s="71"/>
      <c r="D34" s="91">
        <v>0.02</v>
      </c>
      <c r="E34" s="71"/>
      <c r="F34" s="91">
        <v>0.02</v>
      </c>
      <c r="G34" s="71"/>
      <c r="H34" s="91">
        <v>0.01</v>
      </c>
      <c r="I34" s="71"/>
      <c r="J34" s="91">
        <v>0.01</v>
      </c>
      <c r="K34" s="71"/>
      <c r="L34" s="91">
        <v>0.02</v>
      </c>
    </row>
    <row r="35" spans="1:25" x14ac:dyDescent="0.25">
      <c r="A35" s="7" t="s">
        <v>128</v>
      </c>
      <c r="B35" s="50"/>
      <c r="C35" s="50"/>
      <c r="D35" s="50"/>
      <c r="E35" s="50"/>
      <c r="F35" s="50"/>
      <c r="G35" s="50"/>
      <c r="H35" s="50"/>
      <c r="I35" s="50"/>
      <c r="J35" s="50"/>
      <c r="K35" s="50"/>
      <c r="O35" s="50"/>
    </row>
    <row r="36" spans="1:25" x14ac:dyDescent="0.25">
      <c r="A36" s="59" t="s">
        <v>340</v>
      </c>
      <c r="B36" s="86">
        <f>0.245799-0.307794*10^(-2)*C12+0.150874*10^(-4)*(C12)^2-0.266978*10^(-7)*(C12)^3</f>
        <v>4.5788599607399984E-2</v>
      </c>
      <c r="C36" s="50"/>
      <c r="D36" s="86">
        <f>0.245799-0.307794*10^(-2)*C12+0.150874*10^(-4)*(C12)^2-0.266978*10^(-7)*(C12)^3</f>
        <v>4.5788599607399984E-2</v>
      </c>
      <c r="E36" s="50"/>
      <c r="F36" s="86">
        <f>0.245799-0.307794*10^(-2)*C12+0.150874*10^(-4)*(C12)^2-0.266978*10^(-7)*(C12)^3</f>
        <v>4.5788599607399984E-2</v>
      </c>
      <c r="G36" s="50"/>
      <c r="H36" s="86">
        <f>0.245799-0.307794*10^(-2)*C12+0.150874*10^(-4)*(C12)^2-0.266978*10^(-7)*(C12)^3</f>
        <v>4.5788599607399984E-2</v>
      </c>
      <c r="I36" s="50"/>
      <c r="J36" s="86">
        <f>0.245799-0.307794*10^(-2)*C12+0.150874*10^(-4)*(C12)^2-0.266978*10^(-7)*(C12)^3</f>
        <v>4.5788599607399984E-2</v>
      </c>
      <c r="K36" s="50"/>
      <c r="L36" s="86">
        <f>0.245799-0.307794*10^(-2)*C12+0.150874*10^(-4)*(C12)^2-0.266978*10^(-7)*(C12)^3</f>
        <v>4.5788599607399984E-2</v>
      </c>
    </row>
    <row r="37" spans="1:25" x14ac:dyDescent="0.25">
      <c r="A37" s="41" t="s">
        <v>358</v>
      </c>
      <c r="B37" s="86">
        <f>1/(1+B36/SQRT(B34))</f>
        <v>0.75541578758032724</v>
      </c>
      <c r="C37" s="50"/>
      <c r="D37" s="86">
        <f>1/(1+D36/SQRT(D34))</f>
        <v>0.75541578758032724</v>
      </c>
      <c r="E37" s="50"/>
      <c r="F37" s="86">
        <f>1/(1+F36/SQRT(F34))</f>
        <v>0.75541578758032724</v>
      </c>
      <c r="G37" s="50"/>
      <c r="H37" s="86">
        <f>1/(1+H36/SQRT(H34))</f>
        <v>0.68592469006008727</v>
      </c>
      <c r="I37" s="50"/>
      <c r="J37" s="86">
        <f>1/(1+J36/SQRT(J34))</f>
        <v>0.68592469006008727</v>
      </c>
      <c r="K37" s="50"/>
      <c r="L37" s="86">
        <f>1/(1+L36/SQRT(L34))</f>
        <v>0.75541578758032724</v>
      </c>
    </row>
    <row r="38" spans="1:25" x14ac:dyDescent="0.25">
      <c r="A38" s="61" t="s">
        <v>199</v>
      </c>
      <c r="B38" s="67"/>
      <c r="C38" s="50"/>
      <c r="D38" s="50"/>
      <c r="E38" s="50"/>
      <c r="F38" s="50"/>
      <c r="G38" s="50"/>
      <c r="H38" s="50"/>
      <c r="I38" s="50"/>
      <c r="J38" s="50"/>
      <c r="K38" s="50"/>
    </row>
    <row r="39" spans="1:25" x14ac:dyDescent="0.25">
      <c r="A39" s="41" t="s">
        <v>339</v>
      </c>
      <c r="B39" s="89">
        <f>0.19-0.251*10^(-2)*C12+0.135*10^(-4)*C12^2-0.267*10^(-7)*C12^3</f>
        <v>3.5826351100000015E-2</v>
      </c>
      <c r="C39" s="71"/>
      <c r="D39" s="89">
        <f>0.19-0.251*10^(-2)*C12+0.135*10^(-4)*C12^2-0.267*10^(-7)*C12^3</f>
        <v>3.5826351100000015E-2</v>
      </c>
      <c r="E39" s="71"/>
      <c r="F39" s="89">
        <f>0.19-0.251*10^(-2)*C12+0.135*10^(-4)*C12^2-0.267*10^(-7)*C12^3</f>
        <v>3.5826351100000015E-2</v>
      </c>
      <c r="G39" s="71"/>
      <c r="H39" s="89">
        <f>0.19-0.251*10^(-2)*C12+0.135*10^(-4)*C12^2-0.267*10^(-7)*C12^3</f>
        <v>3.5826351100000015E-2</v>
      </c>
      <c r="I39" s="71"/>
      <c r="J39" s="89">
        <f>0.19-0.251*10^(-2)*C12+0.135*10^(-4)*C12^2-0.267*10^(-7)*C12^3</f>
        <v>3.5826351100000015E-2</v>
      </c>
      <c r="K39" s="71"/>
      <c r="L39" s="89">
        <f>0.19-0.251*10^(-2)*C12+0.135*10^(-4)*C12^2-0.267*10^(-7)*C12^3</f>
        <v>3.5826351100000015E-2</v>
      </c>
    </row>
    <row r="40" spans="1:25" x14ac:dyDescent="0.25">
      <c r="A40" s="41" t="s">
        <v>357</v>
      </c>
      <c r="B40" s="89">
        <f>1/(1+B39/SQRT(B34))</f>
        <v>0.79787410715659624</v>
      </c>
      <c r="C40" s="71"/>
      <c r="D40" s="89">
        <f>1/(1+D39/SQRT(D34))</f>
        <v>0.79787410715659624</v>
      </c>
      <c r="E40" s="71"/>
      <c r="F40" s="89">
        <f>1/(1+F39/SQRT(F34))</f>
        <v>0.79787410715659624</v>
      </c>
      <c r="G40" s="71"/>
      <c r="H40" s="89">
        <f>1/(1+H39/SQRT(H34))</f>
        <v>0.73623416362246663</v>
      </c>
      <c r="I40" s="71"/>
      <c r="J40" s="89">
        <f>1/(1+J39/SQRT(J34))</f>
        <v>0.73623416362246663</v>
      </c>
      <c r="K40" s="71"/>
      <c r="L40" s="89">
        <f>1/(1+L39/SQRT(L34))</f>
        <v>0.79787410715659624</v>
      </c>
    </row>
    <row r="41" spans="1:25" ht="15.75" x14ac:dyDescent="0.25">
      <c r="A41" s="60" t="s">
        <v>197</v>
      </c>
      <c r="B41" s="50"/>
      <c r="C41" s="50"/>
      <c r="D41" s="50"/>
      <c r="E41" s="50"/>
      <c r="F41" s="50"/>
      <c r="G41" s="50"/>
      <c r="H41" s="50"/>
      <c r="I41" s="50"/>
      <c r="J41" s="50"/>
      <c r="K41" s="50"/>
    </row>
    <row r="42" spans="1:25" s="50" customFormat="1" ht="15.75" x14ac:dyDescent="0.25">
      <c r="A42" s="60"/>
      <c r="B42" s="41" t="s">
        <v>305</v>
      </c>
      <c r="C42" s="69">
        <f>1.5/C27</f>
        <v>0.79375000001157558</v>
      </c>
      <c r="D42" s="41" t="s">
        <v>305</v>
      </c>
      <c r="E42" s="69">
        <f>1.5/E27</f>
        <v>0.79375000001157558</v>
      </c>
      <c r="H42" s="41" t="s">
        <v>308</v>
      </c>
      <c r="I42" s="69">
        <f>0.056/(I27-1.291)</f>
        <v>0.12148335412553118</v>
      </c>
      <c r="J42" s="41" t="s">
        <v>308</v>
      </c>
      <c r="K42" s="69">
        <f>0.056/(K27-1.291)</f>
        <v>0.12148335412553118</v>
      </c>
    </row>
    <row r="43" spans="1:25" s="50" customFormat="1" ht="15.75" x14ac:dyDescent="0.25">
      <c r="A43" s="60"/>
      <c r="B43" s="41" t="s">
        <v>306</v>
      </c>
      <c r="C43" s="69">
        <f>B34/C27</f>
        <v>1.0583333333487674E-2</v>
      </c>
      <c r="D43" s="41" t="s">
        <v>306</v>
      </c>
      <c r="E43" s="69">
        <f>D34/E27</f>
        <v>1.0583333333487674E-2</v>
      </c>
      <c r="H43" s="41" t="s">
        <v>307</v>
      </c>
      <c r="I43" s="69">
        <f>H34/(I27-1.291)</f>
        <v>2.1693456093844855E-2</v>
      </c>
      <c r="J43" s="41" t="s">
        <v>307</v>
      </c>
      <c r="K43" s="69">
        <f>J34/(K27-1.291)</f>
        <v>2.1693456093844855E-2</v>
      </c>
    </row>
    <row r="44" spans="1:25" ht="18" x14ac:dyDescent="0.35">
      <c r="A44" s="41" t="s">
        <v>221</v>
      </c>
      <c r="B44" s="41" t="s">
        <v>201</v>
      </c>
      <c r="C44" s="51">
        <v>1.45</v>
      </c>
      <c r="D44" s="41" t="s">
        <v>201</v>
      </c>
      <c r="E44" s="51">
        <v>1.45</v>
      </c>
      <c r="F44" s="41" t="s">
        <v>227</v>
      </c>
      <c r="G44" s="51">
        <v>2.2000000000000002</v>
      </c>
      <c r="H44" s="41" t="s">
        <v>227</v>
      </c>
      <c r="I44" s="51">
        <v>5.5</v>
      </c>
      <c r="J44" s="41" t="s">
        <v>227</v>
      </c>
      <c r="K44" s="51">
        <v>5.5</v>
      </c>
      <c r="L44" s="41" t="s">
        <v>227</v>
      </c>
      <c r="M44" s="51">
        <v>2.2000000000000002</v>
      </c>
    </row>
    <row r="45" spans="1:25" ht="18" x14ac:dyDescent="0.35">
      <c r="A45" s="41" t="s">
        <v>220</v>
      </c>
      <c r="B45" s="41" t="s">
        <v>202</v>
      </c>
      <c r="C45" s="51">
        <v>1.1499999999999999</v>
      </c>
      <c r="D45" s="41" t="s">
        <v>202</v>
      </c>
      <c r="E45" s="51">
        <v>1.1499999999999999</v>
      </c>
      <c r="F45" s="41" t="s">
        <v>228</v>
      </c>
      <c r="G45" s="51">
        <v>3</v>
      </c>
      <c r="H45" s="41" t="s">
        <v>228</v>
      </c>
      <c r="I45" s="51">
        <v>3.25</v>
      </c>
      <c r="J45" s="41" t="s">
        <v>228</v>
      </c>
      <c r="K45" s="51">
        <v>3.25</v>
      </c>
      <c r="L45" s="41" t="s">
        <v>229</v>
      </c>
      <c r="M45" s="51">
        <v>3</v>
      </c>
    </row>
    <row r="46" spans="1:25" ht="18" x14ac:dyDescent="0.35">
      <c r="A46" s="41" t="s">
        <v>225</v>
      </c>
      <c r="B46" s="41" t="s">
        <v>203</v>
      </c>
      <c r="C46" s="68">
        <f>1+B37*(C44-1)</f>
        <v>1.3399371044111472</v>
      </c>
      <c r="D46" s="41" t="s">
        <v>203</v>
      </c>
      <c r="E46" s="68">
        <f>1+D37*(E44-1)</f>
        <v>1.3399371044111472</v>
      </c>
      <c r="F46" s="41" t="s">
        <v>203</v>
      </c>
      <c r="G46" s="68">
        <f>1+F37*(G44-1)</f>
        <v>1.9064989450963927</v>
      </c>
      <c r="H46" s="41" t="s">
        <v>203</v>
      </c>
      <c r="I46" s="68">
        <f>1+H37*(I44-1)</f>
        <v>4.0866611052703927</v>
      </c>
      <c r="J46" s="41" t="s">
        <v>203</v>
      </c>
      <c r="K46" s="68">
        <f>1+J37*(K44-1)</f>
        <v>4.0866611052703927</v>
      </c>
      <c r="L46" s="41" t="s">
        <v>203</v>
      </c>
      <c r="M46" s="68">
        <f>1+L37*(M44-1)</f>
        <v>1.9064989450963927</v>
      </c>
    </row>
    <row r="47" spans="1:25" ht="18" x14ac:dyDescent="0.35">
      <c r="A47" s="41" t="s">
        <v>226</v>
      </c>
      <c r="B47" s="41" t="s">
        <v>204</v>
      </c>
      <c r="C47" s="68">
        <f>1+B40*(C45-1)</f>
        <v>1.1196811160734894</v>
      </c>
      <c r="D47" s="41" t="s">
        <v>204</v>
      </c>
      <c r="E47" s="68">
        <f>1+D40*(E45-1)</f>
        <v>1.1196811160734894</v>
      </c>
      <c r="F47" s="41" t="s">
        <v>204</v>
      </c>
      <c r="G47" s="68">
        <f>1+F40*(G45-1)</f>
        <v>2.5957482143131925</v>
      </c>
      <c r="H47" s="41" t="s">
        <v>204</v>
      </c>
      <c r="I47" s="68">
        <f>1+H40*(I45-1)</f>
        <v>2.6565268681505501</v>
      </c>
      <c r="J47" s="41" t="s">
        <v>204</v>
      </c>
      <c r="K47" s="68">
        <f>1+J40*(K45-1)</f>
        <v>2.6565268681505501</v>
      </c>
      <c r="L47" s="41" t="s">
        <v>204</v>
      </c>
      <c r="M47" s="68">
        <f>1+L40*(M45-1)</f>
        <v>2.5957482143131925</v>
      </c>
    </row>
    <row r="48" spans="1:25" ht="15.75" x14ac:dyDescent="0.25">
      <c r="A48" s="60" t="s">
        <v>205</v>
      </c>
      <c r="B48" s="50"/>
      <c r="C48" s="50"/>
      <c r="D48" s="50"/>
      <c r="E48" s="50"/>
      <c r="F48" s="50"/>
      <c r="G48" s="50"/>
      <c r="H48" s="50"/>
      <c r="I48" s="50"/>
      <c r="J48" s="50"/>
      <c r="K48" s="50"/>
    </row>
    <row r="49" spans="1:13" ht="18" x14ac:dyDescent="0.35">
      <c r="A49" s="41" t="s">
        <v>341</v>
      </c>
      <c r="B49" s="41" t="s">
        <v>207</v>
      </c>
      <c r="C49" s="80">
        <f>1/(16/(PI()*C27^3)*(1/C32*SQRT(4*(C46*C19/1000)^2+3*(C47*C21/1000)^2)+1/C12*SQRT(4*(C46*C20/1000)^2+3*(C47*C22/1000)^2) ))</f>
        <v>51.923795517257062</v>
      </c>
      <c r="D49" s="41" t="s">
        <v>207</v>
      </c>
      <c r="E49" s="80">
        <f>1/(16/(PI()*E27^3)*(1/E32*SQRT(4*(E46*E19/1000)^2+3*(E47*E21/1000)^2)+1/$C$12*SQRT(4*(E46*E20/1000)^2+3*(E47*E22/1000)^2) ))</f>
        <v>12.033608342120367</v>
      </c>
      <c r="F49" s="41" t="s">
        <v>207</v>
      </c>
      <c r="G49" s="80">
        <f>1/(16/(PI()*G27^3)*(1/G32*SQRT(4*(G46*G19/1000)^2+3*(G47*G21/1000)^2)+1/$C$12*SQRT(4*(G46*G20/1000)^2+3*(G47*G22/1000)^2) ))</f>
        <v>4.6222052883048255</v>
      </c>
      <c r="H49" s="41" t="s">
        <v>207</v>
      </c>
      <c r="I49" s="80">
        <f>1/(16/(PI()*I27^3)*(1/I32*SQRT(4*(I46*I19/1000)^2+3*(I47*I21/1000)^2)+1/$C$12*SQRT(4*(I46*I20/1000)^2+3*(I47*I22/1000)^2) ))</f>
        <v>3.6383203194947216</v>
      </c>
      <c r="J49" s="41" t="s">
        <v>207</v>
      </c>
      <c r="K49" s="80">
        <f>1/(16/(PI()*K27^3)*(1/K32*SQRT(4*(K46*K19/1000)^2+3*(K47*K21/1000)^2)+1/$C$12*SQRT(4*(K46*K20/1000)^2+3*(K47*K22/1000)^2) ))</f>
        <v>31.361478948297389</v>
      </c>
      <c r="L49" s="41" t="s">
        <v>207</v>
      </c>
      <c r="M49" s="80">
        <f>1/(16/(PI()*M27^3)*(1/M32*SQRT(4*(M46*M19/1000)^2+3*(M47*M21/1000)^2)+1/$C$12*SQRT(4*(M46*M20/1000)^2+3*(M47*M22/1000)^2) ))</f>
        <v>23.310314063349512</v>
      </c>
    </row>
    <row r="50" spans="1:13" s="50" customFormat="1" x14ac:dyDescent="0.25">
      <c r="A50" s="41"/>
      <c r="B50" s="41"/>
      <c r="C50" s="34"/>
      <c r="D50" s="41"/>
      <c r="E50" s="34"/>
      <c r="F50" s="41"/>
      <c r="G50" s="34"/>
      <c r="H50" s="41"/>
      <c r="I50" s="34"/>
      <c r="J50" s="41"/>
      <c r="K50" s="34"/>
      <c r="L50" s="41"/>
      <c r="M50" s="34"/>
    </row>
    <row r="51" spans="1:13" s="50" customFormat="1" ht="18" x14ac:dyDescent="0.35">
      <c r="A51" s="66" t="s">
        <v>342</v>
      </c>
      <c r="B51" s="66" t="s">
        <v>222</v>
      </c>
      <c r="C51" s="69">
        <f>SQRT(((((32*C19)/(PI()*C27^3))*C46)^2)+(3*((16*C21)/(PI()*C27^3)*C47)^2))</f>
        <v>228.86582961639189</v>
      </c>
      <c r="D51" s="66" t="s">
        <v>222</v>
      </c>
      <c r="E51" s="69">
        <f>SQRT(((((32*E19)/(PI()*E27^3))*E46)^2)+(3*((16*E21)/(PI()*E27^3)*E47)^2))/1000</f>
        <v>1.9377306907521177</v>
      </c>
      <c r="F51" s="66" t="s">
        <v>222</v>
      </c>
      <c r="G51" s="69">
        <f>SQRT(((((32*G19)/(PI()*G27^3))*G46)^2)+(3*((16*G21)/(PI()*G27^3)*G47)^2))/1000</f>
        <v>5.0190671210903064</v>
      </c>
      <c r="H51" s="66" t="s">
        <v>222</v>
      </c>
      <c r="I51" s="69">
        <f>SQRT(((((32*I19)/(PI()*I27^3))*I46)^2)+(3*((16*I21)/(PI()*I27^3)*I47)^2))/1000</f>
        <v>7.4168809502818549</v>
      </c>
      <c r="J51" s="66" t="s">
        <v>222</v>
      </c>
      <c r="K51" s="69">
        <f>SQRT(((((32*K19)/(PI()*K27^3))*K46)^2)+(3*((16*K21)/(PI()*K27^3)*K47)^2))/1000</f>
        <v>0</v>
      </c>
      <c r="L51" s="66" t="s">
        <v>222</v>
      </c>
      <c r="M51" s="69">
        <f>SQRT(((((32*M19)/(PI()*M27^3))*M46)^2)+(3*((16*M21)/(PI()*M27^3)*M47)^2))/1000</f>
        <v>0</v>
      </c>
    </row>
    <row r="52" spans="1:13" s="50" customFormat="1" ht="18" x14ac:dyDescent="0.35">
      <c r="A52" s="66" t="s">
        <v>343</v>
      </c>
      <c r="B52" s="66" t="s">
        <v>223</v>
      </c>
      <c r="C52" s="69">
        <f>SQRT(((((32*C20)/(PI()*C28^3))*KfA)^2)+(3*((16*C22)/(PI()*C28^3)*KfsA)^2))</f>
        <v>16055.646195070589</v>
      </c>
      <c r="D52" s="66" t="s">
        <v>223</v>
      </c>
      <c r="E52" s="69">
        <f>SQRT(((((32*E20)/(PI()*E27^3))*E46)^2)+(3*((16*E22)/(PI()*E27^3)*E47)^2))/1000</f>
        <v>1.3171797283370281</v>
      </c>
      <c r="F52" s="66" t="s">
        <v>223</v>
      </c>
      <c r="G52" s="69">
        <f>SQRT(((((32*G20)/(PI()*G27^3))*KfA)^2)+(3*((16*G22)/(PI()*G27^3)*KfsA)^2))/1000</f>
        <v>1.5985683458065683</v>
      </c>
      <c r="H52" s="66" t="s">
        <v>223</v>
      </c>
      <c r="I52" s="69">
        <f>SQRT(((((32*I20)/(PI()*I27^3))*I46)^2)+(3*((16*I22)/(PI()*I27^3)*I47)^2))/1000</f>
        <v>0</v>
      </c>
      <c r="J52" s="66" t="s">
        <v>223</v>
      </c>
      <c r="K52" s="69">
        <f>SQRT(((((32*K20)/(PI()*K27^3))*K46)^2)+(3*((16*K22)/(PI()*K27^3)*K47)^2))/1000</f>
        <v>3.9220089142727645</v>
      </c>
      <c r="L52" s="66" t="s">
        <v>223</v>
      </c>
      <c r="M52" s="69">
        <f>SQRT(((((32*M20)/(PI()*M27^3))*M46)^2)+(3*((16*M22)/(PI()*M27^3)*M47)^2))/1000</f>
        <v>5.2766341828654824</v>
      </c>
    </row>
    <row r="53" spans="1:13" ht="18" x14ac:dyDescent="0.35">
      <c r="A53" s="66" t="s">
        <v>245</v>
      </c>
      <c r="B53" s="66" t="s">
        <v>224</v>
      </c>
      <c r="C53" s="69">
        <f>((32*C46*(C19+C20)/(PI()*C27^3))^2+3*(16*C47*(C21+C22)/(PI()*C27^3))^2)^0.5</f>
        <v>1336.9151075173047</v>
      </c>
      <c r="D53" s="66" t="s">
        <v>224</v>
      </c>
      <c r="E53" s="69">
        <f>E51+E52</f>
        <v>3.2549104190891458</v>
      </c>
      <c r="F53" s="66" t="s">
        <v>224</v>
      </c>
      <c r="G53" s="69">
        <f>G51+G52</f>
        <v>6.6176354668968749</v>
      </c>
      <c r="H53" s="66" t="s">
        <v>224</v>
      </c>
      <c r="I53" s="69">
        <f>I51+I52</f>
        <v>7.4168809502818549</v>
      </c>
      <c r="J53" s="66" t="s">
        <v>224</v>
      </c>
      <c r="K53" s="69">
        <f>K51+K52</f>
        <v>3.9220089142727645</v>
      </c>
      <c r="L53" s="66" t="s">
        <v>224</v>
      </c>
      <c r="M53" s="69">
        <f>M51+M52</f>
        <v>5.2766341828654824</v>
      </c>
    </row>
    <row r="54" spans="1:13" ht="18" x14ac:dyDescent="0.35">
      <c r="A54" s="41" t="s">
        <v>252</v>
      </c>
      <c r="B54" s="41" t="s">
        <v>207</v>
      </c>
      <c r="C54" s="81">
        <f>$C$13*1000/C53</f>
        <v>70.311121081248828</v>
      </c>
      <c r="D54" s="41" t="s">
        <v>207</v>
      </c>
      <c r="E54" s="81">
        <f>$C$13/E53</f>
        <v>28.879443025133995</v>
      </c>
      <c r="F54" s="41" t="s">
        <v>207</v>
      </c>
      <c r="G54" s="81">
        <f>$C$13/G53</f>
        <v>14.204469325971841</v>
      </c>
      <c r="H54" s="41" t="s">
        <v>207</v>
      </c>
      <c r="I54" s="81">
        <f>$C$13/I53</f>
        <v>12.673791130006991</v>
      </c>
      <c r="J54" s="41" t="s">
        <v>207</v>
      </c>
      <c r="K54" s="81">
        <f>$C$13/K53</f>
        <v>23.967309114958979</v>
      </c>
      <c r="L54" s="41" t="s">
        <v>207</v>
      </c>
      <c r="M54" s="81">
        <f>$C$13/M53</f>
        <v>17.814386357356536</v>
      </c>
    </row>
    <row r="55" spans="1:13" x14ac:dyDescent="0.25">
      <c r="A55" s="41"/>
    </row>
  </sheetData>
  <mergeCells count="13">
    <mergeCell ref="S23:S25"/>
    <mergeCell ref="B3:C4"/>
    <mergeCell ref="D3:E4"/>
    <mergeCell ref="F3:I3"/>
    <mergeCell ref="O13:T16"/>
    <mergeCell ref="B18:C18"/>
    <mergeCell ref="F18:G18"/>
    <mergeCell ref="D18:E18"/>
    <mergeCell ref="H18:I18"/>
    <mergeCell ref="L18:M18"/>
    <mergeCell ref="F12:G12"/>
    <mergeCell ref="F13:G13"/>
    <mergeCell ref="J18:K18"/>
  </mergeCells>
  <pageMargins left="0.7" right="0.7" top="0.75" bottom="0.75" header="0.3" footer="0.3"/>
  <pageSetup scale="3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R59"/>
  <sheetViews>
    <sheetView topLeftCell="A9" zoomScale="96" zoomScaleNormal="80" zoomScalePageLayoutView="85" workbookViewId="0">
      <selection activeCell="H28" sqref="H28"/>
    </sheetView>
  </sheetViews>
  <sheetFormatPr defaultColWidth="9.140625" defaultRowHeight="15" x14ac:dyDescent="0.25"/>
  <cols>
    <col min="1" max="1" width="48.85546875" style="50" bestFit="1" customWidth="1"/>
    <col min="2" max="11" width="14.7109375" style="50" customWidth="1"/>
    <col min="12" max="12" width="9.140625" style="50"/>
    <col min="13" max="13" width="12.7109375" style="50" customWidth="1"/>
    <col min="14" max="14" width="19.28515625" style="50" bestFit="1" customWidth="1"/>
    <col min="15" max="15" width="10.7109375" style="50" bestFit="1" customWidth="1"/>
    <col min="16" max="16384" width="9.140625" style="50"/>
  </cols>
  <sheetData>
    <row r="2" spans="1:18" ht="15.75" x14ac:dyDescent="0.25">
      <c r="A2" s="60" t="s">
        <v>239</v>
      </c>
    </row>
    <row r="3" spans="1:18" x14ac:dyDescent="0.25">
      <c r="B3" s="128" t="s">
        <v>179</v>
      </c>
      <c r="C3" s="128"/>
      <c r="D3" s="129" t="s">
        <v>180</v>
      </c>
      <c r="E3" s="129"/>
      <c r="F3" s="130" t="s">
        <v>181</v>
      </c>
      <c r="G3" s="130"/>
      <c r="H3" s="130"/>
      <c r="I3" s="130"/>
    </row>
    <row r="4" spans="1:18" ht="17.25" x14ac:dyDescent="0.25">
      <c r="B4" s="128"/>
      <c r="C4" s="128"/>
      <c r="D4" s="129"/>
      <c r="E4" s="129"/>
      <c r="F4" s="58" t="s">
        <v>182</v>
      </c>
      <c r="G4" s="116">
        <v>400</v>
      </c>
      <c r="H4" s="110">
        <v>800</v>
      </c>
      <c r="I4" s="56">
        <v>1200</v>
      </c>
    </row>
    <row r="5" spans="1:18" ht="18" x14ac:dyDescent="0.35">
      <c r="A5" s="55" t="s">
        <v>176</v>
      </c>
      <c r="B5" s="53" t="s">
        <v>167</v>
      </c>
      <c r="C5" s="55">
        <v>68</v>
      </c>
      <c r="D5" s="53" t="s">
        <v>167</v>
      </c>
      <c r="E5" s="54">
        <v>85</v>
      </c>
      <c r="F5" s="53" t="s">
        <v>167</v>
      </c>
      <c r="G5" s="116">
        <v>123</v>
      </c>
      <c r="H5" s="110">
        <v>106</v>
      </c>
      <c r="I5" s="57">
        <v>85</v>
      </c>
    </row>
    <row r="6" spans="1:18" ht="18" x14ac:dyDescent="0.35">
      <c r="A6" s="55" t="s">
        <v>177</v>
      </c>
      <c r="B6" s="53" t="s">
        <v>168</v>
      </c>
      <c r="C6" s="55">
        <v>57</v>
      </c>
      <c r="D6" s="53" t="s">
        <v>168</v>
      </c>
      <c r="E6" s="54">
        <v>71</v>
      </c>
      <c r="F6" s="53" t="s">
        <v>168</v>
      </c>
      <c r="G6" s="116">
        <v>94</v>
      </c>
      <c r="H6" s="110">
        <v>84</v>
      </c>
      <c r="I6" s="57">
        <v>64</v>
      </c>
    </row>
    <row r="7" spans="1:18" ht="18" x14ac:dyDescent="0.35">
      <c r="A7" s="55" t="s">
        <v>178</v>
      </c>
      <c r="B7" s="53" t="s">
        <v>169</v>
      </c>
      <c r="C7" s="55">
        <f>0.5*C5</f>
        <v>34</v>
      </c>
      <c r="D7" s="53" t="s">
        <v>169</v>
      </c>
      <c r="E7" s="54">
        <f>0.5*E5</f>
        <v>42.5</v>
      </c>
      <c r="F7" s="53" t="s">
        <v>169</v>
      </c>
      <c r="G7" s="116">
        <f>0.5*G5</f>
        <v>61.5</v>
      </c>
      <c r="H7" s="110">
        <f>0.5*H5</f>
        <v>53</v>
      </c>
      <c r="I7" s="56">
        <f>0.5*I5</f>
        <v>42.5</v>
      </c>
    </row>
    <row r="8" spans="1:18" x14ac:dyDescent="0.25">
      <c r="A8" s="8"/>
      <c r="B8" s="18"/>
      <c r="C8" s="64"/>
      <c r="D8" s="18"/>
      <c r="E8" s="64"/>
      <c r="F8" s="18"/>
      <c r="G8" s="17"/>
      <c r="H8" s="17"/>
      <c r="I8" s="17"/>
    </row>
    <row r="9" spans="1:18" x14ac:dyDescent="0.25">
      <c r="B9" s="6"/>
      <c r="C9" s="13"/>
      <c r="D9" s="6"/>
      <c r="E9" s="13"/>
    </row>
    <row r="10" spans="1:18" ht="15.75" x14ac:dyDescent="0.25">
      <c r="A10" s="60" t="s">
        <v>175</v>
      </c>
    </row>
    <row r="11" spans="1:18" ht="15.75" x14ac:dyDescent="0.25">
      <c r="A11" s="60" t="s">
        <v>166</v>
      </c>
      <c r="B11" s="63" t="s">
        <v>0</v>
      </c>
      <c r="C11" s="63"/>
      <c r="D11" s="62"/>
    </row>
    <row r="12" spans="1:18" ht="18" x14ac:dyDescent="0.35">
      <c r="A12" s="50" t="s">
        <v>176</v>
      </c>
      <c r="B12" s="18" t="s">
        <v>167</v>
      </c>
      <c r="C12" s="74">
        <v>123</v>
      </c>
      <c r="D12" s="52"/>
      <c r="E12" s="50" t="s">
        <v>157</v>
      </c>
      <c r="F12" s="125" t="s">
        <v>230</v>
      </c>
      <c r="G12" s="125"/>
    </row>
    <row r="13" spans="1:18" ht="18" x14ac:dyDescent="0.35">
      <c r="A13" s="50" t="s">
        <v>177</v>
      </c>
      <c r="B13" s="18" t="s">
        <v>168</v>
      </c>
      <c r="C13" s="74">
        <v>94</v>
      </c>
      <c r="D13" s="52"/>
      <c r="F13" s="121" t="s">
        <v>232</v>
      </c>
      <c r="G13" s="121"/>
      <c r="M13" s="131" t="s">
        <v>210</v>
      </c>
      <c r="N13" s="131"/>
      <c r="O13" s="131"/>
      <c r="P13" s="131"/>
      <c r="Q13" s="131"/>
      <c r="R13" s="131"/>
    </row>
    <row r="14" spans="1:18" ht="18" x14ac:dyDescent="0.35">
      <c r="A14" s="50" t="s">
        <v>178</v>
      </c>
      <c r="B14" s="18" t="s">
        <v>195</v>
      </c>
      <c r="C14" s="74">
        <f>0.5*C12</f>
        <v>61.5</v>
      </c>
      <c r="D14" s="52"/>
      <c r="J14" s="69"/>
      <c r="M14" s="131"/>
      <c r="N14" s="131"/>
      <c r="O14" s="131"/>
      <c r="P14" s="131"/>
      <c r="Q14" s="131"/>
      <c r="R14" s="131"/>
    </row>
    <row r="15" spans="1:18" x14ac:dyDescent="0.25">
      <c r="B15" s="18" t="s">
        <v>188</v>
      </c>
      <c r="C15" s="65">
        <v>2</v>
      </c>
      <c r="D15" s="52"/>
      <c r="M15" s="131"/>
      <c r="N15" s="131"/>
      <c r="O15" s="131"/>
      <c r="P15" s="131"/>
      <c r="Q15" s="131"/>
      <c r="R15" s="131"/>
    </row>
    <row r="16" spans="1:18" x14ac:dyDescent="0.25">
      <c r="B16" s="18" t="s">
        <v>332</v>
      </c>
      <c r="C16" s="13">
        <v>-0.217</v>
      </c>
      <c r="D16" s="52"/>
      <c r="M16" s="131"/>
      <c r="N16" s="131"/>
      <c r="O16" s="131"/>
      <c r="P16" s="131"/>
      <c r="Q16" s="131"/>
      <c r="R16" s="131"/>
    </row>
    <row r="17" spans="1:18" ht="15.75" x14ac:dyDescent="0.25">
      <c r="A17" s="60" t="s">
        <v>170</v>
      </c>
      <c r="B17" s="41"/>
      <c r="C17" s="28"/>
      <c r="M17" s="7" t="s">
        <v>211</v>
      </c>
      <c r="P17" s="34"/>
    </row>
    <row r="18" spans="1:18" x14ac:dyDescent="0.25">
      <c r="A18" s="50" t="s">
        <v>183</v>
      </c>
      <c r="B18" s="121" t="s">
        <v>290</v>
      </c>
      <c r="C18" s="121"/>
      <c r="D18" s="132" t="s">
        <v>291</v>
      </c>
      <c r="E18" s="132"/>
      <c r="F18" s="132" t="s">
        <v>292</v>
      </c>
      <c r="G18" s="132"/>
      <c r="H18" s="132" t="s">
        <v>296</v>
      </c>
      <c r="I18" s="132"/>
      <c r="J18" s="132" t="s">
        <v>206</v>
      </c>
      <c r="K18" s="132"/>
      <c r="N18" s="50" t="s">
        <v>319</v>
      </c>
      <c r="O18" s="41" t="s">
        <v>212</v>
      </c>
      <c r="P18" s="50">
        <f>63000*25/Gear!I9</f>
        <v>3150</v>
      </c>
      <c r="Q18" s="50" t="s">
        <v>217</v>
      </c>
    </row>
    <row r="19" spans="1:18" ht="18" x14ac:dyDescent="0.35">
      <c r="A19" s="50" t="s">
        <v>236</v>
      </c>
      <c r="B19" s="41" t="s">
        <v>171</v>
      </c>
      <c r="C19" s="75">
        <f>P22*(R25/R23)</f>
        <v>113.16679052185589</v>
      </c>
      <c r="D19" s="41" t="s">
        <v>171</v>
      </c>
      <c r="E19" s="75">
        <f>P22*((R23-R24)/R23)</f>
        <v>958.14549308504638</v>
      </c>
      <c r="F19" s="41" t="s">
        <v>171</v>
      </c>
      <c r="G19" s="75">
        <f>P22</f>
        <v>1437.2182396275696</v>
      </c>
      <c r="H19" s="41" t="s">
        <v>171</v>
      </c>
      <c r="I19" s="75">
        <f>E19</f>
        <v>958.14549308504638</v>
      </c>
      <c r="J19" s="41" t="s">
        <v>171</v>
      </c>
      <c r="K19" s="75">
        <v>0</v>
      </c>
      <c r="O19" s="41"/>
      <c r="P19" s="34"/>
    </row>
    <row r="20" spans="1:18" ht="18" x14ac:dyDescent="0.35">
      <c r="A20" s="50" t="s">
        <v>235</v>
      </c>
      <c r="B20" s="41" t="s">
        <v>172</v>
      </c>
      <c r="C20" s="50">
        <v>0</v>
      </c>
      <c r="D20" s="41" t="s">
        <v>172</v>
      </c>
      <c r="E20" s="50">
        <v>0</v>
      </c>
      <c r="F20" s="41" t="s">
        <v>172</v>
      </c>
      <c r="G20" s="50">
        <v>0</v>
      </c>
      <c r="H20" s="41" t="s">
        <v>172</v>
      </c>
      <c r="I20" s="50">
        <v>0</v>
      </c>
      <c r="J20" s="41" t="s">
        <v>172</v>
      </c>
      <c r="K20" s="50">
        <v>0</v>
      </c>
      <c r="N20" s="50" t="s">
        <v>213</v>
      </c>
      <c r="O20" s="41" t="s">
        <v>219</v>
      </c>
      <c r="P20" s="75">
        <f>Gear!I19</f>
        <v>600.24149966086247</v>
      </c>
      <c r="Q20" s="50" t="s">
        <v>27</v>
      </c>
    </row>
    <row r="21" spans="1:18" ht="18" x14ac:dyDescent="0.35">
      <c r="A21" s="50" t="s">
        <v>233</v>
      </c>
      <c r="B21" s="41" t="s">
        <v>173</v>
      </c>
      <c r="C21" s="50">
        <v>0</v>
      </c>
      <c r="D21" s="41" t="s">
        <v>173</v>
      </c>
      <c r="E21" s="50">
        <v>0</v>
      </c>
      <c r="F21" s="41" t="s">
        <v>173</v>
      </c>
      <c r="G21" s="50">
        <v>0</v>
      </c>
      <c r="H21" s="41" t="s">
        <v>173</v>
      </c>
      <c r="I21" s="50">
        <v>0</v>
      </c>
      <c r="J21" s="41" t="s">
        <v>173</v>
      </c>
      <c r="K21" s="50">
        <v>0</v>
      </c>
      <c r="N21" s="50" t="s">
        <v>214</v>
      </c>
      <c r="O21" s="41" t="s">
        <v>215</v>
      </c>
      <c r="P21" s="75">
        <f>P20/COS(20*PI()/180)</f>
        <v>638.76366205669763</v>
      </c>
      <c r="Q21" s="50" t="s">
        <v>27</v>
      </c>
    </row>
    <row r="22" spans="1:18" ht="18" x14ac:dyDescent="0.35">
      <c r="A22" s="50" t="s">
        <v>234</v>
      </c>
      <c r="B22" s="41" t="s">
        <v>174</v>
      </c>
      <c r="C22" s="50">
        <v>0</v>
      </c>
      <c r="D22" s="41" t="s">
        <v>174</v>
      </c>
      <c r="E22" s="50">
        <v>0</v>
      </c>
      <c r="F22" s="41" t="s">
        <v>174</v>
      </c>
      <c r="G22" s="50">
        <f>P18</f>
        <v>3150</v>
      </c>
      <c r="H22" s="41" t="s">
        <v>174</v>
      </c>
      <c r="I22" s="50">
        <f>G22</f>
        <v>3150</v>
      </c>
      <c r="J22" s="41" t="s">
        <v>174</v>
      </c>
      <c r="K22" s="50">
        <f>G22</f>
        <v>3150</v>
      </c>
      <c r="N22" s="50" t="s">
        <v>216</v>
      </c>
      <c r="O22" s="41" t="s">
        <v>328</v>
      </c>
      <c r="P22" s="75">
        <f>(P21/2)*R23</f>
        <v>1437.2182396275696</v>
      </c>
      <c r="Q22" s="50" t="s">
        <v>218</v>
      </c>
    </row>
    <row r="23" spans="1:18" ht="15" customHeight="1" x14ac:dyDescent="0.25">
      <c r="B23" s="41"/>
      <c r="D23" s="41"/>
      <c r="F23" s="41"/>
      <c r="H23" s="41"/>
      <c r="J23" s="41"/>
      <c r="N23" s="50" t="s">
        <v>270</v>
      </c>
      <c r="O23" s="41"/>
      <c r="P23" s="90">
        <v>9</v>
      </c>
      <c r="Q23" s="126" t="s">
        <v>295</v>
      </c>
      <c r="R23" s="50">
        <f>P23/2</f>
        <v>4.5</v>
      </c>
    </row>
    <row r="24" spans="1:18" ht="15.75" x14ac:dyDescent="0.25">
      <c r="A24" s="60" t="s">
        <v>184</v>
      </c>
      <c r="N24" s="50" t="s">
        <v>288</v>
      </c>
      <c r="P24" s="90">
        <v>3</v>
      </c>
      <c r="Q24" s="126"/>
      <c r="R24" s="50">
        <f>P24/2</f>
        <v>1.5</v>
      </c>
    </row>
    <row r="25" spans="1:18" x14ac:dyDescent="0.25">
      <c r="A25" s="50" t="s">
        <v>189</v>
      </c>
      <c r="B25" s="41" t="s">
        <v>185</v>
      </c>
      <c r="C25" s="41">
        <f>$C$15</f>
        <v>2</v>
      </c>
      <c r="D25" s="41" t="s">
        <v>185</v>
      </c>
      <c r="E25" s="41">
        <f>$C$15</f>
        <v>2</v>
      </c>
      <c r="F25" s="41" t="s">
        <v>185</v>
      </c>
      <c r="G25" s="41">
        <f>$C$15</f>
        <v>2</v>
      </c>
      <c r="H25" s="41" t="s">
        <v>185</v>
      </c>
      <c r="I25" s="41">
        <f>$C$15</f>
        <v>2</v>
      </c>
      <c r="J25" s="41" t="s">
        <v>185</v>
      </c>
      <c r="K25" s="41">
        <f>$C$15</f>
        <v>2</v>
      </c>
      <c r="N25" s="50" t="s">
        <v>289</v>
      </c>
      <c r="P25" s="90">
        <v>18</v>
      </c>
      <c r="Q25" s="126"/>
      <c r="R25" s="50">
        <f>(P25/25.4)/2</f>
        <v>0.35433070866141736</v>
      </c>
    </row>
    <row r="26" spans="1:18" x14ac:dyDescent="0.25">
      <c r="B26" s="41" t="s">
        <v>186</v>
      </c>
      <c r="C26" s="6">
        <f>$C$16</f>
        <v>-0.217</v>
      </c>
      <c r="D26" s="41" t="s">
        <v>186</v>
      </c>
      <c r="E26" s="6">
        <f>$C$16</f>
        <v>-0.217</v>
      </c>
      <c r="F26" s="41" t="s">
        <v>186</v>
      </c>
      <c r="G26" s="6">
        <f>$C$16</f>
        <v>-0.217</v>
      </c>
      <c r="H26" s="41" t="s">
        <v>186</v>
      </c>
      <c r="I26" s="6">
        <f>$C$16</f>
        <v>-0.217</v>
      </c>
      <c r="J26" s="41" t="s">
        <v>186</v>
      </c>
      <c r="K26" s="6">
        <f>$C$16</f>
        <v>-0.217</v>
      </c>
    </row>
    <row r="27" spans="1:18" ht="18" x14ac:dyDescent="0.35">
      <c r="A27" s="50" t="s">
        <v>344</v>
      </c>
      <c r="B27" s="41" t="s">
        <v>187</v>
      </c>
      <c r="C27" s="88">
        <f>C25*C12^C26</f>
        <v>0.70391559424113026</v>
      </c>
      <c r="D27" s="41" t="s">
        <v>187</v>
      </c>
      <c r="E27" s="88">
        <f>E25*$C$12^E26</f>
        <v>0.70391559424113026</v>
      </c>
      <c r="F27" s="41" t="s">
        <v>187</v>
      </c>
      <c r="G27" s="88">
        <f>G25*$C$12^G26</f>
        <v>0.70391559424113026</v>
      </c>
      <c r="H27" s="41" t="s">
        <v>187</v>
      </c>
      <c r="I27" s="88">
        <f>I25*$C$12^I26</f>
        <v>0.70391559424113026</v>
      </c>
      <c r="J27" s="41" t="s">
        <v>187</v>
      </c>
      <c r="K27" s="88">
        <f>K25*$C$12^K26</f>
        <v>0.70391559424113026</v>
      </c>
    </row>
    <row r="28" spans="1:18" x14ac:dyDescent="0.25">
      <c r="A28" s="50" t="s">
        <v>208</v>
      </c>
      <c r="B28" s="41" t="s">
        <v>366</v>
      </c>
      <c r="C28" s="68">
        <v>1.8897637795</v>
      </c>
      <c r="D28" s="41" t="s">
        <v>366</v>
      </c>
      <c r="E28" s="68">
        <v>1.8897637795</v>
      </c>
      <c r="F28" s="41" t="s">
        <v>365</v>
      </c>
      <c r="G28" s="68">
        <v>1.7716535433</v>
      </c>
      <c r="H28" s="41" t="s">
        <v>367</v>
      </c>
      <c r="I28" s="68">
        <v>1.7519685038999999</v>
      </c>
      <c r="J28" s="41" t="s">
        <v>364</v>
      </c>
      <c r="K28" s="68">
        <v>1.5748031495999999</v>
      </c>
    </row>
    <row r="29" spans="1:18" ht="18" x14ac:dyDescent="0.35">
      <c r="A29" s="50" t="s">
        <v>333</v>
      </c>
      <c r="B29" s="41" t="s">
        <v>190</v>
      </c>
      <c r="C29" s="69">
        <f>0.879*C28^-0.107</f>
        <v>0.82113255432528076</v>
      </c>
      <c r="D29" s="41" t="s">
        <v>190</v>
      </c>
      <c r="E29" s="69">
        <f>0.879*E28^-0.107</f>
        <v>0.82113255432528076</v>
      </c>
      <c r="F29" s="41" t="s">
        <v>190</v>
      </c>
      <c r="G29" s="69">
        <f>0.879*G28^-0.107</f>
        <v>0.82682260923217232</v>
      </c>
      <c r="H29" s="41" t="s">
        <v>190</v>
      </c>
      <c r="I29" s="69">
        <f>0.879*I28^-0.107</f>
        <v>0.82781170248602365</v>
      </c>
      <c r="J29" s="41" t="s">
        <v>190</v>
      </c>
      <c r="K29" s="69">
        <f>0.879*K28^-0.107</f>
        <v>0.83730881556418646</v>
      </c>
    </row>
    <row r="30" spans="1:18" ht="18" x14ac:dyDescent="0.35">
      <c r="A30" s="50" t="s">
        <v>334</v>
      </c>
      <c r="B30" s="41" t="s">
        <v>191</v>
      </c>
      <c r="C30" s="41">
        <v>1</v>
      </c>
      <c r="D30" s="41" t="s">
        <v>191</v>
      </c>
      <c r="E30" s="41">
        <v>1</v>
      </c>
      <c r="F30" s="41" t="s">
        <v>191</v>
      </c>
      <c r="G30" s="41">
        <v>1</v>
      </c>
      <c r="H30" s="41" t="s">
        <v>191</v>
      </c>
      <c r="I30" s="41">
        <v>1</v>
      </c>
      <c r="J30" s="41" t="s">
        <v>191</v>
      </c>
      <c r="K30" s="41">
        <v>1</v>
      </c>
    </row>
    <row r="31" spans="1:18" ht="18" x14ac:dyDescent="0.35">
      <c r="A31" s="50" t="s">
        <v>192</v>
      </c>
      <c r="B31" s="41" t="s">
        <v>193</v>
      </c>
      <c r="C31" s="41">
        <v>1</v>
      </c>
      <c r="D31" s="41" t="s">
        <v>193</v>
      </c>
      <c r="E31" s="41">
        <v>1</v>
      </c>
      <c r="F31" s="41" t="s">
        <v>193</v>
      </c>
      <c r="G31" s="41">
        <v>1</v>
      </c>
      <c r="H31" s="41" t="s">
        <v>193</v>
      </c>
      <c r="I31" s="41">
        <v>1</v>
      </c>
      <c r="J31" s="41" t="s">
        <v>193</v>
      </c>
      <c r="K31" s="41">
        <v>1</v>
      </c>
    </row>
    <row r="32" spans="1:18" ht="18" x14ac:dyDescent="0.35">
      <c r="A32" s="50" t="s">
        <v>335</v>
      </c>
      <c r="B32" s="41" t="s">
        <v>194</v>
      </c>
      <c r="C32" s="41">
        <v>0.753</v>
      </c>
      <c r="D32" s="41" t="s">
        <v>194</v>
      </c>
      <c r="E32" s="41">
        <v>0.753</v>
      </c>
      <c r="F32" s="41" t="s">
        <v>194</v>
      </c>
      <c r="G32" s="41">
        <v>0.753</v>
      </c>
      <c r="H32" s="41" t="s">
        <v>194</v>
      </c>
      <c r="I32" s="41">
        <v>0.753</v>
      </c>
      <c r="J32" s="41" t="s">
        <v>194</v>
      </c>
      <c r="K32" s="41">
        <v>0.753</v>
      </c>
    </row>
    <row r="33" spans="1:11" ht="18" x14ac:dyDescent="0.35">
      <c r="A33" s="60" t="s">
        <v>336</v>
      </c>
      <c r="B33" s="41" t="s">
        <v>196</v>
      </c>
      <c r="C33" s="69">
        <f>C27*C29*C30*C31*C32*C14</f>
        <v>26.7672619357893</v>
      </c>
      <c r="D33" s="41" t="s">
        <v>196</v>
      </c>
      <c r="E33" s="69">
        <f>E27*E29*E30*E31*E32*$C$14</f>
        <v>26.7672619357893</v>
      </c>
      <c r="F33" s="41" t="s">
        <v>196</v>
      </c>
      <c r="G33" s="69">
        <f>G27*G29*G30*G31*G32*$C$14</f>
        <v>26.952746227356499</v>
      </c>
      <c r="H33" s="41" t="s">
        <v>196</v>
      </c>
      <c r="I33" s="69">
        <f>I27*I29*I30*I31*I32*$C$14</f>
        <v>26.984988668683791</v>
      </c>
      <c r="J33" s="41" t="s">
        <v>196</v>
      </c>
      <c r="K33" s="69">
        <f>K27*K29*K30*K31*K32*$C$14</f>
        <v>27.294575363375092</v>
      </c>
    </row>
    <row r="34" spans="1:11" ht="15.75" x14ac:dyDescent="0.25">
      <c r="A34" s="60"/>
      <c r="B34" s="41"/>
      <c r="D34" s="41"/>
      <c r="F34" s="41"/>
      <c r="H34" s="41"/>
      <c r="J34" s="41"/>
    </row>
    <row r="35" spans="1:11" ht="15.75" x14ac:dyDescent="0.25">
      <c r="A35" s="60" t="s">
        <v>200</v>
      </c>
      <c r="B35" s="71"/>
      <c r="C35" s="71"/>
      <c r="D35" s="71"/>
      <c r="E35" s="71"/>
      <c r="F35" s="71"/>
      <c r="G35" s="71"/>
      <c r="H35" s="71"/>
      <c r="I35" s="71"/>
      <c r="J35" s="71"/>
      <c r="K35" s="71"/>
    </row>
    <row r="36" spans="1:11" x14ac:dyDescent="0.25">
      <c r="A36" s="59" t="s">
        <v>198</v>
      </c>
      <c r="B36" s="91">
        <v>0.02</v>
      </c>
      <c r="C36" s="71"/>
      <c r="D36" s="91">
        <v>0.02</v>
      </c>
      <c r="E36" s="71"/>
      <c r="F36" s="91">
        <v>0.02</v>
      </c>
      <c r="G36" s="71"/>
      <c r="H36" s="91">
        <v>0.01</v>
      </c>
      <c r="I36" s="71"/>
      <c r="J36" s="91">
        <v>0.02</v>
      </c>
      <c r="K36" s="71"/>
    </row>
    <row r="37" spans="1:11" x14ac:dyDescent="0.25">
      <c r="A37" s="7" t="s">
        <v>128</v>
      </c>
      <c r="B37" s="89"/>
      <c r="C37" s="71"/>
      <c r="D37" s="89"/>
      <c r="E37" s="71"/>
      <c r="F37" s="89"/>
      <c r="G37" s="71"/>
      <c r="H37" s="89"/>
      <c r="I37" s="71"/>
      <c r="J37" s="89"/>
      <c r="K37" s="71"/>
    </row>
    <row r="38" spans="1:11" x14ac:dyDescent="0.25">
      <c r="A38" s="59" t="s">
        <v>340</v>
      </c>
      <c r="B38" s="89">
        <f>0.245799-0.307794*10^(-2)*C12+0.150874*10^(-4)*(C12)^2-0.266978*10^(-7)*(C12)^3</f>
        <v>4.5788599607399984E-2</v>
      </c>
      <c r="C38" s="72"/>
      <c r="D38" s="89">
        <f>0.245799-0.307794*10^(-2)*C12+0.150874*10^(-4)*(C12)^2-0.266978*10^(-7)*(C12)^3</f>
        <v>4.5788599607399984E-2</v>
      </c>
      <c r="E38" s="72"/>
      <c r="F38" s="89">
        <f>0.245799-0.307794*10^(-2)*C12+0.150874*10^(-4)*(C12)^2-0.266978*10^(-7)*(C12)^3</f>
        <v>4.5788599607399984E-2</v>
      </c>
      <c r="G38" s="72"/>
      <c r="H38" s="89">
        <f>0.245799-0.307794*10^(-2)*C12+0.150874*10^(-4)*(C12)^2-0.266978*10^(-7)*(C12)^3</f>
        <v>4.5788599607399984E-2</v>
      </c>
      <c r="I38" s="72"/>
      <c r="J38" s="89">
        <f>0.245799-0.307794*10^(-2)*C12+0.150874*10^(-4)*(C12)^2-0.266978*10^(-7)*(C12)^3</f>
        <v>4.5788599607399984E-2</v>
      </c>
      <c r="K38" s="71"/>
    </row>
    <row r="39" spans="1:11" x14ac:dyDescent="0.25">
      <c r="A39" s="41" t="s">
        <v>337</v>
      </c>
      <c r="B39" s="89">
        <f>1/(1+B38/SQRT(B36))</f>
        <v>0.75541578758032724</v>
      </c>
      <c r="C39" s="72"/>
      <c r="D39" s="89">
        <f>1/(1+D38/SQRT(D36))</f>
        <v>0.75541578758032724</v>
      </c>
      <c r="E39" s="72"/>
      <c r="F39" s="89">
        <f>1/(1+F38/SQRT(F36))</f>
        <v>0.75541578758032724</v>
      </c>
      <c r="G39" s="72"/>
      <c r="H39" s="89">
        <f>1/(1+H38/SQRT(H36))</f>
        <v>0.68592469006008727</v>
      </c>
      <c r="I39" s="72"/>
      <c r="J39" s="89">
        <f>1/(1+J38/SQRT(J36))</f>
        <v>0.75541578758032724</v>
      </c>
      <c r="K39" s="71"/>
    </row>
    <row r="40" spans="1:11" x14ac:dyDescent="0.25">
      <c r="A40" s="61" t="s">
        <v>199</v>
      </c>
      <c r="B40" s="89"/>
      <c r="C40" s="71"/>
      <c r="D40" s="89"/>
      <c r="E40" s="71"/>
      <c r="F40" s="89"/>
      <c r="G40" s="71"/>
      <c r="H40" s="89"/>
      <c r="I40" s="71"/>
      <c r="J40" s="89"/>
      <c r="K40" s="71"/>
    </row>
    <row r="41" spans="1:11" x14ac:dyDescent="0.25">
      <c r="A41" s="41" t="s">
        <v>339</v>
      </c>
      <c r="B41" s="89">
        <f>0.19-0.251*10^(-2)*C12+0.135*10^(-4)*C12^2-0.267*10^(-7)*C12^3</f>
        <v>3.5826351100000015E-2</v>
      </c>
      <c r="C41" s="71"/>
      <c r="D41" s="89">
        <f>0.19-0.251*10^(-2)*C12+0.135*10^(-4)*C12^2-0.267*10^(-7)*C12^3</f>
        <v>3.5826351100000015E-2</v>
      </c>
      <c r="E41" s="71"/>
      <c r="F41" s="89">
        <f>0.19-0.251*10^(-2)*C12+0.135*10^(-4)*C12^2-0.267*10^(-7)*C12^3</f>
        <v>3.5826351100000015E-2</v>
      </c>
      <c r="G41" s="71"/>
      <c r="H41" s="89">
        <f>0.19-0.251*10^(-2)*C12+0.135*10^(-4)*C12^2-0.267*10^(-7)*C12^3</f>
        <v>3.5826351100000015E-2</v>
      </c>
      <c r="I41" s="71"/>
      <c r="J41" s="89">
        <f>0.19-0.251*10^(-2)*C12+0.135*10^(-4)*C12^2-0.267*10^(-7)*C12^3</f>
        <v>3.5826351100000015E-2</v>
      </c>
      <c r="K41" s="71"/>
    </row>
    <row r="42" spans="1:11" x14ac:dyDescent="0.25">
      <c r="A42" s="41" t="s">
        <v>338</v>
      </c>
      <c r="B42" s="89">
        <f>1/(1+B41/SQRT(B36))</f>
        <v>0.79787410715659624</v>
      </c>
      <c r="C42" s="71"/>
      <c r="D42" s="89">
        <f>1/(1+D41/SQRT(D36))</f>
        <v>0.79787410715659624</v>
      </c>
      <c r="E42" s="73"/>
      <c r="F42" s="89">
        <f>1/(1+F41/SQRT(F36))</f>
        <v>0.79787410715659624</v>
      </c>
      <c r="G42" s="73"/>
      <c r="H42" s="89">
        <f>1/(1+H41/SQRT(H36))</f>
        <v>0.73623416362246663</v>
      </c>
      <c r="I42" s="73"/>
      <c r="J42" s="89">
        <f>1/(1+J41/SQRT(J36))</f>
        <v>0.79787410715659624</v>
      </c>
      <c r="K42" s="71"/>
    </row>
    <row r="43" spans="1:11" x14ac:dyDescent="0.25">
      <c r="A43" s="41"/>
      <c r="B43" s="72"/>
      <c r="C43" s="71"/>
      <c r="D43" s="72"/>
      <c r="E43" s="73"/>
      <c r="F43" s="72"/>
      <c r="G43" s="73"/>
      <c r="H43" s="72"/>
      <c r="I43" s="73"/>
      <c r="J43" s="89"/>
      <c r="K43" s="71"/>
    </row>
    <row r="44" spans="1:11" ht="15.75" x14ac:dyDescent="0.25">
      <c r="A44" s="60" t="s">
        <v>197</v>
      </c>
    </row>
    <row r="45" spans="1:11" ht="15.75" x14ac:dyDescent="0.25">
      <c r="A45" s="60"/>
      <c r="B45" s="41" t="s">
        <v>305</v>
      </c>
      <c r="C45" s="69">
        <f>1.5/C28</f>
        <v>0.79375000001157558</v>
      </c>
      <c r="D45" s="41" t="s">
        <v>305</v>
      </c>
      <c r="E45" s="69">
        <f>1.5/E28</f>
        <v>0.79375000001157558</v>
      </c>
      <c r="H45" s="41" t="s">
        <v>308</v>
      </c>
      <c r="I45" s="69">
        <f>0.056/(I28-1.291)</f>
        <v>0.12148335412553118</v>
      </c>
    </row>
    <row r="46" spans="1:11" ht="15.75" x14ac:dyDescent="0.25">
      <c r="A46" s="60"/>
      <c r="B46" s="41" t="s">
        <v>306</v>
      </c>
      <c r="C46" s="69">
        <f>B36/C28</f>
        <v>1.0583333333487674E-2</v>
      </c>
      <c r="D46" s="41" t="s">
        <v>306</v>
      </c>
      <c r="E46" s="69">
        <f>D36/E28</f>
        <v>1.0583333333487674E-2</v>
      </c>
      <c r="H46" s="41" t="s">
        <v>307</v>
      </c>
      <c r="I46" s="69">
        <f>H36/(I28-1.291)</f>
        <v>2.1693456093844855E-2</v>
      </c>
    </row>
    <row r="47" spans="1:11" ht="18" x14ac:dyDescent="0.35">
      <c r="A47" s="41" t="s">
        <v>221</v>
      </c>
      <c r="B47" s="41" t="s">
        <v>201</v>
      </c>
      <c r="C47" s="51">
        <v>1.45</v>
      </c>
      <c r="D47" s="41" t="s">
        <v>201</v>
      </c>
      <c r="E47" s="51">
        <v>1.45</v>
      </c>
      <c r="F47" s="41" t="s">
        <v>227</v>
      </c>
      <c r="G47" s="51">
        <v>2.2000000000000002</v>
      </c>
      <c r="H47" s="41" t="s">
        <v>227</v>
      </c>
      <c r="I47" s="51">
        <v>5.5</v>
      </c>
      <c r="J47" s="41" t="s">
        <v>227</v>
      </c>
      <c r="K47" s="51">
        <v>2.2000000000000002</v>
      </c>
    </row>
    <row r="48" spans="1:11" ht="18" x14ac:dyDescent="0.35">
      <c r="A48" s="41" t="s">
        <v>220</v>
      </c>
      <c r="B48" s="41" t="s">
        <v>202</v>
      </c>
      <c r="C48" s="51">
        <v>1.1499999999999999</v>
      </c>
      <c r="D48" s="41" t="s">
        <v>202</v>
      </c>
      <c r="E48" s="51">
        <v>1.1499999999999999</v>
      </c>
      <c r="F48" s="41" t="s">
        <v>228</v>
      </c>
      <c r="G48" s="51">
        <v>3</v>
      </c>
      <c r="H48" s="41" t="s">
        <v>228</v>
      </c>
      <c r="I48" s="51">
        <v>3.25</v>
      </c>
      <c r="J48" s="41" t="s">
        <v>228</v>
      </c>
      <c r="K48" s="51">
        <v>3</v>
      </c>
    </row>
    <row r="49" spans="1:11" ht="18" x14ac:dyDescent="0.35">
      <c r="A49" s="41" t="s">
        <v>225</v>
      </c>
      <c r="B49" s="41" t="s">
        <v>203</v>
      </c>
      <c r="C49" s="68">
        <f>1+B39*(C47-1)</f>
        <v>1.3399371044111472</v>
      </c>
      <c r="D49" s="41" t="s">
        <v>203</v>
      </c>
      <c r="E49" s="68">
        <f>1+D39*(E47-1)</f>
        <v>1.3399371044111472</v>
      </c>
      <c r="F49" s="41" t="s">
        <v>203</v>
      </c>
      <c r="G49" s="68">
        <f>1+F39*(G47-1)</f>
        <v>1.9064989450963927</v>
      </c>
      <c r="H49" s="41" t="s">
        <v>203</v>
      </c>
      <c r="I49" s="68">
        <f>1+H39*(I47-1)</f>
        <v>4.0866611052703927</v>
      </c>
      <c r="J49" s="41" t="s">
        <v>203</v>
      </c>
      <c r="K49" s="68">
        <f>1+J39*(K47-1)</f>
        <v>1.9064989450963927</v>
      </c>
    </row>
    <row r="50" spans="1:11" ht="18" x14ac:dyDescent="0.35">
      <c r="A50" s="41" t="s">
        <v>226</v>
      </c>
      <c r="B50" s="41" t="s">
        <v>204</v>
      </c>
      <c r="C50" s="68">
        <f>1+B42*(C48-1)</f>
        <v>1.1196811160734894</v>
      </c>
      <c r="D50" s="41" t="s">
        <v>204</v>
      </c>
      <c r="E50" s="68">
        <f>1+D42*(E48-1)</f>
        <v>1.1196811160734894</v>
      </c>
      <c r="F50" s="41" t="s">
        <v>204</v>
      </c>
      <c r="G50" s="68">
        <f>1+F42*(G48-1)</f>
        <v>2.5957482143131925</v>
      </c>
      <c r="H50" s="41" t="s">
        <v>204</v>
      </c>
      <c r="I50" s="68">
        <f>1+H42*(I48-1)</f>
        <v>2.6565268681505501</v>
      </c>
      <c r="J50" s="41" t="s">
        <v>204</v>
      </c>
      <c r="K50" s="68">
        <f>1+J42*(K48-1)</f>
        <v>2.5957482143131925</v>
      </c>
    </row>
    <row r="51" spans="1:11" x14ac:dyDescent="0.25">
      <c r="A51" s="41"/>
      <c r="B51" s="41"/>
      <c r="C51" s="70"/>
      <c r="D51" s="78"/>
      <c r="E51" s="70"/>
      <c r="F51" s="78"/>
      <c r="G51" s="70"/>
      <c r="H51" s="78"/>
      <c r="I51" s="70"/>
      <c r="J51" s="78"/>
      <c r="K51" s="70"/>
    </row>
    <row r="52" spans="1:11" ht="15.75" x14ac:dyDescent="0.25">
      <c r="A52" s="60" t="s">
        <v>205</v>
      </c>
      <c r="C52" s="69"/>
      <c r="E52" s="69"/>
      <c r="G52" s="69"/>
      <c r="I52" s="81"/>
      <c r="K52" s="69"/>
    </row>
    <row r="53" spans="1:11" ht="18" x14ac:dyDescent="0.35">
      <c r="A53" s="41" t="s">
        <v>341</v>
      </c>
      <c r="B53" s="41" t="s">
        <v>207</v>
      </c>
      <c r="C53" s="80">
        <f>1/(16/(PI()*C28^3)*(1/C33*SQRT(4*(C49*C19/1000)^2+3*(C50*C21/1000)^2)+1/C12*SQRT(4*(C49*C20/1000)^2+3*(C50*C22/1000)^2) ))</f>
        <v>116.95613093774034</v>
      </c>
      <c r="D53" s="41" t="s">
        <v>207</v>
      </c>
      <c r="E53" s="80">
        <f>1/(16/(PI()*E28^3)*(1/E33*SQRT(4*(E49*E19/1000)^2+3*(E50*E21/1000)^2)+1/$C$12*SQRT(4*(E49*E20/1000)^2+3*(E50*E22/1000)^2) ))</f>
        <v>13.813716252489018</v>
      </c>
      <c r="F53" s="41" t="s">
        <v>207</v>
      </c>
      <c r="G53" s="80">
        <f>1/(16/(PI()*G28^3)*(1/G33*SQRT(4*(G49*G19/1000)^2+3*(G50*G21/1000)^2)+1/$C$12*SQRT(4*(G49*G20/1000)^2+3*(G50*G22/1000)^2) ))</f>
        <v>3.4285191999912779</v>
      </c>
      <c r="H53" s="41" t="s">
        <v>207</v>
      </c>
      <c r="I53" s="80">
        <f>1/(16/(PI()*I28^3)*(1/I33*SQRT(4*(I49*I19/1000)^2+3*(I50*I21/1000)^2)+1/$C$12*SQRT(4*(I49*I20/1000)^2+3*(I50*I22/1000)^2) ))</f>
        <v>2.5876301929182071</v>
      </c>
      <c r="J53" s="41" t="s">
        <v>207</v>
      </c>
      <c r="K53" s="80">
        <f>1/(16/(PI()*K28^3)*(1/K33*SQRT(4*(K49*K19/1000)^2+3*(K50*K21/1000)^2)+1/$C$12*SQRT(4*(K49*K20/1000)^2+3*(K50*K22/1000)^2) ))</f>
        <v>6.6600897323855737</v>
      </c>
    </row>
    <row r="54" spans="1:11" x14ac:dyDescent="0.25">
      <c r="C54" s="69"/>
      <c r="E54" s="69"/>
      <c r="G54" s="69"/>
      <c r="I54" s="69"/>
      <c r="K54" s="69"/>
    </row>
    <row r="55" spans="1:11" ht="18" x14ac:dyDescent="0.35">
      <c r="A55" s="66" t="s">
        <v>342</v>
      </c>
      <c r="B55" s="66" t="s">
        <v>222</v>
      </c>
      <c r="C55" s="69">
        <f>SQRT(((((32*C19)/(PI()*C28^3))*KfA)^2)+(3*((16*C21)/(PI()*C28^3)*KfsA)^2))/1000</f>
        <v>0.2288658296163919</v>
      </c>
      <c r="D55" s="66" t="s">
        <v>222</v>
      </c>
      <c r="E55" s="69">
        <f>SQRT(((((32*E19)/(PI()*E28^3))*E49)^2)+(3*((16*E21)/(PI()*E28^3)*E50)^2))/1000</f>
        <v>1.9377306907521177</v>
      </c>
      <c r="F55" s="66" t="s">
        <v>222</v>
      </c>
      <c r="G55" s="69">
        <f>SQRT(((((32*G19)/(PI()*G28^3))*G49)^2)+(3*((16*G21)/(PI()*G28^3)*G50)^2))/1000</f>
        <v>5.0190671210903064</v>
      </c>
      <c r="H55" s="66" t="s">
        <v>222</v>
      </c>
      <c r="I55" s="69">
        <f>SQRT(((((32*I19)/(PI()*I28^3))*I49)^2)+(3*((16*I21)/(PI()*I28^3)*I50)^2))/1000</f>
        <v>7.4168809502818549</v>
      </c>
      <c r="J55" s="66" t="s">
        <v>222</v>
      </c>
      <c r="K55" s="69">
        <f>SQRT(((((32*K19)/(PI()*K28^3))*K49)^2)+(3*((16*K21)/(PI()*K28^3)*K50)^2))/1000</f>
        <v>0</v>
      </c>
    </row>
    <row r="56" spans="1:11" ht="18" x14ac:dyDescent="0.35">
      <c r="A56" s="66" t="s">
        <v>343</v>
      </c>
      <c r="B56" s="66" t="s">
        <v>223</v>
      </c>
      <c r="C56" s="69">
        <f>SQRT(((((32*C20)/(PI()*C29^3))*KfA)^2)+(3*((16*C22)/(PI()*C29^3)*KfsA)^2))/1000</f>
        <v>0</v>
      </c>
      <c r="D56" s="66" t="s">
        <v>223</v>
      </c>
      <c r="E56" s="69">
        <f>SQRT(((((32*E20)/(PI()*E28^3))*E49)^2)+(3*((16*E22)/(PI()*E28^3)*E50)^2))/1000</f>
        <v>0</v>
      </c>
      <c r="F56" s="66" t="s">
        <v>223</v>
      </c>
      <c r="G56" s="69">
        <f>SQRT(((((32*G20)/(PI()*G28^3))*KfA)^2)+(3*((16*G22)/(PI()*G28^3)*KfsA)^2))/1000</f>
        <v>5.5949892103229892</v>
      </c>
      <c r="H56" s="66" t="s">
        <v>223</v>
      </c>
      <c r="I56" s="69">
        <f>SQRT(((((32*I20)/(PI()*I28^3))*I49)^2)+(3*((16*I22)/(PI()*I28^3)*I50)^2))/1000</f>
        <v>13.727031199954679</v>
      </c>
      <c r="J56" s="66" t="s">
        <v>223</v>
      </c>
      <c r="K56" s="69">
        <f>SQRT(((((32*K20)/(PI()*K28^3))*K49)^2)+(3*((16*K22)/(PI()*K28^3)*K50)^2))/1000</f>
        <v>18.468219640029186</v>
      </c>
    </row>
    <row r="57" spans="1:11" ht="18" x14ac:dyDescent="0.35">
      <c r="A57" s="66" t="s">
        <v>245</v>
      </c>
      <c r="B57" s="66" t="s">
        <v>224</v>
      </c>
      <c r="C57" s="69">
        <f>C55+C56</f>
        <v>0.2288658296163919</v>
      </c>
      <c r="D57" s="66" t="s">
        <v>224</v>
      </c>
      <c r="E57" s="69">
        <f>E55+E56</f>
        <v>1.9377306907521177</v>
      </c>
      <c r="F57" s="66" t="s">
        <v>224</v>
      </c>
      <c r="G57" s="69">
        <f>G55+G56</f>
        <v>10.614056331413295</v>
      </c>
      <c r="H57" s="66" t="s">
        <v>224</v>
      </c>
      <c r="I57" s="69">
        <f>I55+I56</f>
        <v>21.143912150236535</v>
      </c>
      <c r="J57" s="66" t="s">
        <v>224</v>
      </c>
      <c r="K57" s="69">
        <f>K55+K56</f>
        <v>18.468219640029186</v>
      </c>
    </row>
    <row r="58" spans="1:11" ht="18" x14ac:dyDescent="0.35">
      <c r="A58" s="41" t="s">
        <v>252</v>
      </c>
      <c r="B58" s="41" t="s">
        <v>207</v>
      </c>
      <c r="C58" s="81">
        <f>$C$13/C57</f>
        <v>410.72098948784054</v>
      </c>
      <c r="D58" s="41" t="s">
        <v>207</v>
      </c>
      <c r="E58" s="81">
        <f>$C$13/E57</f>
        <v>48.510353089115036</v>
      </c>
      <c r="F58" s="41" t="s">
        <v>207</v>
      </c>
      <c r="G58" s="81">
        <f>$C$13/G57</f>
        <v>8.8561806217099281</v>
      </c>
      <c r="H58" s="41" t="s">
        <v>207</v>
      </c>
      <c r="I58" s="81">
        <f>$C$13/I57</f>
        <v>4.4457241087689834</v>
      </c>
      <c r="J58" s="41" t="s">
        <v>207</v>
      </c>
      <c r="K58" s="81">
        <f>$C$13/K57</f>
        <v>5.0898246735304395</v>
      </c>
    </row>
    <row r="59" spans="1:11" x14ac:dyDescent="0.25">
      <c r="A59" s="41"/>
      <c r="I59" s="69"/>
    </row>
  </sheetData>
  <mergeCells count="12">
    <mergeCell ref="Q23:Q25"/>
    <mergeCell ref="B3:C4"/>
    <mergeCell ref="D3:E4"/>
    <mergeCell ref="F3:I3"/>
    <mergeCell ref="M13:R16"/>
    <mergeCell ref="B18:C18"/>
    <mergeCell ref="F18:G18"/>
    <mergeCell ref="D18:E18"/>
    <mergeCell ref="H18:I18"/>
    <mergeCell ref="J18:K18"/>
    <mergeCell ref="F12:G12"/>
    <mergeCell ref="F13:G13"/>
  </mergeCells>
  <pageMargins left="0.7" right="0.7" top="0.75" bottom="0.75" header="0.3" footer="0.3"/>
  <pageSetup scale="36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4"/>
  <sheetViews>
    <sheetView topLeftCell="A12" zoomScale="101" zoomScaleNormal="70" workbookViewId="0">
      <selection activeCell="B45" sqref="B45"/>
    </sheetView>
  </sheetViews>
  <sheetFormatPr defaultColWidth="11.42578125" defaultRowHeight="15" x14ac:dyDescent="0.25"/>
  <cols>
    <col min="1" max="1" width="21.42578125" customWidth="1"/>
    <col min="2" max="2" width="22.7109375" customWidth="1"/>
    <col min="3" max="3" width="14.7109375" customWidth="1"/>
    <col min="4" max="4" width="2.7109375" customWidth="1"/>
    <col min="5" max="5" width="11.7109375" customWidth="1"/>
    <col min="6" max="6" width="22.7109375" customWidth="1"/>
    <col min="7" max="7" width="14.7109375" customWidth="1"/>
    <col min="8" max="8" width="2.7109375" customWidth="1"/>
    <col min="9" max="9" width="11.7109375" customWidth="1"/>
    <col min="10" max="10" width="22.7109375" customWidth="1"/>
    <col min="11" max="11" width="14.7109375" customWidth="1"/>
    <col min="12" max="12" width="2.7109375" customWidth="1"/>
    <col min="13" max="13" width="11.7109375" customWidth="1"/>
    <col min="14" max="14" width="22.7109375" customWidth="1"/>
    <col min="15" max="15" width="14.7109375" customWidth="1"/>
  </cols>
  <sheetData>
    <row r="1" spans="1:15" s="50" customFormat="1" ht="15.75" x14ac:dyDescent="0.25">
      <c r="A1" s="133" t="s">
        <v>287</v>
      </c>
      <c r="B1" s="133"/>
    </row>
    <row r="2" spans="1:15" s="50" customFormat="1" x14ac:dyDescent="0.25"/>
    <row r="3" spans="1:15" s="50" customFormat="1" x14ac:dyDescent="0.25">
      <c r="A3" s="7" t="s">
        <v>286</v>
      </c>
    </row>
    <row r="4" spans="1:15" x14ac:dyDescent="0.25">
      <c r="A4" s="55" t="s">
        <v>313</v>
      </c>
      <c r="B4" s="76">
        <v>25</v>
      </c>
      <c r="E4" s="50"/>
      <c r="J4" s="50"/>
    </row>
    <row r="5" spans="1:15" x14ac:dyDescent="0.25">
      <c r="A5" s="55" t="s">
        <v>314</v>
      </c>
      <c r="B5" s="76">
        <v>1750</v>
      </c>
      <c r="E5" s="50"/>
      <c r="J5" s="50"/>
      <c r="K5" s="50"/>
      <c r="L5" s="50"/>
    </row>
    <row r="6" spans="1:15" x14ac:dyDescent="0.25">
      <c r="A6" s="55" t="s">
        <v>315</v>
      </c>
      <c r="B6" s="76">
        <v>500</v>
      </c>
      <c r="E6" s="50"/>
      <c r="J6" s="50"/>
      <c r="K6" s="50"/>
      <c r="L6" s="50"/>
    </row>
    <row r="7" spans="1:15" x14ac:dyDescent="0.25">
      <c r="A7" s="76" t="s">
        <v>208</v>
      </c>
      <c r="B7" s="68">
        <v>1.7716535433</v>
      </c>
      <c r="E7" s="50"/>
      <c r="H7" s="50"/>
      <c r="I7" s="50"/>
      <c r="J7" s="50"/>
      <c r="K7" s="50"/>
      <c r="L7" s="50"/>
    </row>
    <row r="8" spans="1:15" ht="18" x14ac:dyDescent="0.35">
      <c r="A8" s="76" t="s">
        <v>316</v>
      </c>
      <c r="B8" s="76">
        <v>94</v>
      </c>
      <c r="K8" s="50"/>
      <c r="L8" s="50"/>
    </row>
    <row r="9" spans="1:15" ht="18" x14ac:dyDescent="0.35">
      <c r="A9" s="76" t="s">
        <v>317</v>
      </c>
      <c r="B9" s="76">
        <v>140</v>
      </c>
      <c r="C9" s="50"/>
      <c r="D9" s="50"/>
      <c r="F9" s="70"/>
      <c r="K9" s="50"/>
      <c r="L9" s="50"/>
    </row>
    <row r="10" spans="1:15" x14ac:dyDescent="0.25">
      <c r="A10" s="76" t="s">
        <v>272</v>
      </c>
      <c r="B10" s="76">
        <v>2</v>
      </c>
      <c r="C10" s="50"/>
      <c r="D10" s="50"/>
      <c r="K10" s="50"/>
      <c r="L10" s="50"/>
    </row>
    <row r="11" spans="1:15" s="50" customFormat="1" x14ac:dyDescent="0.25">
      <c r="A11"/>
      <c r="B11"/>
      <c r="C11"/>
    </row>
    <row r="12" spans="1:15" x14ac:dyDescent="0.25">
      <c r="A12" s="50"/>
      <c r="B12" s="50"/>
      <c r="C12" s="50"/>
      <c r="D12" s="50"/>
      <c r="K12" s="50"/>
      <c r="L12" s="50"/>
    </row>
    <row r="13" spans="1:15" ht="15" customHeight="1" x14ac:dyDescent="0.25">
      <c r="B13" s="79" t="s">
        <v>258</v>
      </c>
      <c r="C13" s="103" t="s">
        <v>259</v>
      </c>
      <c r="E13" s="50"/>
      <c r="F13" s="79" t="s">
        <v>258</v>
      </c>
      <c r="G13" s="57" t="s">
        <v>259</v>
      </c>
      <c r="I13" s="50"/>
      <c r="J13" s="79" t="s">
        <v>258</v>
      </c>
      <c r="K13" s="57" t="s">
        <v>259</v>
      </c>
      <c r="L13" s="50"/>
      <c r="M13" s="50"/>
      <c r="N13" s="79" t="s">
        <v>258</v>
      </c>
      <c r="O13" s="57" t="s">
        <v>261</v>
      </c>
    </row>
    <row r="14" spans="1:15" x14ac:dyDescent="0.25">
      <c r="A14" s="151" t="s">
        <v>322</v>
      </c>
      <c r="B14" s="55" t="s">
        <v>263</v>
      </c>
      <c r="C14" s="104">
        <v>0.5</v>
      </c>
      <c r="D14" s="50"/>
      <c r="E14" s="50"/>
      <c r="F14" s="55" t="s">
        <v>263</v>
      </c>
      <c r="G14" s="92">
        <f>5/16</f>
        <v>0.3125</v>
      </c>
      <c r="I14" s="50"/>
      <c r="J14" s="55" t="s">
        <v>263</v>
      </c>
      <c r="K14" s="92">
        <v>0.375</v>
      </c>
      <c r="L14" s="50"/>
      <c r="M14" s="50"/>
      <c r="N14" s="55" t="s">
        <v>263</v>
      </c>
      <c r="O14" s="92">
        <v>0.375</v>
      </c>
    </row>
    <row r="15" spans="1:15" x14ac:dyDescent="0.25">
      <c r="A15" s="151"/>
      <c r="B15" s="55" t="s">
        <v>265</v>
      </c>
      <c r="C15" s="104">
        <v>0.375</v>
      </c>
      <c r="D15" s="50"/>
      <c r="E15" s="50"/>
      <c r="F15" s="55" t="s">
        <v>265</v>
      </c>
      <c r="G15" s="92">
        <v>0.25</v>
      </c>
      <c r="I15" s="50"/>
      <c r="J15" s="55" t="s">
        <v>265</v>
      </c>
      <c r="K15" s="92">
        <v>0.25</v>
      </c>
      <c r="L15" s="50"/>
      <c r="M15" s="50"/>
      <c r="N15" s="55" t="s">
        <v>265</v>
      </c>
      <c r="O15" s="92">
        <v>0.25</v>
      </c>
    </row>
    <row r="16" spans="1:15" s="50" customFormat="1" ht="18" x14ac:dyDescent="0.35">
      <c r="A16" s="105" t="s">
        <v>323</v>
      </c>
      <c r="B16" s="76" t="s">
        <v>309</v>
      </c>
      <c r="C16" s="94">
        <v>24</v>
      </c>
      <c r="F16" s="76" t="s">
        <v>309</v>
      </c>
      <c r="G16" s="94">
        <v>24</v>
      </c>
      <c r="J16" s="76" t="s">
        <v>309</v>
      </c>
      <c r="K16" s="94">
        <v>24</v>
      </c>
      <c r="N16" s="76" t="s">
        <v>309</v>
      </c>
      <c r="O16" s="94">
        <v>32</v>
      </c>
    </row>
    <row r="17" spans="1:15" x14ac:dyDescent="0.25"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</row>
    <row r="18" spans="1:15" x14ac:dyDescent="0.25">
      <c r="B18" s="79" t="s">
        <v>260</v>
      </c>
      <c r="C18" s="103" t="s">
        <v>261</v>
      </c>
      <c r="E18" s="50"/>
      <c r="F18" s="79" t="s">
        <v>260</v>
      </c>
      <c r="G18" s="57" t="s">
        <v>261</v>
      </c>
      <c r="I18" s="50"/>
      <c r="J18" s="79" t="s">
        <v>260</v>
      </c>
      <c r="K18" s="57" t="s">
        <v>259</v>
      </c>
      <c r="M18" s="50"/>
      <c r="N18" s="79" t="s">
        <v>260</v>
      </c>
      <c r="O18" s="57" t="s">
        <v>261</v>
      </c>
    </row>
    <row r="19" spans="1:15" s="50" customFormat="1" x14ac:dyDescent="0.25">
      <c r="A19" s="151" t="s">
        <v>322</v>
      </c>
      <c r="B19" s="55" t="s">
        <v>263</v>
      </c>
      <c r="C19" s="104">
        <v>0.5</v>
      </c>
      <c r="F19" s="55" t="s">
        <v>263</v>
      </c>
      <c r="G19" s="92">
        <f>5/16</f>
        <v>0.3125</v>
      </c>
      <c r="J19" s="55" t="s">
        <v>263</v>
      </c>
      <c r="K19" s="92">
        <v>0.375</v>
      </c>
      <c r="N19" s="55" t="s">
        <v>263</v>
      </c>
      <c r="O19" s="92">
        <v>0.375</v>
      </c>
    </row>
    <row r="20" spans="1:15" s="50" customFormat="1" x14ac:dyDescent="0.25">
      <c r="A20" s="151"/>
      <c r="B20" s="55" t="s">
        <v>265</v>
      </c>
      <c r="C20" s="104">
        <v>0.375</v>
      </c>
      <c r="F20" s="55" t="s">
        <v>265</v>
      </c>
      <c r="G20" s="92">
        <v>0.25</v>
      </c>
      <c r="J20" s="55" t="s">
        <v>265</v>
      </c>
      <c r="K20" s="92">
        <v>0.375</v>
      </c>
      <c r="N20" s="55" t="s">
        <v>265</v>
      </c>
      <c r="O20" s="92">
        <v>0.25</v>
      </c>
    </row>
    <row r="21" spans="1:15" s="50" customFormat="1" ht="18" x14ac:dyDescent="0.35">
      <c r="A21" s="105" t="s">
        <v>323</v>
      </c>
      <c r="B21" s="76" t="s">
        <v>310</v>
      </c>
      <c r="C21" s="94">
        <v>32</v>
      </c>
      <c r="F21" s="76" t="s">
        <v>310</v>
      </c>
      <c r="G21" s="94">
        <v>32</v>
      </c>
      <c r="J21" s="76" t="s">
        <v>310</v>
      </c>
      <c r="K21" s="94">
        <v>24</v>
      </c>
      <c r="N21" s="76" t="s">
        <v>310</v>
      </c>
      <c r="O21" s="94">
        <v>32</v>
      </c>
    </row>
    <row r="22" spans="1:15" x14ac:dyDescent="0.25">
      <c r="E22" s="50"/>
      <c r="F22" s="50"/>
      <c r="G22" s="50"/>
      <c r="I22" s="50"/>
      <c r="J22" s="50"/>
      <c r="K22" s="95"/>
      <c r="M22" s="50"/>
      <c r="N22" s="50"/>
      <c r="O22" s="50"/>
    </row>
    <row r="23" spans="1:15" ht="18" x14ac:dyDescent="0.35">
      <c r="B23" s="76" t="s">
        <v>257</v>
      </c>
      <c r="C23" s="93">
        <f>(63025*$B$4)/$B$6</f>
        <v>3151.25</v>
      </c>
      <c r="D23" s="34"/>
      <c r="E23" s="34"/>
      <c r="F23" s="76" t="s">
        <v>257</v>
      </c>
      <c r="G23" s="93">
        <f>(63025*$B$4)/$B$6</f>
        <v>3151.25</v>
      </c>
      <c r="H23" s="34"/>
      <c r="I23" s="34"/>
      <c r="J23" s="76" t="s">
        <v>257</v>
      </c>
      <c r="K23" s="93">
        <f>(63025*$B$4)/$B$6</f>
        <v>3151.25</v>
      </c>
      <c r="M23" s="34"/>
      <c r="N23" s="76" t="s">
        <v>257</v>
      </c>
      <c r="O23" s="93">
        <f>(63025*$B$4)/$B$6</f>
        <v>3151.25</v>
      </c>
    </row>
    <row r="24" spans="1:15" ht="21.95" customHeight="1" x14ac:dyDescent="0.35">
      <c r="B24" s="76" t="s">
        <v>262</v>
      </c>
      <c r="C24" s="93">
        <f>(63025*$B$4)/$B$5</f>
        <v>900.35714285714289</v>
      </c>
      <c r="D24" s="34"/>
      <c r="E24" s="34"/>
      <c r="F24" s="76" t="s">
        <v>262</v>
      </c>
      <c r="G24" s="93">
        <f>(63025*$B$4)/$B$5</f>
        <v>900.35714285714289</v>
      </c>
      <c r="H24" s="34"/>
      <c r="I24" s="34"/>
      <c r="J24" s="76" t="s">
        <v>262</v>
      </c>
      <c r="K24" s="93">
        <f>(63025*$B$4)/$B$5</f>
        <v>900.35714285714289</v>
      </c>
      <c r="M24" s="34"/>
      <c r="N24" s="76" t="s">
        <v>262</v>
      </c>
      <c r="O24" s="93">
        <f>(63025*$B$4)/$B$5</f>
        <v>900.35714285714289</v>
      </c>
    </row>
    <row r="25" spans="1:15" ht="18" x14ac:dyDescent="0.35">
      <c r="B25" s="76" t="s">
        <v>264</v>
      </c>
      <c r="C25" s="93">
        <f>C23/($B$7/2)</f>
        <v>3557.4111111253405</v>
      </c>
      <c r="D25" s="34"/>
      <c r="E25" s="34"/>
      <c r="F25" s="76" t="s">
        <v>264</v>
      </c>
      <c r="G25" s="93">
        <f>G23/($B$7/2)</f>
        <v>3557.4111111253405</v>
      </c>
      <c r="H25" s="34"/>
      <c r="I25" s="34"/>
      <c r="J25" s="76" t="s">
        <v>264</v>
      </c>
      <c r="K25" s="93">
        <f>K23/($B$7/2)</f>
        <v>3557.4111111253405</v>
      </c>
      <c r="M25" s="34"/>
      <c r="N25" s="76" t="s">
        <v>264</v>
      </c>
      <c r="O25" s="93">
        <f>O23/($B$7/2)</f>
        <v>3557.4111111253405</v>
      </c>
    </row>
    <row r="26" spans="1:15" ht="18" x14ac:dyDescent="0.35">
      <c r="B26" s="76" t="s">
        <v>266</v>
      </c>
      <c r="C26" s="93">
        <f>C24/($B$7/2)</f>
        <v>1016.4031746072402</v>
      </c>
      <c r="D26" s="34"/>
      <c r="E26" s="34"/>
      <c r="F26" s="76" t="s">
        <v>266</v>
      </c>
      <c r="G26" s="93">
        <f>G24/($B$7/2)</f>
        <v>1016.4031746072402</v>
      </c>
      <c r="H26" s="34"/>
      <c r="I26" s="34"/>
      <c r="J26" s="76" t="s">
        <v>266</v>
      </c>
      <c r="K26" s="93">
        <f>K24/($B$7/2)</f>
        <v>1016.4031746072402</v>
      </c>
      <c r="M26" s="34"/>
      <c r="N26" s="76" t="s">
        <v>266</v>
      </c>
      <c r="O26" s="93">
        <f>O24/($B$7/2)</f>
        <v>1016.4031746072402</v>
      </c>
    </row>
    <row r="27" spans="1:15" ht="18" x14ac:dyDescent="0.35">
      <c r="A27" s="151" t="s">
        <v>324</v>
      </c>
      <c r="B27" s="76" t="s">
        <v>311</v>
      </c>
      <c r="C27" s="93">
        <f>0.577*C16</f>
        <v>13.847999999999999</v>
      </c>
      <c r="D27" s="34"/>
      <c r="E27" s="34"/>
      <c r="F27" s="76" t="s">
        <v>311</v>
      </c>
      <c r="G27" s="93">
        <f>0.577*G16</f>
        <v>13.847999999999999</v>
      </c>
      <c r="H27" s="34"/>
      <c r="I27" s="34"/>
      <c r="J27" s="76" t="s">
        <v>311</v>
      </c>
      <c r="K27" s="93">
        <f>0.577*K16</f>
        <v>13.847999999999999</v>
      </c>
      <c r="M27" s="34"/>
      <c r="N27" s="76" t="s">
        <v>311</v>
      </c>
      <c r="O27" s="93">
        <f>0.577*O16</f>
        <v>18.463999999999999</v>
      </c>
    </row>
    <row r="28" spans="1:15" ht="18" x14ac:dyDescent="0.35">
      <c r="A28" s="151"/>
      <c r="B28" s="76" t="s">
        <v>312</v>
      </c>
      <c r="C28" s="93">
        <f>0.577*C21</f>
        <v>18.463999999999999</v>
      </c>
      <c r="D28" s="34"/>
      <c r="E28" s="34"/>
      <c r="F28" s="76" t="s">
        <v>312</v>
      </c>
      <c r="G28" s="93">
        <f>0.577*G21</f>
        <v>18.463999999999999</v>
      </c>
      <c r="H28" s="34"/>
      <c r="I28" s="34"/>
      <c r="J28" s="76" t="s">
        <v>312</v>
      </c>
      <c r="K28" s="93">
        <f>0.577*K21</f>
        <v>13.847999999999999</v>
      </c>
      <c r="M28" s="34"/>
      <c r="N28" s="76" t="s">
        <v>312</v>
      </c>
      <c r="O28" s="93">
        <f>0.577*O21</f>
        <v>18.463999999999999</v>
      </c>
    </row>
    <row r="29" spans="1:15" x14ac:dyDescent="0.25">
      <c r="A29" s="50"/>
      <c r="B29" s="142" t="s">
        <v>120</v>
      </c>
      <c r="C29" s="142"/>
      <c r="D29" s="34"/>
      <c r="E29" s="34"/>
      <c r="F29" s="142" t="s">
        <v>120</v>
      </c>
      <c r="G29" s="142"/>
      <c r="H29" s="34"/>
      <c r="I29" s="34"/>
      <c r="J29" s="142" t="s">
        <v>120</v>
      </c>
      <c r="K29" s="142"/>
      <c r="M29" s="34"/>
      <c r="N29" s="142" t="s">
        <v>120</v>
      </c>
      <c r="O29" s="142"/>
    </row>
    <row r="30" spans="1:15" x14ac:dyDescent="0.25">
      <c r="A30" s="105" t="s">
        <v>325</v>
      </c>
      <c r="B30" s="77" t="s">
        <v>267</v>
      </c>
      <c r="C30" s="92">
        <f>(C26*$B$10)/((C27*1000)*C14)</f>
        <v>0.29358843865027162</v>
      </c>
      <c r="D30" s="34"/>
      <c r="E30" s="34"/>
      <c r="F30" s="77" t="s">
        <v>267</v>
      </c>
      <c r="G30" s="92">
        <f>(G26*$B$10)/((G27*1000)*G14)</f>
        <v>0.46974150184043462</v>
      </c>
      <c r="H30" s="34"/>
      <c r="I30" s="34"/>
      <c r="J30" s="77" t="s">
        <v>267</v>
      </c>
      <c r="K30" s="92">
        <f>(K26*$B$10)/((K27*1000)*K14)</f>
        <v>0.39145125153369553</v>
      </c>
      <c r="M30" s="34"/>
      <c r="N30" s="77" t="s">
        <v>267</v>
      </c>
      <c r="O30" s="92">
        <f>(O26*$B$10)/((O27*1000)*O14)</f>
        <v>0.29358843865027157</v>
      </c>
    </row>
    <row r="31" spans="1:15" ht="15" customHeight="1" x14ac:dyDescent="0.25">
      <c r="A31" s="143" t="s">
        <v>326</v>
      </c>
      <c r="B31" s="76" t="s">
        <v>269</v>
      </c>
      <c r="C31" s="92">
        <f>(2*C26*$B$10)/(C15*(C16*1000))</f>
        <v>0.45173474426988453</v>
      </c>
      <c r="D31" s="34"/>
      <c r="E31" s="144" t="s">
        <v>268</v>
      </c>
      <c r="F31" s="76" t="s">
        <v>269</v>
      </c>
      <c r="G31" s="92">
        <f>(2*G26*$B$10)/(G15*(G16*1000))</f>
        <v>0.67760211640482682</v>
      </c>
      <c r="H31" s="34"/>
      <c r="I31" s="144" t="s">
        <v>268</v>
      </c>
      <c r="J31" s="76" t="s">
        <v>269</v>
      </c>
      <c r="K31" s="92">
        <f>(2*K26*$B$10)/(K15*(K16*1000))</f>
        <v>0.67760211640482682</v>
      </c>
      <c r="M31" s="144" t="s">
        <v>268</v>
      </c>
      <c r="N31" s="76" t="s">
        <v>269</v>
      </c>
      <c r="O31" s="92">
        <f>(2*O26*$B$10)/(O15*(O16*1000))</f>
        <v>0.50820158730362008</v>
      </c>
    </row>
    <row r="32" spans="1:15" x14ac:dyDescent="0.25">
      <c r="A32" s="143"/>
      <c r="B32" s="76" t="s">
        <v>270</v>
      </c>
      <c r="C32" s="92">
        <f>(2*C26*$B$10)/(C15*($B$8*1000))</f>
        <v>0.11533653045188541</v>
      </c>
      <c r="D32" s="34"/>
      <c r="E32" s="144"/>
      <c r="F32" s="76" t="s">
        <v>270</v>
      </c>
      <c r="G32" s="92">
        <f>(2*G26*$B$10)/(G15*($B$8*1000))</f>
        <v>0.17300479567782812</v>
      </c>
      <c r="H32" s="34"/>
      <c r="I32" s="144"/>
      <c r="J32" s="76" t="s">
        <v>270</v>
      </c>
      <c r="K32" s="92">
        <f>(2*K26*$B$10)/(K15*($B$8*1000))</f>
        <v>0.17300479567782812</v>
      </c>
      <c r="M32" s="144"/>
      <c r="N32" s="76" t="s">
        <v>270</v>
      </c>
      <c r="O32" s="92">
        <f>(2*O26*$B$10)/(O15*($B$8*1000))</f>
        <v>0.17300479567782812</v>
      </c>
    </row>
    <row r="33" spans="1:15" x14ac:dyDescent="0.25">
      <c r="A33" s="143"/>
      <c r="B33" s="76" t="s">
        <v>271</v>
      </c>
      <c r="C33" s="92">
        <f>(2*C26*$B$10)/(C15*($B$9*1000))</f>
        <v>7.7440241874837348E-2</v>
      </c>
      <c r="D33" s="34"/>
      <c r="E33" s="144"/>
      <c r="F33" s="76" t="s">
        <v>271</v>
      </c>
      <c r="G33" s="92">
        <f>(2*G26*$B$10)/(G15*($B$9*1000))</f>
        <v>0.11616036281225603</v>
      </c>
      <c r="H33" s="34"/>
      <c r="I33" s="144"/>
      <c r="J33" s="76" t="s">
        <v>271</v>
      </c>
      <c r="K33" s="92">
        <f>(2*K26*$B$10)/(K15*($B$9*1000))</f>
        <v>0.11616036281225603</v>
      </c>
      <c r="M33" s="144"/>
      <c r="N33" s="76" t="s">
        <v>271</v>
      </c>
      <c r="O33" s="92">
        <f>(2*O26*$B$10)/(O15*($B$9*1000))</f>
        <v>0.11616036281225603</v>
      </c>
    </row>
    <row r="34" spans="1:15" x14ac:dyDescent="0.25">
      <c r="A34" s="50"/>
      <c r="B34" s="140" t="s">
        <v>122</v>
      </c>
      <c r="C34" s="141"/>
      <c r="D34" s="34"/>
      <c r="E34" s="34"/>
      <c r="F34" s="140" t="s">
        <v>122</v>
      </c>
      <c r="G34" s="141"/>
      <c r="H34" s="34"/>
      <c r="I34" s="34"/>
      <c r="J34" s="140" t="s">
        <v>122</v>
      </c>
      <c r="K34" s="141"/>
      <c r="M34" s="34"/>
      <c r="N34" s="140" t="s">
        <v>122</v>
      </c>
      <c r="O34" s="141"/>
    </row>
    <row r="35" spans="1:15" x14ac:dyDescent="0.25">
      <c r="A35" s="105" t="s">
        <v>325</v>
      </c>
      <c r="B35" s="77" t="s">
        <v>267</v>
      </c>
      <c r="C35" s="92">
        <f>(C25*$B$10)/((C28*1000)*C14)</f>
        <v>0.77066965145696287</v>
      </c>
      <c r="D35" s="34"/>
      <c r="E35" s="34"/>
      <c r="F35" s="77" t="s">
        <v>267</v>
      </c>
      <c r="G35" s="92">
        <f>(G25*$B$10)/((G28*1000)*G14)</f>
        <v>1.2330714423311406</v>
      </c>
      <c r="H35" s="34"/>
      <c r="I35" s="34"/>
      <c r="J35" s="77" t="s">
        <v>267</v>
      </c>
      <c r="K35" s="92">
        <f>(K25*$B$10)/((K28*1000)*K14)</f>
        <v>1.3700793803679343</v>
      </c>
      <c r="M35" s="34"/>
      <c r="N35" s="77" t="s">
        <v>267</v>
      </c>
      <c r="O35" s="92">
        <f>(O25*$B$10)/((O28*1000)*O14)</f>
        <v>1.0275595352759506</v>
      </c>
    </row>
    <row r="36" spans="1:15" ht="15" customHeight="1" x14ac:dyDescent="0.25">
      <c r="A36" s="148" t="s">
        <v>326</v>
      </c>
      <c r="B36" s="76" t="s">
        <v>269</v>
      </c>
      <c r="C36" s="92">
        <f>(2*C25*$B$10)/(C15*(C21*1000))</f>
        <v>1.1858037037084468</v>
      </c>
      <c r="D36" s="34"/>
      <c r="E36" s="145" t="s">
        <v>268</v>
      </c>
      <c r="F36" s="76" t="s">
        <v>269</v>
      </c>
      <c r="G36" s="92">
        <f>(2*G25*$B$10)/(G15*(G21*1000))</f>
        <v>1.7787055555626703</v>
      </c>
      <c r="H36" s="34"/>
      <c r="I36" s="145" t="s">
        <v>268</v>
      </c>
      <c r="J36" s="76" t="s">
        <v>269</v>
      </c>
      <c r="K36" s="92">
        <f>(2*K25*$B$10)/(K15*(K21*1000))</f>
        <v>2.3716074074168936</v>
      </c>
      <c r="M36" s="145" t="s">
        <v>268</v>
      </c>
      <c r="N36" s="76" t="s">
        <v>269</v>
      </c>
      <c r="O36" s="92">
        <f>(2*O25*$B$10)/(O15*(O21*1000))</f>
        <v>1.7787055555626703</v>
      </c>
    </row>
    <row r="37" spans="1:15" x14ac:dyDescent="0.25">
      <c r="A37" s="149"/>
      <c r="B37" s="76" t="s">
        <v>270</v>
      </c>
      <c r="C37" s="92">
        <f>(2*C25*$B$10)/(C15*($B$8*1000))</f>
        <v>0.40367785658159894</v>
      </c>
      <c r="D37" s="34"/>
      <c r="E37" s="146"/>
      <c r="F37" s="76" t="s">
        <v>270</v>
      </c>
      <c r="G37" s="92">
        <f>(2*G25*$B$10)/(G15*($B$8*1000))</f>
        <v>0.60551678487239835</v>
      </c>
      <c r="H37" s="34"/>
      <c r="I37" s="146"/>
      <c r="J37" s="76" t="s">
        <v>270</v>
      </c>
      <c r="K37" s="92">
        <f>(2*K25*$B$10)/(K15*($B$8*1000))</f>
        <v>0.60551678487239835</v>
      </c>
      <c r="M37" s="146"/>
      <c r="N37" s="76" t="s">
        <v>270</v>
      </c>
      <c r="O37" s="92">
        <f>(2*O25*$B$10)/(O15*($B$8*1000))</f>
        <v>0.60551678487239835</v>
      </c>
    </row>
    <row r="38" spans="1:15" x14ac:dyDescent="0.25">
      <c r="A38" s="150"/>
      <c r="B38" s="76" t="s">
        <v>271</v>
      </c>
      <c r="C38" s="92">
        <f>(2*C25*$B$10)/(C15*($B$9*1000))</f>
        <v>0.27104084656193073</v>
      </c>
      <c r="D38" s="34"/>
      <c r="E38" s="147"/>
      <c r="F38" s="76" t="s">
        <v>271</v>
      </c>
      <c r="G38" s="92">
        <f>(2*G25*$B$10)/(G15*($B$9*1000))</f>
        <v>0.40656126984289609</v>
      </c>
      <c r="H38" s="34"/>
      <c r="I38" s="147"/>
      <c r="J38" s="76" t="s">
        <v>271</v>
      </c>
      <c r="K38" s="92">
        <f>(2*K25*$B$10)/(K15*($B$9*1000))</f>
        <v>0.40656126984289609</v>
      </c>
      <c r="M38" s="147"/>
      <c r="N38" s="76" t="s">
        <v>271</v>
      </c>
      <c r="O38" s="92">
        <f>(2*O25*$B$10)/(O15*($B$9*1000))</f>
        <v>0.40656126984289609</v>
      </c>
    </row>
    <row r="39" spans="1:15" x14ac:dyDescent="0.25">
      <c r="A39" s="50"/>
      <c r="B39" s="50"/>
      <c r="C39" s="50"/>
      <c r="E39" s="50"/>
      <c r="F39" s="50"/>
      <c r="G39" s="50"/>
      <c r="I39" s="50"/>
      <c r="J39" s="50"/>
      <c r="K39" s="50"/>
      <c r="M39" s="50"/>
      <c r="N39" s="50"/>
      <c r="O39" s="50"/>
    </row>
    <row r="40" spans="1:15" x14ac:dyDescent="0.25">
      <c r="A40" s="50"/>
      <c r="B40" s="134" t="s">
        <v>284</v>
      </c>
      <c r="C40" s="135"/>
      <c r="E40" s="50"/>
      <c r="F40" s="134" t="s">
        <v>284</v>
      </c>
      <c r="G40" s="135"/>
      <c r="I40" s="50"/>
      <c r="J40" s="134" t="s">
        <v>284</v>
      </c>
      <c r="K40" s="135"/>
      <c r="M40" s="50"/>
      <c r="N40" s="134" t="s">
        <v>284</v>
      </c>
      <c r="O40" s="135"/>
    </row>
    <row r="41" spans="1:15" x14ac:dyDescent="0.25">
      <c r="A41" s="50"/>
      <c r="B41" s="138">
        <f>MAX(C30:C33)</f>
        <v>0.45173474426988453</v>
      </c>
      <c r="C41" s="139"/>
      <c r="E41" s="50"/>
      <c r="F41" s="136">
        <f>MAX(G30:G33)</f>
        <v>0.67760211640482682</v>
      </c>
      <c r="G41" s="137"/>
      <c r="I41" s="50"/>
      <c r="J41" s="136">
        <f>MAX(K30:K33)</f>
        <v>0.67760211640482682</v>
      </c>
      <c r="K41" s="137"/>
      <c r="M41" s="50"/>
      <c r="N41" s="136">
        <f>MAX(O30:O33)</f>
        <v>0.50820158730362008</v>
      </c>
      <c r="O41" s="137"/>
    </row>
    <row r="42" spans="1:15" x14ac:dyDescent="0.25">
      <c r="A42" s="50"/>
      <c r="B42" s="50"/>
      <c r="C42" s="50"/>
      <c r="E42" s="50"/>
      <c r="F42" s="50"/>
      <c r="G42" s="50"/>
      <c r="I42" s="50"/>
      <c r="J42" s="50"/>
      <c r="K42" s="50"/>
      <c r="M42" s="50"/>
      <c r="N42" s="50"/>
      <c r="O42" s="50"/>
    </row>
    <row r="43" spans="1:15" x14ac:dyDescent="0.25">
      <c r="A43" s="50"/>
      <c r="B43" s="134" t="s">
        <v>285</v>
      </c>
      <c r="C43" s="135"/>
      <c r="E43" s="50"/>
      <c r="F43" s="134" t="s">
        <v>285</v>
      </c>
      <c r="G43" s="135"/>
      <c r="I43" s="50"/>
      <c r="J43" s="134" t="s">
        <v>285</v>
      </c>
      <c r="K43" s="135"/>
      <c r="M43" s="50"/>
      <c r="N43" s="134" t="s">
        <v>285</v>
      </c>
      <c r="O43" s="135"/>
    </row>
    <row r="44" spans="1:15" x14ac:dyDescent="0.25">
      <c r="A44" s="50"/>
      <c r="B44" s="138">
        <f>MAX(C35:C38)</f>
        <v>1.1858037037084468</v>
      </c>
      <c r="C44" s="139"/>
      <c r="E44" s="50"/>
      <c r="F44" s="136">
        <f>MAX(G35:G38)</f>
        <v>1.7787055555626703</v>
      </c>
      <c r="G44" s="137"/>
      <c r="I44" s="50"/>
      <c r="J44" s="136">
        <f>MAX(K35:K38)</f>
        <v>2.3716074074168936</v>
      </c>
      <c r="K44" s="137"/>
      <c r="M44" s="50"/>
      <c r="N44" s="136">
        <f>MAX(O35:O38)</f>
        <v>1.7787055555626703</v>
      </c>
      <c r="O44" s="137"/>
    </row>
  </sheetData>
  <mergeCells count="36">
    <mergeCell ref="N41:O41"/>
    <mergeCell ref="N43:O43"/>
    <mergeCell ref="N44:O44"/>
    <mergeCell ref="F41:G41"/>
    <mergeCell ref="J41:K41"/>
    <mergeCell ref="J43:K43"/>
    <mergeCell ref="J44:K44"/>
    <mergeCell ref="F40:G40"/>
    <mergeCell ref="A19:A20"/>
    <mergeCell ref="A27:A28"/>
    <mergeCell ref="N29:O29"/>
    <mergeCell ref="M31:M33"/>
    <mergeCell ref="N34:O34"/>
    <mergeCell ref="M36:M38"/>
    <mergeCell ref="N40:O40"/>
    <mergeCell ref="J29:K29"/>
    <mergeCell ref="I31:I33"/>
    <mergeCell ref="J34:K34"/>
    <mergeCell ref="I36:I38"/>
    <mergeCell ref="J40:K40"/>
    <mergeCell ref="A1:B1"/>
    <mergeCell ref="F43:G43"/>
    <mergeCell ref="F44:G44"/>
    <mergeCell ref="B44:C44"/>
    <mergeCell ref="B34:C34"/>
    <mergeCell ref="B29:C29"/>
    <mergeCell ref="A31:A33"/>
    <mergeCell ref="F29:G29"/>
    <mergeCell ref="E31:E33"/>
    <mergeCell ref="F34:G34"/>
    <mergeCell ref="E36:E38"/>
    <mergeCell ref="A36:A38"/>
    <mergeCell ref="B40:C40"/>
    <mergeCell ref="B41:C41"/>
    <mergeCell ref="B43:C43"/>
    <mergeCell ref="A14:A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39"/>
  <sheetViews>
    <sheetView topLeftCell="A2" zoomScale="80" zoomScaleNormal="80" workbookViewId="0">
      <selection activeCell="B5" sqref="B5:F5"/>
    </sheetView>
  </sheetViews>
  <sheetFormatPr defaultColWidth="11.42578125" defaultRowHeight="15" x14ac:dyDescent="0.25"/>
  <cols>
    <col min="1" max="1" width="34.7109375" customWidth="1"/>
    <col min="2" max="12" width="7.7109375" customWidth="1"/>
  </cols>
  <sheetData>
    <row r="1" spans="1:12" s="50" customFormat="1" x14ac:dyDescent="0.25">
      <c r="A1" s="152" t="s">
        <v>303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</row>
    <row r="2" spans="1:12" x14ac:dyDescent="0.25">
      <c r="A2" s="96"/>
      <c r="B2" s="153" t="s">
        <v>273</v>
      </c>
      <c r="C2" s="153"/>
      <c r="D2" s="153"/>
      <c r="E2" s="153"/>
      <c r="F2" s="153"/>
      <c r="G2" s="17"/>
      <c r="H2" s="153" t="s">
        <v>274</v>
      </c>
      <c r="I2" s="153"/>
      <c r="J2" s="153"/>
      <c r="K2" s="153"/>
      <c r="L2" s="153"/>
    </row>
    <row r="3" spans="1:12" x14ac:dyDescent="0.25">
      <c r="A3" s="55" t="s">
        <v>329</v>
      </c>
      <c r="B3" s="82">
        <v>25</v>
      </c>
      <c r="C3" s="82">
        <v>30</v>
      </c>
      <c r="D3" s="82">
        <v>35</v>
      </c>
      <c r="E3" s="82">
        <v>40</v>
      </c>
      <c r="F3" s="82">
        <v>45</v>
      </c>
      <c r="G3" s="8"/>
      <c r="H3" s="82">
        <v>25</v>
      </c>
      <c r="I3" s="82">
        <v>30</v>
      </c>
      <c r="J3" s="82">
        <v>35</v>
      </c>
      <c r="K3" s="82">
        <v>40</v>
      </c>
      <c r="L3" s="82">
        <v>45</v>
      </c>
    </row>
    <row r="4" spans="1:12" x14ac:dyDescent="0.25">
      <c r="A4" s="55" t="s">
        <v>275</v>
      </c>
      <c r="B4" s="154">
        <f>'Pinion Shaft'!R21/2</f>
        <v>319.38183102834881</v>
      </c>
      <c r="C4" s="154"/>
      <c r="D4" s="154"/>
      <c r="E4" s="154"/>
      <c r="F4" s="154"/>
      <c r="G4" s="98"/>
      <c r="H4" s="154">
        <f>B4</f>
        <v>319.38183102834881</v>
      </c>
      <c r="I4" s="154"/>
      <c r="J4" s="154"/>
      <c r="K4" s="154"/>
      <c r="L4" s="154"/>
    </row>
    <row r="5" spans="1:12" x14ac:dyDescent="0.25">
      <c r="A5" s="55" t="s">
        <v>276</v>
      </c>
      <c r="B5" s="156">
        <v>0</v>
      </c>
      <c r="C5" s="156"/>
      <c r="D5" s="156"/>
      <c r="E5" s="156"/>
      <c r="F5" s="156"/>
      <c r="G5" s="98"/>
      <c r="H5" s="156">
        <v>0</v>
      </c>
      <c r="I5" s="156"/>
      <c r="J5" s="156"/>
      <c r="K5" s="156"/>
      <c r="L5" s="156"/>
    </row>
    <row r="6" spans="1:12" x14ac:dyDescent="0.25">
      <c r="A6" s="55" t="s">
        <v>277</v>
      </c>
      <c r="B6" s="156">
        <v>20000</v>
      </c>
      <c r="C6" s="156"/>
      <c r="D6" s="156"/>
      <c r="E6" s="156"/>
      <c r="F6" s="156"/>
      <c r="G6" s="98"/>
      <c r="H6" s="156">
        <v>20000</v>
      </c>
      <c r="I6" s="156"/>
      <c r="J6" s="156"/>
      <c r="K6" s="156"/>
      <c r="L6" s="156"/>
    </row>
    <row r="7" spans="1:12" x14ac:dyDescent="0.25">
      <c r="A7" s="55" t="s">
        <v>278</v>
      </c>
      <c r="B7" s="156">
        <f>Gear!C6</f>
        <v>1750</v>
      </c>
      <c r="C7" s="156"/>
      <c r="D7" s="156"/>
      <c r="E7" s="156"/>
      <c r="F7" s="156"/>
      <c r="G7" s="98"/>
      <c r="H7" s="156">
        <f>B7</f>
        <v>1750</v>
      </c>
      <c r="I7" s="156"/>
      <c r="J7" s="156"/>
      <c r="K7" s="156"/>
      <c r="L7" s="156"/>
    </row>
    <row r="8" spans="1:12" x14ac:dyDescent="0.25">
      <c r="A8" s="55" t="s">
        <v>279</v>
      </c>
      <c r="B8" s="156">
        <v>1</v>
      </c>
      <c r="C8" s="156"/>
      <c r="D8" s="156"/>
      <c r="E8" s="156"/>
      <c r="F8" s="156"/>
      <c r="G8" s="98"/>
      <c r="H8" s="156">
        <v>1</v>
      </c>
      <c r="I8" s="156"/>
      <c r="J8" s="156"/>
      <c r="K8" s="156"/>
      <c r="L8" s="156"/>
    </row>
    <row r="9" spans="1:12" ht="18" x14ac:dyDescent="0.35">
      <c r="A9" s="76" t="s">
        <v>330</v>
      </c>
      <c r="B9" s="82">
        <v>14</v>
      </c>
      <c r="C9" s="82">
        <v>19.5</v>
      </c>
      <c r="D9" s="82">
        <v>25.5</v>
      </c>
      <c r="E9" s="82">
        <v>30.7</v>
      </c>
      <c r="F9" s="82">
        <v>33.200000000000003</v>
      </c>
      <c r="G9" s="8"/>
      <c r="H9" s="82">
        <v>14</v>
      </c>
      <c r="I9" s="82">
        <v>19.5</v>
      </c>
      <c r="J9" s="82">
        <v>25.5</v>
      </c>
      <c r="K9" s="82">
        <v>30.7</v>
      </c>
      <c r="L9" s="82">
        <v>33.200000000000003</v>
      </c>
    </row>
    <row r="10" spans="1:12" ht="18" x14ac:dyDescent="0.35">
      <c r="A10" s="76" t="s">
        <v>331</v>
      </c>
      <c r="B10" s="82">
        <v>6.95</v>
      </c>
      <c r="C10" s="82">
        <v>10</v>
      </c>
      <c r="D10" s="82">
        <v>13.7</v>
      </c>
      <c r="E10" s="82">
        <v>16.600000000000001</v>
      </c>
      <c r="F10" s="82">
        <v>18.600000000000001</v>
      </c>
      <c r="G10" s="8"/>
      <c r="H10" s="82">
        <v>6.95</v>
      </c>
      <c r="I10" s="82">
        <v>10</v>
      </c>
      <c r="J10" s="82">
        <v>13.7</v>
      </c>
      <c r="K10" s="82">
        <v>16.600000000000001</v>
      </c>
      <c r="L10" s="82">
        <v>18.600000000000001</v>
      </c>
    </row>
    <row r="11" spans="1:12" ht="18" x14ac:dyDescent="0.35">
      <c r="A11" s="76" t="s">
        <v>297</v>
      </c>
      <c r="B11" s="97">
        <f>$B$4/(B10* 0.224808942443*1000)</f>
        <v>0.20441455661177879</v>
      </c>
      <c r="C11" s="97">
        <f>$B$4/(C10* 0.224808942443*1000)</f>
        <v>0.14206811684518628</v>
      </c>
      <c r="D11" s="97">
        <f>$B$4/(D10* 0.224808942443*1000)</f>
        <v>0.10369935536144985</v>
      </c>
      <c r="E11" s="97">
        <f>$B$4/(E10* 0.224808942443*1000)</f>
        <v>8.5583202918786905E-2</v>
      </c>
      <c r="F11" s="97">
        <f>$B$4/(F10* 0.224808942443*1000)</f>
        <v>7.638070798128295E-2</v>
      </c>
      <c r="G11" s="99"/>
      <c r="H11" s="97">
        <f>$H$4/(H10*0.224808942443*1000)</f>
        <v>0.20441455661177879</v>
      </c>
      <c r="I11" s="97">
        <f>$H$4/(I10*0.224808942443*1000)</f>
        <v>0.14206811684518628</v>
      </c>
      <c r="J11" s="97">
        <f>$H$4/(J10*0.224808942443*1000)</f>
        <v>0.10369935536144985</v>
      </c>
      <c r="K11" s="97">
        <f>$H$4/(K10*0.224808942443*1000)</f>
        <v>8.5583202918786905E-2</v>
      </c>
      <c r="L11" s="97">
        <f>$H$4/(L10*0.224808942443*1000)</f>
        <v>7.638070798128295E-2</v>
      </c>
    </row>
    <row r="12" spans="1:12" x14ac:dyDescent="0.25">
      <c r="A12" s="76" t="s">
        <v>280</v>
      </c>
      <c r="B12" s="82">
        <v>0.31</v>
      </c>
      <c r="C12" s="82">
        <v>0.28000000000000003</v>
      </c>
      <c r="D12" s="82">
        <v>0.26500000000000001</v>
      </c>
      <c r="E12" s="82">
        <v>0.26</v>
      </c>
      <c r="F12" s="82">
        <v>0.24</v>
      </c>
      <c r="G12" s="8"/>
      <c r="H12" s="82">
        <v>0.31</v>
      </c>
      <c r="I12" s="82">
        <v>0.28000000000000003</v>
      </c>
      <c r="J12" s="82">
        <v>0.26500000000000001</v>
      </c>
      <c r="K12" s="82">
        <v>0.26</v>
      </c>
      <c r="L12" s="82">
        <v>0.24</v>
      </c>
    </row>
    <row r="13" spans="1:12" ht="18" x14ac:dyDescent="0.35">
      <c r="A13" s="76" t="s">
        <v>327</v>
      </c>
      <c r="B13" s="155">
        <f>$B$5/(B8*$B$4)</f>
        <v>0</v>
      </c>
      <c r="C13" s="155"/>
      <c r="D13" s="155"/>
      <c r="E13" s="155"/>
      <c r="F13" s="155"/>
      <c r="G13" s="98"/>
      <c r="H13" s="155">
        <f>$H$5/(H8*$H$4)</f>
        <v>0</v>
      </c>
      <c r="I13" s="155"/>
      <c r="J13" s="155"/>
      <c r="K13" s="155"/>
      <c r="L13" s="155"/>
    </row>
    <row r="14" spans="1:12" ht="18" x14ac:dyDescent="0.35">
      <c r="A14" s="76" t="s">
        <v>299</v>
      </c>
      <c r="B14" s="82">
        <v>1</v>
      </c>
      <c r="C14" s="82">
        <v>1</v>
      </c>
      <c r="D14" s="82">
        <v>1</v>
      </c>
      <c r="E14" s="82">
        <v>1</v>
      </c>
      <c r="F14" s="82">
        <v>1</v>
      </c>
      <c r="G14" s="8"/>
      <c r="H14" s="82">
        <v>1</v>
      </c>
      <c r="I14" s="82">
        <v>1</v>
      </c>
      <c r="J14" s="82">
        <v>1</v>
      </c>
      <c r="K14" s="82">
        <v>1</v>
      </c>
      <c r="L14" s="82">
        <v>1</v>
      </c>
    </row>
    <row r="15" spans="1:12" ht="18" x14ac:dyDescent="0.35">
      <c r="A15" s="76" t="s">
        <v>300</v>
      </c>
      <c r="B15" s="82">
        <v>0</v>
      </c>
      <c r="C15" s="82">
        <v>0</v>
      </c>
      <c r="D15" s="82">
        <v>0</v>
      </c>
      <c r="E15" s="82">
        <v>0</v>
      </c>
      <c r="F15" s="82">
        <v>0</v>
      </c>
      <c r="G15" s="8"/>
      <c r="H15" s="82">
        <v>0</v>
      </c>
      <c r="I15" s="82">
        <v>0</v>
      </c>
      <c r="J15" s="82">
        <v>0</v>
      </c>
      <c r="K15" s="82">
        <v>0</v>
      </c>
      <c r="L15" s="82">
        <v>0</v>
      </c>
    </row>
    <row r="16" spans="1:12" ht="18" x14ac:dyDescent="0.35">
      <c r="A16" s="76" t="s">
        <v>301</v>
      </c>
      <c r="B16" s="55">
        <f>(B14*$B$8*$B$4)+(B15*$B$5)</f>
        <v>319.38183102834881</v>
      </c>
      <c r="C16" s="55">
        <f>C14*$B$8*$B$4+C15*$B$5</f>
        <v>319.38183102834881</v>
      </c>
      <c r="D16" s="55">
        <f>D14*$B$8*$B$4+D15*$B$5</f>
        <v>319.38183102834881</v>
      </c>
      <c r="E16" s="55">
        <f>E14*$B$8*$B$4+E15*$B$5</f>
        <v>319.38183102834881</v>
      </c>
      <c r="F16" s="55">
        <f>F14*$B$8*$B$4+F15*$B$5</f>
        <v>319.38183102834881</v>
      </c>
      <c r="G16" s="8"/>
      <c r="H16" s="55">
        <f>H14*$H$8*$H$4+H15*$H$5</f>
        <v>319.38183102834881</v>
      </c>
      <c r="I16" s="55">
        <f>I14*$H$8*$H$4+I15*$H$5</f>
        <v>319.38183102834881</v>
      </c>
      <c r="J16" s="55">
        <f>J14*$H$8*$H$4+J15*$H$5</f>
        <v>319.38183102834881</v>
      </c>
      <c r="K16" s="55">
        <f>K14*$H$8*$H$4+K15*$H$5</f>
        <v>319.38183102834881</v>
      </c>
      <c r="L16" s="55">
        <f>L14*$H$8*$H$4+L15*$H$5</f>
        <v>319.38183102834881</v>
      </c>
    </row>
    <row r="17" spans="1:12" x14ac:dyDescent="0.25">
      <c r="A17" s="76" t="s">
        <v>281</v>
      </c>
      <c r="B17" s="83">
        <v>3</v>
      </c>
      <c r="C17" s="83">
        <v>3</v>
      </c>
      <c r="D17" s="83">
        <v>3</v>
      </c>
      <c r="E17" s="83">
        <v>3</v>
      </c>
      <c r="F17" s="83">
        <v>3</v>
      </c>
      <c r="G17" s="48"/>
      <c r="H17" s="83">
        <v>3</v>
      </c>
      <c r="I17" s="83">
        <v>3</v>
      </c>
      <c r="J17" s="83">
        <v>3</v>
      </c>
      <c r="K17" s="83">
        <v>3</v>
      </c>
      <c r="L17" s="83">
        <v>3</v>
      </c>
    </row>
    <row r="18" spans="1:12" ht="18" x14ac:dyDescent="0.35">
      <c r="A18" s="76" t="s">
        <v>302</v>
      </c>
      <c r="B18" s="84">
        <f>(B16*4.44822162825/1000)*((($B$6*$B$7*60)/(10^6))^(1/B17))</f>
        <v>18.192947044076551</v>
      </c>
      <c r="C18" s="84">
        <f>(C16*4.44822162825/1000)*((($B$6*$B$7*60)/(10^6))^(1/C17))</f>
        <v>18.192947044076551</v>
      </c>
      <c r="D18" s="84">
        <f>(D16*4.44822162825/1000)*((($B$6*$B$7*60)/(10^6))^(1/D17))</f>
        <v>18.192947044076551</v>
      </c>
      <c r="E18" s="84">
        <f>(E16*4.44822162825/1000)*((($B$6*$B$7*60)/(10^6))^(1/E17))</f>
        <v>18.192947044076551</v>
      </c>
      <c r="F18" s="84">
        <f>(F16*4.44822162825/1000)*((($B$6*$B$7*60)/(10^6))^(1/F17))</f>
        <v>18.192947044076551</v>
      </c>
      <c r="G18" s="52"/>
      <c r="H18" s="84">
        <f>(H16*4.44822162825/1000)*((($H$6*$H$7*60)/(10^6))^(1/H17))</f>
        <v>18.192947044076551</v>
      </c>
      <c r="I18" s="84">
        <f>(I16*4.44822162825/1000)*((($H$6*$H$7*60)/(10^6))^(1/I17))</f>
        <v>18.192947044076551</v>
      </c>
      <c r="J18" s="84">
        <f>(J16*4.44822162825/1000)*((($H$6*$H$7*60)/(10^6))^(1/J17))</f>
        <v>18.192947044076551</v>
      </c>
      <c r="K18" s="84">
        <f>(K16*4.44822162825/1000)*((($H$6*$H$7*60)/(10^6))^(1/K17))</f>
        <v>18.192947044076551</v>
      </c>
      <c r="L18" s="84">
        <f>(L16*4.44822162825/1000)*((($H$6*$H$7*60)/(10^6))^(1/L17))</f>
        <v>18.192947044076551</v>
      </c>
    </row>
    <row r="19" spans="1:12" x14ac:dyDescent="0.25">
      <c r="A19" s="76" t="s">
        <v>282</v>
      </c>
      <c r="B19" s="85">
        <f>B9/B18</f>
        <v>0.7695289809881718</v>
      </c>
      <c r="C19" s="85">
        <f t="shared" ref="C19:L19" si="0">C9/C18</f>
        <v>1.0718439378049536</v>
      </c>
      <c r="D19" s="85">
        <f t="shared" si="0"/>
        <v>1.4016420725141701</v>
      </c>
      <c r="E19" s="85">
        <f t="shared" si="0"/>
        <v>1.6874671225954909</v>
      </c>
      <c r="F19" s="85">
        <f t="shared" si="0"/>
        <v>1.8248830120576647</v>
      </c>
      <c r="G19" s="52"/>
      <c r="H19" s="85">
        <f t="shared" si="0"/>
        <v>0.7695289809881718</v>
      </c>
      <c r="I19" s="85">
        <f t="shared" si="0"/>
        <v>1.0718439378049536</v>
      </c>
      <c r="J19" s="85">
        <f t="shared" si="0"/>
        <v>1.4016420725141701</v>
      </c>
      <c r="K19" s="85">
        <f t="shared" si="0"/>
        <v>1.6874671225954909</v>
      </c>
      <c r="L19" s="85">
        <f t="shared" si="0"/>
        <v>1.8248830120576647</v>
      </c>
    </row>
    <row r="21" spans="1:12" x14ac:dyDescent="0.25">
      <c r="A21" s="152" t="s">
        <v>304</v>
      </c>
      <c r="B21" s="152"/>
      <c r="C21" s="152"/>
      <c r="D21" s="152"/>
      <c r="E21" s="152"/>
      <c r="F21" s="152"/>
      <c r="G21" s="152"/>
      <c r="H21" s="152"/>
      <c r="I21" s="152"/>
      <c r="J21" s="152"/>
      <c r="K21" s="152"/>
      <c r="L21" s="152"/>
    </row>
    <row r="22" spans="1:12" x14ac:dyDescent="0.25">
      <c r="A22" s="96"/>
      <c r="B22" s="153" t="s">
        <v>273</v>
      </c>
      <c r="C22" s="153"/>
      <c r="D22" s="153"/>
      <c r="E22" s="153"/>
      <c r="F22" s="153"/>
      <c r="G22" s="17"/>
      <c r="H22" s="152" t="s">
        <v>274</v>
      </c>
      <c r="I22" s="152"/>
      <c r="J22" s="152"/>
      <c r="K22" s="152"/>
      <c r="L22" s="152"/>
    </row>
    <row r="23" spans="1:12" x14ac:dyDescent="0.25">
      <c r="A23" s="55" t="s">
        <v>329</v>
      </c>
      <c r="B23" s="82">
        <v>25</v>
      </c>
      <c r="C23" s="82">
        <v>30</v>
      </c>
      <c r="D23" s="82">
        <v>35</v>
      </c>
      <c r="E23" s="82">
        <v>40</v>
      </c>
      <c r="F23" s="82">
        <v>45</v>
      </c>
      <c r="G23" s="8"/>
      <c r="H23" s="82">
        <v>25</v>
      </c>
      <c r="I23" s="82">
        <v>30</v>
      </c>
      <c r="J23" s="82">
        <v>35</v>
      </c>
      <c r="K23" s="82">
        <v>40</v>
      </c>
      <c r="L23" s="82">
        <v>45</v>
      </c>
    </row>
    <row r="24" spans="1:12" x14ac:dyDescent="0.25">
      <c r="A24" s="55" t="s">
        <v>275</v>
      </c>
      <c r="B24" s="154">
        <f>'Gear Shaft'!P20/2</f>
        <v>300.12074983043124</v>
      </c>
      <c r="C24" s="154"/>
      <c r="D24" s="154"/>
      <c r="E24" s="154"/>
      <c r="F24" s="154"/>
      <c r="G24" s="98"/>
      <c r="H24" s="154">
        <f>B24</f>
        <v>300.12074983043124</v>
      </c>
      <c r="I24" s="154"/>
      <c r="J24" s="154"/>
      <c r="K24" s="154"/>
      <c r="L24" s="154"/>
    </row>
    <row r="25" spans="1:12" x14ac:dyDescent="0.25">
      <c r="A25" s="55" t="s">
        <v>276</v>
      </c>
      <c r="B25" s="156">
        <v>0</v>
      </c>
      <c r="C25" s="156"/>
      <c r="D25" s="156"/>
      <c r="E25" s="156"/>
      <c r="F25" s="156"/>
      <c r="G25" s="98"/>
      <c r="H25" s="156">
        <v>0</v>
      </c>
      <c r="I25" s="156"/>
      <c r="J25" s="156"/>
      <c r="K25" s="156"/>
      <c r="L25" s="156"/>
    </row>
    <row r="26" spans="1:12" x14ac:dyDescent="0.25">
      <c r="A26" s="55" t="s">
        <v>277</v>
      </c>
      <c r="B26" s="156">
        <v>20000</v>
      </c>
      <c r="C26" s="156"/>
      <c r="D26" s="156"/>
      <c r="E26" s="156"/>
      <c r="F26" s="156"/>
      <c r="G26" s="98"/>
      <c r="H26" s="156">
        <v>20000</v>
      </c>
      <c r="I26" s="156"/>
      <c r="J26" s="156"/>
      <c r="K26" s="156"/>
      <c r="L26" s="156"/>
    </row>
    <row r="27" spans="1:12" x14ac:dyDescent="0.25">
      <c r="A27" s="55" t="s">
        <v>278</v>
      </c>
      <c r="B27" s="156">
        <f>Gear!C9</f>
        <v>500</v>
      </c>
      <c r="C27" s="156"/>
      <c r="D27" s="156"/>
      <c r="E27" s="156"/>
      <c r="F27" s="156"/>
      <c r="G27" s="98"/>
      <c r="H27" s="156">
        <f>B27</f>
        <v>500</v>
      </c>
      <c r="I27" s="156"/>
      <c r="J27" s="156"/>
      <c r="K27" s="156"/>
      <c r="L27" s="156"/>
    </row>
    <row r="28" spans="1:12" x14ac:dyDescent="0.25">
      <c r="A28" s="55" t="s">
        <v>279</v>
      </c>
      <c r="B28" s="156">
        <v>1</v>
      </c>
      <c r="C28" s="156"/>
      <c r="D28" s="156"/>
      <c r="E28" s="156"/>
      <c r="F28" s="156"/>
      <c r="G28" s="98"/>
      <c r="H28" s="156">
        <v>1</v>
      </c>
      <c r="I28" s="156"/>
      <c r="J28" s="156"/>
      <c r="K28" s="156"/>
      <c r="L28" s="156"/>
    </row>
    <row r="29" spans="1:12" ht="18" x14ac:dyDescent="0.35">
      <c r="A29" s="76" t="s">
        <v>330</v>
      </c>
      <c r="B29" s="82">
        <v>14</v>
      </c>
      <c r="C29" s="82">
        <v>19.5</v>
      </c>
      <c r="D29" s="82">
        <v>25.5</v>
      </c>
      <c r="E29" s="82">
        <v>30.7</v>
      </c>
      <c r="F29" s="82">
        <v>33.200000000000003</v>
      </c>
      <c r="G29" s="8"/>
      <c r="H29" s="82">
        <v>14</v>
      </c>
      <c r="I29" s="82">
        <v>19.5</v>
      </c>
      <c r="J29" s="82">
        <v>25.5</v>
      </c>
      <c r="K29" s="82">
        <v>30.7</v>
      </c>
      <c r="L29" s="82">
        <v>33.200000000000003</v>
      </c>
    </row>
    <row r="30" spans="1:12" ht="18" x14ac:dyDescent="0.35">
      <c r="A30" s="76" t="s">
        <v>331</v>
      </c>
      <c r="B30" s="82">
        <v>6.95</v>
      </c>
      <c r="C30" s="82">
        <v>10</v>
      </c>
      <c r="D30" s="82">
        <v>13.7</v>
      </c>
      <c r="E30" s="82">
        <v>16.600000000000001</v>
      </c>
      <c r="F30" s="82">
        <v>18.600000000000001</v>
      </c>
      <c r="G30" s="8"/>
      <c r="H30" s="82">
        <v>6.95</v>
      </c>
      <c r="I30" s="82">
        <v>10</v>
      </c>
      <c r="J30" s="82">
        <v>13.7</v>
      </c>
      <c r="K30" s="82">
        <v>16.600000000000001</v>
      </c>
      <c r="L30" s="82">
        <v>18.600000000000001</v>
      </c>
    </row>
    <row r="31" spans="1:12" ht="18" x14ac:dyDescent="0.35">
      <c r="A31" s="76" t="s">
        <v>297</v>
      </c>
      <c r="B31" s="97">
        <f>$B$24/(B30* 0.224808942443*1000)</f>
        <v>0.19208685042931184</v>
      </c>
      <c r="C31" s="97">
        <f>$B$24/(C30* 0.224808942443*1000)</f>
        <v>0.13350036104837174</v>
      </c>
      <c r="D31" s="97">
        <f>$B$24/(D30* 0.224808942443*1000)</f>
        <v>9.7445519013410045E-2</v>
      </c>
      <c r="E31" s="97">
        <f>$B$24/(E30* 0.224808942443*1000)</f>
        <v>8.0421904246007064E-2</v>
      </c>
      <c r="F31" s="97">
        <f>$B$24/(F30* 0.224808942443*1000)</f>
        <v>7.1774387660414912E-2</v>
      </c>
      <c r="G31" s="99"/>
      <c r="H31" s="97">
        <f>$H$24/(H30*0.224808942443*1000)</f>
        <v>0.19208685042931184</v>
      </c>
      <c r="I31" s="97">
        <f>$H$24/(I30*0.224808942443*1000)</f>
        <v>0.13350036104837174</v>
      </c>
      <c r="J31" s="97">
        <f>$H$24/(J30*0.224808942443*1000)</f>
        <v>9.7445519013410045E-2</v>
      </c>
      <c r="K31" s="97">
        <f>$H$24/(K30*0.224808942443*1000)</f>
        <v>8.0421904246007064E-2</v>
      </c>
      <c r="L31" s="97">
        <f>$H$24/(L30*0.224808942443*1000)</f>
        <v>7.1774387660414912E-2</v>
      </c>
    </row>
    <row r="32" spans="1:12" x14ac:dyDescent="0.25">
      <c r="A32" s="76" t="s">
        <v>280</v>
      </c>
      <c r="B32" s="82">
        <v>0.31</v>
      </c>
      <c r="C32" s="82">
        <v>0.28000000000000003</v>
      </c>
      <c r="D32" s="82">
        <v>0.26500000000000001</v>
      </c>
      <c r="E32" s="82">
        <v>0.26</v>
      </c>
      <c r="F32" s="82">
        <v>0.24</v>
      </c>
      <c r="G32" s="8"/>
      <c r="H32" s="82">
        <v>0.31</v>
      </c>
      <c r="I32" s="82">
        <v>0.28000000000000003</v>
      </c>
      <c r="J32" s="82">
        <v>0.26500000000000001</v>
      </c>
      <c r="K32" s="82">
        <v>0.26</v>
      </c>
      <c r="L32" s="82">
        <v>0.24</v>
      </c>
    </row>
    <row r="33" spans="1:16" ht="18" x14ac:dyDescent="0.35">
      <c r="A33" s="76" t="s">
        <v>298</v>
      </c>
      <c r="B33" s="155">
        <f>$B$25/(B28*$B$24)</f>
        <v>0</v>
      </c>
      <c r="C33" s="155"/>
      <c r="D33" s="155"/>
      <c r="E33" s="155"/>
      <c r="F33" s="155"/>
      <c r="G33" s="98"/>
      <c r="H33" s="155">
        <f>$H$25/(H28*$H$24)</f>
        <v>0</v>
      </c>
      <c r="I33" s="155"/>
      <c r="J33" s="155"/>
      <c r="K33" s="155"/>
      <c r="L33" s="155"/>
      <c r="P33" s="52"/>
    </row>
    <row r="34" spans="1:16" ht="18" x14ac:dyDescent="0.35">
      <c r="A34" s="76" t="s">
        <v>299</v>
      </c>
      <c r="B34" s="82">
        <v>1</v>
      </c>
      <c r="C34" s="82">
        <v>1</v>
      </c>
      <c r="D34" s="82">
        <v>1</v>
      </c>
      <c r="E34" s="82">
        <v>1</v>
      </c>
      <c r="F34" s="82">
        <v>1</v>
      </c>
      <c r="G34" s="8"/>
      <c r="H34" s="82">
        <v>1</v>
      </c>
      <c r="I34" s="82">
        <v>1</v>
      </c>
      <c r="J34" s="82">
        <v>1</v>
      </c>
      <c r="K34" s="82">
        <v>1</v>
      </c>
      <c r="L34" s="82">
        <v>1</v>
      </c>
    </row>
    <row r="35" spans="1:16" ht="18" x14ac:dyDescent="0.35">
      <c r="A35" s="76" t="s">
        <v>300</v>
      </c>
      <c r="B35" s="82">
        <v>0</v>
      </c>
      <c r="C35" s="82">
        <v>0</v>
      </c>
      <c r="D35" s="82">
        <v>0</v>
      </c>
      <c r="E35" s="82">
        <v>0</v>
      </c>
      <c r="F35" s="82">
        <v>0</v>
      </c>
      <c r="G35" s="8"/>
      <c r="H35" s="82">
        <v>0</v>
      </c>
      <c r="I35" s="82">
        <v>0</v>
      </c>
      <c r="J35" s="82">
        <v>0</v>
      </c>
      <c r="K35" s="82">
        <v>0</v>
      </c>
      <c r="L35" s="82">
        <v>0</v>
      </c>
    </row>
    <row r="36" spans="1:16" ht="18" x14ac:dyDescent="0.35">
      <c r="A36" s="76" t="s">
        <v>301</v>
      </c>
      <c r="B36" s="55">
        <f>(B34*$B$28*$B$24)+(B35*$B$25)</f>
        <v>300.12074983043124</v>
      </c>
      <c r="C36" s="55">
        <f>(C34*$B$28*$B$24)+(C35*$B$25)</f>
        <v>300.12074983043124</v>
      </c>
      <c r="D36" s="55">
        <f>(D34*$B$28*$B$24)+(D35*$B$25)</f>
        <v>300.12074983043124</v>
      </c>
      <c r="E36" s="55">
        <f>(E34*$B$28*$B$24)+(E35*$B$25)</f>
        <v>300.12074983043124</v>
      </c>
      <c r="F36" s="55">
        <f>(F34*$B$28*$B$24)+(F35*$B$25)</f>
        <v>300.12074983043124</v>
      </c>
      <c r="G36" s="8"/>
      <c r="H36" s="55">
        <f>H34*$H$28*$H$24+H35*$H$25</f>
        <v>300.12074983043124</v>
      </c>
      <c r="I36" s="55">
        <f>I34*$H$28*$H$24+I35*$H$25</f>
        <v>300.12074983043124</v>
      </c>
      <c r="J36" s="55">
        <f>J34*$H$28*$H$24+J35*$H$25</f>
        <v>300.12074983043124</v>
      </c>
      <c r="K36" s="55">
        <f>K34*$H$28*$H$24+K35*$H$25</f>
        <v>300.12074983043124</v>
      </c>
      <c r="L36" s="55">
        <f>L34*$H$28*$H$24+L35*$H$25</f>
        <v>300.12074983043124</v>
      </c>
    </row>
    <row r="37" spans="1:16" x14ac:dyDescent="0.25">
      <c r="A37" s="76" t="s">
        <v>281</v>
      </c>
      <c r="B37" s="83">
        <v>3</v>
      </c>
      <c r="C37" s="83">
        <v>3</v>
      </c>
      <c r="D37" s="83">
        <v>3</v>
      </c>
      <c r="E37" s="83">
        <v>3</v>
      </c>
      <c r="F37" s="83">
        <v>3</v>
      </c>
      <c r="G37" s="48"/>
      <c r="H37" s="83">
        <v>3</v>
      </c>
      <c r="I37" s="83">
        <v>3</v>
      </c>
      <c r="J37" s="83">
        <v>3</v>
      </c>
      <c r="K37" s="83">
        <v>3</v>
      </c>
      <c r="L37" s="83">
        <v>3</v>
      </c>
    </row>
    <row r="38" spans="1:16" ht="18" x14ac:dyDescent="0.35">
      <c r="A38" s="76" t="s">
        <v>302</v>
      </c>
      <c r="B38" s="84">
        <f>(B36*4.44822162825/1000)*((($B$26*$B$27*60)/(10^6))^(1/B37))</f>
        <v>11.259856533765712</v>
      </c>
      <c r="C38" s="84">
        <f>(C36*4.44822162825/1000)*((($B$26*$B$27*60)/(10^6))^(1/C37))</f>
        <v>11.259856533765712</v>
      </c>
      <c r="D38" s="84">
        <f>(D36*4.44822162825/1000)*((($B$26*$B$27*60)/(10^6))^(1/D37))</f>
        <v>11.259856533765712</v>
      </c>
      <c r="E38" s="84">
        <f>(E36*4.44822162825/1000)*((($B$26*$B$27*60)/(10^6))^(1/E37))</f>
        <v>11.259856533765712</v>
      </c>
      <c r="F38" s="84">
        <f>(F36*4.44822162825/1000)*((($B$26*$B$27*60)/(10^6))^(1/F37))</f>
        <v>11.259856533765712</v>
      </c>
      <c r="G38" s="52"/>
      <c r="H38" s="84">
        <f>(H36*4.44822162825/1000)*((($H$26*$H$27*60)/(10^6))^(1/H37))</f>
        <v>11.259856533765712</v>
      </c>
      <c r="I38" s="84">
        <f>(I36*4.44822162825/1000)*((($H$26*$H$27*60)/(10^6))^(1/I37))</f>
        <v>11.259856533765712</v>
      </c>
      <c r="J38" s="84">
        <f>(J36*4.44822162825/1000)*((($H$26*$H$27*60)/(10^6))^(1/J37))</f>
        <v>11.259856533765712</v>
      </c>
      <c r="K38" s="84">
        <f>(K36*4.44822162825/1000)*((($H$26*$H$27*60)/(10^6))^(1/K37))</f>
        <v>11.259856533765712</v>
      </c>
      <c r="L38" s="84">
        <f>(L36*4.44822162825/1000)*((($H$26*$H$27*60)/(10^6))^(1/L37))</f>
        <v>11.259856533765712</v>
      </c>
    </row>
    <row r="39" spans="1:16" x14ac:dyDescent="0.25">
      <c r="A39" s="76" t="s">
        <v>282</v>
      </c>
      <c r="B39" s="85">
        <f>B29/B38</f>
        <v>1.2433550958679829</v>
      </c>
      <c r="C39" s="85">
        <f>C29/C38</f>
        <v>1.7318160263875475</v>
      </c>
      <c r="D39" s="85">
        <f>D29/D38</f>
        <v>2.2646824960452547</v>
      </c>
      <c r="E39" s="85">
        <f>E29/E38</f>
        <v>2.7265001030819338</v>
      </c>
      <c r="F39" s="85">
        <f>F29/F38</f>
        <v>2.9485277987726453</v>
      </c>
      <c r="G39" s="52"/>
      <c r="H39" s="85">
        <f>H29/H38</f>
        <v>1.2433550958679829</v>
      </c>
      <c r="I39" s="85">
        <f>I29/I38</f>
        <v>1.7318160263875475</v>
      </c>
      <c r="J39" s="85">
        <f>J29/J38</f>
        <v>2.2646824960452547</v>
      </c>
      <c r="K39" s="85">
        <f>K29/K38</f>
        <v>2.7265001030819338</v>
      </c>
      <c r="L39" s="85">
        <f>L29/L38</f>
        <v>2.9485277987726453</v>
      </c>
    </row>
  </sheetData>
  <mergeCells count="30">
    <mergeCell ref="B33:F33"/>
    <mergeCell ref="H33:L33"/>
    <mergeCell ref="B25:F25"/>
    <mergeCell ref="H25:L25"/>
    <mergeCell ref="B26:F26"/>
    <mergeCell ref="H26:L26"/>
    <mergeCell ref="B27:F27"/>
    <mergeCell ref="H27:L27"/>
    <mergeCell ref="B6:F6"/>
    <mergeCell ref="H5:L5"/>
    <mergeCell ref="H2:L2"/>
    <mergeCell ref="B28:F28"/>
    <mergeCell ref="H28:L28"/>
    <mergeCell ref="H22:L22"/>
    <mergeCell ref="A1:L1"/>
    <mergeCell ref="A21:L21"/>
    <mergeCell ref="B22:F22"/>
    <mergeCell ref="B24:F24"/>
    <mergeCell ref="H24:L24"/>
    <mergeCell ref="B2:F2"/>
    <mergeCell ref="B4:F4"/>
    <mergeCell ref="H4:L4"/>
    <mergeCell ref="B13:F13"/>
    <mergeCell ref="H13:L13"/>
    <mergeCell ref="B5:F5"/>
    <mergeCell ref="H8:L8"/>
    <mergeCell ref="B8:F8"/>
    <mergeCell ref="H7:L7"/>
    <mergeCell ref="B7:F7"/>
    <mergeCell ref="H6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63</vt:i4>
      </vt:variant>
    </vt:vector>
  </HeadingPairs>
  <TitlesOfParts>
    <vt:vector size="68" baseType="lpstr">
      <vt:lpstr>Gear</vt:lpstr>
      <vt:lpstr>Pinion Shaft</vt:lpstr>
      <vt:lpstr>Gear Shaft</vt:lpstr>
      <vt:lpstr>Key</vt:lpstr>
      <vt:lpstr>Bearing</vt:lpstr>
      <vt:lpstr>C_Dist</vt:lpstr>
      <vt:lpstr>CH</vt:lpstr>
      <vt:lpstr>Cp</vt:lpstr>
      <vt:lpstr>'Gear Shaft'!dia</vt:lpstr>
      <vt:lpstr>dia</vt:lpstr>
      <vt:lpstr>Dp</vt:lpstr>
      <vt:lpstr>F</vt:lpstr>
      <vt:lpstr>I</vt:lpstr>
      <vt:lpstr>JG</vt:lpstr>
      <vt:lpstr>JP</vt:lpstr>
      <vt:lpstr>KB_pinion</vt:lpstr>
      <vt:lpstr>'Gear Shaft'!Kf</vt:lpstr>
      <vt:lpstr>Kf</vt:lpstr>
      <vt:lpstr>KfA</vt:lpstr>
      <vt:lpstr>'Gear Shaft'!Kfs</vt:lpstr>
      <vt:lpstr>Kfs</vt:lpstr>
      <vt:lpstr>KfsA</vt:lpstr>
      <vt:lpstr>Km</vt:lpstr>
      <vt:lpstr>Ko</vt:lpstr>
      <vt:lpstr>KR</vt:lpstr>
      <vt:lpstr>KsG</vt:lpstr>
      <vt:lpstr>KsP</vt:lpstr>
      <vt:lpstr>KT</vt:lpstr>
      <vt:lpstr>'Gear Shaft'!KtA</vt:lpstr>
      <vt:lpstr>KtsA</vt:lpstr>
      <vt:lpstr>Kv</vt:lpstr>
      <vt:lpstr>'Gear Shaft'!Ma</vt:lpstr>
      <vt:lpstr>Ma</vt:lpstr>
      <vt:lpstr>'Gear Shaft'!Mm</vt:lpstr>
      <vt:lpstr>Mm</vt:lpstr>
      <vt:lpstr>'Gear Shaft'!NeuberBending</vt:lpstr>
      <vt:lpstr>NeuberBending</vt:lpstr>
      <vt:lpstr>'Gear Shaft'!NeuberTorsion</vt:lpstr>
      <vt:lpstr>NeuberTorsion</vt:lpstr>
      <vt:lpstr>Pd</vt:lpstr>
      <vt:lpstr>Re</vt:lpstr>
      <vt:lpstr>'Gear Shaft'!rr</vt:lpstr>
      <vt:lpstr>rr</vt:lpstr>
      <vt:lpstr>ScG</vt:lpstr>
      <vt:lpstr>ScP</vt:lpstr>
      <vt:lpstr>'Gear Shaft'!Se</vt:lpstr>
      <vt:lpstr>Se</vt:lpstr>
      <vt:lpstr>SF</vt:lpstr>
      <vt:lpstr>SH</vt:lpstr>
      <vt:lpstr>Sigma_bG</vt:lpstr>
      <vt:lpstr>Sigma_bP</vt:lpstr>
      <vt:lpstr>SigmaC_Gear</vt:lpstr>
      <vt:lpstr>SigmaC_Pinion</vt:lpstr>
      <vt:lpstr>StG</vt:lpstr>
      <vt:lpstr>StP</vt:lpstr>
      <vt:lpstr>'Gear Shaft'!Sut</vt:lpstr>
      <vt:lpstr>Sut</vt:lpstr>
      <vt:lpstr>'Gear Shaft'!Ta</vt:lpstr>
      <vt:lpstr>Ta</vt:lpstr>
      <vt:lpstr>'Gear Shaft'!Tm</vt:lpstr>
      <vt:lpstr>Tm</vt:lpstr>
      <vt:lpstr>Wt</vt:lpstr>
      <vt:lpstr>YG</vt:lpstr>
      <vt:lpstr>YN_Gear</vt:lpstr>
      <vt:lpstr>YN_Pinion</vt:lpstr>
      <vt:lpstr>YP</vt:lpstr>
      <vt:lpstr>ZN_Gear</vt:lpstr>
      <vt:lpstr>ZN_Pinion</vt:lpstr>
    </vt:vector>
  </TitlesOfParts>
  <Company>UBC Okanagan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UBCO User</dc:creator>
  <cp:lastModifiedBy>Ahmed Osama</cp:lastModifiedBy>
  <cp:lastPrinted>2013-04-06T00:54:38Z</cp:lastPrinted>
  <dcterms:created xsi:type="dcterms:W3CDTF">2013-03-30T18:12:33Z</dcterms:created>
  <dcterms:modified xsi:type="dcterms:W3CDTF">2022-04-11T09:49:53Z</dcterms:modified>
</cp:coreProperties>
</file>