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бор и анализ данных" sheetId="1" r:id="rId4"/>
    <sheet state="visible" name="Вычисления средней цены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49">
      <text>
        <t xml:space="preserve">компания с наименьшим опытом на рынке
	-Аделина Бауыржанова</t>
      </text>
    </comment>
    <comment authorId="0" ref="A48">
      <text>
        <t xml:space="preserve">компания с наибольшим опытом на рынке
	-Аделина Бауыржанова</t>
      </text>
    </comment>
    <comment authorId="0" ref="J2">
      <text>
        <t xml:space="preserve">для вахтовиков
	-Аделина Бауыржанова</t>
      </text>
    </comment>
    <comment authorId="0" ref="A13">
      <text>
        <t xml:space="preserve">вагон
	-Аделина Бауыржанова</t>
      </text>
    </comment>
    <comment authorId="0" ref="D3">
      <text>
        <t xml:space="preserve">Средняя цена Серии "Скандинавия"
	-Аделина Бауыржанова</t>
      </text>
    </comment>
    <comment authorId="0" ref="C3">
      <text>
        <t xml:space="preserve">1 дом из Серии "Скандинавия"
	-Аделина Бауыржанова</t>
      </text>
    </comment>
    <comment authorId="0" ref="C2">
      <text>
        <t xml:space="preserve">https://ibstroy.kz/product-category/container_houses/container-building/
	-Аделина Бауыржанова</t>
      </text>
    </comment>
  </commentList>
</comments>
</file>

<file path=xl/sharedStrings.xml><?xml version="1.0" encoding="utf-8"?>
<sst xmlns="http://schemas.openxmlformats.org/spreadsheetml/2006/main" count="141" uniqueCount="123">
  <si>
    <t xml:space="preserve">Название </t>
  </si>
  <si>
    <t>Год</t>
  </si>
  <si>
    <t>Цена</t>
  </si>
  <si>
    <t>Средняя Цена</t>
  </si>
  <si>
    <t>Средняя Цена Рынка</t>
  </si>
  <si>
    <t>Разница Средняя Цена/Средняя Цена Рынка</t>
  </si>
  <si>
    <t>Выше/ниже средней цены рынка</t>
  </si>
  <si>
    <t>Сайт</t>
  </si>
  <si>
    <t>Социальные медиа</t>
  </si>
  <si>
    <t>Сегмент</t>
  </si>
  <si>
    <t>TOO "IB Stroy"</t>
  </si>
  <si>
    <t>ТОО "IB Stroy"</t>
  </si>
  <si>
    <t>-</t>
  </si>
  <si>
    <t xml:space="preserve">нишевый рынок </t>
  </si>
  <si>
    <t>DP Module</t>
  </si>
  <si>
    <t>https://dp-m.kz/</t>
  </si>
  <si>
    <t>Insta @dp_module                         VK DP-Module - модульные дома и бани                                  Telegram @dp_module</t>
  </si>
  <si>
    <t xml:space="preserve">премиум </t>
  </si>
  <si>
    <t>Qurama Home</t>
  </si>
  <si>
    <t>https://qurama-home.kz/home</t>
  </si>
  <si>
    <t xml:space="preserve">Insta @qurama_home         Youtube @quramahome-7019
</t>
  </si>
  <si>
    <t>люкс</t>
  </si>
  <si>
    <t>HotWell.kz</t>
  </si>
  <si>
    <t>https://hotwell.kz/kz/</t>
  </si>
  <si>
    <t>Insta @hotwell.kz  WhatsApp с +7 747 743 4343</t>
  </si>
  <si>
    <t>DomStroim</t>
  </si>
  <si>
    <t>https://domstroim.kz/</t>
  </si>
  <si>
    <t>Email almatydom@domstroim.kz</t>
  </si>
  <si>
    <t>эконом</t>
  </si>
  <si>
    <t>DUBLDOM</t>
  </si>
  <si>
    <t>https://dubldom-kz.kz/models</t>
  </si>
  <si>
    <t xml:space="preserve">Telegram @dubldomural_bot
YouTube @dubldomchannel
</t>
  </si>
  <si>
    <t>Module House</t>
  </si>
  <si>
    <t>https://m-house.kz/</t>
  </si>
  <si>
    <t xml:space="preserve">Insta @m_house.kz Telegram @theospanow
</t>
  </si>
  <si>
    <t>премиум</t>
  </si>
  <si>
    <t>Faraday</t>
  </si>
  <si>
    <t>https://www.faraday.kz/</t>
  </si>
  <si>
    <t>Insta @faraday_kz</t>
  </si>
  <si>
    <t>Норвежский ДомКазахстан</t>
  </si>
  <si>
    <t>https://norwdom.kz/</t>
  </si>
  <si>
    <t>Insta @norwdom_kazakhstan Telegram +7 776 880 90 99</t>
  </si>
  <si>
    <t>Sipstroyinvest</t>
  </si>
  <si>
    <t>http://sipstroyinvest.kz/</t>
  </si>
  <si>
    <r>
      <rPr/>
      <t xml:space="preserve">Facebook </t>
    </r>
    <r>
      <rPr>
        <color rgb="FF1155CC"/>
        <u/>
      </rPr>
      <t>https://www.facebook.com/Sipstroy/timeline/</t>
    </r>
  </si>
  <si>
    <t>Kromvel</t>
  </si>
  <si>
    <t>https://kromvel.kz/</t>
  </si>
  <si>
    <t>Email almaty@kromvel.kz</t>
  </si>
  <si>
    <t>El Stroy</t>
  </si>
  <si>
    <t>https://el-stroy.kz</t>
  </si>
  <si>
    <t xml:space="preserve">Email elstroy@mail.kz
</t>
  </si>
  <si>
    <t>AKHMAD-GROUP</t>
  </si>
  <si>
    <t>https://ahmad.kz/</t>
  </si>
  <si>
    <t xml:space="preserve">Telegram +77073292905
</t>
  </si>
  <si>
    <t>DoorHan</t>
  </si>
  <si>
    <t>https://almaty.doorhan-house.ru/</t>
  </si>
  <si>
    <r>
      <rPr/>
      <t xml:space="preserve">Telegram </t>
    </r>
    <r>
      <rPr>
        <color rgb="FF1155CC"/>
        <u/>
      </rPr>
      <t>https://t.me/doorhan_effect</t>
    </r>
  </si>
  <si>
    <t>Строй.Ком.Алматы</t>
  </si>
  <si>
    <t>https://www.stroycom.kz/index.php?route=common/home</t>
  </si>
  <si>
    <t>Whatsapp 87777220838</t>
  </si>
  <si>
    <t>AINN</t>
  </si>
  <si>
    <t>https://www.ainn.kz/modulnye-doma</t>
  </si>
  <si>
    <t>Whatsapp +7 707 907 945</t>
  </si>
  <si>
    <t xml:space="preserve">эконом </t>
  </si>
  <si>
    <t>ЧЕРЕПАШКА</t>
  </si>
  <si>
    <t>https://cherepashka.kz</t>
  </si>
  <si>
    <t>Email info@@cherepashka.kz Whatsapp  +7 701 110 2070  Instagram  @cherepashka_kz</t>
  </si>
  <si>
    <t>MODERN HOUSE</t>
  </si>
  <si>
    <t>https://modernhouse.kz/35</t>
  </si>
  <si>
    <t xml:space="preserve">Whatsapp +7 777 807 0888 </t>
  </si>
  <si>
    <t>Вывод:практически половина компаний занимающихся модульным строительством относятся к сегменту эконом, когда как остальные две четверти относят себя к люкс и премиум сегментам. Меньшинством оказался нишевый сгмент с 4.8% долей рынка</t>
  </si>
  <si>
    <t>China.Machinery.Equipment</t>
  </si>
  <si>
    <t>https://flagma.kz/modulnye-doma-bazy-otdyha-o3736257.html</t>
  </si>
  <si>
    <t>Whatsapp +7 (747) 889-93-52</t>
  </si>
  <si>
    <t>Экодомстрой</t>
  </si>
  <si>
    <t>https://flagma.kz/modulny-dom-36-kv-m-pod-klyuch-o2109337.html</t>
  </si>
  <si>
    <t>7 701 127-68-18
+7 702 075-01-24
+7 727 345-46-06</t>
  </si>
  <si>
    <t>Ависта модуль</t>
  </si>
  <si>
    <t>www.a-modul.ru</t>
  </si>
  <si>
    <t>Email zakaz@a-modul.ru          Youtube @user-gh9zo7wm1e</t>
  </si>
  <si>
    <t>CIS GATE</t>
  </si>
  <si>
    <t>https://kz.bizorg.su/stroitelystvo-mobilynyh-i-modulynyh-domov-zdaniy-i-sooruzheniy-r/p799000-modulynoe-stroitelystvo-zhilyh-dom</t>
  </si>
  <si>
    <t>8 701 722-03-31</t>
  </si>
  <si>
    <t>Анализ данных</t>
  </si>
  <si>
    <t>Наим. цена/кв.</t>
  </si>
  <si>
    <t>Наиб. цена/кв.</t>
  </si>
  <si>
    <t>Медиана цен</t>
  </si>
  <si>
    <t>Наим. ср. цена/кв.</t>
  </si>
  <si>
    <t>Наиб. ср. цена/кв.</t>
  </si>
  <si>
    <t>Медиана ср. цен</t>
  </si>
  <si>
    <t>Доп. анализ</t>
  </si>
  <si>
    <t>Q1</t>
  </si>
  <si>
    <t>Первый квартиль</t>
  </si>
  <si>
    <t>Q3</t>
  </si>
  <si>
    <t>Третий квартиль</t>
  </si>
  <si>
    <t>IQR</t>
  </si>
  <si>
    <t>Межкв. размах</t>
  </si>
  <si>
    <t>Нижний ус</t>
  </si>
  <si>
    <t>Верхний ус</t>
  </si>
  <si>
    <t>Опыт на рынке</t>
  </si>
  <si>
    <t>старейшая компания</t>
  </si>
  <si>
    <t>новейшая компания</t>
  </si>
  <si>
    <t>Вывод: гистограмма иллюстрирует то что средняя цена за квадратный метр на рынке имеет большой диапозон по компаниям. Объяснением этому феномену оказалось то,что есть компании указывающую минимальную цену не включающую в себя некоторые услуги. Например,Sipstroyinvest не занимается коммуникациями и отделкой дома, поэтому и ставит минимуальную цену для рынка,  50000  тенге за квадратный метр. Другой причиной большого диапозона является присутсвие цен люксовой категории; люксовые компании которые предоставляют строительство за высокие чеки.</t>
  </si>
  <si>
    <t>Задание выполняли:</t>
  </si>
  <si>
    <t>Бауыржанова Аделина</t>
  </si>
  <si>
    <t>Баянова Әнел</t>
  </si>
  <si>
    <t>Цена за дом</t>
  </si>
  <si>
    <t>Квадратура, м^2</t>
  </si>
  <si>
    <t>Цена за квадратный метр</t>
  </si>
  <si>
    <t>Средняя цена за квадратный метр</t>
  </si>
  <si>
    <t>№1</t>
  </si>
  <si>
    <t>№2</t>
  </si>
  <si>
    <t>№3</t>
  </si>
  <si>
    <t>№4</t>
  </si>
  <si>
    <t>№5</t>
  </si>
  <si>
    <t>№6</t>
  </si>
  <si>
    <t>Цена в рублях</t>
  </si>
  <si>
    <t>№7</t>
  </si>
  <si>
    <t>№8</t>
  </si>
  <si>
    <t>№9</t>
  </si>
  <si>
    <t>№10</t>
  </si>
  <si>
    <t>1 dollar to tg</t>
  </si>
  <si>
    <t>№11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</si>
</sst>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0.0"/>
      <color rgb="FF1C1E21"/>
      <name val="Arial"/>
    </font>
    <font>
      <u/>
      <color rgb="FF0000FF"/>
    </font>
    <font>
      <sz val="11.0"/>
      <color rgb="FF000000"/>
      <name val="Roboto"/>
    </font>
    <font>
      <u/>
      <color rgb="FF0000FF"/>
      <name val="-apple-system"/>
    </font>
    <font>
      <color rgb="FF000000"/>
      <name val="Arial"/>
    </font>
    <font>
      <color theme="1"/>
      <name val="Arial"/>
    </font>
    <font>
      <color rgb="FF000000"/>
      <name val="Ui-sans-serif"/>
    </font>
    <font>
      <sz val="12.0"/>
      <color rgb="FF000000"/>
      <name val="Ui-sans-serif"/>
    </font>
    <font>
      <color rgb="FF000000"/>
      <name val="Arial"/>
      <scheme val="minor"/>
    </font>
    <font>
      <u/>
      <color rgb="FF000000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  <font>
      <sz val="12.0"/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E3E3E3"/>
        <bgColor rgb="FFE3E3E3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top style="thin">
        <color rgb="FFE3E3E3"/>
      </top>
    </border>
    <border>
      <left style="thin">
        <color rgb="FFE3E3E3"/>
      </left>
      <right style="thin">
        <color rgb="FFE3E3E3"/>
      </right>
      <top style="thin">
        <color rgb="FFE3E3E3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4" xfId="0" applyFont="1" applyNumberFormat="1"/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2" numFmtId="4" xfId="0" applyAlignment="1" applyFont="1" applyNumberFormat="1">
      <alignment readingOrder="0" shrinkToFit="0" wrapText="1"/>
    </xf>
    <xf borderId="0" fillId="4" fontId="7" numFmtId="0" xfId="0" applyAlignment="1" applyFill="1" applyFont="1">
      <alignment horizontal="left" readingOrder="0"/>
    </xf>
    <xf borderId="0" fillId="0" fontId="8" numFmtId="0" xfId="0" applyAlignment="1" applyFont="1">
      <alignment readingOrder="0" shrinkToFit="0" wrapText="0"/>
    </xf>
    <xf borderId="0" fillId="3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4" fontId="11" numFmtId="0" xfId="0" applyAlignment="1" applyFont="1">
      <alignment horizontal="left" readingOrder="0"/>
    </xf>
    <xf borderId="0" fillId="5" fontId="12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0" fontId="2" numFmtId="0" xfId="0" applyFont="1"/>
    <xf borderId="0" fillId="4" fontId="2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6" fontId="2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1" fillId="0" fontId="13" numFmtId="0" xfId="0" applyAlignment="1" applyBorder="1" applyFont="1">
      <alignment horizontal="center" readingOrder="0" vertical="bottom"/>
    </xf>
    <xf borderId="2" fillId="0" fontId="13" numFmtId="0" xfId="0" applyAlignment="1" applyBorder="1" applyFont="1">
      <alignment horizontal="center" readingOrder="0" vertical="bottom"/>
    </xf>
    <xf borderId="3" fillId="0" fontId="13" numFmtId="0" xfId="0" applyAlignment="1" applyBorder="1" applyFont="1">
      <alignment horizontal="center" readingOrder="0" vertical="bottom"/>
    </xf>
    <xf borderId="0" fillId="7" fontId="2" numFmtId="0" xfId="0" applyAlignment="1" applyFill="1" applyFont="1">
      <alignment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15" numFmtId="0" xfId="0" applyFont="1"/>
    <xf borderId="0" fillId="4" fontId="12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5" fontId="12" numFmtId="0" xfId="0" applyAlignment="1" applyFont="1">
      <alignment readingOrder="0" vertical="bottom"/>
    </xf>
    <xf borderId="0" fillId="0" fontId="14" numFmtId="0" xfId="0" applyFont="1"/>
    <xf borderId="0" fillId="0" fontId="12" numFmtId="0" xfId="0" applyAlignment="1" applyFont="1">
      <alignment vertical="bottom"/>
    </xf>
    <xf borderId="4" fillId="0" fontId="12" numFmtId="0" xfId="0" applyAlignment="1" applyBorder="1" applyFont="1">
      <alignment vertical="bottom"/>
    </xf>
    <xf borderId="4" fillId="0" fontId="14" numFmtId="0" xfId="0" applyBorder="1" applyFont="1"/>
    <xf borderId="4" fillId="0" fontId="12" numFmtId="0" xfId="0" applyAlignment="1" applyBorder="1" applyFont="1">
      <alignment horizontal="right" vertical="bottom"/>
    </xf>
    <xf borderId="0" fillId="0" fontId="2" numFmtId="0" xfId="0" applyAlignment="1" applyFont="1">
      <alignment readingOrder="0" shrinkToFit="0" wrapText="0"/>
    </xf>
    <xf borderId="0" fillId="0" fontId="16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17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18" numFmtId="0" xfId="0" applyAlignment="1" applyFont="1">
      <alignment readingOrder="0"/>
    </xf>
    <xf borderId="0" fillId="0" fontId="18" numFmtId="0" xfId="0" applyFont="1"/>
    <xf borderId="0" fillId="2" fontId="18" numFmtId="0" xfId="0" applyAlignment="1" applyFont="1">
      <alignment readingOrder="0"/>
    </xf>
    <xf borderId="0" fillId="2" fontId="18" numFmtId="0" xfId="0" applyAlignment="1" applyFont="1">
      <alignment readingOrder="0" shrinkToFit="0" wrapText="1"/>
    </xf>
    <xf borderId="0" fillId="8" fontId="2" numFmtId="0" xfId="0" applyAlignment="1" applyFill="1" applyFont="1">
      <alignment readingOrder="0"/>
    </xf>
    <xf borderId="0" fillId="4" fontId="2" numFmtId="3" xfId="0" applyAlignment="1" applyFont="1" applyNumberFormat="1">
      <alignment readingOrder="0"/>
    </xf>
    <xf borderId="0" fillId="4" fontId="2" numFmtId="3" xfId="0" applyFont="1" applyNumberFormat="1"/>
    <xf borderId="0" fillId="4" fontId="2" numFmtId="0" xfId="0" applyFont="1"/>
    <xf borderId="0" fillId="4" fontId="2" numFmtId="0" xfId="0" applyAlignment="1" applyFont="1">
      <alignment readingOrder="0" shrinkToFit="0" wrapText="0"/>
    </xf>
    <xf borderId="0" fillId="4" fontId="2" numFmtId="3" xfId="0" applyAlignment="1" applyFont="1" applyNumberFormat="1">
      <alignment readingOrder="0" shrinkToFit="0" wrapText="0"/>
    </xf>
    <xf borderId="0" fillId="9" fontId="12" numFmtId="0" xfId="0" applyAlignment="1" applyFill="1" applyFont="1">
      <alignment readingOrder="0" shrinkToFit="0" wrapText="0"/>
    </xf>
    <xf borderId="0" fillId="4" fontId="12" numFmtId="3" xfId="0" applyAlignment="1" applyFont="1" applyNumberFormat="1">
      <alignment readingOrder="0" shrinkToFit="0" wrapText="0"/>
    </xf>
    <xf borderId="0" fillId="4" fontId="12" numFmtId="0" xfId="0" applyAlignment="1" applyFont="1">
      <alignment readingOrder="0" shrinkToFit="0" wrapText="0"/>
    </xf>
    <xf borderId="0" fillId="4" fontId="0" numFmtId="0" xfId="0" applyAlignment="1" applyFont="1">
      <alignment readingOrder="0" shrinkToFit="0" wrapText="0"/>
    </xf>
    <xf borderId="0" fillId="4" fontId="0" numFmtId="3" xfId="0" applyAlignment="1" applyFont="1" applyNumberFormat="1">
      <alignment readingOrder="0" shrinkToFit="0" wrapText="0"/>
    </xf>
    <xf borderId="0" fillId="9" fontId="0" numFmtId="0" xfId="0" applyAlignment="1" applyFont="1">
      <alignment readingOrder="0" shrinkToFit="0" wrapText="0"/>
    </xf>
    <xf borderId="0" fillId="9" fontId="2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10" fontId="2" numFmtId="0" xfId="0" applyFont="1"/>
    <xf borderId="0" fillId="9" fontId="0" numFmtId="0" xfId="0" applyAlignment="1" applyFont="1">
      <alignment readingOrder="0"/>
    </xf>
    <xf borderId="0" fillId="4" fontId="0" numFmtId="3" xfId="0" applyAlignment="1" applyFont="1" applyNumberForma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0" fillId="4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Arial"/>
              </a:defRPr>
            </a:pPr>
            <a:r>
              <a:rPr b="1" sz="1600">
                <a:solidFill>
                  <a:srgbClr val="000000"/>
                </a:solidFill>
                <a:latin typeface="Arial"/>
              </a:rPr>
              <a:t>Средняя Цена Квадратного Метра по Компании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'Сбор и анализ данных'!$D$2:$D$23</c:f>
              <c:numCache/>
            </c:numRef>
          </c:val>
        </c:ser>
        <c:overlap val="100"/>
        <c:axId val="2065302085"/>
        <c:axId val="1871427163"/>
      </c:barChart>
      <c:catAx>
        <c:axId val="20653020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1427163"/>
      </c:catAx>
      <c:valAx>
        <c:axId val="1871427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53020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Разброс средней цены                                                                              (дата показывает что на рынке цены разбросаны/разнятся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'Сбор и анализ данных'!$D$2:$D$23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572907"/>
        <c:axId val="784950767"/>
      </c:scatterChart>
      <c:valAx>
        <c:axId val="18735729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4950767"/>
      </c:valAx>
      <c:valAx>
        <c:axId val="7849507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Цена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35729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44</xdr:row>
      <xdr:rowOff>0</xdr:rowOff>
    </xdr:from>
    <xdr:ext cx="4905375" cy="2638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19050</xdr:colOff>
      <xdr:row>28</xdr:row>
      <xdr:rowOff>0</xdr:rowOff>
    </xdr:from>
    <xdr:ext cx="4905375" cy="30003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herepashka.kz" TargetMode="External"/><Relationship Id="rId22" Type="http://schemas.openxmlformats.org/officeDocument/2006/relationships/hyperlink" Target="https://flagma.kz/modulnye-doma-bazy-otdyha-o3736257.html" TargetMode="External"/><Relationship Id="rId21" Type="http://schemas.openxmlformats.org/officeDocument/2006/relationships/hyperlink" Target="https://modernhouse.kz/35" TargetMode="External"/><Relationship Id="rId24" Type="http://schemas.openxmlformats.org/officeDocument/2006/relationships/hyperlink" Target="https://vk.com/away.php?to=http%3A%2F%2Fwww.a-modul.ru&amp;cc_key=" TargetMode="External"/><Relationship Id="rId23" Type="http://schemas.openxmlformats.org/officeDocument/2006/relationships/hyperlink" Target="https://flagma.kz/modulny-dom-36-kv-m-pod-klyuch-o2109337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ibstroy.kz/" TargetMode="External"/><Relationship Id="rId3" Type="http://schemas.openxmlformats.org/officeDocument/2006/relationships/hyperlink" Target="https://dp-m.kz/" TargetMode="External"/><Relationship Id="rId4" Type="http://schemas.openxmlformats.org/officeDocument/2006/relationships/hyperlink" Target="https://qurama-home.kz/home" TargetMode="External"/><Relationship Id="rId9" Type="http://schemas.openxmlformats.org/officeDocument/2006/relationships/hyperlink" Target="https://www.faraday.kz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kz.bizorg.su/stroitelystvo-mobilynyh-i-modulynyh-domov-zdaniy-i-sooruzheniy-r/p799000-modulynoe-stroitelystvo-zhilyh-dom" TargetMode="External"/><Relationship Id="rId27" Type="http://schemas.openxmlformats.org/officeDocument/2006/relationships/vmlDrawing" Target="../drawings/vmlDrawing1.vml"/><Relationship Id="rId5" Type="http://schemas.openxmlformats.org/officeDocument/2006/relationships/hyperlink" Target="https://hotwell.kz/kz/" TargetMode="External"/><Relationship Id="rId6" Type="http://schemas.openxmlformats.org/officeDocument/2006/relationships/hyperlink" Target="https://domstroim.kz/" TargetMode="External"/><Relationship Id="rId7" Type="http://schemas.openxmlformats.org/officeDocument/2006/relationships/hyperlink" Target="https://dubldom-kz.kz/models" TargetMode="External"/><Relationship Id="rId8" Type="http://schemas.openxmlformats.org/officeDocument/2006/relationships/hyperlink" Target="https://m-house.kz/" TargetMode="External"/><Relationship Id="rId11" Type="http://schemas.openxmlformats.org/officeDocument/2006/relationships/hyperlink" Target="http://sipstroyinvest.kz/" TargetMode="External"/><Relationship Id="rId10" Type="http://schemas.openxmlformats.org/officeDocument/2006/relationships/hyperlink" Target="https://norwdom.kz/" TargetMode="External"/><Relationship Id="rId13" Type="http://schemas.openxmlformats.org/officeDocument/2006/relationships/hyperlink" Target="https://kromvel.kz/" TargetMode="External"/><Relationship Id="rId12" Type="http://schemas.openxmlformats.org/officeDocument/2006/relationships/hyperlink" Target="https://www.facebook.com/Sipstroy/timeline/" TargetMode="External"/><Relationship Id="rId15" Type="http://schemas.openxmlformats.org/officeDocument/2006/relationships/hyperlink" Target="https://ahmad.kz/" TargetMode="External"/><Relationship Id="rId14" Type="http://schemas.openxmlformats.org/officeDocument/2006/relationships/hyperlink" Target="https://el-stroy.kz/info@gasindustry.kz" TargetMode="External"/><Relationship Id="rId17" Type="http://schemas.openxmlformats.org/officeDocument/2006/relationships/hyperlink" Target="https://t.me/doorhan_effect" TargetMode="External"/><Relationship Id="rId16" Type="http://schemas.openxmlformats.org/officeDocument/2006/relationships/hyperlink" Target="https://almaty.doorhan-house.ru/" TargetMode="External"/><Relationship Id="rId19" Type="http://schemas.openxmlformats.org/officeDocument/2006/relationships/hyperlink" Target="https://www.ainn.kz/modulnye-doma" TargetMode="External"/><Relationship Id="rId18" Type="http://schemas.openxmlformats.org/officeDocument/2006/relationships/hyperlink" Target="https://www.stroycom.kz/index.php?route=common/hom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4.13"/>
    <col customWidth="1" min="6" max="6" width="18.75"/>
    <col customWidth="1" min="7" max="7" width="20.13"/>
    <col customWidth="1" min="8" max="8" width="22.25"/>
    <col customWidth="1" min="9" max="9" width="23.88"/>
    <col customWidth="1" min="10" max="10" width="21.0"/>
    <col customWidth="1" min="11" max="11" width="13.5"/>
    <col customWidth="1" min="12" max="12" width="12.0"/>
    <col customWidth="1" min="16" max="16" width="66.75"/>
    <col customWidth="1" min="20" max="20" width="43.5"/>
  </cols>
  <sheetData>
    <row r="1" ht="52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>
        <v>2016.0</v>
      </c>
      <c r="C2" s="5">
        <v>84800.0</v>
      </c>
      <c r="D2" s="5">
        <v>95200.0</v>
      </c>
      <c r="E2" s="5">
        <f>AVERAGE(D2:D23)</f>
        <v>200811.1313</v>
      </c>
      <c r="F2" s="6">
        <f t="shared" ref="F2:F23" si="1">D2-E2</f>
        <v>-105611.1313</v>
      </c>
      <c r="G2" s="7" t="str">
        <f t="shared" ref="G2:G23" si="2">IF(D2&lt;E2,"ниже","выше")</f>
        <v>ниже</v>
      </c>
      <c r="H2" s="8" t="s">
        <v>11</v>
      </c>
      <c r="I2" s="4" t="s">
        <v>12</v>
      </c>
      <c r="J2" s="4" t="s">
        <v>13</v>
      </c>
    </row>
    <row r="3" ht="63.0" customHeight="1">
      <c r="A3" s="9" t="s">
        <v>14</v>
      </c>
      <c r="B3" s="4" t="s">
        <v>12</v>
      </c>
      <c r="C3" s="5">
        <v>164000.0</v>
      </c>
      <c r="D3" s="5">
        <v>162040.0</v>
      </c>
      <c r="E3" s="5">
        <f>AVERAGE(D2:D23)</f>
        <v>200811.1313</v>
      </c>
      <c r="F3" s="6">
        <f t="shared" si="1"/>
        <v>-38771.13131</v>
      </c>
      <c r="G3" s="7" t="str">
        <f t="shared" si="2"/>
        <v>ниже</v>
      </c>
      <c r="H3" s="10" t="s">
        <v>15</v>
      </c>
      <c r="I3" s="11" t="s">
        <v>16</v>
      </c>
      <c r="J3" s="4" t="s">
        <v>17</v>
      </c>
    </row>
    <row r="4" ht="46.5" customHeight="1">
      <c r="A4" s="3" t="s">
        <v>18</v>
      </c>
      <c r="B4" s="4">
        <v>2019.0</v>
      </c>
      <c r="C4" s="5">
        <v>340000.0</v>
      </c>
      <c r="D4" s="5">
        <v>340000.0</v>
      </c>
      <c r="E4" s="12">
        <f>AVERAGE((D2:D23))</f>
        <v>200811.1313</v>
      </c>
      <c r="F4" s="6">
        <f t="shared" si="1"/>
        <v>139188.8687</v>
      </c>
      <c r="G4" s="7" t="str">
        <f t="shared" si="2"/>
        <v>выше</v>
      </c>
      <c r="H4" s="8" t="s">
        <v>19</v>
      </c>
      <c r="I4" s="13" t="s">
        <v>20</v>
      </c>
      <c r="J4" s="4" t="s">
        <v>21</v>
      </c>
    </row>
    <row r="5" ht="30.75" customHeight="1">
      <c r="A5" s="14" t="s">
        <v>22</v>
      </c>
      <c r="B5" s="4">
        <v>2012.0</v>
      </c>
      <c r="C5" s="5">
        <v>199900.0</v>
      </c>
      <c r="D5" s="5">
        <v>206730.0</v>
      </c>
      <c r="E5" s="5">
        <f>AVERAGE(D2:D23)</f>
        <v>200811.1313</v>
      </c>
      <c r="F5" s="6">
        <f t="shared" si="1"/>
        <v>5918.868687</v>
      </c>
      <c r="G5" s="7" t="str">
        <f t="shared" si="2"/>
        <v>выше</v>
      </c>
      <c r="H5" s="15" t="s">
        <v>23</v>
      </c>
      <c r="I5" s="13" t="s">
        <v>24</v>
      </c>
    </row>
    <row r="6" ht="31.5" customHeight="1">
      <c r="A6" s="3" t="s">
        <v>25</v>
      </c>
      <c r="B6" s="4">
        <v>2007.0</v>
      </c>
      <c r="C6" s="5">
        <v>100000.0</v>
      </c>
      <c r="D6" s="5">
        <v>100000.0</v>
      </c>
      <c r="E6" s="12">
        <f>AVERAGE(D2:D23)</f>
        <v>200811.1313</v>
      </c>
      <c r="F6" s="6">
        <f t="shared" si="1"/>
        <v>-100811.1313</v>
      </c>
      <c r="G6" s="7" t="str">
        <f t="shared" si="2"/>
        <v>ниже</v>
      </c>
      <c r="H6" s="15" t="s">
        <v>26</v>
      </c>
      <c r="I6" s="13" t="s">
        <v>27</v>
      </c>
      <c r="J6" s="4" t="s">
        <v>28</v>
      </c>
    </row>
    <row r="7" ht="49.5" customHeight="1">
      <c r="A7" s="3" t="s">
        <v>29</v>
      </c>
      <c r="B7" s="4">
        <v>2013.0</v>
      </c>
      <c r="C7" s="5">
        <v>422307.0</v>
      </c>
      <c r="D7" s="5">
        <v>533609.0</v>
      </c>
      <c r="E7" s="5">
        <f>AVERAGE(D2:D23)</f>
        <v>200811.1313</v>
      </c>
      <c r="F7" s="6">
        <f t="shared" si="1"/>
        <v>332797.8687</v>
      </c>
      <c r="G7" s="7" t="str">
        <f t="shared" si="2"/>
        <v>выше</v>
      </c>
      <c r="H7" s="15" t="s">
        <v>30</v>
      </c>
      <c r="I7" s="4" t="s">
        <v>31</v>
      </c>
      <c r="J7" s="4" t="s">
        <v>21</v>
      </c>
    </row>
    <row r="8" ht="40.5" customHeight="1">
      <c r="A8" s="3" t="s">
        <v>32</v>
      </c>
      <c r="B8" s="4"/>
      <c r="C8" s="5">
        <v>230000.0</v>
      </c>
      <c r="D8" s="5">
        <v>248194.0</v>
      </c>
      <c r="E8" s="5">
        <f>AVERAGE(D2:D23)</f>
        <v>200811.1313</v>
      </c>
      <c r="F8" s="6">
        <f t="shared" si="1"/>
        <v>47382.86869</v>
      </c>
      <c r="G8" s="7" t="str">
        <f t="shared" si="2"/>
        <v>выше</v>
      </c>
      <c r="H8" s="15" t="s">
        <v>33</v>
      </c>
      <c r="I8" s="13" t="s">
        <v>34</v>
      </c>
      <c r="J8" s="4" t="s">
        <v>35</v>
      </c>
    </row>
    <row r="9">
      <c r="A9" s="3" t="s">
        <v>36</v>
      </c>
      <c r="B9" s="4">
        <v>2021.0</v>
      </c>
      <c r="C9" s="5">
        <v>319000.0</v>
      </c>
      <c r="D9" s="5">
        <v>316000.0</v>
      </c>
      <c r="E9" s="5">
        <f>AVERAGE(D2:D23)</f>
        <v>200811.1313</v>
      </c>
      <c r="F9" s="6">
        <f t="shared" si="1"/>
        <v>115188.8687</v>
      </c>
      <c r="G9" s="7" t="str">
        <f t="shared" si="2"/>
        <v>выше</v>
      </c>
      <c r="H9" s="15" t="s">
        <v>37</v>
      </c>
      <c r="I9" s="4" t="s">
        <v>38</v>
      </c>
      <c r="J9" s="4" t="s">
        <v>21</v>
      </c>
    </row>
    <row r="10" ht="101.25" customHeight="1">
      <c r="A10" s="16" t="s">
        <v>39</v>
      </c>
      <c r="B10" s="4" t="s">
        <v>12</v>
      </c>
      <c r="C10" s="5">
        <v>234218.0</v>
      </c>
      <c r="D10" s="5">
        <v>256133.0</v>
      </c>
      <c r="E10" s="5">
        <f>AVERAGE(D2:D23)</f>
        <v>200811.1313</v>
      </c>
      <c r="F10" s="6">
        <f t="shared" si="1"/>
        <v>55321.86869</v>
      </c>
      <c r="G10" s="7" t="str">
        <f t="shared" si="2"/>
        <v>выше</v>
      </c>
      <c r="H10" s="15" t="s">
        <v>40</v>
      </c>
      <c r="I10" s="13" t="s">
        <v>41</v>
      </c>
      <c r="J10" s="4" t="s">
        <v>35</v>
      </c>
      <c r="P10" s="13"/>
    </row>
    <row r="11" ht="48.0" customHeight="1">
      <c r="A11" s="3" t="s">
        <v>42</v>
      </c>
      <c r="B11" s="4">
        <v>2008.0</v>
      </c>
      <c r="C11" s="5">
        <v>45000.0</v>
      </c>
      <c r="D11" s="5">
        <v>50000.0</v>
      </c>
      <c r="E11" s="5">
        <f>AVERAGE(D2:D23)</f>
        <v>200811.1313</v>
      </c>
      <c r="F11" s="6">
        <f t="shared" si="1"/>
        <v>-150811.1313</v>
      </c>
      <c r="G11" s="7" t="str">
        <f t="shared" si="2"/>
        <v>ниже</v>
      </c>
      <c r="H11" s="15" t="s">
        <v>43</v>
      </c>
      <c r="I11" s="17" t="s">
        <v>44</v>
      </c>
      <c r="J11" s="4" t="s">
        <v>28</v>
      </c>
    </row>
    <row r="12">
      <c r="A12" s="3" t="s">
        <v>45</v>
      </c>
      <c r="B12" s="4" t="s">
        <v>12</v>
      </c>
      <c r="C12" s="5">
        <v>64500.0</v>
      </c>
      <c r="D12" s="5">
        <v>64500.0</v>
      </c>
      <c r="E12" s="5">
        <f>AVERAGE(D2:D23)</f>
        <v>200811.1313</v>
      </c>
      <c r="F12" s="6">
        <f t="shared" si="1"/>
        <v>-136311.1313</v>
      </c>
      <c r="G12" s="7" t="str">
        <f t="shared" si="2"/>
        <v>ниже</v>
      </c>
      <c r="H12" s="8" t="s">
        <v>46</v>
      </c>
      <c r="I12" s="4" t="s">
        <v>47</v>
      </c>
      <c r="J12" s="4" t="s">
        <v>28</v>
      </c>
    </row>
    <row r="13" ht="36.0" customHeight="1">
      <c r="A13" s="3" t="s">
        <v>48</v>
      </c>
      <c r="B13" s="4">
        <v>2005.0</v>
      </c>
      <c r="C13" s="5">
        <v>45129.0</v>
      </c>
      <c r="D13" s="5">
        <v>45129.0</v>
      </c>
      <c r="E13" s="5">
        <f>AVERAGE(D2:D23)</f>
        <v>200811.1313</v>
      </c>
      <c r="F13" s="6">
        <f t="shared" si="1"/>
        <v>-155682.1313</v>
      </c>
      <c r="G13" s="7" t="str">
        <f t="shared" si="2"/>
        <v>ниже</v>
      </c>
      <c r="H13" s="8" t="s">
        <v>49</v>
      </c>
      <c r="I13" s="4" t="s">
        <v>50</v>
      </c>
      <c r="J13" s="4" t="s">
        <v>28</v>
      </c>
    </row>
    <row r="14" ht="25.5" customHeight="1">
      <c r="A14" s="16" t="s">
        <v>51</v>
      </c>
      <c r="B14" s="4">
        <v>2010.0</v>
      </c>
      <c r="C14" s="5">
        <v>236111.0</v>
      </c>
      <c r="D14" s="5">
        <v>231388.0</v>
      </c>
      <c r="E14" s="5">
        <f>AVERAGE(D2:D23)</f>
        <v>200811.1313</v>
      </c>
      <c r="F14" s="6">
        <f t="shared" si="1"/>
        <v>30576.86869</v>
      </c>
      <c r="G14" s="7" t="str">
        <f t="shared" si="2"/>
        <v>выше</v>
      </c>
      <c r="H14" s="15" t="s">
        <v>52</v>
      </c>
      <c r="I14" s="4" t="s">
        <v>53</v>
      </c>
      <c r="J14" s="4" t="s">
        <v>28</v>
      </c>
    </row>
    <row r="15" ht="39.0" customHeight="1">
      <c r="A15" s="16" t="s">
        <v>54</v>
      </c>
      <c r="B15" s="13">
        <v>1994.0</v>
      </c>
      <c r="C15" s="18">
        <v>124582.0</v>
      </c>
      <c r="D15" s="5">
        <v>128620.0</v>
      </c>
      <c r="E15" s="5">
        <f>AVERAGE(D2:D23)</f>
        <v>200811.1313</v>
      </c>
      <c r="F15" s="6">
        <f t="shared" si="1"/>
        <v>-72191.13131</v>
      </c>
      <c r="G15" s="7" t="str">
        <f t="shared" si="2"/>
        <v>ниже</v>
      </c>
      <c r="H15" s="8" t="s">
        <v>55</v>
      </c>
      <c r="I15" s="17" t="s">
        <v>56</v>
      </c>
      <c r="J15" s="4" t="s">
        <v>35</v>
      </c>
    </row>
    <row r="16" ht="46.5" customHeight="1">
      <c r="A16" s="16" t="s">
        <v>57</v>
      </c>
      <c r="B16" s="4">
        <v>2007.0</v>
      </c>
      <c r="C16" s="5">
        <v>106490.0</v>
      </c>
      <c r="D16" s="5">
        <v>105607.0</v>
      </c>
      <c r="E16" s="5">
        <f>AVERAGE(D2:D23)</f>
        <v>200811.1313</v>
      </c>
      <c r="F16" s="6">
        <f t="shared" si="1"/>
        <v>-95204.13131</v>
      </c>
      <c r="G16" s="7" t="str">
        <f t="shared" si="2"/>
        <v>ниже</v>
      </c>
      <c r="H16" s="17" t="s">
        <v>58</v>
      </c>
      <c r="I16" s="4" t="s">
        <v>59</v>
      </c>
      <c r="J16" s="4" t="s">
        <v>28</v>
      </c>
    </row>
    <row r="17">
      <c r="A17" s="3" t="s">
        <v>60</v>
      </c>
      <c r="B17" s="4">
        <v>2018.0</v>
      </c>
      <c r="C17" s="5">
        <v>65000.0</v>
      </c>
      <c r="D17" s="12">
        <f>(65000+44000)/2</f>
        <v>54500</v>
      </c>
      <c r="E17" s="5">
        <f>AVERAGE(D2:D23)</f>
        <v>200811.1313</v>
      </c>
      <c r="F17" s="6">
        <f t="shared" si="1"/>
        <v>-146311.1313</v>
      </c>
      <c r="G17" s="7" t="str">
        <f t="shared" si="2"/>
        <v>ниже</v>
      </c>
      <c r="H17" s="15" t="s">
        <v>61</v>
      </c>
      <c r="I17" s="19" t="s">
        <v>62</v>
      </c>
      <c r="J17" s="4" t="s">
        <v>63</v>
      </c>
    </row>
    <row r="18">
      <c r="A18" s="3" t="s">
        <v>64</v>
      </c>
      <c r="B18" s="4">
        <v>2021.0</v>
      </c>
      <c r="C18" s="12">
        <f>(7000000/(4*4.4))</f>
        <v>397727.2727</v>
      </c>
      <c r="D18" s="5">
        <v>337367.0</v>
      </c>
      <c r="E18" s="5">
        <f>AVERAGE(D2:D23)</f>
        <v>200811.1313</v>
      </c>
      <c r="F18" s="6">
        <f t="shared" si="1"/>
        <v>136555.8687</v>
      </c>
      <c r="G18" s="7" t="str">
        <f t="shared" si="2"/>
        <v>выше</v>
      </c>
      <c r="H18" s="15" t="s">
        <v>65</v>
      </c>
      <c r="I18" s="13" t="s">
        <v>66</v>
      </c>
      <c r="J18" s="4" t="s">
        <v>21</v>
      </c>
    </row>
    <row r="19">
      <c r="A19" s="3" t="s">
        <v>67</v>
      </c>
      <c r="B19" s="4">
        <v>2012.0</v>
      </c>
      <c r="C19" s="5">
        <v>240000.0</v>
      </c>
      <c r="D19" s="12">
        <f>(65000+240000)/2</f>
        <v>152500</v>
      </c>
      <c r="E19" s="5">
        <f>AVERAGE(D2:D23)</f>
        <v>200811.1313</v>
      </c>
      <c r="F19" s="6">
        <f t="shared" si="1"/>
        <v>-48311.13131</v>
      </c>
      <c r="G19" s="7" t="str">
        <f t="shared" si="2"/>
        <v>ниже</v>
      </c>
      <c r="H19" s="15" t="s">
        <v>68</v>
      </c>
      <c r="I19" s="4" t="s">
        <v>69</v>
      </c>
      <c r="J19" s="4" t="s">
        <v>35</v>
      </c>
      <c r="T19" s="13" t="s">
        <v>70</v>
      </c>
    </row>
    <row r="20">
      <c r="A20" s="3" t="s">
        <v>71</v>
      </c>
      <c r="B20" s="4">
        <v>2000.0</v>
      </c>
      <c r="C20" s="12">
        <f>(18270*443)/19</f>
        <v>425979.4737</v>
      </c>
      <c r="D20" s="5">
        <v>402889.0</v>
      </c>
      <c r="E20" s="5">
        <f>AVERAGE(D2:D23)</f>
        <v>200811.1313</v>
      </c>
      <c r="F20" s="6">
        <f t="shared" si="1"/>
        <v>202077.8687</v>
      </c>
      <c r="G20" s="7" t="str">
        <f t="shared" si="2"/>
        <v>выше</v>
      </c>
      <c r="H20" s="20" t="s">
        <v>72</v>
      </c>
      <c r="I20" s="4" t="s">
        <v>73</v>
      </c>
      <c r="J20" s="4" t="s">
        <v>21</v>
      </c>
    </row>
    <row r="21">
      <c r="A21" s="21" t="s">
        <v>74</v>
      </c>
      <c r="B21" s="4">
        <v>2013.0</v>
      </c>
      <c r="C21" s="12">
        <f t="shared" ref="C21:D21" si="3">6500000/36</f>
        <v>180555.5556</v>
      </c>
      <c r="D21" s="12">
        <f t="shared" si="3"/>
        <v>180555.5556</v>
      </c>
      <c r="E21" s="5">
        <f>AVERAGE(D2:D23)</f>
        <v>200811.1313</v>
      </c>
      <c r="F21" s="6">
        <f t="shared" si="1"/>
        <v>-20255.57576</v>
      </c>
      <c r="G21" s="7" t="str">
        <f t="shared" si="2"/>
        <v>ниже</v>
      </c>
      <c r="H21" s="20" t="s">
        <v>75</v>
      </c>
      <c r="I21" s="4" t="s">
        <v>76</v>
      </c>
      <c r="J21" s="4" t="s">
        <v>28</v>
      </c>
    </row>
    <row r="22">
      <c r="A22" s="3" t="s">
        <v>77</v>
      </c>
      <c r="B22" s="4">
        <v>2007.0</v>
      </c>
      <c r="C22" s="5">
        <f t="shared" ref="C22:D22" si="4">45000*4.94</f>
        <v>222300</v>
      </c>
      <c r="D22" s="5">
        <f t="shared" si="4"/>
        <v>222300</v>
      </c>
      <c r="E22" s="5">
        <f>AVERAGE(D2:D23)</f>
        <v>200811.1313</v>
      </c>
      <c r="F22" s="6">
        <f t="shared" si="1"/>
        <v>21488.86869</v>
      </c>
      <c r="G22" s="7" t="str">
        <f t="shared" si="2"/>
        <v>выше</v>
      </c>
      <c r="H22" s="22" t="s">
        <v>78</v>
      </c>
      <c r="I22" s="13" t="s">
        <v>79</v>
      </c>
      <c r="J22" s="23" t="s">
        <v>28</v>
      </c>
    </row>
    <row r="23">
      <c r="A23" s="3" t="s">
        <v>80</v>
      </c>
      <c r="B23" s="4">
        <v>1995.0</v>
      </c>
      <c r="C23" s="12">
        <f>700*443</f>
        <v>310100</v>
      </c>
      <c r="D23" s="12">
        <f>((200+350+700)/3)*443</f>
        <v>184583.3333</v>
      </c>
      <c r="E23" s="5">
        <f>AVERAGE(D2:D23)</f>
        <v>200811.1313</v>
      </c>
      <c r="F23" s="6">
        <f t="shared" si="1"/>
        <v>-16227.79798</v>
      </c>
      <c r="G23" s="7" t="str">
        <f t="shared" si="2"/>
        <v>ниже</v>
      </c>
      <c r="H23" s="20" t="s">
        <v>81</v>
      </c>
      <c r="I23" s="4" t="s">
        <v>82</v>
      </c>
      <c r="J23" s="4" t="s">
        <v>28</v>
      </c>
    </row>
    <row r="29">
      <c r="A29" s="24" t="s">
        <v>83</v>
      </c>
      <c r="B29" s="25" t="s">
        <v>84</v>
      </c>
      <c r="C29" s="12">
        <f>MIN(C2:C23)
</f>
        <v>45000</v>
      </c>
      <c r="D29" s="26" t="str">
        <f t="array" ref="D29">INDEX(A2:A23, MATCH(MIN(C2:C23), C2:C23, 0))</f>
        <v>Sipstroyinvest</v>
      </c>
    </row>
    <row r="30">
      <c r="A30" s="27"/>
      <c r="B30" s="25" t="s">
        <v>85</v>
      </c>
      <c r="C30" s="12">
        <f>MAX(C2:C23)
</f>
        <v>425979.4737</v>
      </c>
      <c r="D30" s="28" t="str">
        <f t="array" ref="D30">INDEX(A2:A23, MATCH(MAX(C2:C23), C2:C23, 0))</f>
        <v>China.Machinery.Equipment</v>
      </c>
    </row>
    <row r="31">
      <c r="B31" s="25" t="s">
        <v>86</v>
      </c>
      <c r="C31" s="12">
        <f>MEDIAN(C2:C23)</f>
        <v>211100</v>
      </c>
    </row>
    <row r="32">
      <c r="B32" s="29"/>
    </row>
    <row r="33">
      <c r="B33" s="29" t="s">
        <v>87</v>
      </c>
      <c r="C33" s="12">
        <f>MIN(D2:D23)
</f>
        <v>45129</v>
      </c>
      <c r="D33" s="26" t="str">
        <f t="array" ref="D33">INDEX(A2:A23, MATCH(MIN(D2:D23), D2:D23, 0))</f>
        <v>El Stroy</v>
      </c>
    </row>
    <row r="34">
      <c r="B34" s="29" t="s">
        <v>88</v>
      </c>
      <c r="C34" s="12">
        <f>MAX(D2:D23)
</f>
        <v>533609</v>
      </c>
      <c r="D34" s="26" t="str">
        <f t="array" ref="D34">INDEX(A3:A28, MATCH(MAX(D2:D23), D2:D23, 0))</f>
        <v>Module House</v>
      </c>
    </row>
    <row r="35">
      <c r="B35" s="29" t="s">
        <v>89</v>
      </c>
      <c r="C35" s="12">
        <f>MEDIAN(D2:D23)</f>
        <v>182569.4444</v>
      </c>
    </row>
    <row r="39">
      <c r="A39" s="30" t="s">
        <v>90</v>
      </c>
      <c r="B39" s="31"/>
      <c r="C39" s="31"/>
      <c r="D39" s="32"/>
      <c r="E39" s="32"/>
      <c r="F39" s="33"/>
    </row>
    <row r="40">
      <c r="A40" s="4" t="s">
        <v>91</v>
      </c>
      <c r="B40" s="34" t="s">
        <v>92</v>
      </c>
      <c r="C40" s="26">
        <f>QUARTILE(C2:C23, 1)</f>
        <v>101622.5</v>
      </c>
      <c r="D40" s="35"/>
      <c r="E40" s="35"/>
      <c r="F40" s="35"/>
    </row>
    <row r="41">
      <c r="A41" s="4" t="s">
        <v>93</v>
      </c>
      <c r="B41" s="34" t="s">
        <v>94</v>
      </c>
      <c r="C41" s="26">
        <f>QUARTILE(C2:C23, 3)
</f>
        <v>292575</v>
      </c>
    </row>
    <row r="42">
      <c r="A42" s="4" t="s">
        <v>95</v>
      </c>
      <c r="B42" s="34" t="s">
        <v>96</v>
      </c>
      <c r="C42" s="26">
        <f>C41-C40</f>
        <v>190952.5</v>
      </c>
    </row>
    <row r="43">
      <c r="B43" s="34" t="s">
        <v>97</v>
      </c>
      <c r="C43" s="26">
        <f>C40 - 1.5 *C42 
</f>
        <v>-184806.25</v>
      </c>
    </row>
    <row r="44">
      <c r="B44" s="34" t="s">
        <v>98</v>
      </c>
      <c r="C44" s="26">
        <f>C41 + 1.5 * C42</f>
        <v>579003.75</v>
      </c>
    </row>
    <row r="45">
      <c r="B45" s="36"/>
      <c r="C45" s="37"/>
    </row>
    <row r="46">
      <c r="A46" s="38"/>
      <c r="B46" s="36"/>
      <c r="C46" s="39"/>
    </row>
    <row r="47">
      <c r="A47" s="40" t="s">
        <v>99</v>
      </c>
      <c r="B47" s="41"/>
      <c r="C47" s="42"/>
    </row>
    <row r="48">
      <c r="A48" s="43" t="s">
        <v>100</v>
      </c>
      <c r="B48" s="44" t="str">
        <f t="array" ref="B48">INDEX(A2:A23, MATCH(MIN(B2:B23), B2:B23, 0))</f>
        <v>DoorHan</v>
      </c>
      <c r="C48" s="45">
        <f>MIN(B2:B23)
</f>
        <v>1994</v>
      </c>
    </row>
    <row r="49">
      <c r="A49" s="43" t="s">
        <v>101</v>
      </c>
      <c r="B49" s="43" t="str">
        <f t="array" ref="B49">INDEX(A2:A23, MATCH(MAX(B2:B23), B2:B23, 0))</f>
        <v>Faraday</v>
      </c>
      <c r="C49" s="45">
        <f>MAX(B2:B23)
</f>
        <v>2021</v>
      </c>
    </row>
    <row r="51">
      <c r="A51" s="46"/>
    </row>
    <row r="52">
      <c r="A52" s="47"/>
    </row>
    <row r="53">
      <c r="A53" s="46"/>
    </row>
    <row r="54">
      <c r="A54" s="46"/>
    </row>
    <row r="55">
      <c r="A55" s="48"/>
    </row>
    <row r="56">
      <c r="A56" s="48"/>
    </row>
    <row r="57">
      <c r="A57" s="48"/>
    </row>
    <row r="58">
      <c r="A58" s="48"/>
    </row>
    <row r="59">
      <c r="A59" s="48"/>
    </row>
    <row r="60">
      <c r="A60" s="48"/>
      <c r="F60" s="49" t="s">
        <v>102</v>
      </c>
    </row>
    <row r="61">
      <c r="A61" s="48"/>
    </row>
    <row r="72" ht="15.0" customHeight="1">
      <c r="A72" s="13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</row>
    <row r="73">
      <c r="A73" s="51" t="s">
        <v>103</v>
      </c>
      <c r="B73" s="51" t="s">
        <v>104</v>
      </c>
    </row>
    <row r="74">
      <c r="A74" s="52"/>
      <c r="B74" s="51" t="s">
        <v>105</v>
      </c>
    </row>
  </sheetData>
  <mergeCells count="3">
    <mergeCell ref="F60:I69"/>
    <mergeCell ref="B73:C73"/>
    <mergeCell ref="B74:C74"/>
  </mergeCells>
  <hyperlinks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I11"/>
    <hyperlink r:id="rId13" ref="H12"/>
    <hyperlink r:id="rId14" ref="H13"/>
    <hyperlink r:id="rId15" ref="H14"/>
    <hyperlink r:id="rId16" ref="H15"/>
    <hyperlink r:id="rId17" ref="I15"/>
    <hyperlink r:id="rId18" ref="H16"/>
    <hyperlink r:id="rId19" ref="H17"/>
    <hyperlink r:id="rId20" ref="H18"/>
    <hyperlink r:id="rId21" ref="H19"/>
    <hyperlink r:id="rId22" ref="H20"/>
    <hyperlink r:id="rId23" ref="H21"/>
    <hyperlink r:id="rId24" ref="H22"/>
    <hyperlink r:id="rId25" ref="H23"/>
  </hyperlinks>
  <drawing r:id="rId26"/>
  <legacy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3" max="3" width="14.88"/>
    <col customWidth="1" min="5" max="5" width="14.0"/>
  </cols>
  <sheetData>
    <row r="1" ht="42.0" customHeight="1">
      <c r="A1" s="25"/>
      <c r="B1" s="53" t="s">
        <v>106</v>
      </c>
      <c r="C1" s="53" t="s">
        <v>107</v>
      </c>
      <c r="D1" s="54" t="s">
        <v>108</v>
      </c>
      <c r="E1" s="54" t="s">
        <v>109</v>
      </c>
    </row>
    <row r="2">
      <c r="A2" s="55" t="s">
        <v>110</v>
      </c>
      <c r="B2" s="56">
        <v>3390000.0</v>
      </c>
      <c r="C2" s="27">
        <v>24.0</v>
      </c>
      <c r="D2" s="57">
        <f t="shared" ref="D2:D81" si="1">B2/C2</f>
        <v>141250</v>
      </c>
      <c r="E2" s="57">
        <f>AVERAGE(D2:D31)</f>
        <v>206730.7475</v>
      </c>
    </row>
    <row r="3">
      <c r="A3" s="27"/>
      <c r="B3" s="56">
        <v>4447000.0</v>
      </c>
      <c r="C3" s="27">
        <v>24.0</v>
      </c>
      <c r="D3" s="57">
        <f t="shared" si="1"/>
        <v>185291.6667</v>
      </c>
      <c r="E3" s="58"/>
    </row>
    <row r="4">
      <c r="A4" s="27"/>
      <c r="B4" s="56">
        <v>5490000.0</v>
      </c>
      <c r="C4" s="27">
        <v>30.0</v>
      </c>
      <c r="D4" s="57">
        <f t="shared" si="1"/>
        <v>183000</v>
      </c>
      <c r="E4" s="58"/>
    </row>
    <row r="5">
      <c r="A5" s="27"/>
      <c r="B5" s="56">
        <v>5990000.0</v>
      </c>
      <c r="C5" s="27">
        <v>30.0</v>
      </c>
      <c r="D5" s="57">
        <f t="shared" si="1"/>
        <v>199666.6667</v>
      </c>
      <c r="E5" s="58"/>
    </row>
    <row r="6">
      <c r="A6" s="27"/>
      <c r="B6" s="56">
        <v>6890000.0</v>
      </c>
      <c r="C6" s="27">
        <v>40.0</v>
      </c>
      <c r="D6" s="57">
        <f t="shared" si="1"/>
        <v>172250</v>
      </c>
      <c r="E6" s="58"/>
    </row>
    <row r="7">
      <c r="A7" s="27"/>
      <c r="B7" s="56">
        <v>6985000.0</v>
      </c>
      <c r="C7" s="27">
        <v>30.0</v>
      </c>
      <c r="D7" s="57">
        <f t="shared" si="1"/>
        <v>232833.3333</v>
      </c>
      <c r="E7" s="58"/>
    </row>
    <row r="8">
      <c r="A8" s="27"/>
      <c r="B8" s="56">
        <v>7983000.0</v>
      </c>
      <c r="C8" s="27">
        <v>40.0</v>
      </c>
      <c r="D8" s="57">
        <f t="shared" si="1"/>
        <v>199575</v>
      </c>
      <c r="E8" s="58"/>
    </row>
    <row r="9">
      <c r="A9" s="27"/>
      <c r="B9" s="56">
        <v>7996000.0</v>
      </c>
      <c r="C9" s="27">
        <v>40.0</v>
      </c>
      <c r="D9" s="57">
        <f t="shared" si="1"/>
        <v>199900</v>
      </c>
      <c r="E9" s="58"/>
    </row>
    <row r="10">
      <c r="A10" s="27"/>
      <c r="B10" s="56">
        <v>8483000.0</v>
      </c>
      <c r="C10" s="27">
        <v>40.0</v>
      </c>
      <c r="D10" s="57">
        <f t="shared" si="1"/>
        <v>212075</v>
      </c>
      <c r="E10" s="58"/>
    </row>
    <row r="11">
      <c r="A11" s="27"/>
      <c r="B11" s="56">
        <v>8596000.0</v>
      </c>
      <c r="C11" s="27">
        <v>40.0</v>
      </c>
      <c r="D11" s="57">
        <f t="shared" si="1"/>
        <v>214900</v>
      </c>
      <c r="E11" s="58"/>
    </row>
    <row r="12">
      <c r="A12" s="27"/>
      <c r="B12" s="56">
        <v>8820000.0</v>
      </c>
      <c r="C12" s="27">
        <v>30.0</v>
      </c>
      <c r="D12" s="57">
        <f t="shared" si="1"/>
        <v>294000</v>
      </c>
      <c r="E12" s="58"/>
    </row>
    <row r="13">
      <c r="A13" s="27"/>
      <c r="B13" s="56">
        <v>9156000.0</v>
      </c>
      <c r="C13" s="27">
        <v>40.0</v>
      </c>
      <c r="D13" s="57">
        <f t="shared" si="1"/>
        <v>228900</v>
      </c>
      <c r="E13" s="58"/>
    </row>
    <row r="14">
      <c r="A14" s="27"/>
      <c r="B14" s="56">
        <v>9231000.0</v>
      </c>
      <c r="C14" s="27">
        <v>40.0</v>
      </c>
      <c r="D14" s="57">
        <f t="shared" si="1"/>
        <v>230775</v>
      </c>
      <c r="E14" s="58"/>
    </row>
    <row r="15">
      <c r="A15" s="27"/>
      <c r="B15" s="56">
        <v>9288000.0</v>
      </c>
      <c r="C15" s="27">
        <v>57.0</v>
      </c>
      <c r="D15" s="57">
        <f t="shared" si="1"/>
        <v>162947.3684</v>
      </c>
      <c r="E15" s="58"/>
    </row>
    <row r="16">
      <c r="A16" s="27"/>
      <c r="B16" s="56">
        <v>9343000.0</v>
      </c>
      <c r="C16" s="27">
        <v>40.0</v>
      </c>
      <c r="D16" s="57">
        <f t="shared" si="1"/>
        <v>233575</v>
      </c>
      <c r="E16" s="58"/>
    </row>
    <row r="17">
      <c r="A17" s="27"/>
      <c r="B17" s="56">
        <v>9550000.0</v>
      </c>
      <c r="C17" s="27">
        <v>42.5</v>
      </c>
      <c r="D17" s="57">
        <f t="shared" si="1"/>
        <v>224705.8824</v>
      </c>
      <c r="E17" s="58"/>
    </row>
    <row r="18">
      <c r="A18" s="27"/>
      <c r="B18" s="56">
        <v>9779000.0</v>
      </c>
      <c r="C18" s="27">
        <v>40.0</v>
      </c>
      <c r="D18" s="57">
        <f t="shared" si="1"/>
        <v>244475</v>
      </c>
      <c r="E18" s="58"/>
    </row>
    <row r="19">
      <c r="A19" s="27"/>
      <c r="B19" s="56">
        <v>1.017E7</v>
      </c>
      <c r="C19" s="27">
        <v>57.0</v>
      </c>
      <c r="D19" s="57">
        <f t="shared" si="1"/>
        <v>178421.0526</v>
      </c>
      <c r="E19" s="58"/>
    </row>
    <row r="20">
      <c r="A20" s="27"/>
      <c r="B20" s="56">
        <v>1.029E7</v>
      </c>
      <c r="C20" s="27">
        <v>68.0</v>
      </c>
      <c r="D20" s="57">
        <f t="shared" si="1"/>
        <v>151323.5294</v>
      </c>
      <c r="E20" s="58"/>
    </row>
    <row r="21">
      <c r="A21" s="27"/>
      <c r="B21" s="56">
        <v>1.03E7</v>
      </c>
      <c r="C21" s="27">
        <v>45.0</v>
      </c>
      <c r="D21" s="57">
        <f t="shared" si="1"/>
        <v>228888.8889</v>
      </c>
      <c r="E21" s="58"/>
    </row>
    <row r="22">
      <c r="A22" s="27"/>
      <c r="B22" s="56">
        <v>1.1235E7</v>
      </c>
      <c r="C22" s="27">
        <v>60.0</v>
      </c>
      <c r="D22" s="57">
        <f t="shared" si="1"/>
        <v>187250</v>
      </c>
      <c r="E22" s="58"/>
    </row>
    <row r="23">
      <c r="A23" s="27"/>
      <c r="B23" s="56">
        <v>1.2296E7</v>
      </c>
      <c r="C23" s="27">
        <v>60.0</v>
      </c>
      <c r="D23" s="57">
        <f t="shared" si="1"/>
        <v>204933.3333</v>
      </c>
      <c r="E23" s="58"/>
    </row>
    <row r="24">
      <c r="A24" s="27"/>
      <c r="B24" s="56">
        <v>1.2449E7</v>
      </c>
      <c r="C24" s="27">
        <v>60.0</v>
      </c>
      <c r="D24" s="57">
        <f t="shared" si="1"/>
        <v>207483.3333</v>
      </c>
      <c r="E24" s="58"/>
    </row>
    <row r="25">
      <c r="A25" s="27"/>
      <c r="B25" s="56">
        <v>1.2558E7</v>
      </c>
      <c r="C25" s="27">
        <v>42.5</v>
      </c>
      <c r="D25" s="57">
        <f t="shared" si="1"/>
        <v>295482.3529</v>
      </c>
      <c r="E25" s="58"/>
    </row>
    <row r="26">
      <c r="A26" s="27"/>
      <c r="B26" s="56">
        <v>1.29E7</v>
      </c>
      <c r="C26" s="27">
        <v>73.5</v>
      </c>
      <c r="D26" s="57">
        <f t="shared" si="1"/>
        <v>175510.2041</v>
      </c>
      <c r="E26" s="58"/>
    </row>
    <row r="27">
      <c r="A27" s="27"/>
      <c r="B27" s="56">
        <v>1.3225E7</v>
      </c>
      <c r="C27" s="27">
        <v>60.0</v>
      </c>
      <c r="D27" s="57">
        <f t="shared" si="1"/>
        <v>220416.6667</v>
      </c>
      <c r="E27" s="58"/>
    </row>
    <row r="28">
      <c r="A28" s="27"/>
      <c r="B28" s="56">
        <v>1.362E7</v>
      </c>
      <c r="C28" s="27">
        <v>73.5</v>
      </c>
      <c r="D28" s="57">
        <f t="shared" si="1"/>
        <v>185306.1224</v>
      </c>
      <c r="E28" s="58"/>
    </row>
    <row r="29">
      <c r="A29" s="27"/>
      <c r="B29" s="56">
        <v>1.3685E7</v>
      </c>
      <c r="C29" s="27">
        <v>70.0</v>
      </c>
      <c r="D29" s="57">
        <f t="shared" si="1"/>
        <v>195500</v>
      </c>
      <c r="E29" s="58"/>
    </row>
    <row r="30">
      <c r="A30" s="27"/>
      <c r="B30" s="56">
        <v>1.6479E7</v>
      </c>
      <c r="C30" s="27">
        <v>80.0</v>
      </c>
      <c r="D30" s="57">
        <f t="shared" si="1"/>
        <v>205987.5</v>
      </c>
      <c r="E30" s="58"/>
    </row>
    <row r="31">
      <c r="A31" s="59"/>
      <c r="B31" s="60">
        <v>2.155645E7</v>
      </c>
      <c r="C31" s="59">
        <v>105.0</v>
      </c>
      <c r="D31" s="57">
        <f t="shared" si="1"/>
        <v>205299.5238</v>
      </c>
      <c r="E31" s="58"/>
    </row>
    <row r="32">
      <c r="A32" s="61" t="s">
        <v>111</v>
      </c>
      <c r="B32" s="62">
        <v>2.345E7</v>
      </c>
      <c r="C32" s="27">
        <v>26.0</v>
      </c>
      <c r="D32" s="57">
        <f t="shared" si="1"/>
        <v>901923.0769</v>
      </c>
      <c r="E32" s="57">
        <f>AVERAGE(D32:D36)</f>
        <v>533609.4172</v>
      </c>
    </row>
    <row r="33">
      <c r="A33" s="63"/>
      <c r="B33" s="62">
        <v>2.745E7</v>
      </c>
      <c r="C33" s="27">
        <v>65.0</v>
      </c>
      <c r="D33" s="57">
        <f t="shared" si="1"/>
        <v>422307.6923</v>
      </c>
      <c r="E33" s="58"/>
    </row>
    <row r="34">
      <c r="A34" s="63"/>
      <c r="B34" s="62">
        <v>3.295E7</v>
      </c>
      <c r="C34" s="27">
        <v>77.3</v>
      </c>
      <c r="D34" s="57">
        <f t="shared" si="1"/>
        <v>426261.3195</v>
      </c>
      <c r="E34" s="58"/>
    </row>
    <row r="35">
      <c r="A35" s="63"/>
      <c r="B35" s="62">
        <v>4.245E7</v>
      </c>
      <c r="C35" s="27">
        <v>103.0</v>
      </c>
      <c r="D35" s="57">
        <f t="shared" si="1"/>
        <v>412135.9223</v>
      </c>
      <c r="E35" s="58"/>
    </row>
    <row r="36">
      <c r="A36" s="63"/>
      <c r="B36" s="62">
        <v>6.995E7</v>
      </c>
      <c r="C36" s="27">
        <v>138.4</v>
      </c>
      <c r="D36" s="57">
        <f t="shared" si="1"/>
        <v>505419.0751</v>
      </c>
      <c r="E36" s="58"/>
    </row>
    <row r="37">
      <c r="A37" s="61" t="s">
        <v>112</v>
      </c>
      <c r="B37" s="62">
        <v>3450000.0</v>
      </c>
      <c r="C37" s="27">
        <v>15.0</v>
      </c>
      <c r="D37" s="57">
        <f t="shared" si="1"/>
        <v>230000</v>
      </c>
      <c r="E37" s="57">
        <f>AVERAGE(D37:D43)</f>
        <v>248194.4444</v>
      </c>
    </row>
    <row r="38">
      <c r="A38" s="64"/>
      <c r="B38" s="65">
        <v>5520000.0</v>
      </c>
      <c r="C38" s="27">
        <v>24.0</v>
      </c>
      <c r="D38" s="57">
        <f t="shared" si="1"/>
        <v>230000</v>
      </c>
      <c r="E38" s="58"/>
    </row>
    <row r="39">
      <c r="A39" s="64"/>
      <c r="B39" s="65">
        <v>6900000.0</v>
      </c>
      <c r="C39" s="27">
        <v>30.0</v>
      </c>
      <c r="D39" s="57">
        <f t="shared" si="1"/>
        <v>230000</v>
      </c>
      <c r="E39" s="58"/>
    </row>
    <row r="40">
      <c r="A40" s="64"/>
      <c r="B40" s="65">
        <v>8270000.0</v>
      </c>
      <c r="C40" s="27">
        <v>24.0</v>
      </c>
      <c r="D40" s="57">
        <f t="shared" si="1"/>
        <v>344583.3333</v>
      </c>
      <c r="E40" s="58"/>
    </row>
    <row r="41">
      <c r="A41" s="64"/>
      <c r="B41" s="65">
        <v>1.035E7</v>
      </c>
      <c r="C41" s="27">
        <v>45.0</v>
      </c>
      <c r="D41" s="57">
        <f t="shared" si="1"/>
        <v>230000</v>
      </c>
      <c r="E41" s="58"/>
    </row>
    <row r="42">
      <c r="A42" s="64"/>
      <c r="B42" s="65">
        <v>1.0925E7</v>
      </c>
      <c r="C42" s="27">
        <v>45.0</v>
      </c>
      <c r="D42" s="57">
        <f t="shared" si="1"/>
        <v>242777.7778</v>
      </c>
      <c r="E42" s="58"/>
    </row>
    <row r="43">
      <c r="A43" s="64"/>
      <c r="B43" s="65">
        <v>1.38E7</v>
      </c>
      <c r="C43" s="27">
        <v>60.0</v>
      </c>
      <c r="D43" s="57">
        <f t="shared" si="1"/>
        <v>230000</v>
      </c>
      <c r="E43" s="58"/>
    </row>
    <row r="44">
      <c r="A44" s="66" t="s">
        <v>113</v>
      </c>
      <c r="B44" s="65">
        <v>2.242E7</v>
      </c>
      <c r="C44" s="27">
        <v>75.0</v>
      </c>
      <c r="D44" s="57">
        <f t="shared" si="1"/>
        <v>298933.3333</v>
      </c>
      <c r="E44" s="57">
        <f>AVERAGE(D44:D46)</f>
        <v>316002.4691</v>
      </c>
    </row>
    <row r="45">
      <c r="A45" s="27"/>
      <c r="B45" s="56">
        <v>1.723E7</v>
      </c>
      <c r="C45" s="27">
        <v>54.0</v>
      </c>
      <c r="D45" s="57">
        <f t="shared" si="1"/>
        <v>319074.0741</v>
      </c>
      <c r="E45" s="58"/>
    </row>
    <row r="46">
      <c r="A46" s="27"/>
      <c r="B46" s="56">
        <v>1.287E7</v>
      </c>
      <c r="C46" s="27">
        <v>39.0</v>
      </c>
      <c r="D46" s="57">
        <f t="shared" si="1"/>
        <v>330000</v>
      </c>
      <c r="E46" s="58"/>
    </row>
    <row r="47">
      <c r="A47" s="67" t="s">
        <v>114</v>
      </c>
      <c r="B47" s="56">
        <v>5990000.0</v>
      </c>
      <c r="C47" s="27">
        <v>21.0</v>
      </c>
      <c r="D47" s="57">
        <f t="shared" si="1"/>
        <v>285238.0952</v>
      </c>
      <c r="E47" s="57">
        <f>AVERAGE(D47:D60)</f>
        <v>256133.4832</v>
      </c>
    </row>
    <row r="48">
      <c r="A48" s="27"/>
      <c r="B48" s="56">
        <v>6990000.0</v>
      </c>
      <c r="C48" s="27">
        <v>21.0</v>
      </c>
      <c r="D48" s="57">
        <f t="shared" si="1"/>
        <v>332857.1429</v>
      </c>
      <c r="E48" s="58"/>
    </row>
    <row r="49">
      <c r="A49" s="27"/>
      <c r="B49" s="56">
        <v>7990000.0</v>
      </c>
      <c r="C49" s="27">
        <v>29.0</v>
      </c>
      <c r="D49" s="57">
        <f t="shared" si="1"/>
        <v>275517.2414</v>
      </c>
      <c r="E49" s="58"/>
    </row>
    <row r="50">
      <c r="A50" s="27"/>
      <c r="B50" s="56">
        <v>7990000.0</v>
      </c>
      <c r="C50" s="27">
        <v>29.0</v>
      </c>
      <c r="D50" s="57">
        <f t="shared" si="1"/>
        <v>275517.2414</v>
      </c>
      <c r="E50" s="58"/>
    </row>
    <row r="51">
      <c r="A51" s="27"/>
      <c r="B51" s="56">
        <v>9990000.0</v>
      </c>
      <c r="C51" s="27">
        <v>33.0</v>
      </c>
      <c r="D51" s="57">
        <f t="shared" si="1"/>
        <v>302727.2727</v>
      </c>
      <c r="E51" s="58"/>
    </row>
    <row r="52">
      <c r="A52" s="27"/>
      <c r="B52" s="56">
        <v>9990000.0</v>
      </c>
      <c r="C52" s="27">
        <v>33.0</v>
      </c>
      <c r="D52" s="57">
        <f t="shared" si="1"/>
        <v>302727.2727</v>
      </c>
      <c r="E52" s="58"/>
    </row>
    <row r="53">
      <c r="A53" s="27"/>
      <c r="B53" s="56">
        <v>1.199E7</v>
      </c>
      <c r="C53" s="27">
        <v>52.0</v>
      </c>
      <c r="D53" s="57">
        <f t="shared" si="1"/>
        <v>230576.9231</v>
      </c>
      <c r="E53" s="58"/>
    </row>
    <row r="54">
      <c r="A54" s="27"/>
      <c r="B54" s="56">
        <v>1.199E7</v>
      </c>
      <c r="C54" s="27">
        <v>52.0</v>
      </c>
      <c r="D54" s="57">
        <f t="shared" si="1"/>
        <v>230576.9231</v>
      </c>
      <c r="E54" s="58"/>
    </row>
    <row r="55">
      <c r="A55" s="27"/>
      <c r="B55" s="56">
        <v>1.399E7</v>
      </c>
      <c r="C55" s="27">
        <v>60.0</v>
      </c>
      <c r="D55" s="57">
        <f t="shared" si="1"/>
        <v>233166.6667</v>
      </c>
      <c r="E55" s="58"/>
    </row>
    <row r="56">
      <c r="A56" s="27"/>
      <c r="B56" s="56">
        <v>1.499E7</v>
      </c>
      <c r="C56" s="27">
        <v>64.0</v>
      </c>
      <c r="D56" s="57">
        <f t="shared" si="1"/>
        <v>234218.75</v>
      </c>
      <c r="E56" s="58"/>
    </row>
    <row r="57">
      <c r="A57" s="27"/>
      <c r="B57" s="56">
        <v>1.599E7</v>
      </c>
      <c r="C57" s="27">
        <v>64.0</v>
      </c>
      <c r="D57" s="57">
        <f t="shared" si="1"/>
        <v>249843.75</v>
      </c>
      <c r="E57" s="58"/>
    </row>
    <row r="58">
      <c r="A58" s="27"/>
      <c r="B58" s="56">
        <v>1.599E7</v>
      </c>
      <c r="C58" s="27">
        <v>73.0</v>
      </c>
      <c r="D58" s="57">
        <f t="shared" si="1"/>
        <v>219041.0959</v>
      </c>
      <c r="E58" s="58"/>
    </row>
    <row r="59">
      <c r="A59" s="27"/>
      <c r="B59" s="56">
        <v>1.799E7</v>
      </c>
      <c r="C59" s="27">
        <v>88.0</v>
      </c>
      <c r="D59" s="57">
        <f t="shared" si="1"/>
        <v>204431.8182</v>
      </c>
      <c r="E59" s="58"/>
    </row>
    <row r="60">
      <c r="A60" s="27"/>
      <c r="B60" s="56">
        <v>2.199E7</v>
      </c>
      <c r="C60" s="27">
        <v>105.0</v>
      </c>
      <c r="D60" s="57">
        <f t="shared" si="1"/>
        <v>209428.5714</v>
      </c>
      <c r="E60" s="58"/>
    </row>
    <row r="61">
      <c r="A61" s="27"/>
      <c r="B61" s="56">
        <v>1498300.0</v>
      </c>
      <c r="C61" s="27">
        <v>33.2</v>
      </c>
      <c r="D61" s="57">
        <f t="shared" si="1"/>
        <v>45129.51807</v>
      </c>
      <c r="E61" s="58"/>
    </row>
    <row r="62">
      <c r="A62" s="67" t="s">
        <v>115</v>
      </c>
      <c r="B62" s="56">
        <v>8500000.0</v>
      </c>
      <c r="C62" s="27">
        <v>36.0</v>
      </c>
      <c r="D62" s="57">
        <f t="shared" si="1"/>
        <v>236111.1111</v>
      </c>
      <c r="E62" s="57">
        <f>AVERAGE(D62:D63)</f>
        <v>231388.8889</v>
      </c>
    </row>
    <row r="63">
      <c r="A63" s="27"/>
      <c r="B63" s="56">
        <v>6800000.0</v>
      </c>
      <c r="C63" s="27">
        <v>30.0</v>
      </c>
      <c r="D63" s="57">
        <f t="shared" si="1"/>
        <v>226666.6667</v>
      </c>
      <c r="E63" s="58"/>
      <c r="F63" s="30" t="s">
        <v>116</v>
      </c>
    </row>
    <row r="64">
      <c r="A64" s="67" t="s">
        <v>117</v>
      </c>
      <c r="B64" s="57">
        <f t="shared" ref="B64:B69" si="2">F64*4.93</f>
        <v>4437000</v>
      </c>
      <c r="C64" s="27">
        <v>29.0</v>
      </c>
      <c r="D64" s="57">
        <f t="shared" si="1"/>
        <v>153000</v>
      </c>
      <c r="E64" s="57">
        <f>AVERAGE(D64:D69)</f>
        <v>128620.0687</v>
      </c>
      <c r="F64" s="4">
        <v>900000.0</v>
      </c>
    </row>
    <row r="65">
      <c r="A65" s="58"/>
      <c r="B65" s="57">
        <f t="shared" si="2"/>
        <v>5916000</v>
      </c>
      <c r="C65" s="27">
        <v>44.0</v>
      </c>
      <c r="D65" s="57">
        <f t="shared" si="1"/>
        <v>134454.5455</v>
      </c>
      <c r="E65" s="58"/>
      <c r="F65" s="68">
        <v>1200000.0</v>
      </c>
    </row>
    <row r="66">
      <c r="A66" s="58"/>
      <c r="B66" s="57">
        <f t="shared" si="2"/>
        <v>7395000</v>
      </c>
      <c r="C66" s="27">
        <v>59.0</v>
      </c>
      <c r="D66" s="57">
        <f t="shared" si="1"/>
        <v>125338.9831</v>
      </c>
      <c r="E66" s="58"/>
      <c r="F66" s="68">
        <v>1500000.0</v>
      </c>
    </row>
    <row r="67">
      <c r="A67" s="58"/>
      <c r="B67" s="57">
        <f t="shared" si="2"/>
        <v>9219100</v>
      </c>
      <c r="C67" s="27">
        <v>74.0</v>
      </c>
      <c r="D67" s="57">
        <f t="shared" si="1"/>
        <v>124582.4324</v>
      </c>
      <c r="E67" s="58"/>
      <c r="F67" s="68">
        <v>1870000.0</v>
      </c>
    </row>
    <row r="68">
      <c r="A68" s="58"/>
      <c r="B68" s="57">
        <f t="shared" si="2"/>
        <v>10673450</v>
      </c>
      <c r="C68" s="27">
        <v>88.0</v>
      </c>
      <c r="D68" s="57">
        <f t="shared" si="1"/>
        <v>121289.2045</v>
      </c>
      <c r="E68" s="58"/>
      <c r="F68" s="68">
        <v>2165000.0</v>
      </c>
    </row>
    <row r="69">
      <c r="A69" s="58"/>
      <c r="B69" s="57">
        <f t="shared" si="2"/>
        <v>18314950</v>
      </c>
      <c r="C69" s="27">
        <v>162.0</v>
      </c>
      <c r="D69" s="57">
        <f t="shared" si="1"/>
        <v>113055.2469</v>
      </c>
      <c r="E69" s="58"/>
      <c r="F69" s="68">
        <v>3715000.0</v>
      </c>
    </row>
    <row r="70">
      <c r="A70" s="67" t="s">
        <v>118</v>
      </c>
      <c r="B70" s="56">
        <v>2100000.0</v>
      </c>
      <c r="C70" s="27">
        <v>19.36</v>
      </c>
      <c r="D70" s="57">
        <f t="shared" si="1"/>
        <v>108471.0744</v>
      </c>
      <c r="E70" s="57">
        <f>AVERAGE(D70:D72)</f>
        <v>105607.1037</v>
      </c>
      <c r="F70" s="69"/>
    </row>
    <row r="71">
      <c r="A71" s="27"/>
      <c r="B71" s="56">
        <v>3150000.0</v>
      </c>
      <c r="C71" s="27">
        <v>29.58</v>
      </c>
      <c r="D71" s="57">
        <f t="shared" si="1"/>
        <v>106490.8722</v>
      </c>
      <c r="E71" s="58"/>
    </row>
    <row r="72">
      <c r="A72" s="27"/>
      <c r="B72" s="56">
        <v>3013000.0</v>
      </c>
      <c r="C72" s="27">
        <v>29.58</v>
      </c>
      <c r="D72" s="57">
        <f t="shared" si="1"/>
        <v>101859.3644</v>
      </c>
      <c r="E72" s="58"/>
    </row>
    <row r="73">
      <c r="A73" s="67" t="s">
        <v>119</v>
      </c>
      <c r="B73" s="56">
        <v>7000000.0</v>
      </c>
      <c r="C73" s="58">
        <f>4*4.4</f>
        <v>17.6</v>
      </c>
      <c r="D73" s="57">
        <f t="shared" si="1"/>
        <v>397727.2727</v>
      </c>
      <c r="E73" s="57">
        <f>AVERAGE(D73:D76)</f>
        <v>377367.4242</v>
      </c>
    </row>
    <row r="74">
      <c r="A74" s="27"/>
      <c r="B74" s="56">
        <v>1.0E7</v>
      </c>
      <c r="C74" s="58">
        <f>4*6.6</f>
        <v>26.4</v>
      </c>
      <c r="D74" s="57">
        <f t="shared" si="1"/>
        <v>378787.8788</v>
      </c>
      <c r="E74" s="58"/>
    </row>
    <row r="75">
      <c r="A75" s="27"/>
      <c r="B75" s="56">
        <v>1.3E7</v>
      </c>
      <c r="C75" s="58">
        <f>4*8.8</f>
        <v>35.2</v>
      </c>
      <c r="D75" s="57">
        <f t="shared" si="1"/>
        <v>369318.1818</v>
      </c>
      <c r="E75" s="58"/>
    </row>
    <row r="76">
      <c r="A76" s="27"/>
      <c r="B76" s="56">
        <v>1.6E7</v>
      </c>
      <c r="C76" s="58">
        <f>4*11</f>
        <v>44</v>
      </c>
      <c r="D76" s="57">
        <f t="shared" si="1"/>
        <v>363636.3636</v>
      </c>
      <c r="E76" s="58"/>
    </row>
    <row r="77">
      <c r="A77" s="70" t="s">
        <v>120</v>
      </c>
      <c r="B77" s="71">
        <f>18270*I77</f>
        <v>8093610</v>
      </c>
      <c r="C77" s="27">
        <v>19.0</v>
      </c>
      <c r="D77" s="57">
        <f t="shared" si="1"/>
        <v>425979.4737</v>
      </c>
      <c r="E77" s="57">
        <f>AVERAGE(D77:D79)</f>
        <v>402888.515</v>
      </c>
      <c r="G77" s="72" t="s">
        <v>121</v>
      </c>
      <c r="H77" s="73"/>
      <c r="I77" s="74">
        <v>443.0</v>
      </c>
    </row>
    <row r="78">
      <c r="A78" s="75"/>
      <c r="B78" s="71">
        <f>24970*I77</f>
        <v>11061710</v>
      </c>
      <c r="C78" s="27">
        <v>28.0</v>
      </c>
      <c r="D78" s="57">
        <f t="shared" si="1"/>
        <v>395061.0714</v>
      </c>
      <c r="E78" s="58"/>
    </row>
    <row r="79">
      <c r="A79" s="75"/>
      <c r="B79" s="71">
        <f>33250*I77</f>
        <v>14729750</v>
      </c>
      <c r="C79" s="27">
        <v>38.0</v>
      </c>
      <c r="D79" s="57">
        <f t="shared" si="1"/>
        <v>387625</v>
      </c>
      <c r="E79" s="58"/>
    </row>
    <row r="80">
      <c r="A80" s="67" t="s">
        <v>122</v>
      </c>
      <c r="B80" s="56">
        <v>2544000.0</v>
      </c>
      <c r="C80" s="27">
        <v>30.0</v>
      </c>
      <c r="D80" s="57">
        <f t="shared" si="1"/>
        <v>84800</v>
      </c>
      <c r="E80" s="57">
        <f>AVERAGE(D80:D82)</f>
        <v>95200</v>
      </c>
    </row>
    <row r="81">
      <c r="A81" s="27"/>
      <c r="B81" s="56">
        <v>1584000.0</v>
      </c>
      <c r="C81" s="27">
        <v>15.0</v>
      </c>
      <c r="D81" s="57">
        <f t="shared" si="1"/>
        <v>105600</v>
      </c>
      <c r="E81" s="58"/>
    </row>
    <row r="82">
      <c r="A82" s="58"/>
      <c r="B82" s="57"/>
      <c r="C82" s="58"/>
      <c r="D82" s="58"/>
      <c r="E82" s="58"/>
    </row>
    <row r="83">
      <c r="A83" s="58"/>
      <c r="B83" s="58"/>
      <c r="C83" s="58"/>
      <c r="D83" s="58"/>
      <c r="E83" s="58"/>
    </row>
    <row r="84">
      <c r="A84" s="58"/>
      <c r="B84" s="58"/>
      <c r="C84" s="58"/>
      <c r="D84" s="58"/>
      <c r="E84" s="58"/>
    </row>
    <row r="85">
      <c r="A85" s="58"/>
      <c r="B85" s="58"/>
      <c r="C85" s="58"/>
      <c r="D85" s="58"/>
      <c r="E85" s="58"/>
    </row>
  </sheetData>
  <drawing r:id="rId1"/>
</worksheet>
</file>