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fesyuk/Downloads/"/>
    </mc:Choice>
  </mc:AlternateContent>
  <xr:revisionPtr revIDLastSave="0" documentId="13_ncr:1_{B2F57E03-AA4A-5849-86C7-05BD27F7BEB5}" xr6:coauthVersionLast="47" xr6:coauthVersionMax="47" xr10:uidLastSave="{00000000-0000-0000-0000-000000000000}"/>
  <bookViews>
    <workbookView xWindow="0" yWindow="0" windowWidth="28800" windowHeight="18000" firstSheet="2" activeTab="6" xr2:uid="{00000000-000D-0000-FFFF-FFFF00000000}"/>
  </bookViews>
  <sheets>
    <sheet name="Model Inputs" sheetId="1" r:id="rId1"/>
    <sheet name="Profit and Loss" sheetId="2" r:id="rId2"/>
    <sheet name="Balance Sheet" sheetId="6" r:id="rId3"/>
    <sheet name="Cash Flow" sheetId="5" r:id="rId4"/>
    <sheet name="Loan Payment Calculator" sheetId="4" r:id="rId5"/>
    <sheet name="Startup total cost" sheetId="9" r:id="rId6"/>
    <sheet name="Revenue " sheetId="16" r:id="rId7"/>
    <sheet name="CCC" sheetId="11" r:id="rId8"/>
    <sheet name="WC" sheetId="12" r:id="rId9"/>
    <sheet name="PayB&amp;BEP" sheetId="10" r:id="rId10"/>
    <sheet name="Cap Struc" sheetId="13" r:id="rId11"/>
    <sheet name="Ratios" sheetId="14" r:id="rId12"/>
    <sheet name="Multiples" sheetId="15" r:id="rId13"/>
    <sheet name="Notes &amp; Assumptions" sheetId="3" state="hidden" r:id="rId14"/>
    <sheet name="EULA" sheetId="7" state="hidden" r:id="rId15"/>
  </sheets>
  <definedNames>
    <definedName name="_xlnm.Print_Area" localSheetId="2">'Balance Sheet'!$A$1:$H$78</definedName>
    <definedName name="_xlnm.Print_Area" localSheetId="3">'Cash Flow'!$A$1:$H$41</definedName>
    <definedName name="_xlnm.Print_Area" localSheetId="4">'Loan Payment Calculator'!$A$1:OFFSET('Loan Payment Calculator'!$A$5,4,5,MAX('Loan Payment Calculator'!$A$9:$A$370),1)</definedName>
    <definedName name="_xlnm.Print_Area" localSheetId="0">'Model Inputs'!$A$1:$E$56</definedName>
    <definedName name="_xlnm.Print_Area" localSheetId="13">'Notes &amp; Assumptions'!$A$1:$K$45</definedName>
    <definedName name="_xlnm.Print_Area" localSheetId="1">'Profit and Loss'!$A$1:$G$75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0" l="1"/>
  <c r="D31" i="10"/>
  <c r="G29" i="10"/>
  <c r="F29" i="10"/>
  <c r="E29" i="10"/>
  <c r="D29" i="10"/>
  <c r="C29" i="10"/>
  <c r="C37" i="5"/>
  <c r="B37" i="5"/>
  <c r="B29" i="10"/>
  <c r="C30" i="10" s="1"/>
  <c r="B20" i="5"/>
  <c r="B31" i="13"/>
  <c r="C22" i="6"/>
  <c r="D22" i="6" s="1"/>
  <c r="E22" i="6" s="1"/>
  <c r="F22" i="6" s="1"/>
  <c r="G22" i="6" s="1"/>
  <c r="C71" i="6"/>
  <c r="B49" i="2"/>
  <c r="C54" i="2"/>
  <c r="B10" i="15"/>
  <c r="C24" i="6"/>
  <c r="AV19" i="1"/>
  <c r="AV18" i="1"/>
  <c r="AV17" i="1"/>
  <c r="AV16" i="1"/>
  <c r="AL19" i="1"/>
  <c r="AL18" i="1"/>
  <c r="AL17" i="1"/>
  <c r="AL16" i="1"/>
  <c r="AB19" i="1"/>
  <c r="AB18" i="1"/>
  <c r="AB17" i="1"/>
  <c r="AB16" i="1"/>
  <c r="R19" i="1"/>
  <c r="R18" i="1"/>
  <c r="R17" i="1"/>
  <c r="R16" i="1"/>
  <c r="E7" i="14"/>
  <c r="E8" i="14"/>
  <c r="E9" i="14"/>
  <c r="E10" i="14"/>
  <c r="E11" i="14"/>
  <c r="E13" i="14"/>
  <c r="E14" i="14"/>
  <c r="E15" i="14"/>
  <c r="E17" i="14"/>
  <c r="E18" i="14"/>
  <c r="E19" i="14"/>
  <c r="E20" i="14"/>
  <c r="E21" i="14"/>
  <c r="E23" i="14"/>
  <c r="E24" i="14"/>
  <c r="E25" i="14"/>
  <c r="E6" i="14"/>
  <c r="D12" i="15"/>
  <c r="D11" i="15"/>
  <c r="B7" i="1"/>
  <c r="D7" i="1" s="1"/>
  <c r="D6" i="10"/>
  <c r="D5" i="10"/>
  <c r="B17" i="10"/>
  <c r="D30" i="10" l="1"/>
  <c r="E30" i="10" s="1"/>
  <c r="F30" i="10" s="1"/>
  <c r="G30" i="10" s="1"/>
  <c r="B17" i="13"/>
  <c r="B16" i="13"/>
  <c r="B14" i="13" l="1"/>
  <c r="C4" i="13"/>
  <c r="B4" i="13"/>
  <c r="G30" i="5" l="1"/>
  <c r="D71" i="6" l="1"/>
  <c r="B42" i="9"/>
  <c r="B41" i="9"/>
  <c r="B71" i="6"/>
  <c r="E71" i="6" l="1"/>
  <c r="D4" i="13"/>
  <c r="D36" i="9"/>
  <c r="B14" i="6"/>
  <c r="F71" i="6" l="1"/>
  <c r="E4" i="13"/>
  <c r="C42" i="9"/>
  <c r="B23" i="6" s="1"/>
  <c r="B52" i="2" s="1"/>
  <c r="B50" i="1"/>
  <c r="C14" i="6"/>
  <c r="C47" i="6"/>
  <c r="C61" i="6"/>
  <c r="C33" i="6"/>
  <c r="B51" i="2"/>
  <c r="C27" i="9"/>
  <c r="E10" i="9"/>
  <c r="E4" i="9"/>
  <c r="W7" i="1"/>
  <c r="P8" i="1"/>
  <c r="P7" i="1"/>
  <c r="B54" i="2"/>
  <c r="M8" i="1"/>
  <c r="C6" i="10" s="1"/>
  <c r="M9" i="1"/>
  <c r="M10" i="1"/>
  <c r="M7" i="1"/>
  <c r="C5" i="10" s="1"/>
  <c r="J8" i="1"/>
  <c r="J9" i="1"/>
  <c r="J10" i="1"/>
  <c r="J7" i="1"/>
  <c r="C20" i="6"/>
  <c r="D20" i="6" s="1"/>
  <c r="E20" i="6" s="1"/>
  <c r="F20" i="6" s="1"/>
  <c r="G20" i="6" s="1"/>
  <c r="C21" i="6"/>
  <c r="D21" i="6" s="1"/>
  <c r="E21" i="6" s="1"/>
  <c r="F21" i="6" s="1"/>
  <c r="G21" i="6" s="1"/>
  <c r="B48" i="2"/>
  <c r="V12" i="1"/>
  <c r="AF12" i="1"/>
  <c r="W8" i="1"/>
  <c r="AG8" i="1" s="1"/>
  <c r="AC8" i="1" s="1"/>
  <c r="W9" i="1"/>
  <c r="AG9" i="1" s="1"/>
  <c r="AC9" i="1" s="1"/>
  <c r="W10" i="1"/>
  <c r="AG10" i="1" s="1"/>
  <c r="AC10" i="1" s="1"/>
  <c r="AG7" i="1"/>
  <c r="AC7" i="1" s="1"/>
  <c r="D20" i="10" s="1"/>
  <c r="B8" i="1"/>
  <c r="B9" i="1"/>
  <c r="D9" i="1" s="1"/>
  <c r="B10" i="1"/>
  <c r="D10" i="1" s="1"/>
  <c r="B15" i="2"/>
  <c r="AZ12" i="1"/>
  <c r="AP12" i="1"/>
  <c r="A16" i="1"/>
  <c r="A24" i="2" s="1"/>
  <c r="C72" i="6"/>
  <c r="C62" i="6"/>
  <c r="D62" i="6" s="1"/>
  <c r="E62" i="6" s="1"/>
  <c r="F62" i="6" s="1"/>
  <c r="G62" i="6" s="1"/>
  <c r="D61" i="6"/>
  <c r="D33" i="6"/>
  <c r="E33" i="6" s="1"/>
  <c r="F33" i="6" s="1"/>
  <c r="G33" i="6" s="1"/>
  <c r="C32" i="6"/>
  <c r="D32" i="6" s="1"/>
  <c r="C31" i="6"/>
  <c r="D31" i="6" s="1"/>
  <c r="E31" i="6" s="1"/>
  <c r="F31" i="6" s="1"/>
  <c r="G31" i="6" s="1"/>
  <c r="C30" i="6"/>
  <c r="D30" i="6" s="1"/>
  <c r="E30" i="6" s="1"/>
  <c r="F30" i="6" s="1"/>
  <c r="D47" i="6"/>
  <c r="E47" i="6" s="1"/>
  <c r="F47" i="6" s="1"/>
  <c r="G47" i="6" s="1"/>
  <c r="C46" i="6"/>
  <c r="D46" i="6" s="1"/>
  <c r="E46" i="6" s="1"/>
  <c r="F46" i="6" s="1"/>
  <c r="G46" i="6" s="1"/>
  <c r="C45" i="6"/>
  <c r="D45" i="6"/>
  <c r="E45" i="6" s="1"/>
  <c r="F45" i="6" s="1"/>
  <c r="G45" i="6" s="1"/>
  <c r="C13" i="6"/>
  <c r="D13" i="6" s="1"/>
  <c r="E13" i="6" s="1"/>
  <c r="F13" i="6" s="1"/>
  <c r="G13" i="6" s="1"/>
  <c r="C12" i="6"/>
  <c r="D12" i="6" s="1"/>
  <c r="E12" i="6" s="1"/>
  <c r="F12" i="6" s="1"/>
  <c r="G12" i="6" s="1"/>
  <c r="A9" i="4"/>
  <c r="A10" i="4" s="1"/>
  <c r="B53" i="1"/>
  <c r="F8" i="2"/>
  <c r="F15" i="10" s="1"/>
  <c r="E8" i="2"/>
  <c r="E15" i="10" s="1"/>
  <c r="D8" i="2"/>
  <c r="D15" i="10" s="1"/>
  <c r="C8" i="2"/>
  <c r="B8" i="2"/>
  <c r="B15" i="10" s="1"/>
  <c r="B7" i="2"/>
  <c r="F7" i="2"/>
  <c r="AX4" i="1" s="1"/>
  <c r="E7" i="2"/>
  <c r="AN4" i="1" s="1"/>
  <c r="D7" i="2"/>
  <c r="AD4" i="1" s="1"/>
  <c r="C7" i="2"/>
  <c r="T4" i="1" s="1"/>
  <c r="T7" i="1" s="1"/>
  <c r="H3" i="7"/>
  <c r="H57" i="7" s="1"/>
  <c r="C12" i="5"/>
  <c r="D12" i="5" s="1"/>
  <c r="C13" i="5"/>
  <c r="D13" i="5" s="1"/>
  <c r="E13" i="5" s="1"/>
  <c r="F13" i="5" s="1"/>
  <c r="C14" i="5"/>
  <c r="D14" i="5" s="1"/>
  <c r="E14" i="5" s="1"/>
  <c r="F14" i="5" s="1"/>
  <c r="G21" i="5"/>
  <c r="G23" i="5"/>
  <c r="C30" i="5"/>
  <c r="D30" i="5" s="1"/>
  <c r="E30" i="5" s="1"/>
  <c r="F30" i="5" s="1"/>
  <c r="C32" i="5"/>
  <c r="D32" i="5" s="1"/>
  <c r="E32" i="5" s="1"/>
  <c r="C33" i="5"/>
  <c r="D33" i="5" s="1"/>
  <c r="E33" i="5" s="1"/>
  <c r="F33" i="5" s="1"/>
  <c r="D64" i="2"/>
  <c r="D40" i="2"/>
  <c r="B40" i="2"/>
  <c r="C40" i="2"/>
  <c r="E40" i="2"/>
  <c r="B76" i="6"/>
  <c r="F40" i="2"/>
  <c r="C64" i="6"/>
  <c r="B64" i="6"/>
  <c r="C10" i="6"/>
  <c r="B9" i="5" s="1"/>
  <c r="F64" i="2"/>
  <c r="E64" i="2"/>
  <c r="C64" i="2"/>
  <c r="B64" i="2"/>
  <c r="A18" i="2"/>
  <c r="A17" i="2"/>
  <c r="A16" i="2"/>
  <c r="A15" i="2"/>
  <c r="A19" i="1"/>
  <c r="A27" i="2" s="1"/>
  <c r="A18" i="1"/>
  <c r="A26" i="2" s="1"/>
  <c r="A17" i="1"/>
  <c r="A25" i="2" s="1"/>
  <c r="C48" i="6"/>
  <c r="D48" i="6" s="1"/>
  <c r="E48" i="6" s="1"/>
  <c r="F48" i="6" s="1"/>
  <c r="G48" i="6" s="1"/>
  <c r="G71" i="6" l="1"/>
  <c r="F4" i="13"/>
  <c r="C48" i="2"/>
  <c r="C15" i="10"/>
  <c r="D8" i="1"/>
  <c r="B20" i="10"/>
  <c r="N7" i="1"/>
  <c r="D16" i="1" s="1"/>
  <c r="B16" i="1" s="1"/>
  <c r="B5" i="10"/>
  <c r="E5" i="10" s="1"/>
  <c r="N10" i="1"/>
  <c r="D19" i="1" s="1"/>
  <c r="B19" i="1" s="1"/>
  <c r="B8" i="10"/>
  <c r="E8" i="10" s="1"/>
  <c r="N9" i="1"/>
  <c r="D18" i="1" s="1"/>
  <c r="B7" i="10"/>
  <c r="E7" i="10" s="1"/>
  <c r="N8" i="1"/>
  <c r="D17" i="1" s="1"/>
  <c r="B6" i="10"/>
  <c r="E6" i="10" s="1"/>
  <c r="D14" i="6"/>
  <c r="D72" i="6"/>
  <c r="E72" i="6" s="1"/>
  <c r="F72" i="6" s="1"/>
  <c r="G72" i="6" s="1"/>
  <c r="T10" i="1"/>
  <c r="AD10" i="1" s="1"/>
  <c r="T9" i="1"/>
  <c r="AD9" i="1" s="1"/>
  <c r="AE9" i="1" s="1"/>
  <c r="T8" i="1"/>
  <c r="AI10" i="1"/>
  <c r="AE19" i="1" s="1"/>
  <c r="D27" i="2" s="1"/>
  <c r="AI7" i="1"/>
  <c r="AI8" i="1"/>
  <c r="AI9" i="1"/>
  <c r="AE18" i="1" s="1"/>
  <c r="D26" i="2" s="1"/>
  <c r="B34" i="6"/>
  <c r="B36" i="6" s="1"/>
  <c r="C43" i="9"/>
  <c r="E13" i="9"/>
  <c r="Y7" i="1"/>
  <c r="Y10" i="1"/>
  <c r="U19" i="1" s="1"/>
  <c r="C27" i="2" s="1"/>
  <c r="Y9" i="1"/>
  <c r="U18" i="1" s="1"/>
  <c r="C26" i="2" s="1"/>
  <c r="Y8" i="1"/>
  <c r="AJ7" i="1"/>
  <c r="AJ8" i="1"/>
  <c r="Z7" i="1"/>
  <c r="Z8" i="1"/>
  <c r="P12" i="1"/>
  <c r="C11" i="6" s="1"/>
  <c r="B11" i="6" s="1"/>
  <c r="N12" i="1"/>
  <c r="B8" i="4"/>
  <c r="B54" i="6" s="1"/>
  <c r="C23" i="6"/>
  <c r="S8" i="1"/>
  <c r="AQ8" i="1"/>
  <c r="AS8" i="1" s="1"/>
  <c r="AQ7" i="1"/>
  <c r="S7" i="1"/>
  <c r="AQ9" i="1"/>
  <c r="AS9" i="1" s="1"/>
  <c r="AO18" i="1" s="1"/>
  <c r="E26" i="2" s="1"/>
  <c r="S9" i="1"/>
  <c r="AQ10" i="1"/>
  <c r="AS10" i="1" s="1"/>
  <c r="AO19" i="1" s="1"/>
  <c r="E27" i="2" s="1"/>
  <c r="S10" i="1"/>
  <c r="U10" i="1" s="1"/>
  <c r="AD7" i="1"/>
  <c r="AN9" i="1"/>
  <c r="AE10" i="1"/>
  <c r="AN10" i="1"/>
  <c r="D48" i="2"/>
  <c r="E48" i="2" s="1"/>
  <c r="B24" i="2"/>
  <c r="B17" i="2"/>
  <c r="D54" i="2"/>
  <c r="E54" i="2" s="1"/>
  <c r="F54" i="2" s="1"/>
  <c r="C51" i="2"/>
  <c r="D51" i="2" s="1"/>
  <c r="E51" i="2" s="1"/>
  <c r="F51" i="2" s="1"/>
  <c r="B27" i="2"/>
  <c r="C50" i="2"/>
  <c r="D50" i="2" s="1"/>
  <c r="E50" i="2" s="1"/>
  <c r="F50" i="2" s="1"/>
  <c r="B25" i="2"/>
  <c r="E32" i="6"/>
  <c r="F32" i="6" s="1"/>
  <c r="G32" i="6" s="1"/>
  <c r="E12" i="5"/>
  <c r="F12" i="5" s="1"/>
  <c r="E61" i="6"/>
  <c r="D64" i="6"/>
  <c r="G30" i="6"/>
  <c r="B16" i="2"/>
  <c r="F32" i="5"/>
  <c r="G32" i="5" s="1"/>
  <c r="G14" i="5"/>
  <c r="G13" i="5"/>
  <c r="A11" i="4"/>
  <c r="B18" i="2"/>
  <c r="G33" i="5"/>
  <c r="D12" i="1"/>
  <c r="B5" i="16" s="1"/>
  <c r="C7" i="15" s="1"/>
  <c r="D10" i="6"/>
  <c r="D18" i="2" l="1"/>
  <c r="AC19" i="1"/>
  <c r="AC18" i="1"/>
  <c r="AN7" i="1"/>
  <c r="C18" i="2"/>
  <c r="S19" i="1"/>
  <c r="S18" i="1"/>
  <c r="U7" i="1"/>
  <c r="C15" i="2" s="1"/>
  <c r="C20" i="10"/>
  <c r="AT7" i="1"/>
  <c r="AS7" i="1"/>
  <c r="AO16" i="1" s="1"/>
  <c r="C44" i="6"/>
  <c r="U17" i="1"/>
  <c r="C25" i="2" s="1"/>
  <c r="U16" i="1"/>
  <c r="AE17" i="1"/>
  <c r="D25" i="2" s="1"/>
  <c r="AE16" i="1"/>
  <c r="AD8" i="1"/>
  <c r="C17" i="10"/>
  <c r="D17" i="2"/>
  <c r="AC17" i="1"/>
  <c r="B26" i="2"/>
  <c r="B18" i="1"/>
  <c r="E9" i="10"/>
  <c r="B16" i="10" s="1"/>
  <c r="C16" i="10" s="1"/>
  <c r="D16" i="10" s="1"/>
  <c r="E16" i="10" s="1"/>
  <c r="F16" i="10" s="1"/>
  <c r="B17" i="1"/>
  <c r="C34" i="6"/>
  <c r="D34" i="6" s="1"/>
  <c r="B32" i="13"/>
  <c r="E14" i="6"/>
  <c r="AE8" i="1"/>
  <c r="U8" i="1"/>
  <c r="B22" i="6"/>
  <c r="B9" i="6" s="1"/>
  <c r="C49" i="2"/>
  <c r="C14" i="10" s="1"/>
  <c r="U9" i="1"/>
  <c r="B11" i="5"/>
  <c r="AS12" i="1"/>
  <c r="C52" i="2"/>
  <c r="Y12" i="1"/>
  <c r="AI12" i="1"/>
  <c r="B26" i="6"/>
  <c r="C41" i="9"/>
  <c r="C45" i="9" s="1"/>
  <c r="E34" i="6"/>
  <c r="F34" i="6" s="1"/>
  <c r="G34" i="6" s="1"/>
  <c r="G36" i="6" s="1"/>
  <c r="D36" i="6"/>
  <c r="C36" i="6"/>
  <c r="C9" i="4"/>
  <c r="Z12" i="1"/>
  <c r="D11" i="6" s="1"/>
  <c r="AJ12" i="1"/>
  <c r="E11" i="6" s="1"/>
  <c r="AM8" i="1"/>
  <c r="AT8" i="1"/>
  <c r="B10" i="5"/>
  <c r="B54" i="1"/>
  <c r="B55" i="1" s="1"/>
  <c r="B9" i="4"/>
  <c r="E9" i="4" s="1"/>
  <c r="C10" i="4"/>
  <c r="D23" i="6"/>
  <c r="D49" i="2" s="1"/>
  <c r="BA8" i="1"/>
  <c r="BC8" i="1" s="1"/>
  <c r="AM10" i="1"/>
  <c r="AO10" i="1" s="1"/>
  <c r="BA10" i="1"/>
  <c r="AM9" i="1"/>
  <c r="AO9" i="1" s="1"/>
  <c r="BA9" i="1"/>
  <c r="AM7" i="1"/>
  <c r="BA7" i="1"/>
  <c r="BC7" i="1" s="1"/>
  <c r="AE7" i="1"/>
  <c r="D15" i="2" s="1"/>
  <c r="U12" i="1"/>
  <c r="C5" i="16" s="1"/>
  <c r="AX9" i="1"/>
  <c r="AX10" i="1"/>
  <c r="D21" i="1"/>
  <c r="B29" i="2" s="1"/>
  <c r="E64" i="6"/>
  <c r="F61" i="6"/>
  <c r="G12" i="5"/>
  <c r="F48" i="2"/>
  <c r="B20" i="2"/>
  <c r="B20" i="15" s="1"/>
  <c r="E10" i="6"/>
  <c r="D9" i="5" s="1"/>
  <c r="A12" i="4"/>
  <c r="C11" i="4"/>
  <c r="C9" i="5"/>
  <c r="B20" i="14" l="1"/>
  <c r="B43" i="14"/>
  <c r="B44" i="14" s="1"/>
  <c r="AO7" i="1"/>
  <c r="E15" i="2" s="1"/>
  <c r="E20" i="10"/>
  <c r="E17" i="2"/>
  <c r="E18" i="2"/>
  <c r="AM19" i="1"/>
  <c r="AM18" i="1"/>
  <c r="D22" i="13"/>
  <c r="D14" i="10"/>
  <c r="AT12" i="1"/>
  <c r="F11" i="6" s="1"/>
  <c r="AO17" i="1"/>
  <c r="C17" i="2"/>
  <c r="S17" i="1"/>
  <c r="C16" i="2"/>
  <c r="C20" i="2" s="1"/>
  <c r="S16" i="1"/>
  <c r="D16" i="2"/>
  <c r="AC16" i="1"/>
  <c r="AN8" i="1"/>
  <c r="D17" i="10"/>
  <c r="D24" i="2"/>
  <c r="D29" i="2" s="1"/>
  <c r="D43" i="14" s="1"/>
  <c r="D44" i="14" s="1"/>
  <c r="AE21" i="1"/>
  <c r="C24" i="2"/>
  <c r="C29" i="2" s="1"/>
  <c r="C43" i="14" s="1"/>
  <c r="C44" i="14" s="1"/>
  <c r="U21" i="1"/>
  <c r="E24" i="2"/>
  <c r="AO21" i="1"/>
  <c r="AX7" i="1"/>
  <c r="E17" i="10"/>
  <c r="B21" i="14"/>
  <c r="B14" i="10"/>
  <c r="F14" i="6"/>
  <c r="C8" i="5"/>
  <c r="C22" i="13"/>
  <c r="B23" i="13"/>
  <c r="B8" i="5"/>
  <c r="E36" i="6"/>
  <c r="B39" i="5"/>
  <c r="AW9" i="1"/>
  <c r="BC9" i="1"/>
  <c r="AY18" i="1" s="1"/>
  <c r="F26" i="2" s="1"/>
  <c r="F44" i="6"/>
  <c r="D44" i="6"/>
  <c r="AW10" i="1"/>
  <c r="AY10" i="1" s="1"/>
  <c r="F18" i="2" s="1"/>
  <c r="BC10" i="1"/>
  <c r="C10" i="5"/>
  <c r="D10" i="5"/>
  <c r="E44" i="6"/>
  <c r="D9" i="4"/>
  <c r="B10" i="4" s="1"/>
  <c r="E10" i="4" s="1"/>
  <c r="D10" i="4" s="1"/>
  <c r="B11" i="4" s="1"/>
  <c r="E11" i="4" s="1"/>
  <c r="D11" i="4" s="1"/>
  <c r="B12" i="4" s="1"/>
  <c r="E12" i="4" s="1"/>
  <c r="F36" i="6"/>
  <c r="AW8" i="1"/>
  <c r="BD8" i="1"/>
  <c r="AY17" i="1" s="1"/>
  <c r="F25" i="2" s="1"/>
  <c r="B50" i="6"/>
  <c r="B57" i="6" s="1"/>
  <c r="AW7" i="1"/>
  <c r="BD7" i="1"/>
  <c r="AY16" i="1" s="1"/>
  <c r="E23" i="6"/>
  <c r="E49" i="2" s="1"/>
  <c r="D8" i="5"/>
  <c r="C22" i="5"/>
  <c r="D52" i="2"/>
  <c r="C20" i="5"/>
  <c r="C23" i="13" s="1"/>
  <c r="AY9" i="1"/>
  <c r="AE12" i="1"/>
  <c r="D5" i="16" s="1"/>
  <c r="B31" i="2"/>
  <c r="C31" i="2"/>
  <c r="G61" i="6"/>
  <c r="G64" i="6" s="1"/>
  <c r="F64" i="6"/>
  <c r="A13" i="4"/>
  <c r="C12" i="4"/>
  <c r="F10" i="6"/>
  <c r="D20" i="2"/>
  <c r="D20" i="15" l="1"/>
  <c r="F17" i="2"/>
  <c r="AW18" i="1"/>
  <c r="E22" i="13"/>
  <c r="E14" i="10"/>
  <c r="F24" i="2"/>
  <c r="AY7" i="1"/>
  <c r="F20" i="10"/>
  <c r="BC12" i="1"/>
  <c r="AY19" i="1"/>
  <c r="AX8" i="1"/>
  <c r="AO8" i="1"/>
  <c r="C20" i="15"/>
  <c r="E25" i="2"/>
  <c r="E29" i="2" s="1"/>
  <c r="E43" i="14" s="1"/>
  <c r="E44" i="14" s="1"/>
  <c r="AM17" i="1"/>
  <c r="B42" i="2"/>
  <c r="B9" i="14"/>
  <c r="B34" i="14"/>
  <c r="C42" i="2"/>
  <c r="C34" i="14"/>
  <c r="G14" i="6"/>
  <c r="B25" i="5"/>
  <c r="B22" i="13"/>
  <c r="B16" i="6"/>
  <c r="B38" i="6" s="1"/>
  <c r="BD12" i="1"/>
  <c r="G11" i="6" s="1"/>
  <c r="G44" i="6"/>
  <c r="E11" i="5"/>
  <c r="D11" i="5"/>
  <c r="C11" i="5"/>
  <c r="B66" i="6"/>
  <c r="C50" i="6"/>
  <c r="C25" i="5"/>
  <c r="F23" i="6"/>
  <c r="F49" i="2" s="1"/>
  <c r="E8" i="5"/>
  <c r="E52" i="2"/>
  <c r="D20" i="5"/>
  <c r="D23" i="13" s="1"/>
  <c r="D22" i="5"/>
  <c r="D12" i="4"/>
  <c r="B13" i="4" s="1"/>
  <c r="E13" i="4" s="1"/>
  <c r="A14" i="4"/>
  <c r="C13" i="4"/>
  <c r="G10" i="6"/>
  <c r="F9" i="5" s="1"/>
  <c r="E9" i="5"/>
  <c r="F10" i="5"/>
  <c r="E10" i="5"/>
  <c r="F22" i="13" l="1"/>
  <c r="F14" i="10"/>
  <c r="B78" i="6"/>
  <c r="B24" i="15"/>
  <c r="G7" i="15" s="1"/>
  <c r="B15" i="14"/>
  <c r="B23" i="15"/>
  <c r="F7" i="15" s="1"/>
  <c r="E16" i="2"/>
  <c r="E20" i="2" s="1"/>
  <c r="AM16" i="1"/>
  <c r="AO12" i="1"/>
  <c r="E5" i="16" s="1"/>
  <c r="AY8" i="1"/>
  <c r="F17" i="10"/>
  <c r="F27" i="2"/>
  <c r="AW19" i="1"/>
  <c r="AY21" i="1"/>
  <c r="F15" i="2"/>
  <c r="AW16" i="1"/>
  <c r="F29" i="2"/>
  <c r="F43" i="14" s="1"/>
  <c r="F44" i="14" s="1"/>
  <c r="D31" i="2"/>
  <c r="E31" i="2"/>
  <c r="B5" i="12"/>
  <c r="C26" i="6"/>
  <c r="D24" i="6"/>
  <c r="B79" i="6"/>
  <c r="F11" i="5"/>
  <c r="D50" i="6"/>
  <c r="C5" i="12" s="1"/>
  <c r="F8" i="5"/>
  <c r="G8" i="5" s="1"/>
  <c r="F52" i="2"/>
  <c r="G23" i="6"/>
  <c r="E20" i="5"/>
  <c r="E23" i="13" s="1"/>
  <c r="E22" i="5"/>
  <c r="D25" i="5"/>
  <c r="G10" i="5"/>
  <c r="D13" i="4"/>
  <c r="B14" i="4" s="1"/>
  <c r="E14" i="4" s="1"/>
  <c r="G9" i="5"/>
  <c r="A15" i="4"/>
  <c r="C14" i="4"/>
  <c r="F16" i="2" l="1"/>
  <c r="F20" i="2" s="1"/>
  <c r="AW17" i="1"/>
  <c r="AY12" i="1"/>
  <c r="F5" i="16" s="1"/>
  <c r="E20" i="15"/>
  <c r="D42" i="2"/>
  <c r="D34" i="14"/>
  <c r="E42" i="2"/>
  <c r="E34" i="14"/>
  <c r="D26" i="6"/>
  <c r="E24" i="6"/>
  <c r="E50" i="6"/>
  <c r="D5" i="12" s="1"/>
  <c r="E25" i="5"/>
  <c r="F20" i="5"/>
  <c r="F23" i="13" s="1"/>
  <c r="F22" i="5"/>
  <c r="G22" i="5" s="1"/>
  <c r="D14" i="4"/>
  <c r="B15" i="4" s="1"/>
  <c r="E15" i="4" s="1"/>
  <c r="C15" i="4"/>
  <c r="A16" i="4"/>
  <c r="F20" i="15" l="1"/>
  <c r="F31" i="2"/>
  <c r="E26" i="6"/>
  <c r="F24" i="6"/>
  <c r="G50" i="6"/>
  <c r="F5" i="12" s="1"/>
  <c r="F50" i="6"/>
  <c r="E5" i="12" s="1"/>
  <c r="G11" i="5"/>
  <c r="G20" i="5"/>
  <c r="F25" i="5"/>
  <c r="G25" i="5" s="1"/>
  <c r="D15" i="4"/>
  <c r="B16" i="4" s="1"/>
  <c r="E16" i="4" s="1"/>
  <c r="A17" i="4"/>
  <c r="C16" i="4"/>
  <c r="F42" i="2" l="1"/>
  <c r="F34" i="14"/>
  <c r="F26" i="6"/>
  <c r="G24" i="6"/>
  <c r="G26" i="6" s="1"/>
  <c r="D16" i="4"/>
  <c r="B17" i="4" s="1"/>
  <c r="E17" i="4" s="1"/>
  <c r="C17" i="4"/>
  <c r="A18" i="4"/>
  <c r="D17" i="4" l="1"/>
  <c r="B18" i="4" s="1"/>
  <c r="E18" i="4" s="1"/>
  <c r="A19" i="4"/>
  <c r="C18" i="4"/>
  <c r="D18" i="4" l="1"/>
  <c r="B19" i="4" s="1"/>
  <c r="E19" i="4" s="1"/>
  <c r="A20" i="4"/>
  <c r="C19" i="4"/>
  <c r="D19" i="4" l="1"/>
  <c r="B20" i="4" s="1"/>
  <c r="E20" i="4" s="1"/>
  <c r="B55" i="2" s="1"/>
  <c r="B57" i="2" s="1"/>
  <c r="A21" i="4"/>
  <c r="C20" i="4"/>
  <c r="B13" i="10" l="1"/>
  <c r="B79" i="2"/>
  <c r="B35" i="14" s="1"/>
  <c r="B10" i="14" s="1"/>
  <c r="B19" i="10"/>
  <c r="B18" i="10"/>
  <c r="B6" i="11"/>
  <c r="B66" i="2"/>
  <c r="B4" i="11"/>
  <c r="B7" i="11" s="1"/>
  <c r="D20" i="4"/>
  <c r="B21" i="4" s="1"/>
  <c r="C54" i="6" s="1"/>
  <c r="A22" i="4"/>
  <c r="C21" i="4"/>
  <c r="B70" i="2" l="1"/>
  <c r="B73" i="2" s="1"/>
  <c r="B75" i="2" s="1"/>
  <c r="C57" i="6"/>
  <c r="C66" i="6"/>
  <c r="C24" i="15" s="1"/>
  <c r="A23" i="4"/>
  <c r="C22" i="4"/>
  <c r="B29" i="5"/>
  <c r="E21" i="4"/>
  <c r="B22" i="15" l="1"/>
  <c r="E7" i="15" s="1"/>
  <c r="B77" i="2"/>
  <c r="B36" i="14"/>
  <c r="B11" i="14"/>
  <c r="B21" i="13"/>
  <c r="C74" i="6"/>
  <c r="B5" i="13"/>
  <c r="B7" i="5"/>
  <c r="C23" i="4"/>
  <c r="A24" i="4"/>
  <c r="D21" i="4"/>
  <c r="B22" i="4" s="1"/>
  <c r="E22" i="4" s="1"/>
  <c r="D22" i="4" s="1"/>
  <c r="B23" i="4" s="1"/>
  <c r="E23" i="4" s="1"/>
  <c r="B78" i="2" l="1"/>
  <c r="B21" i="15"/>
  <c r="D7" i="15"/>
  <c r="D23" i="4"/>
  <c r="B16" i="5"/>
  <c r="B6" i="13"/>
  <c r="B7" i="13" s="1"/>
  <c r="A25" i="4"/>
  <c r="C24" i="4"/>
  <c r="B24" i="4"/>
  <c r="E24" i="4" s="1"/>
  <c r="B8" i="13" l="1"/>
  <c r="B9" i="13" s="1"/>
  <c r="B28" i="13" s="1"/>
  <c r="C76" i="6"/>
  <c r="D24" i="4"/>
  <c r="B25" i="4" s="1"/>
  <c r="E25" i="4" s="1"/>
  <c r="A26" i="4"/>
  <c r="C25" i="4"/>
  <c r="B13" i="14" l="1"/>
  <c r="B38" i="14"/>
  <c r="B6" i="14"/>
  <c r="B31" i="14"/>
  <c r="D25" i="4"/>
  <c r="B26" i="4" s="1"/>
  <c r="E26" i="4" s="1"/>
  <c r="A27" i="4"/>
  <c r="C26" i="4"/>
  <c r="D26" i="4" l="1"/>
  <c r="B27" i="4" s="1"/>
  <c r="E27" i="4" s="1"/>
  <c r="A28" i="4"/>
  <c r="C27" i="4"/>
  <c r="D27" i="4" l="1"/>
  <c r="B28" i="4" s="1"/>
  <c r="E28" i="4" s="1"/>
  <c r="A29" i="4"/>
  <c r="C28" i="4"/>
  <c r="D28" i="4" l="1"/>
  <c r="B29" i="4" s="1"/>
  <c r="E29" i="4" s="1"/>
  <c r="A30" i="4"/>
  <c r="C29" i="4"/>
  <c r="D29" i="4" l="1"/>
  <c r="B30" i="4" s="1"/>
  <c r="E30" i="4" s="1"/>
  <c r="A31" i="4"/>
  <c r="C30" i="4"/>
  <c r="D30" i="4" l="1"/>
  <c r="B31" i="4" s="1"/>
  <c r="E31" i="4" s="1"/>
  <c r="C31" i="4"/>
  <c r="A32" i="4"/>
  <c r="D31" i="4" l="1"/>
  <c r="B32" i="4" s="1"/>
  <c r="E32" i="4" s="1"/>
  <c r="C55" i="2" s="1"/>
  <c r="A33" i="4"/>
  <c r="C32" i="4"/>
  <c r="D32" i="4" l="1"/>
  <c r="B33" i="4" s="1"/>
  <c r="D54" i="6" s="1"/>
  <c r="A34" i="4"/>
  <c r="C33" i="4"/>
  <c r="D66" i="6" l="1"/>
  <c r="D24" i="15" s="1"/>
  <c r="D57" i="6"/>
  <c r="C29" i="5"/>
  <c r="A35" i="4"/>
  <c r="C34" i="4"/>
  <c r="E33" i="4"/>
  <c r="C5" i="13" l="1"/>
  <c r="A36" i="4"/>
  <c r="C35" i="4"/>
  <c r="D33" i="4"/>
  <c r="B34" i="4" s="1"/>
  <c r="E34" i="4" s="1"/>
  <c r="D34" i="4" s="1"/>
  <c r="C6" i="13" l="1"/>
  <c r="C7" i="13" s="1"/>
  <c r="A37" i="4"/>
  <c r="C36" i="4"/>
  <c r="B35" i="4"/>
  <c r="E35" i="4" s="1"/>
  <c r="D35" i="4" s="1"/>
  <c r="C8" i="13" l="1"/>
  <c r="C9" i="13" s="1"/>
  <c r="C28" i="13" s="1"/>
  <c r="B36" i="4"/>
  <c r="E36" i="4" s="1"/>
  <c r="D36" i="4" s="1"/>
  <c r="A38" i="4"/>
  <c r="C37" i="4"/>
  <c r="B37" i="4" l="1"/>
  <c r="E37" i="4" s="1"/>
  <c r="D37" i="4" s="1"/>
  <c r="A39" i="4"/>
  <c r="C38" i="4"/>
  <c r="B38" i="4" l="1"/>
  <c r="E38" i="4" s="1"/>
  <c r="D38" i="4" s="1"/>
  <c r="B39" i="4" s="1"/>
  <c r="E39" i="4" s="1"/>
  <c r="A40" i="4"/>
  <c r="C39" i="4"/>
  <c r="D39" i="4" l="1"/>
  <c r="B40" i="4" s="1"/>
  <c r="E40" i="4" s="1"/>
  <c r="A41" i="4"/>
  <c r="C40" i="4"/>
  <c r="D40" i="4" l="1"/>
  <c r="B41" i="4" s="1"/>
  <c r="E41" i="4" s="1"/>
  <c r="A42" i="4"/>
  <c r="C41" i="4"/>
  <c r="D41" i="4" l="1"/>
  <c r="B42" i="4" s="1"/>
  <c r="E42" i="4" s="1"/>
  <c r="A43" i="4"/>
  <c r="C42" i="4"/>
  <c r="D42" i="4" l="1"/>
  <c r="B43" i="4" s="1"/>
  <c r="E43" i="4" s="1"/>
  <c r="A44" i="4"/>
  <c r="C43" i="4"/>
  <c r="D43" i="4" l="1"/>
  <c r="B44" i="4" s="1"/>
  <c r="E44" i="4" s="1"/>
  <c r="A45" i="4"/>
  <c r="C44" i="4"/>
  <c r="D55" i="2" l="1"/>
  <c r="D57" i="2" s="1"/>
  <c r="D44" i="4"/>
  <c r="B45" i="4" s="1"/>
  <c r="A46" i="4"/>
  <c r="C45" i="4"/>
  <c r="D13" i="10" l="1"/>
  <c r="D79" i="2"/>
  <c r="D35" i="14" s="1"/>
  <c r="D66" i="2"/>
  <c r="D70" i="2" s="1"/>
  <c r="D73" i="2" s="1"/>
  <c r="D75" i="2" s="1"/>
  <c r="D22" i="15" s="1"/>
  <c r="D4" i="11"/>
  <c r="D6" i="11"/>
  <c r="E54" i="6"/>
  <c r="E45" i="4"/>
  <c r="D45" i="4" s="1"/>
  <c r="B46" i="4" s="1"/>
  <c r="E46" i="4" s="1"/>
  <c r="A47" i="4"/>
  <c r="C46" i="4"/>
  <c r="D18" i="10" l="1"/>
  <c r="D19" i="10"/>
  <c r="D21" i="13"/>
  <c r="D36" i="14"/>
  <c r="D77" i="2"/>
  <c r="D7" i="11"/>
  <c r="D7" i="5"/>
  <c r="D31" i="5" s="1"/>
  <c r="E57" i="6"/>
  <c r="E66" i="6"/>
  <c r="E24" i="15" s="1"/>
  <c r="D29" i="5"/>
  <c r="D46" i="4"/>
  <c r="B47" i="4" s="1"/>
  <c r="E47" i="4" s="1"/>
  <c r="C47" i="4"/>
  <c r="A48" i="4"/>
  <c r="D78" i="2" l="1"/>
  <c r="D21" i="15"/>
  <c r="D5" i="13"/>
  <c r="D16" i="5"/>
  <c r="D47" i="4"/>
  <c r="B48" i="4" s="1"/>
  <c r="E48" i="4" s="1"/>
  <c r="A49" i="4"/>
  <c r="C48" i="4"/>
  <c r="D6" i="13" l="1"/>
  <c r="D7" i="13" s="1"/>
  <c r="D48" i="4"/>
  <c r="B49" i="4" s="1"/>
  <c r="E49" i="4" s="1"/>
  <c r="A50" i="4"/>
  <c r="C49" i="4"/>
  <c r="D8" i="13" l="1"/>
  <c r="D9" i="13" s="1"/>
  <c r="D28" i="13" s="1"/>
  <c r="D49" i="4"/>
  <c r="B50" i="4" s="1"/>
  <c r="E50" i="4" s="1"/>
  <c r="A51" i="4"/>
  <c r="C50" i="4"/>
  <c r="D50" i="4" l="1"/>
  <c r="B51" i="4" s="1"/>
  <c r="E51" i="4" s="1"/>
  <c r="A52" i="4"/>
  <c r="C51" i="4"/>
  <c r="D51" i="4" l="1"/>
  <c r="B52" i="4" s="1"/>
  <c r="E52" i="4" s="1"/>
  <c r="A53" i="4"/>
  <c r="C52" i="4"/>
  <c r="D52" i="4" l="1"/>
  <c r="B53" i="4" s="1"/>
  <c r="E53" i="4" s="1"/>
  <c r="A54" i="4"/>
  <c r="C53" i="4"/>
  <c r="D53" i="4" l="1"/>
  <c r="B54" i="4" s="1"/>
  <c r="E54" i="4" s="1"/>
  <c r="A55" i="4"/>
  <c r="C54" i="4"/>
  <c r="D54" i="4" l="1"/>
  <c r="B55" i="4" s="1"/>
  <c r="E55" i="4" s="1"/>
  <c r="A56" i="4"/>
  <c r="C55" i="4"/>
  <c r="D55" i="4" l="1"/>
  <c r="B56" i="4" s="1"/>
  <c r="E56" i="4" s="1"/>
  <c r="E55" i="2" s="1"/>
  <c r="E57" i="2" s="1"/>
  <c r="A57" i="4"/>
  <c r="C56" i="4"/>
  <c r="E13" i="10" l="1"/>
  <c r="E79" i="2"/>
  <c r="E35" i="14" s="1"/>
  <c r="E66" i="2"/>
  <c r="E4" i="11"/>
  <c r="E6" i="11"/>
  <c r="E70" i="2"/>
  <c r="E73" i="2" s="1"/>
  <c r="E75" i="2" s="1"/>
  <c r="E22" i="15" s="1"/>
  <c r="D56" i="4"/>
  <c r="B57" i="4" s="1"/>
  <c r="A58" i="4"/>
  <c r="C57" i="4"/>
  <c r="E18" i="10" l="1"/>
  <c r="E19" i="10"/>
  <c r="E21" i="13"/>
  <c r="E36" i="14"/>
  <c r="E77" i="2"/>
  <c r="E7" i="11"/>
  <c r="F54" i="6"/>
  <c r="E57" i="4"/>
  <c r="D57" i="4" s="1"/>
  <c r="B58" i="4" s="1"/>
  <c r="E58" i="4" s="1"/>
  <c r="E7" i="5"/>
  <c r="E31" i="5" s="1"/>
  <c r="A59" i="4"/>
  <c r="C58" i="4"/>
  <c r="E78" i="2" l="1"/>
  <c r="E21" i="15"/>
  <c r="F66" i="6"/>
  <c r="F24" i="15" s="1"/>
  <c r="F57" i="6"/>
  <c r="E29" i="5"/>
  <c r="D58" i="4"/>
  <c r="B59" i="4" s="1"/>
  <c r="E59" i="4" s="1"/>
  <c r="A60" i="4"/>
  <c r="C59" i="4"/>
  <c r="E16" i="5"/>
  <c r="E5" i="13" l="1"/>
  <c r="D59" i="4"/>
  <c r="B60" i="4" s="1"/>
  <c r="E60" i="4" s="1"/>
  <c r="A61" i="4"/>
  <c r="C60" i="4"/>
  <c r="E6" i="13" l="1"/>
  <c r="E7" i="13" s="1"/>
  <c r="E8" i="13"/>
  <c r="E9" i="13" s="1"/>
  <c r="E28" i="13" s="1"/>
  <c r="D60" i="4"/>
  <c r="B61" i="4" s="1"/>
  <c r="E61" i="4" s="1"/>
  <c r="A62" i="4"/>
  <c r="C61" i="4"/>
  <c r="D61" i="4" l="1"/>
  <c r="B62" i="4" s="1"/>
  <c r="E62" i="4" s="1"/>
  <c r="A63" i="4"/>
  <c r="C62" i="4"/>
  <c r="D62" i="4" l="1"/>
  <c r="B63" i="4" s="1"/>
  <c r="E63" i="4" s="1"/>
  <c r="A64" i="4"/>
  <c r="C63" i="4"/>
  <c r="D63" i="4" l="1"/>
  <c r="B64" i="4" s="1"/>
  <c r="E64" i="4" s="1"/>
  <c r="A65" i="4"/>
  <c r="C64" i="4"/>
  <c r="D64" i="4" l="1"/>
  <c r="B65" i="4" s="1"/>
  <c r="E65" i="4" s="1"/>
  <c r="C65" i="4"/>
  <c r="A66" i="4"/>
  <c r="D65" i="4" l="1"/>
  <c r="B66" i="4" s="1"/>
  <c r="E66" i="4" s="1"/>
  <c r="A67" i="4"/>
  <c r="C66" i="4"/>
  <c r="D66" i="4" l="1"/>
  <c r="B67" i="4" s="1"/>
  <c r="E67" i="4" s="1"/>
  <c r="A68" i="4"/>
  <c r="C67" i="4"/>
  <c r="D67" i="4" l="1"/>
  <c r="B68" i="4" s="1"/>
  <c r="E68" i="4" s="1"/>
  <c r="F55" i="2" s="1"/>
  <c r="F57" i="2" s="1"/>
  <c r="A69" i="4"/>
  <c r="C68" i="4"/>
  <c r="F13" i="10" l="1"/>
  <c r="F79" i="2"/>
  <c r="F35" i="14" s="1"/>
  <c r="F66" i="2"/>
  <c r="F70" i="2" s="1"/>
  <c r="F73" i="2" s="1"/>
  <c r="F75" i="2" s="1"/>
  <c r="F22" i="15" s="1"/>
  <c r="F6" i="11"/>
  <c r="F4" i="11"/>
  <c r="D68" i="4"/>
  <c r="A70" i="4"/>
  <c r="C69" i="4"/>
  <c r="B69" i="4"/>
  <c r="G54" i="6" s="1"/>
  <c r="D69" i="4"/>
  <c r="E69" i="4"/>
  <c r="F18" i="10" l="1"/>
  <c r="F19" i="10"/>
  <c r="F21" i="13"/>
  <c r="F36" i="14"/>
  <c r="F77" i="2"/>
  <c r="F7" i="11"/>
  <c r="G57" i="6"/>
  <c r="G66" i="6"/>
  <c r="F7" i="5"/>
  <c r="F31" i="5" s="1"/>
  <c r="A71" i="4"/>
  <c r="D70" i="4"/>
  <c r="C70" i="4"/>
  <c r="B70" i="4"/>
  <c r="E70" i="4"/>
  <c r="F29" i="5"/>
  <c r="F78" i="2" l="1"/>
  <c r="F21" i="15"/>
  <c r="F5" i="13"/>
  <c r="E71" i="4"/>
  <c r="D71" i="4"/>
  <c r="C71" i="4"/>
  <c r="A72" i="4"/>
  <c r="B71" i="4"/>
  <c r="G29" i="5"/>
  <c r="F16" i="5"/>
  <c r="F6" i="13" l="1"/>
  <c r="F7" i="13" s="1"/>
  <c r="A73" i="4"/>
  <c r="E72" i="4"/>
  <c r="D72" i="4"/>
  <c r="C72" i="4"/>
  <c r="B72" i="4"/>
  <c r="F8" i="13" l="1"/>
  <c r="F9" i="13" s="1"/>
  <c r="F28" i="13" s="1"/>
  <c r="G28" i="13" s="1"/>
  <c r="C73" i="4"/>
  <c r="E73" i="4"/>
  <c r="D73" i="4"/>
  <c r="A74" i="4"/>
  <c r="B73" i="4"/>
  <c r="A75" i="4" l="1"/>
  <c r="D74" i="4"/>
  <c r="E74" i="4"/>
  <c r="B74" i="4"/>
  <c r="C74" i="4"/>
  <c r="A76" i="4" l="1"/>
  <c r="E75" i="4"/>
  <c r="D75" i="4"/>
  <c r="C75" i="4"/>
  <c r="B75" i="4"/>
  <c r="A77" i="4" l="1"/>
  <c r="C76" i="4"/>
  <c r="D76" i="4"/>
  <c r="B76" i="4"/>
  <c r="E76" i="4"/>
  <c r="A78" i="4" l="1"/>
  <c r="C77" i="4"/>
  <c r="B77" i="4"/>
  <c r="E77" i="4"/>
  <c r="D77" i="4"/>
  <c r="A79" i="4" l="1"/>
  <c r="D78" i="4"/>
  <c r="C78" i="4"/>
  <c r="B78" i="4"/>
  <c r="E78" i="4"/>
  <c r="A80" i="4" l="1"/>
  <c r="E79" i="4"/>
  <c r="D79" i="4"/>
  <c r="C79" i="4"/>
  <c r="B79" i="4"/>
  <c r="A81" i="4" l="1"/>
  <c r="E80" i="4"/>
  <c r="C80" i="4"/>
  <c r="D80" i="4"/>
  <c r="B80" i="4"/>
  <c r="A82" i="4" l="1"/>
  <c r="C81" i="4"/>
  <c r="E81" i="4"/>
  <c r="D81" i="4"/>
  <c r="B81" i="4"/>
  <c r="A83" i="4" l="1"/>
  <c r="D82" i="4"/>
  <c r="C82" i="4"/>
  <c r="B82" i="4"/>
  <c r="E82" i="4"/>
  <c r="A84" i="4" l="1"/>
  <c r="E83" i="4"/>
  <c r="D83" i="4"/>
  <c r="C83" i="4"/>
  <c r="B83" i="4"/>
  <c r="A85" i="4" l="1"/>
  <c r="D84" i="4"/>
  <c r="C84" i="4"/>
  <c r="E84" i="4"/>
  <c r="B84" i="4"/>
  <c r="A86" i="4" l="1"/>
  <c r="C85" i="4"/>
  <c r="B85" i="4"/>
  <c r="E85" i="4"/>
  <c r="D85" i="4"/>
  <c r="A87" i="4" l="1"/>
  <c r="D86" i="4"/>
  <c r="C86" i="4"/>
  <c r="B86" i="4"/>
  <c r="E86" i="4"/>
  <c r="A88" i="4" l="1"/>
  <c r="E87" i="4"/>
  <c r="D87" i="4"/>
  <c r="C87" i="4"/>
  <c r="B87" i="4"/>
  <c r="A89" i="4" l="1"/>
  <c r="E88" i="4"/>
  <c r="D88" i="4"/>
  <c r="C88" i="4"/>
  <c r="B88" i="4"/>
  <c r="A90" i="4" l="1"/>
  <c r="C89" i="4"/>
  <c r="B89" i="4"/>
  <c r="E89" i="4"/>
  <c r="D89" i="4"/>
  <c r="A91" i="4" l="1"/>
  <c r="D90" i="4"/>
  <c r="E90" i="4"/>
  <c r="C90" i="4"/>
  <c r="B90" i="4"/>
  <c r="A92" i="4" l="1"/>
  <c r="E91" i="4"/>
  <c r="D91" i="4"/>
  <c r="B91" i="4"/>
  <c r="C91" i="4"/>
  <c r="A93" i="4" l="1"/>
  <c r="E92" i="4"/>
  <c r="D92" i="4"/>
  <c r="C92" i="4"/>
  <c r="B92" i="4"/>
  <c r="A94" i="4" l="1"/>
  <c r="C93" i="4"/>
  <c r="B93" i="4"/>
  <c r="D93" i="4"/>
  <c r="E93" i="4"/>
  <c r="D94" i="4" l="1"/>
  <c r="C94" i="4"/>
  <c r="A95" i="4"/>
  <c r="B94" i="4"/>
  <c r="E94" i="4"/>
  <c r="E95" i="4" l="1"/>
  <c r="A96" i="4"/>
  <c r="C95" i="4"/>
  <c r="D95" i="4"/>
  <c r="B95" i="4"/>
  <c r="A97" i="4" l="1"/>
  <c r="E96" i="4"/>
  <c r="D96" i="4"/>
  <c r="C96" i="4"/>
  <c r="B96" i="4"/>
  <c r="C97" i="4" l="1"/>
  <c r="A98" i="4"/>
  <c r="D97" i="4"/>
  <c r="E97" i="4"/>
  <c r="B97" i="4"/>
  <c r="A99" i="4" l="1"/>
  <c r="D98" i="4"/>
  <c r="E98" i="4"/>
  <c r="B98" i="4"/>
  <c r="C98" i="4"/>
  <c r="A100" i="4" l="1"/>
  <c r="E99" i="4"/>
  <c r="D99" i="4"/>
  <c r="C99" i="4"/>
  <c r="B99" i="4"/>
  <c r="A101" i="4" l="1"/>
  <c r="E100" i="4"/>
  <c r="D100" i="4"/>
  <c r="B100" i="4"/>
  <c r="C100" i="4"/>
  <c r="A102" i="4" l="1"/>
  <c r="C101" i="4"/>
  <c r="D101" i="4"/>
  <c r="B101" i="4"/>
  <c r="E101" i="4"/>
  <c r="A103" i="4" l="1"/>
  <c r="D102" i="4"/>
  <c r="C102" i="4"/>
  <c r="B102" i="4"/>
  <c r="E102" i="4"/>
  <c r="A104" i="4" l="1"/>
  <c r="E103" i="4"/>
  <c r="D103" i="4"/>
  <c r="C103" i="4"/>
  <c r="B103" i="4"/>
  <c r="A105" i="4" l="1"/>
  <c r="E104" i="4"/>
  <c r="D104" i="4"/>
  <c r="B104" i="4"/>
  <c r="C104" i="4"/>
  <c r="A106" i="4" l="1"/>
  <c r="C105" i="4"/>
  <c r="E105" i="4"/>
  <c r="D105" i="4"/>
  <c r="B105" i="4"/>
  <c r="A107" i="4" l="1"/>
  <c r="D106" i="4"/>
  <c r="B106" i="4"/>
  <c r="E106" i="4"/>
  <c r="C106" i="4"/>
  <c r="A108" i="4" l="1"/>
  <c r="E107" i="4"/>
  <c r="D107" i="4"/>
  <c r="C107" i="4"/>
  <c r="B107" i="4"/>
  <c r="A109" i="4" l="1"/>
  <c r="E108" i="4"/>
  <c r="C108" i="4"/>
  <c r="D108" i="4"/>
  <c r="B108" i="4"/>
  <c r="A110" i="4" l="1"/>
  <c r="C109" i="4"/>
  <c r="E109" i="4"/>
  <c r="D109" i="4"/>
  <c r="B109" i="4"/>
  <c r="D110" i="4" l="1"/>
  <c r="C110" i="4"/>
  <c r="B110" i="4"/>
  <c r="A111" i="4"/>
  <c r="E110" i="4"/>
  <c r="E111" i="4" l="1"/>
  <c r="D111" i="4"/>
  <c r="A112" i="4"/>
  <c r="B111" i="4"/>
  <c r="C111" i="4"/>
  <c r="A113" i="4" l="1"/>
  <c r="E112" i="4"/>
  <c r="C112" i="4"/>
  <c r="B112" i="4"/>
  <c r="D112" i="4"/>
  <c r="A114" i="4" l="1"/>
  <c r="C113" i="4"/>
  <c r="E113" i="4"/>
  <c r="D113" i="4"/>
  <c r="B113" i="4"/>
  <c r="A115" i="4" l="1"/>
  <c r="D114" i="4"/>
  <c r="C114" i="4"/>
  <c r="B114" i="4"/>
  <c r="E114" i="4"/>
  <c r="A116" i="4" l="1"/>
  <c r="E115" i="4"/>
  <c r="D115" i="4"/>
  <c r="B115" i="4"/>
  <c r="C115" i="4"/>
  <c r="A117" i="4" l="1"/>
  <c r="D116" i="4"/>
  <c r="C116" i="4"/>
  <c r="B116" i="4"/>
  <c r="E116" i="4"/>
  <c r="A118" i="4" l="1"/>
  <c r="C117" i="4"/>
  <c r="E117" i="4"/>
  <c r="D117" i="4"/>
  <c r="B117" i="4"/>
  <c r="A119" i="4" l="1"/>
  <c r="D118" i="4"/>
  <c r="C118" i="4"/>
  <c r="E118" i="4"/>
  <c r="B118" i="4"/>
  <c r="E119" i="4" l="1"/>
  <c r="A120" i="4"/>
  <c r="C119" i="4"/>
  <c r="D119" i="4"/>
  <c r="B119" i="4"/>
  <c r="A121" i="4" l="1"/>
  <c r="E120" i="4"/>
  <c r="D120" i="4"/>
  <c r="C120" i="4"/>
  <c r="B120" i="4"/>
  <c r="A122" i="4" l="1"/>
  <c r="C121" i="4"/>
  <c r="E121" i="4"/>
  <c r="B121" i="4"/>
  <c r="D121" i="4"/>
  <c r="A123" i="4" l="1"/>
  <c r="D122" i="4"/>
  <c r="E122" i="4"/>
  <c r="C122" i="4"/>
  <c r="B122" i="4"/>
  <c r="A124" i="4" l="1"/>
  <c r="E123" i="4"/>
  <c r="C123" i="4"/>
  <c r="D123" i="4"/>
  <c r="B123" i="4"/>
  <c r="A125" i="4" l="1"/>
  <c r="C124" i="4"/>
  <c r="E124" i="4"/>
  <c r="D124" i="4"/>
  <c r="B124" i="4"/>
  <c r="A126" i="4" l="1"/>
  <c r="C125" i="4"/>
  <c r="E125" i="4"/>
  <c r="B125" i="4"/>
  <c r="D125" i="4"/>
  <c r="A127" i="4" l="1"/>
  <c r="E126" i="4"/>
  <c r="B126" i="4"/>
  <c r="D126" i="4"/>
  <c r="C126" i="4"/>
  <c r="A128" i="4" l="1"/>
  <c r="E127" i="4"/>
  <c r="C127" i="4"/>
  <c r="D127" i="4"/>
  <c r="B127" i="4"/>
  <c r="A129" i="4" l="1"/>
  <c r="E128" i="4"/>
  <c r="C128" i="4"/>
  <c r="D128" i="4"/>
  <c r="B128" i="4"/>
  <c r="A130" i="4" l="1"/>
  <c r="C129" i="4"/>
  <c r="E129" i="4"/>
  <c r="B129" i="4"/>
  <c r="D129" i="4"/>
  <c r="A131" i="4" l="1"/>
  <c r="D130" i="4"/>
  <c r="E130" i="4"/>
  <c r="C130" i="4"/>
  <c r="B130" i="4"/>
  <c r="A132" i="4" l="1"/>
  <c r="D131" i="4"/>
  <c r="C131" i="4"/>
  <c r="E131" i="4"/>
  <c r="B131" i="4"/>
  <c r="A133" i="4" l="1"/>
  <c r="D132" i="4"/>
  <c r="E132" i="4"/>
  <c r="C132" i="4"/>
  <c r="B132" i="4"/>
  <c r="A134" i="4" l="1"/>
  <c r="C133" i="4"/>
  <c r="E133" i="4"/>
  <c r="D133" i="4"/>
  <c r="B133" i="4"/>
  <c r="A135" i="4" l="1"/>
  <c r="D134" i="4"/>
  <c r="C134" i="4"/>
  <c r="E134" i="4"/>
  <c r="B134" i="4"/>
  <c r="E135" i="4" l="1"/>
  <c r="A136" i="4"/>
  <c r="C135" i="4"/>
  <c r="B135" i="4"/>
  <c r="D135" i="4"/>
  <c r="A137" i="4" l="1"/>
  <c r="E136" i="4"/>
  <c r="D136" i="4"/>
  <c r="C136" i="4"/>
  <c r="B136" i="4"/>
  <c r="C137" i="4" l="1"/>
  <c r="D137" i="4"/>
  <c r="B137" i="4"/>
  <c r="A138" i="4"/>
  <c r="E137" i="4"/>
  <c r="A139" i="4" l="1"/>
  <c r="D138" i="4"/>
  <c r="E138" i="4"/>
  <c r="C138" i="4"/>
  <c r="B138" i="4"/>
  <c r="A140" i="4" l="1"/>
  <c r="E139" i="4"/>
  <c r="D139" i="4"/>
  <c r="C139" i="4"/>
  <c r="B139" i="4"/>
  <c r="A141" i="4" l="1"/>
  <c r="E140" i="4"/>
  <c r="D140" i="4"/>
  <c r="C140" i="4"/>
  <c r="B140" i="4"/>
  <c r="A142" i="4" l="1"/>
  <c r="C141" i="4"/>
  <c r="B141" i="4"/>
  <c r="D141" i="4"/>
  <c r="E141" i="4"/>
  <c r="D142" i="4" l="1"/>
  <c r="C142" i="4"/>
  <c r="A143" i="4"/>
  <c r="E142" i="4"/>
  <c r="B142" i="4"/>
  <c r="E143" i="4" l="1"/>
  <c r="C143" i="4"/>
  <c r="A144" i="4"/>
  <c r="D143" i="4"/>
  <c r="B143" i="4"/>
  <c r="A145" i="4" l="1"/>
  <c r="E144" i="4"/>
  <c r="C144" i="4"/>
  <c r="D144" i="4"/>
  <c r="B144" i="4"/>
  <c r="C145" i="4" l="1"/>
  <c r="D145" i="4"/>
  <c r="E145" i="4"/>
  <c r="A146" i="4"/>
  <c r="B145" i="4"/>
  <c r="A147" i="4" l="1"/>
  <c r="D146" i="4"/>
  <c r="E146" i="4"/>
  <c r="C146" i="4"/>
  <c r="B146" i="4"/>
  <c r="A148" i="4" l="1"/>
  <c r="E147" i="4"/>
  <c r="D147" i="4"/>
  <c r="C147" i="4"/>
  <c r="B147" i="4"/>
  <c r="A149" i="4" l="1"/>
  <c r="C148" i="4"/>
  <c r="D148" i="4"/>
  <c r="E148" i="4"/>
  <c r="B148" i="4"/>
  <c r="A150" i="4" l="1"/>
  <c r="C149" i="4"/>
  <c r="D149" i="4"/>
  <c r="B149" i="4"/>
  <c r="E149" i="4"/>
  <c r="A151" i="4" l="1"/>
  <c r="D150" i="4"/>
  <c r="C150" i="4"/>
  <c r="B150" i="4"/>
  <c r="E150" i="4"/>
  <c r="E151" i="4" l="1"/>
  <c r="D151" i="4"/>
  <c r="C151" i="4"/>
  <c r="A152" i="4"/>
  <c r="B151" i="4"/>
  <c r="A153" i="4" l="1"/>
  <c r="E152" i="4"/>
  <c r="D152" i="4"/>
  <c r="C152" i="4"/>
  <c r="B152" i="4"/>
  <c r="A154" i="4" l="1"/>
  <c r="C153" i="4"/>
  <c r="E153" i="4"/>
  <c r="D153" i="4"/>
  <c r="B153" i="4"/>
  <c r="A155" i="4" l="1"/>
  <c r="D154" i="4"/>
  <c r="C154" i="4"/>
  <c r="B154" i="4"/>
  <c r="E154" i="4"/>
  <c r="A156" i="4" l="1"/>
  <c r="E155" i="4"/>
  <c r="D155" i="4"/>
  <c r="C155" i="4"/>
  <c r="B155" i="4"/>
  <c r="A157" i="4" l="1"/>
  <c r="C156" i="4"/>
  <c r="E156" i="4"/>
  <c r="B156" i="4"/>
  <c r="D156" i="4"/>
  <c r="A158" i="4" l="1"/>
  <c r="C157" i="4"/>
  <c r="E157" i="4"/>
  <c r="B157" i="4"/>
  <c r="D157" i="4"/>
  <c r="D158" i="4" l="1"/>
  <c r="A159" i="4"/>
  <c r="C158" i="4"/>
  <c r="B158" i="4"/>
  <c r="E158" i="4"/>
  <c r="E159" i="4" l="1"/>
  <c r="D159" i="4"/>
  <c r="A160" i="4"/>
  <c r="C159" i="4"/>
  <c r="B159" i="4"/>
  <c r="A161" i="4" l="1"/>
  <c r="E160" i="4"/>
  <c r="C160" i="4"/>
  <c r="D160" i="4"/>
  <c r="B160" i="4"/>
  <c r="C161" i="4" l="1"/>
  <c r="A162" i="4"/>
  <c r="D161" i="4"/>
  <c r="E161" i="4"/>
  <c r="B161" i="4"/>
  <c r="A163" i="4" l="1"/>
  <c r="D162" i="4"/>
  <c r="C162" i="4"/>
  <c r="B162" i="4"/>
  <c r="E162" i="4"/>
  <c r="A164" i="4" l="1"/>
  <c r="E163" i="4"/>
  <c r="D163" i="4"/>
  <c r="C163" i="4"/>
  <c r="B163" i="4"/>
  <c r="A165" i="4" l="1"/>
  <c r="D164" i="4"/>
  <c r="C164" i="4"/>
  <c r="E164" i="4"/>
  <c r="B164" i="4"/>
  <c r="A166" i="4" l="1"/>
  <c r="C165" i="4"/>
  <c r="E165" i="4"/>
  <c r="B165" i="4"/>
  <c r="D165" i="4"/>
  <c r="A167" i="4" l="1"/>
  <c r="D166" i="4"/>
  <c r="C166" i="4"/>
  <c r="E166" i="4"/>
  <c r="B166" i="4"/>
  <c r="A168" i="4" l="1"/>
  <c r="E167" i="4"/>
  <c r="D167" i="4"/>
  <c r="C167" i="4"/>
  <c r="B167" i="4"/>
  <c r="A169" i="4" l="1"/>
  <c r="E168" i="4"/>
  <c r="D168" i="4"/>
  <c r="C168" i="4"/>
  <c r="B168" i="4"/>
  <c r="C169" i="4" l="1"/>
  <c r="A170" i="4"/>
  <c r="D169" i="4"/>
  <c r="E169" i="4"/>
  <c r="B169" i="4"/>
  <c r="A171" i="4" l="1"/>
  <c r="D170" i="4"/>
  <c r="E170" i="4"/>
  <c r="C170" i="4"/>
  <c r="B170" i="4"/>
  <c r="A172" i="4" l="1"/>
  <c r="E171" i="4"/>
  <c r="D171" i="4"/>
  <c r="C171" i="4"/>
  <c r="B171" i="4"/>
  <c r="A173" i="4" l="1"/>
  <c r="E172" i="4"/>
  <c r="D172" i="4"/>
  <c r="C172" i="4"/>
  <c r="B172" i="4"/>
  <c r="A174" i="4" l="1"/>
  <c r="C173" i="4"/>
  <c r="E173" i="4"/>
  <c r="D173" i="4"/>
  <c r="B173" i="4"/>
  <c r="D174" i="4" l="1"/>
  <c r="C174" i="4"/>
  <c r="E174" i="4"/>
  <c r="B174" i="4"/>
  <c r="A175" i="4"/>
  <c r="E175" i="4" l="1"/>
  <c r="C175" i="4"/>
  <c r="D175" i="4"/>
  <c r="B175" i="4"/>
  <c r="A176" i="4"/>
  <c r="A177" i="4" l="1"/>
  <c r="E176" i="4"/>
  <c r="D176" i="4"/>
  <c r="C176" i="4"/>
  <c r="B176" i="4"/>
  <c r="A178" i="4" l="1"/>
  <c r="C177" i="4"/>
  <c r="D177" i="4"/>
  <c r="E177" i="4"/>
  <c r="B177" i="4"/>
  <c r="A179" i="4" l="1"/>
  <c r="D178" i="4"/>
  <c r="C178" i="4"/>
  <c r="B178" i="4"/>
  <c r="E178" i="4"/>
  <c r="A180" i="4" l="1"/>
  <c r="E179" i="4"/>
  <c r="D179" i="4"/>
  <c r="C179" i="4"/>
  <c r="B179" i="4"/>
  <c r="A181" i="4" l="1"/>
  <c r="E180" i="4"/>
  <c r="D180" i="4"/>
  <c r="C180" i="4"/>
  <c r="B180" i="4"/>
  <c r="A182" i="4" l="1"/>
  <c r="C181" i="4"/>
  <c r="D181" i="4"/>
  <c r="E181" i="4"/>
  <c r="B181" i="4"/>
  <c r="D182" i="4" l="1"/>
  <c r="A183" i="4"/>
  <c r="C182" i="4"/>
  <c r="B182" i="4"/>
  <c r="E182" i="4"/>
  <c r="E183" i="4" l="1"/>
  <c r="A184" i="4"/>
  <c r="D183" i="4"/>
  <c r="B183" i="4"/>
  <c r="C183" i="4"/>
  <c r="A185" i="4" l="1"/>
  <c r="E184" i="4"/>
  <c r="D184" i="4"/>
  <c r="C184" i="4"/>
  <c r="B184" i="4"/>
  <c r="C185" i="4" l="1"/>
  <c r="E185" i="4"/>
  <c r="D185" i="4"/>
  <c r="A186" i="4"/>
  <c r="B185" i="4"/>
  <c r="A187" i="4" l="1"/>
  <c r="D186" i="4"/>
  <c r="E186" i="4"/>
  <c r="B186" i="4"/>
  <c r="C186" i="4"/>
  <c r="A188" i="4" l="1"/>
  <c r="E187" i="4"/>
  <c r="D187" i="4"/>
  <c r="C187" i="4"/>
  <c r="B187" i="4"/>
  <c r="A189" i="4" l="1"/>
  <c r="C188" i="4"/>
  <c r="D188" i="4"/>
  <c r="E188" i="4"/>
  <c r="B188" i="4"/>
  <c r="A190" i="4" l="1"/>
  <c r="C189" i="4"/>
  <c r="E189" i="4"/>
  <c r="D189" i="4"/>
  <c r="B189" i="4"/>
  <c r="D190" i="4" l="1"/>
  <c r="C190" i="4"/>
  <c r="B190" i="4"/>
  <c r="A191" i="4"/>
  <c r="E190" i="4"/>
  <c r="A192" i="4" l="1"/>
  <c r="E191" i="4"/>
  <c r="D191" i="4"/>
  <c r="C191" i="4"/>
  <c r="B191" i="4"/>
  <c r="A193" i="4" l="1"/>
  <c r="E192" i="4"/>
  <c r="C192" i="4"/>
  <c r="B192" i="4"/>
  <c r="D192" i="4"/>
  <c r="C193" i="4" l="1"/>
  <c r="E193" i="4"/>
  <c r="D193" i="4"/>
  <c r="B193" i="4"/>
  <c r="A194" i="4"/>
  <c r="A195" i="4" l="1"/>
  <c r="D194" i="4"/>
  <c r="C194" i="4"/>
  <c r="E194" i="4"/>
  <c r="B194" i="4"/>
  <c r="A196" i="4" l="1"/>
  <c r="E195" i="4"/>
  <c r="D195" i="4"/>
  <c r="C195" i="4"/>
  <c r="B195" i="4"/>
  <c r="A197" i="4" l="1"/>
  <c r="D196" i="4"/>
  <c r="C196" i="4"/>
  <c r="E196" i="4"/>
  <c r="B196" i="4"/>
  <c r="C197" i="4" l="1"/>
  <c r="A198" i="4"/>
  <c r="E197" i="4"/>
  <c r="B197" i="4"/>
  <c r="D197" i="4"/>
  <c r="A199" i="4" l="1"/>
  <c r="D198" i="4"/>
  <c r="C198" i="4"/>
  <c r="E198" i="4"/>
  <c r="B198" i="4"/>
  <c r="A200" i="4" l="1"/>
  <c r="E199" i="4"/>
  <c r="C199" i="4"/>
  <c r="B199" i="4"/>
  <c r="D199" i="4"/>
  <c r="A201" i="4" l="1"/>
  <c r="E200" i="4"/>
  <c r="D200" i="4"/>
  <c r="C200" i="4"/>
  <c r="B200" i="4"/>
  <c r="C201" i="4" l="1"/>
  <c r="A202" i="4"/>
  <c r="E201" i="4"/>
  <c r="D201" i="4"/>
  <c r="B201" i="4"/>
  <c r="A203" i="4" l="1"/>
  <c r="D202" i="4"/>
  <c r="E202" i="4"/>
  <c r="C202" i="4"/>
  <c r="B202" i="4"/>
  <c r="A204" i="4" l="1"/>
  <c r="E203" i="4"/>
  <c r="D203" i="4"/>
  <c r="C203" i="4"/>
  <c r="B203" i="4"/>
  <c r="A205" i="4" l="1"/>
  <c r="E204" i="4"/>
  <c r="D204" i="4"/>
  <c r="B204" i="4"/>
  <c r="C204" i="4"/>
  <c r="A206" i="4" l="1"/>
  <c r="C205" i="4"/>
  <c r="B205" i="4"/>
  <c r="D205" i="4"/>
  <c r="E205" i="4"/>
  <c r="A207" i="4" l="1"/>
  <c r="D206" i="4"/>
  <c r="C206" i="4"/>
  <c r="E206" i="4"/>
  <c r="B206" i="4"/>
  <c r="E207" i="4" l="1"/>
  <c r="C207" i="4"/>
  <c r="D207" i="4"/>
  <c r="A208" i="4"/>
  <c r="B207" i="4"/>
  <c r="E208" i="4" l="1"/>
  <c r="A209" i="4"/>
  <c r="D208" i="4"/>
  <c r="C208" i="4"/>
  <c r="B208" i="4"/>
  <c r="A210" i="4" l="1"/>
  <c r="C209" i="4"/>
  <c r="D209" i="4"/>
  <c r="E209" i="4"/>
  <c r="B209" i="4"/>
  <c r="A211" i="4" l="1"/>
  <c r="D210" i="4"/>
  <c r="E210" i="4"/>
  <c r="B210" i="4"/>
  <c r="C210" i="4"/>
  <c r="A212" i="4" l="1"/>
  <c r="D211" i="4"/>
  <c r="E211" i="4"/>
  <c r="C211" i="4"/>
  <c r="B211" i="4"/>
  <c r="A213" i="4" l="1"/>
  <c r="C212" i="4"/>
  <c r="E212" i="4"/>
  <c r="D212" i="4"/>
  <c r="B212" i="4"/>
  <c r="D213" i="4" l="1"/>
  <c r="E213" i="4"/>
  <c r="A214" i="4"/>
  <c r="B213" i="4"/>
  <c r="C213" i="4"/>
  <c r="C214" i="4" l="1"/>
  <c r="E214" i="4"/>
  <c r="A215" i="4"/>
  <c r="B214" i="4"/>
  <c r="D214" i="4"/>
  <c r="C215" i="4" l="1"/>
  <c r="E215" i="4"/>
  <c r="A216" i="4"/>
  <c r="D215" i="4"/>
  <c r="B215" i="4"/>
  <c r="A217" i="4" l="1"/>
  <c r="E216" i="4"/>
  <c r="D216" i="4"/>
  <c r="C216" i="4"/>
  <c r="B216" i="4"/>
  <c r="A218" i="4" l="1"/>
  <c r="E217" i="4"/>
  <c r="C217" i="4"/>
  <c r="D217" i="4"/>
  <c r="B217" i="4"/>
  <c r="A219" i="4" l="1"/>
  <c r="C218" i="4"/>
  <c r="E218" i="4"/>
  <c r="B218" i="4"/>
  <c r="D218" i="4"/>
  <c r="A220" i="4" l="1"/>
  <c r="D219" i="4"/>
  <c r="E219" i="4"/>
  <c r="C219" i="4"/>
  <c r="B219" i="4"/>
  <c r="A221" i="4" l="1"/>
  <c r="E220" i="4"/>
  <c r="D220" i="4"/>
  <c r="C220" i="4"/>
  <c r="B220" i="4"/>
  <c r="A222" i="4" l="1"/>
  <c r="C221" i="4"/>
  <c r="D221" i="4"/>
  <c r="B221" i="4"/>
  <c r="E221" i="4"/>
  <c r="C222" i="4" l="1"/>
  <c r="A223" i="4"/>
  <c r="E222" i="4"/>
  <c r="B222" i="4"/>
  <c r="D222" i="4"/>
  <c r="A224" i="4" l="1"/>
  <c r="E223" i="4"/>
  <c r="D223" i="4"/>
  <c r="C223" i="4"/>
  <c r="B223" i="4"/>
  <c r="E224" i="4" l="1"/>
  <c r="C224" i="4"/>
  <c r="D224" i="4"/>
  <c r="A225" i="4"/>
  <c r="B224" i="4"/>
  <c r="E225" i="4" l="1"/>
  <c r="D225" i="4"/>
  <c r="C225" i="4"/>
  <c r="B225" i="4"/>
  <c r="A226" i="4"/>
  <c r="A227" i="4" l="1"/>
  <c r="C226" i="4"/>
  <c r="D226" i="4"/>
  <c r="B226" i="4"/>
  <c r="E226" i="4"/>
  <c r="A228" i="4" l="1"/>
  <c r="D227" i="4"/>
  <c r="E227" i="4"/>
  <c r="C227" i="4"/>
  <c r="B227" i="4"/>
  <c r="A229" i="4" l="1"/>
  <c r="E228" i="4"/>
  <c r="D228" i="4"/>
  <c r="C228" i="4"/>
  <c r="B228" i="4"/>
  <c r="A230" i="4" l="1"/>
  <c r="E229" i="4"/>
  <c r="D229" i="4"/>
  <c r="B229" i="4"/>
  <c r="C229" i="4"/>
  <c r="A231" i="4" l="1"/>
  <c r="C230" i="4"/>
  <c r="B230" i="4"/>
  <c r="E230" i="4"/>
  <c r="D230" i="4"/>
  <c r="D231" i="4" l="1"/>
  <c r="A232" i="4"/>
  <c r="C231" i="4"/>
  <c r="E231" i="4"/>
  <c r="B231" i="4"/>
  <c r="E232" i="4" l="1"/>
  <c r="C232" i="4"/>
  <c r="A233" i="4"/>
  <c r="D232" i="4"/>
  <c r="B232" i="4"/>
  <c r="E233" i="4" l="1"/>
  <c r="C233" i="4"/>
  <c r="A234" i="4"/>
  <c r="D233" i="4"/>
  <c r="B233" i="4"/>
  <c r="A235" i="4" l="1"/>
  <c r="C234" i="4"/>
  <c r="D234" i="4"/>
  <c r="E234" i="4"/>
  <c r="B234" i="4"/>
  <c r="A236" i="4" l="1"/>
  <c r="D235" i="4"/>
  <c r="E235" i="4"/>
  <c r="C235" i="4"/>
  <c r="B235" i="4"/>
  <c r="A237" i="4" l="1"/>
  <c r="E236" i="4"/>
  <c r="D236" i="4"/>
  <c r="C236" i="4"/>
  <c r="B236" i="4"/>
  <c r="A238" i="4" l="1"/>
  <c r="C237" i="4"/>
  <c r="B237" i="4"/>
  <c r="E237" i="4"/>
  <c r="D237" i="4"/>
  <c r="C238" i="4" l="1"/>
  <c r="D238" i="4"/>
  <c r="E238" i="4"/>
  <c r="B238" i="4"/>
  <c r="A239" i="4"/>
  <c r="D239" i="4" l="1"/>
  <c r="C239" i="4"/>
  <c r="A240" i="4"/>
  <c r="E239" i="4"/>
  <c r="B239" i="4"/>
  <c r="E240" i="4" l="1"/>
  <c r="D240" i="4"/>
  <c r="A241" i="4"/>
  <c r="C240" i="4"/>
  <c r="B240" i="4"/>
  <c r="A242" i="4" l="1"/>
  <c r="E241" i="4"/>
  <c r="C241" i="4"/>
  <c r="D241" i="4"/>
  <c r="B241" i="4"/>
  <c r="A243" i="4" l="1"/>
  <c r="C242" i="4"/>
  <c r="E242" i="4"/>
  <c r="D242" i="4"/>
  <c r="B242" i="4"/>
  <c r="A244" i="4" l="1"/>
  <c r="D243" i="4"/>
  <c r="C243" i="4"/>
  <c r="E243" i="4"/>
  <c r="B243" i="4"/>
  <c r="A245" i="4" l="1"/>
  <c r="E244" i="4"/>
  <c r="D244" i="4"/>
  <c r="C244" i="4"/>
  <c r="B244" i="4"/>
  <c r="A246" i="4" l="1"/>
  <c r="C245" i="4"/>
  <c r="E245" i="4"/>
  <c r="D245" i="4"/>
  <c r="B245" i="4"/>
  <c r="C246" i="4" l="1"/>
  <c r="E246" i="4"/>
  <c r="D246" i="4"/>
  <c r="B246" i="4"/>
  <c r="A247" i="4"/>
  <c r="D247" i="4" l="1"/>
  <c r="C247" i="4"/>
  <c r="A248" i="4"/>
  <c r="E247" i="4"/>
  <c r="B247" i="4"/>
  <c r="A249" i="4" l="1"/>
  <c r="E248" i="4"/>
  <c r="D248" i="4"/>
  <c r="B248" i="4"/>
  <c r="C248" i="4"/>
  <c r="E249" i="4" l="1"/>
  <c r="C249" i="4"/>
  <c r="A250" i="4"/>
  <c r="D249" i="4"/>
  <c r="B249" i="4"/>
  <c r="A251" i="4" l="1"/>
  <c r="C250" i="4"/>
  <c r="D250" i="4"/>
  <c r="E250" i="4"/>
  <c r="B250" i="4"/>
  <c r="A252" i="4" l="1"/>
  <c r="D251" i="4"/>
  <c r="C251" i="4"/>
  <c r="B251" i="4"/>
  <c r="E251" i="4"/>
  <c r="A253" i="4" l="1"/>
  <c r="E252" i="4"/>
  <c r="D252" i="4"/>
  <c r="C252" i="4"/>
  <c r="B252" i="4"/>
  <c r="D253" i="4" l="1"/>
  <c r="C253" i="4"/>
  <c r="E253" i="4"/>
  <c r="B253" i="4"/>
  <c r="A254" i="4"/>
  <c r="C254" i="4" l="1"/>
  <c r="E254" i="4"/>
  <c r="B254" i="4"/>
  <c r="D254" i="4"/>
  <c r="A255" i="4"/>
  <c r="A256" i="4" l="1"/>
  <c r="D255" i="4"/>
  <c r="C255" i="4"/>
  <c r="E255" i="4"/>
  <c r="B255" i="4"/>
  <c r="A257" i="4" l="1"/>
  <c r="E256" i="4"/>
  <c r="D256" i="4"/>
  <c r="C256" i="4"/>
  <c r="B256" i="4"/>
  <c r="E257" i="4" l="1"/>
  <c r="D257" i="4"/>
  <c r="C257" i="4"/>
  <c r="A258" i="4"/>
  <c r="B257" i="4"/>
  <c r="A259" i="4" l="1"/>
  <c r="C258" i="4"/>
  <c r="B258" i="4"/>
  <c r="D258" i="4"/>
  <c r="E258" i="4"/>
  <c r="A260" i="4" l="1"/>
  <c r="D259" i="4"/>
  <c r="E259" i="4"/>
  <c r="C259" i="4"/>
  <c r="B259" i="4"/>
  <c r="A261" i="4" l="1"/>
  <c r="E260" i="4"/>
  <c r="D260" i="4"/>
  <c r="C260" i="4"/>
  <c r="B260" i="4"/>
  <c r="A262" i="4" l="1"/>
  <c r="E261" i="4"/>
  <c r="D261" i="4"/>
  <c r="B261" i="4"/>
  <c r="C261" i="4"/>
  <c r="A263" i="4" l="1"/>
  <c r="C262" i="4"/>
  <c r="B262" i="4"/>
  <c r="D262" i="4"/>
  <c r="E262" i="4"/>
  <c r="D263" i="4" l="1"/>
  <c r="C263" i="4"/>
  <c r="A264" i="4"/>
  <c r="E263" i="4"/>
  <c r="B263" i="4"/>
  <c r="E264" i="4" l="1"/>
  <c r="C264" i="4"/>
  <c r="A265" i="4"/>
  <c r="D264" i="4"/>
  <c r="B264" i="4"/>
  <c r="E265" i="4" l="1"/>
  <c r="D265" i="4"/>
  <c r="A266" i="4"/>
  <c r="C265" i="4"/>
  <c r="B265" i="4"/>
  <c r="A267" i="4" l="1"/>
  <c r="C266" i="4"/>
  <c r="D266" i="4"/>
  <c r="E266" i="4"/>
  <c r="B266" i="4"/>
  <c r="A268" i="4" l="1"/>
  <c r="D267" i="4"/>
  <c r="C267" i="4"/>
  <c r="E267" i="4"/>
  <c r="B267" i="4"/>
  <c r="A269" i="4" l="1"/>
  <c r="E268" i="4"/>
  <c r="D268" i="4"/>
  <c r="C268" i="4"/>
  <c r="B268" i="4"/>
  <c r="A270" i="4" l="1"/>
  <c r="E269" i="4"/>
  <c r="B269" i="4"/>
  <c r="C269" i="4"/>
  <c r="D269" i="4"/>
  <c r="A271" i="4" l="1"/>
  <c r="C270" i="4"/>
  <c r="D270" i="4"/>
  <c r="E270" i="4"/>
  <c r="B270" i="4"/>
  <c r="D271" i="4" l="1"/>
  <c r="C271" i="4"/>
  <c r="A272" i="4"/>
  <c r="B271" i="4"/>
  <c r="E271" i="4"/>
  <c r="E272" i="4" l="1"/>
  <c r="D272" i="4"/>
  <c r="A273" i="4"/>
  <c r="C272" i="4"/>
  <c r="B272" i="4"/>
  <c r="E273" i="4" l="1"/>
  <c r="A274" i="4"/>
  <c r="D273" i="4"/>
  <c r="C273" i="4"/>
  <c r="B273" i="4"/>
  <c r="A275" i="4" l="1"/>
  <c r="C274" i="4"/>
  <c r="E274" i="4"/>
  <c r="D274" i="4"/>
  <c r="B274" i="4"/>
  <c r="A276" i="4" l="1"/>
  <c r="D275" i="4"/>
  <c r="E275" i="4"/>
  <c r="C275" i="4"/>
  <c r="B275" i="4"/>
  <c r="A277" i="4" l="1"/>
  <c r="E276" i="4"/>
  <c r="D276" i="4"/>
  <c r="C276" i="4"/>
  <c r="B276" i="4"/>
  <c r="C277" i="4" l="1"/>
  <c r="D277" i="4"/>
  <c r="E277" i="4"/>
  <c r="A278" i="4"/>
  <c r="B277" i="4"/>
  <c r="C278" i="4" l="1"/>
  <c r="E278" i="4"/>
  <c r="D278" i="4"/>
  <c r="A279" i="4"/>
  <c r="B278" i="4"/>
  <c r="D279" i="4" l="1"/>
  <c r="C279" i="4"/>
  <c r="A280" i="4"/>
  <c r="B279" i="4"/>
  <c r="E279" i="4"/>
  <c r="A281" i="4" l="1"/>
  <c r="E280" i="4"/>
  <c r="D280" i="4"/>
  <c r="C280" i="4"/>
  <c r="B280" i="4"/>
  <c r="A282" i="4" l="1"/>
  <c r="E281" i="4"/>
  <c r="C281" i="4"/>
  <c r="D281" i="4"/>
  <c r="B281" i="4"/>
  <c r="A283" i="4" l="1"/>
  <c r="C282" i="4"/>
  <c r="E282" i="4"/>
  <c r="D282" i="4"/>
  <c r="B282" i="4"/>
  <c r="A284" i="4" l="1"/>
  <c r="D283" i="4"/>
  <c r="C283" i="4"/>
  <c r="E283" i="4"/>
  <c r="B283" i="4"/>
  <c r="A285" i="4" l="1"/>
  <c r="E284" i="4"/>
  <c r="D284" i="4"/>
  <c r="C284" i="4"/>
  <c r="B284" i="4"/>
  <c r="A286" i="4" l="1"/>
  <c r="D285" i="4"/>
  <c r="E285" i="4"/>
  <c r="B285" i="4"/>
  <c r="C285" i="4"/>
  <c r="C286" i="4" l="1"/>
  <c r="E286" i="4"/>
  <c r="D286" i="4"/>
  <c r="B286" i="4"/>
  <c r="A287" i="4"/>
  <c r="D287" i="4" l="1"/>
  <c r="C287" i="4"/>
  <c r="A288" i="4"/>
  <c r="E287" i="4"/>
  <c r="B287" i="4"/>
  <c r="E288" i="4" l="1"/>
  <c r="C288" i="4"/>
  <c r="D288" i="4"/>
  <c r="A289" i="4"/>
  <c r="B288" i="4"/>
  <c r="E289" i="4" l="1"/>
  <c r="A290" i="4"/>
  <c r="D289" i="4"/>
  <c r="C289" i="4"/>
  <c r="B289" i="4"/>
  <c r="A291" i="4" l="1"/>
  <c r="C290" i="4"/>
  <c r="E290" i="4"/>
  <c r="B290" i="4"/>
  <c r="D290" i="4"/>
  <c r="A292" i="4" l="1"/>
  <c r="D291" i="4"/>
  <c r="E291" i="4"/>
  <c r="C291" i="4"/>
  <c r="B291" i="4"/>
  <c r="A293" i="4" l="1"/>
  <c r="E292" i="4"/>
  <c r="D292" i="4"/>
  <c r="B292" i="4"/>
  <c r="C292" i="4"/>
  <c r="E293" i="4" l="1"/>
  <c r="D293" i="4"/>
  <c r="B293" i="4"/>
  <c r="A294" i="4"/>
  <c r="C293" i="4"/>
  <c r="A295" i="4" l="1"/>
  <c r="C294" i="4"/>
  <c r="D294" i="4"/>
  <c r="B294" i="4"/>
  <c r="E294" i="4"/>
  <c r="D295" i="4" l="1"/>
  <c r="A296" i="4"/>
  <c r="C295" i="4"/>
  <c r="E295" i="4"/>
  <c r="B295" i="4"/>
  <c r="E296" i="4" l="1"/>
  <c r="C296" i="4"/>
  <c r="A297" i="4"/>
  <c r="B296" i="4"/>
  <c r="D296" i="4"/>
  <c r="E297" i="4" l="1"/>
  <c r="A298" i="4"/>
  <c r="D297" i="4"/>
  <c r="C297" i="4"/>
  <c r="B297" i="4"/>
  <c r="A299" i="4" l="1"/>
  <c r="C298" i="4"/>
  <c r="D298" i="4"/>
  <c r="E298" i="4"/>
  <c r="B298" i="4"/>
  <c r="A300" i="4" l="1"/>
  <c r="D299" i="4"/>
  <c r="E299" i="4"/>
  <c r="C299" i="4"/>
  <c r="B299" i="4"/>
  <c r="A301" i="4" l="1"/>
  <c r="E300" i="4"/>
  <c r="D300" i="4"/>
  <c r="C300" i="4"/>
  <c r="B300" i="4"/>
  <c r="A302" i="4" l="1"/>
  <c r="D301" i="4"/>
  <c r="C301" i="4"/>
  <c r="B301" i="4"/>
  <c r="E301" i="4"/>
  <c r="C302" i="4" l="1"/>
  <c r="A303" i="4"/>
  <c r="D302" i="4"/>
  <c r="B302" i="4"/>
  <c r="E302" i="4"/>
  <c r="D303" i="4" l="1"/>
  <c r="C303" i="4"/>
  <c r="A304" i="4"/>
  <c r="B303" i="4"/>
  <c r="E303" i="4"/>
  <c r="E304" i="4" l="1"/>
  <c r="D304" i="4"/>
  <c r="C304" i="4"/>
  <c r="B304" i="4"/>
  <c r="A305" i="4"/>
  <c r="A306" i="4" l="1"/>
  <c r="E305" i="4"/>
  <c r="C305" i="4"/>
  <c r="D305" i="4"/>
  <c r="B305" i="4"/>
  <c r="A307" i="4" l="1"/>
  <c r="C306" i="4"/>
  <c r="E306" i="4"/>
  <c r="B306" i="4"/>
  <c r="D306" i="4"/>
  <c r="A308" i="4" l="1"/>
  <c r="D307" i="4"/>
  <c r="E307" i="4"/>
  <c r="C307" i="4"/>
  <c r="B307" i="4"/>
  <c r="A309" i="4" l="1"/>
  <c r="E308" i="4"/>
  <c r="D308" i="4"/>
  <c r="C308" i="4"/>
  <c r="B308" i="4"/>
  <c r="A310" i="4" l="1"/>
  <c r="C309" i="4"/>
  <c r="E309" i="4"/>
  <c r="D309" i="4"/>
  <c r="B309" i="4"/>
  <c r="C310" i="4" l="1"/>
  <c r="E310" i="4"/>
  <c r="D310" i="4"/>
  <c r="B310" i="4"/>
  <c r="A311" i="4"/>
  <c r="D311" i="4" l="1"/>
  <c r="C311" i="4"/>
  <c r="A312" i="4"/>
  <c r="E311" i="4"/>
  <c r="B311" i="4"/>
  <c r="A313" i="4" l="1"/>
  <c r="E312" i="4"/>
  <c r="D312" i="4"/>
  <c r="C312" i="4"/>
  <c r="B312" i="4"/>
  <c r="E313" i="4" l="1"/>
  <c r="C313" i="4"/>
  <c r="A314" i="4"/>
  <c r="D313" i="4"/>
  <c r="B313" i="4"/>
  <c r="A315" i="4" l="1"/>
  <c r="C314" i="4"/>
  <c r="E314" i="4"/>
  <c r="D314" i="4"/>
  <c r="B314" i="4"/>
  <c r="A316" i="4" l="1"/>
  <c r="D315" i="4"/>
  <c r="C315" i="4"/>
  <c r="E315" i="4"/>
  <c r="B315" i="4"/>
  <c r="A317" i="4" l="1"/>
  <c r="E316" i="4"/>
  <c r="D316" i="4"/>
  <c r="C316" i="4"/>
  <c r="B316" i="4"/>
  <c r="D317" i="4" l="1"/>
  <c r="E317" i="4"/>
  <c r="C317" i="4"/>
  <c r="A318" i="4"/>
  <c r="B317" i="4"/>
  <c r="D318" i="4" l="1"/>
  <c r="E318" i="4"/>
  <c r="A319" i="4"/>
  <c r="B318" i="4"/>
  <c r="C318" i="4"/>
  <c r="A320" i="4" l="1"/>
  <c r="E319" i="4"/>
  <c r="D319" i="4"/>
  <c r="B319" i="4"/>
  <c r="C319" i="4"/>
  <c r="C320" i="4" l="1"/>
  <c r="A321" i="4"/>
  <c r="D320" i="4"/>
  <c r="E320" i="4"/>
  <c r="B320" i="4"/>
  <c r="D321" i="4" l="1"/>
  <c r="A322" i="4"/>
  <c r="E321" i="4"/>
  <c r="C321" i="4"/>
  <c r="B321" i="4"/>
  <c r="A323" i="4" l="1"/>
  <c r="E322" i="4"/>
  <c r="D322" i="4"/>
  <c r="C322" i="4"/>
  <c r="B322" i="4"/>
  <c r="A324" i="4" l="1"/>
  <c r="D323" i="4"/>
  <c r="C323" i="4"/>
  <c r="E323" i="4"/>
  <c r="B323" i="4"/>
  <c r="A325" i="4" l="1"/>
  <c r="E324" i="4"/>
  <c r="C324" i="4"/>
  <c r="D324" i="4"/>
  <c r="B324" i="4"/>
  <c r="D325" i="4" l="1"/>
  <c r="C325" i="4"/>
  <c r="A326" i="4"/>
  <c r="E325" i="4"/>
  <c r="B325" i="4"/>
  <c r="E326" i="4" l="1"/>
  <c r="D326" i="4"/>
  <c r="A327" i="4"/>
  <c r="B326" i="4"/>
  <c r="C326" i="4"/>
  <c r="E327" i="4" l="1"/>
  <c r="D327" i="4"/>
  <c r="C327" i="4"/>
  <c r="B327" i="4"/>
  <c r="A328" i="4"/>
  <c r="C328" i="4" l="1"/>
  <c r="E328" i="4"/>
  <c r="D328" i="4"/>
  <c r="A329" i="4"/>
  <c r="B328" i="4"/>
  <c r="E329" i="4" l="1"/>
  <c r="A330" i="4"/>
  <c r="D329" i="4"/>
  <c r="C329" i="4"/>
  <c r="B329" i="4"/>
  <c r="A331" i="4" l="1"/>
  <c r="E330" i="4"/>
  <c r="D330" i="4"/>
  <c r="C330" i="4"/>
  <c r="B330" i="4"/>
  <c r="A332" i="4" l="1"/>
  <c r="D331" i="4"/>
  <c r="E331" i="4"/>
  <c r="C331" i="4"/>
  <c r="B331" i="4"/>
  <c r="A333" i="4" l="1"/>
  <c r="C332" i="4"/>
  <c r="E332" i="4"/>
  <c r="D332" i="4"/>
  <c r="B332" i="4"/>
  <c r="D333" i="4" l="1"/>
  <c r="C333" i="4"/>
  <c r="A334" i="4"/>
  <c r="E333" i="4"/>
  <c r="B333" i="4"/>
  <c r="C334" i="4" l="1"/>
  <c r="A335" i="4"/>
  <c r="D334" i="4"/>
  <c r="B334" i="4"/>
  <c r="E334" i="4"/>
  <c r="E335" i="4" l="1"/>
  <c r="D335" i="4"/>
  <c r="A336" i="4"/>
  <c r="B335" i="4"/>
  <c r="C335" i="4"/>
  <c r="C336" i="4" l="1"/>
  <c r="E336" i="4"/>
  <c r="D336" i="4"/>
  <c r="B336" i="4"/>
  <c r="A337" i="4"/>
  <c r="D337" i="4" l="1"/>
  <c r="C337" i="4"/>
  <c r="A338" i="4"/>
  <c r="E337" i="4"/>
  <c r="B337" i="4"/>
  <c r="A339" i="4" l="1"/>
  <c r="E338" i="4"/>
  <c r="D338" i="4"/>
  <c r="B338" i="4"/>
  <c r="C338" i="4"/>
  <c r="A340" i="4" l="1"/>
  <c r="D339" i="4"/>
  <c r="E339" i="4"/>
  <c r="C339" i="4"/>
  <c r="B339" i="4"/>
  <c r="A341" i="4" l="1"/>
  <c r="E340" i="4"/>
  <c r="D340" i="4"/>
  <c r="C340" i="4"/>
  <c r="B340" i="4"/>
  <c r="D341" i="4" l="1"/>
  <c r="C341" i="4"/>
  <c r="E341" i="4"/>
  <c r="B341" i="4"/>
  <c r="A342" i="4"/>
  <c r="E342" i="4" l="1"/>
  <c r="A343" i="4"/>
  <c r="D342" i="4"/>
  <c r="B342" i="4"/>
  <c r="C342" i="4"/>
  <c r="E343" i="4" l="1"/>
  <c r="A344" i="4"/>
  <c r="B343" i="4"/>
  <c r="D343" i="4"/>
  <c r="C343" i="4"/>
  <c r="C344" i="4" l="1"/>
  <c r="A345" i="4"/>
  <c r="E344" i="4"/>
  <c r="D344" i="4"/>
  <c r="B344" i="4"/>
  <c r="A346" i="4" l="1"/>
  <c r="D345" i="4"/>
  <c r="C345" i="4"/>
  <c r="E345" i="4"/>
  <c r="B345" i="4"/>
  <c r="A347" i="4" l="1"/>
  <c r="E346" i="4"/>
  <c r="D346" i="4"/>
  <c r="C346" i="4"/>
  <c r="B346" i="4"/>
  <c r="A348" i="4" l="1"/>
  <c r="E347" i="4"/>
  <c r="D347" i="4"/>
  <c r="B347" i="4"/>
  <c r="C347" i="4"/>
  <c r="A349" i="4" l="1"/>
  <c r="C348" i="4"/>
  <c r="D348" i="4"/>
  <c r="E348" i="4"/>
  <c r="B348" i="4"/>
  <c r="D349" i="4" l="1"/>
  <c r="C349" i="4"/>
  <c r="E349" i="4"/>
  <c r="A350" i="4"/>
  <c r="B349" i="4"/>
  <c r="C350" i="4" l="1"/>
  <c r="E350" i="4"/>
  <c r="D350" i="4"/>
  <c r="B350" i="4"/>
  <c r="A351" i="4"/>
  <c r="E351" i="4" l="1"/>
  <c r="D351" i="4"/>
  <c r="C351" i="4"/>
  <c r="A352" i="4"/>
  <c r="B351" i="4"/>
  <c r="C352" i="4" l="1"/>
  <c r="A353" i="4"/>
  <c r="E352" i="4"/>
  <c r="D352" i="4"/>
  <c r="B352" i="4"/>
  <c r="D353" i="4" l="1"/>
  <c r="E353" i="4"/>
  <c r="C353" i="4"/>
  <c r="B353" i="4"/>
  <c r="A354" i="4"/>
  <c r="A355" i="4" l="1"/>
  <c r="E354" i="4"/>
  <c r="D354" i="4"/>
  <c r="C354" i="4"/>
  <c r="B354" i="4"/>
  <c r="A356" i="4" l="1"/>
  <c r="D355" i="4"/>
  <c r="C355" i="4"/>
  <c r="E355" i="4"/>
  <c r="B355" i="4"/>
  <c r="A357" i="4" l="1"/>
  <c r="E356" i="4"/>
  <c r="D356" i="4"/>
  <c r="C356" i="4"/>
  <c r="B356" i="4"/>
  <c r="D357" i="4" l="1"/>
  <c r="C357" i="4"/>
  <c r="E357" i="4"/>
  <c r="B357" i="4"/>
  <c r="A358" i="4"/>
  <c r="A359" i="4" l="1"/>
  <c r="E358" i="4"/>
  <c r="D358" i="4"/>
  <c r="B358" i="4"/>
  <c r="C358" i="4"/>
  <c r="E359" i="4" l="1"/>
  <c r="D359" i="4"/>
  <c r="C359" i="4"/>
  <c r="A360" i="4"/>
  <c r="B359" i="4"/>
  <c r="C360" i="4" l="1"/>
  <c r="E360" i="4"/>
  <c r="A361" i="4"/>
  <c r="D360" i="4"/>
  <c r="B360" i="4"/>
  <c r="D361" i="4" l="1"/>
  <c r="A362" i="4"/>
  <c r="C361" i="4"/>
  <c r="B361" i="4"/>
  <c r="E361" i="4"/>
  <c r="A363" i="4" l="1"/>
  <c r="E362" i="4"/>
  <c r="D362" i="4"/>
  <c r="C362" i="4"/>
  <c r="B362" i="4"/>
  <c r="A364" i="4" l="1"/>
  <c r="E363" i="4"/>
  <c r="D363" i="4"/>
  <c r="C363" i="4"/>
  <c r="B363" i="4"/>
  <c r="A365" i="4" l="1"/>
  <c r="E364" i="4"/>
  <c r="C364" i="4"/>
  <c r="D364" i="4"/>
  <c r="B364" i="4"/>
  <c r="D365" i="4" l="1"/>
  <c r="C365" i="4"/>
  <c r="A366" i="4"/>
  <c r="E365" i="4"/>
  <c r="B365" i="4"/>
  <c r="C366" i="4" l="1"/>
  <c r="A367" i="4"/>
  <c r="E366" i="4"/>
  <c r="D366" i="4"/>
  <c r="B366" i="4"/>
  <c r="E367" i="4" l="1"/>
  <c r="D367" i="4"/>
  <c r="C367" i="4"/>
  <c r="A368" i="4"/>
  <c r="B367" i="4"/>
  <c r="C368" i="4" l="1"/>
  <c r="D368" i="4"/>
  <c r="E368" i="4"/>
  <c r="B368" i="4"/>
  <c r="C57" i="2" l="1"/>
  <c r="C13" i="10" l="1"/>
  <c r="C79" i="2"/>
  <c r="C35" i="14" s="1"/>
  <c r="C6" i="11"/>
  <c r="C4" i="11"/>
  <c r="C66" i="2"/>
  <c r="C18" i="10" l="1"/>
  <c r="C19" i="10"/>
  <c r="C7" i="11"/>
  <c r="C70" i="2"/>
  <c r="C73" i="2" s="1"/>
  <c r="C75" i="2" s="1"/>
  <c r="C22" i="15" s="1"/>
  <c r="C77" i="2" l="1"/>
  <c r="C36" i="14"/>
  <c r="C21" i="13"/>
  <c r="C7" i="5"/>
  <c r="C31" i="5" s="1"/>
  <c r="C78" i="2" l="1"/>
  <c r="C21" i="15"/>
  <c r="G31" i="5"/>
  <c r="D74" i="6"/>
  <c r="E74" i="6" s="1"/>
  <c r="F74" i="6" s="1"/>
  <c r="G74" i="6" s="1"/>
  <c r="C16" i="5"/>
  <c r="G7" i="5"/>
  <c r="G16" i="5" l="1"/>
  <c r="B35" i="5"/>
  <c r="B25" i="15" l="1"/>
  <c r="H7" i="15" s="1"/>
  <c r="B41" i="5"/>
  <c r="C78" i="6"/>
  <c r="C39" i="5" l="1"/>
  <c r="C9" i="6"/>
  <c r="B19" i="15" s="1"/>
  <c r="B31" i="15" s="1"/>
  <c r="E76" i="6"/>
  <c r="D76" i="6"/>
  <c r="C31" i="14" l="1"/>
  <c r="C38" i="14"/>
  <c r="D31" i="14"/>
  <c r="D38" i="14"/>
  <c r="B7" i="15"/>
  <c r="D13" i="15" s="1"/>
  <c r="D14" i="15" s="1"/>
  <c r="B32" i="15"/>
  <c r="B30" i="15"/>
  <c r="B29" i="15"/>
  <c r="E13" i="15"/>
  <c r="E14" i="15" s="1"/>
  <c r="C13" i="15"/>
  <c r="C14" i="15" s="1"/>
  <c r="B13" i="15"/>
  <c r="B14" i="15" s="1"/>
  <c r="B48" i="14"/>
  <c r="B25" i="14"/>
  <c r="C35" i="5"/>
  <c r="D78" i="6"/>
  <c r="C16" i="6"/>
  <c r="F76" i="6"/>
  <c r="E31" i="14" l="1"/>
  <c r="E38" i="14"/>
  <c r="B47" i="14"/>
  <c r="B24" i="14"/>
  <c r="B23" i="14"/>
  <c r="B46" i="14"/>
  <c r="B24" i="13"/>
  <c r="B25" i="13" s="1"/>
  <c r="B27" i="13" s="1"/>
  <c r="B29" i="13" s="1"/>
  <c r="G76" i="6"/>
  <c r="E78" i="6"/>
  <c r="D35" i="5"/>
  <c r="D37" i="5" s="1"/>
  <c r="D25" i="15" s="1"/>
  <c r="B4" i="12"/>
  <c r="B6" i="12" s="1"/>
  <c r="C38" i="6"/>
  <c r="C41" i="5" l="1"/>
  <c r="C25" i="15"/>
  <c r="B19" i="14"/>
  <c r="B42" i="14"/>
  <c r="B40" i="14"/>
  <c r="C23" i="15"/>
  <c r="B7" i="14"/>
  <c r="B32" i="14"/>
  <c r="B8" i="14"/>
  <c r="B33" i="14"/>
  <c r="B14" i="14"/>
  <c r="B39" i="14"/>
  <c r="F31" i="14"/>
  <c r="F38" i="14"/>
  <c r="C79" i="6"/>
  <c r="G78" i="6"/>
  <c r="F35" i="5"/>
  <c r="F37" i="5" s="1"/>
  <c r="F25" i="15" s="1"/>
  <c r="E35" i="5"/>
  <c r="F78" i="6"/>
  <c r="D39" i="5" l="1"/>
  <c r="D41" i="5" s="1"/>
  <c r="D9" i="6"/>
  <c r="E37" i="5"/>
  <c r="G35" i="5"/>
  <c r="G37" i="5" l="1"/>
  <c r="E25" i="15"/>
  <c r="C48" i="14"/>
  <c r="C19" i="15"/>
  <c r="D16" i="6"/>
  <c r="E9" i="6"/>
  <c r="E39" i="5"/>
  <c r="E41" i="5" s="1"/>
  <c r="C46" i="14" l="1"/>
  <c r="C29" i="15"/>
  <c r="C30" i="15"/>
  <c r="C31" i="15"/>
  <c r="C32" i="15"/>
  <c r="D48" i="14"/>
  <c r="D19" i="15"/>
  <c r="C24" i="13"/>
  <c r="C25" i="13" s="1"/>
  <c r="C27" i="13" s="1"/>
  <c r="C29" i="13" s="1"/>
  <c r="C47" i="14"/>
  <c r="C4" i="12"/>
  <c r="C6" i="12" s="1"/>
  <c r="D38" i="6"/>
  <c r="F9" i="6"/>
  <c r="F39" i="5"/>
  <c r="F41" i="5" s="1"/>
  <c r="E16" i="6"/>
  <c r="C42" i="14" l="1"/>
  <c r="C33" i="14"/>
  <c r="C32" i="14"/>
  <c r="C40" i="14"/>
  <c r="D23" i="15"/>
  <c r="C39" i="14"/>
  <c r="D29" i="15"/>
  <c r="D30" i="15"/>
  <c r="D31" i="15"/>
  <c r="D32" i="15"/>
  <c r="E48" i="14"/>
  <c r="E19" i="15"/>
  <c r="J24" i="13"/>
  <c r="D24" i="13"/>
  <c r="D25" i="13" s="1"/>
  <c r="D27" i="13" s="1"/>
  <c r="K24" i="13" s="1"/>
  <c r="D47" i="14"/>
  <c r="D46" i="14"/>
  <c r="G9" i="6"/>
  <c r="F19" i="15" s="1"/>
  <c r="D79" i="6"/>
  <c r="D4" i="12"/>
  <c r="D6" i="12" s="1"/>
  <c r="E38" i="6"/>
  <c r="F16" i="6"/>
  <c r="D42" i="14" l="1"/>
  <c r="D33" i="14"/>
  <c r="D32" i="14"/>
  <c r="D40" i="14"/>
  <c r="E23" i="15"/>
  <c r="D39" i="14"/>
  <c r="F29" i="15"/>
  <c r="F30" i="15"/>
  <c r="F32" i="15"/>
  <c r="E29" i="15"/>
  <c r="E30" i="15"/>
  <c r="E31" i="15"/>
  <c r="E32" i="15"/>
  <c r="D29" i="13"/>
  <c r="E24" i="13"/>
  <c r="E25" i="13" s="1"/>
  <c r="E27" i="13" s="1"/>
  <c r="E29" i="13" s="1"/>
  <c r="E47" i="14"/>
  <c r="E46" i="14"/>
  <c r="G16" i="6"/>
  <c r="F48" i="14"/>
  <c r="E79" i="6"/>
  <c r="F38" i="6"/>
  <c r="E4" i="12"/>
  <c r="E6" i="12" s="1"/>
  <c r="E42" i="14" l="1"/>
  <c r="E33" i="14"/>
  <c r="E32" i="14"/>
  <c r="E40" i="14"/>
  <c r="F23" i="15"/>
  <c r="F31" i="15" s="1"/>
  <c r="E39" i="14"/>
  <c r="G38" i="6"/>
  <c r="F4" i="12"/>
  <c r="F6" i="12" s="1"/>
  <c r="L24" i="13"/>
  <c r="F24" i="13"/>
  <c r="F25" i="13" s="1"/>
  <c r="F27" i="13" s="1"/>
  <c r="F47" i="14"/>
  <c r="F46" i="14"/>
  <c r="F79" i="6"/>
  <c r="G79" i="6"/>
  <c r="M24" i="13" l="1"/>
  <c r="F42" i="14"/>
  <c r="F33" i="14"/>
  <c r="F32" i="14"/>
  <c r="F40" i="14"/>
  <c r="F39" i="14"/>
  <c r="F29" i="13"/>
  <c r="G27" i="13"/>
  <c r="G29" i="13" s="1"/>
  <c r="H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tc={0BA7BCF7-DD13-4546-B124-918B0C5156C9}</author>
    <author>tc={E155D6DC-1085-47BD-A0B7-8931CF66A47B}</author>
  </authors>
  <commentList>
    <comment ref="B31" authorId="0" shapeId="0" xr:uid="{0BA7BCF7-DD13-4546-B124-918B0C5156C9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to calculate growth rate for FCF</t>
      </text>
    </comment>
    <comment ref="C31" authorId="1" shapeId="0" xr:uid="{E155D6DC-1085-47BD-A0B7-8931CF66A47B}">
      <text>
        <t>[Threaded comment]
Your version of Excel allows you to read this threaded comment; however, any edits to it will get removed if the file is opened in a newer version of Excel. Learn more: https://go.microsoft.com/fwlink/?linkid=870924
Comment:
    Dry-cleaning And Laundry Services Market [2023 Report] (grandviewresearch.com)</t>
      </text>
    </comment>
  </commentList>
</comments>
</file>

<file path=xl/sharedStrings.xml><?xml version="1.0" encoding="utf-8"?>
<sst xmlns="http://schemas.openxmlformats.org/spreadsheetml/2006/main" count="643" uniqueCount="382">
  <si>
    <t>5-YEAR FINANCIAL PLAN</t>
  </si>
  <si>
    <t>Несчатный Laundry service</t>
  </si>
  <si>
    <t>Inflation</t>
  </si>
  <si>
    <t>YEAR 1</t>
  </si>
  <si>
    <t>YEAR 2</t>
  </si>
  <si>
    <t>YEAR 3</t>
  </si>
  <si>
    <t>YEAR 4</t>
  </si>
  <si>
    <t>YEAR 5</t>
  </si>
  <si>
    <t>FORECASTED REVENUE</t>
  </si>
  <si>
    <t>Loads
annually</t>
  </si>
  <si>
    <t>Average
price per load</t>
  </si>
  <si>
    <t xml:space="preserve">Annual revenue </t>
  </si>
  <si>
    <t>Planned loads per machine per 1 day</t>
  </si>
  <si>
    <t>Quantity of machine</t>
  </si>
  <si>
    <t>Electricity comsumption per load (kWt)</t>
  </si>
  <si>
    <t>Price per 1 kWt</t>
  </si>
  <si>
    <t>Electricity cost per load</t>
  </si>
  <si>
    <t>Water consumption per load (litres)</t>
  </si>
  <si>
    <t>Price per 1m^3</t>
  </si>
  <si>
    <t>Water cost per load</t>
  </si>
  <si>
    <t>Total utilities per type of machine per 1 day</t>
  </si>
  <si>
    <t>Soap consumption cost per load</t>
  </si>
  <si>
    <t>Soap cost per 1 day</t>
  </si>
  <si>
    <t>Annual revenue 
per machine</t>
  </si>
  <si>
    <t>Check</t>
  </si>
  <si>
    <t>Planned loads per machine</t>
  </si>
  <si>
    <t>W9kg</t>
  </si>
  <si>
    <t>W18kg</t>
  </si>
  <si>
    <t>W19kg</t>
  </si>
  <si>
    <t>D14kg</t>
  </si>
  <si>
    <t>D18kg</t>
  </si>
  <si>
    <t>D25kg</t>
  </si>
  <si>
    <t>D36kg</t>
  </si>
  <si>
    <t>TOTAL OF FORECASTED REVENUE</t>
  </si>
  <si>
    <t>COST OF GOODS SOLD</t>
  </si>
  <si>
    <t>Expected 
gross margin</t>
  </si>
  <si>
    <t>Annual cost of 
goods sold</t>
  </si>
  <si>
    <t>TOATL COST OF GOODS SOLD</t>
  </si>
  <si>
    <t>ANNUAL MAINTENANCE, REPAIR AND OVERHAUL</t>
  </si>
  <si>
    <t>Factor (%) on capital equipment</t>
  </si>
  <si>
    <t>ASSET DEPRECIATION</t>
  </si>
  <si>
    <t>Number of Years</t>
  </si>
  <si>
    <t>TAX</t>
  </si>
  <si>
    <t>Annual Tax Rate</t>
  </si>
  <si>
    <t>INFLATION</t>
  </si>
  <si>
    <t>Annual Inflation Rate</t>
  </si>
  <si>
    <t>PRODUCT PRICE INCREASE</t>
  </si>
  <si>
    <t>Annual Price Increase</t>
  </si>
  <si>
    <t>FUNDING</t>
  </si>
  <si>
    <t>Loan Amount</t>
  </si>
  <si>
    <t>Annual interest rate</t>
  </si>
  <si>
    <t>Term of loan (months)</t>
  </si>
  <si>
    <t>Monthly rate</t>
  </si>
  <si>
    <t>Payment</t>
  </si>
  <si>
    <t>Total Amount Payable</t>
  </si>
  <si>
    <t>PROFIT AND LOSS PROJECTION</t>
  </si>
  <si>
    <t>PROFIT AND LOSS ASSUMPTION</t>
  </si>
  <si>
    <t>Year 1</t>
  </si>
  <si>
    <t>Year 2</t>
  </si>
  <si>
    <t>Year 3</t>
  </si>
  <si>
    <t>Year 4</t>
  </si>
  <si>
    <t>Year 5</t>
  </si>
  <si>
    <t>Annual cumulative price (revenue) increase</t>
  </si>
  <si>
    <t>Annual cumulative inflation (expense) increase</t>
  </si>
  <si>
    <t>INCOME</t>
  </si>
  <si>
    <t>Revenue</t>
  </si>
  <si>
    <t>Total revenue</t>
  </si>
  <si>
    <t>Cost of Sales</t>
  </si>
  <si>
    <t>Cost of goods sold</t>
  </si>
  <si>
    <t>Gross Profit</t>
  </si>
  <si>
    <t>Non-Operation Income</t>
  </si>
  <si>
    <t>Rental</t>
  </si>
  <si>
    <t>Interest income</t>
  </si>
  <si>
    <t>Loss (gain) on sale of assets</t>
  </si>
  <si>
    <t>Other income (specify)</t>
  </si>
  <si>
    <t>Toatal Non-Operation Income</t>
  </si>
  <si>
    <t>TOTAL INCOME</t>
  </si>
  <si>
    <t>EXPENSES</t>
  </si>
  <si>
    <t>Operating expenses</t>
  </si>
  <si>
    <t>Marketing and advertising</t>
  </si>
  <si>
    <t>Depreciation</t>
  </si>
  <si>
    <t>Insurance</t>
  </si>
  <si>
    <t>Rent</t>
  </si>
  <si>
    <t>Maintenance, repair, and overhaul</t>
  </si>
  <si>
    <t>Utilities</t>
  </si>
  <si>
    <t>Cleaning fees</t>
  </si>
  <si>
    <t>Interest expense on long-term debt</t>
  </si>
  <si>
    <t>Total operating expenses</t>
  </si>
  <si>
    <t>Non-Recurring Expenses</t>
  </si>
  <si>
    <t>Unexpected Expenses</t>
  </si>
  <si>
    <t>Other expenses</t>
  </si>
  <si>
    <t>Total Non-Recurring Expenses</t>
  </si>
  <si>
    <t>TOTAL EXPENSES</t>
  </si>
  <si>
    <t>TAXES</t>
  </si>
  <si>
    <t>Income Tax</t>
  </si>
  <si>
    <t>Other Tax (specify)</t>
  </si>
  <si>
    <t>TOTAL TAXES</t>
  </si>
  <si>
    <t>NET PROFIT</t>
  </si>
  <si>
    <t>EBITDA</t>
  </si>
  <si>
    <t>EBIT</t>
  </si>
  <si>
    <t>Operating profit</t>
  </si>
  <si>
    <t>BALANCE SHEET PROJECTION</t>
  </si>
  <si>
    <t>ASSETS</t>
  </si>
  <si>
    <t>Current Assets</t>
  </si>
  <si>
    <t>Initial balance</t>
  </si>
  <si>
    <t>Cash and short-term investments</t>
  </si>
  <si>
    <t>Accounts receivable</t>
  </si>
  <si>
    <t>Total inventory</t>
  </si>
  <si>
    <t>Prepaid expenses</t>
  </si>
  <si>
    <t>Deferred income tax</t>
  </si>
  <si>
    <t>Other current assets</t>
  </si>
  <si>
    <t>deposit for 3m rent</t>
  </si>
  <si>
    <t>Total current assets</t>
  </si>
  <si>
    <t>Property and Equipment</t>
  </si>
  <si>
    <t>Buildings</t>
  </si>
  <si>
    <t>Land</t>
  </si>
  <si>
    <t>Capital improvements</t>
  </si>
  <si>
    <t>Machinery and equipment</t>
  </si>
  <si>
    <t>Less Accumulated depreciation expense</t>
  </si>
  <si>
    <t>Total Property and Equipment</t>
  </si>
  <si>
    <t>Other Assets</t>
  </si>
  <si>
    <t>Goodwill</t>
  </si>
  <si>
    <t>Long-term investments</t>
  </si>
  <si>
    <t>Deposits</t>
  </si>
  <si>
    <t>Other long-term assets</t>
  </si>
  <si>
    <t>legal startup costs</t>
  </si>
  <si>
    <t>Total Other Assets</t>
  </si>
  <si>
    <t>TOTAL ASSETS</t>
  </si>
  <si>
    <t>LIABILITIES</t>
  </si>
  <si>
    <t>Current Liabilities</t>
  </si>
  <si>
    <t>Accounts payable</t>
  </si>
  <si>
    <t>Accrued expenses</t>
  </si>
  <si>
    <t>Notes payable/short-term debt</t>
  </si>
  <si>
    <t>Capital leases</t>
  </si>
  <si>
    <t>Other current liabilities</t>
  </si>
  <si>
    <t>Total Current Liabilities</t>
  </si>
  <si>
    <t>Debt</t>
  </si>
  <si>
    <t>Long-term debt/loan</t>
  </si>
  <si>
    <t>Other long-term debt</t>
  </si>
  <si>
    <t>Total Debt</t>
  </si>
  <si>
    <t>Other Liabilities</t>
  </si>
  <si>
    <t>Other liabilities (specify)</t>
  </si>
  <si>
    <t>Total Other Liabilities</t>
  </si>
  <si>
    <t>TOTAL LIABILITIES</t>
  </si>
  <si>
    <t>EQUITY</t>
  </si>
  <si>
    <t>Owner's equity (common)</t>
  </si>
  <si>
    <t>Paid-in capital</t>
  </si>
  <si>
    <t>Preferred equity</t>
  </si>
  <si>
    <t>Retained earnings</t>
  </si>
  <si>
    <t>TOTAL EQUITY</t>
  </si>
  <si>
    <t>TOTAL LIABILITIES AND EQUITY</t>
  </si>
  <si>
    <t>CASH FLOW PROJECTION</t>
  </si>
  <si>
    <t>Operating activities</t>
  </si>
  <si>
    <t>Total</t>
  </si>
  <si>
    <t>Net income</t>
  </si>
  <si>
    <t>Inventories</t>
  </si>
  <si>
    <t>soap</t>
  </si>
  <si>
    <t>1 month utility</t>
  </si>
  <si>
    <t>Amortization</t>
  </si>
  <si>
    <t>Other liabilities</t>
  </si>
  <si>
    <t>Other operating cash flow items</t>
  </si>
  <si>
    <t>Total operating activities</t>
  </si>
  <si>
    <t>Investing activities</t>
  </si>
  <si>
    <t>Capital expenditures</t>
  </si>
  <si>
    <t>Acquisition of business</t>
  </si>
  <si>
    <t>Sale of fixed assets</t>
  </si>
  <si>
    <t>Other investing cash flow items</t>
  </si>
  <si>
    <t>Total investing activities</t>
  </si>
  <si>
    <t>Financing activities</t>
  </si>
  <si>
    <t>Long-term debt/financing</t>
  </si>
  <si>
    <t>Preferred stock</t>
  </si>
  <si>
    <t>Total cash dividends paid</t>
  </si>
  <si>
    <t>Common stock</t>
  </si>
  <si>
    <t>Other financing cash flow items</t>
  </si>
  <si>
    <t>Total financing activities</t>
  </si>
  <si>
    <t>Cumulative cash flow</t>
  </si>
  <si>
    <t>Beginning cash balance</t>
  </si>
  <si>
    <t>Ending cash balance</t>
  </si>
  <si>
    <t>LOAN AMORTIZATION SCHEDULE</t>
  </si>
  <si>
    <t>NOTE: Loan Amortization calculations are limited for up to 5 years (60 months).</t>
  </si>
  <si>
    <t>MONTH</t>
  </si>
  <si>
    <t>BALANCE</t>
  </si>
  <si>
    <t>SCHEDULED PAYMENT</t>
  </si>
  <si>
    <t>PRINCIPAL</t>
  </si>
  <si>
    <t>INTEREST</t>
  </si>
  <si>
    <t>Premises renovation cost</t>
  </si>
  <si>
    <t>item</t>
  </si>
  <si>
    <t>cost per 1m^2</t>
  </si>
  <si>
    <t>room size</t>
  </si>
  <si>
    <t>cost in €</t>
  </si>
  <si>
    <t>draft work salary (1 worker)</t>
  </si>
  <si>
    <t>Plumbing</t>
  </si>
  <si>
    <t>Electrical</t>
  </si>
  <si>
    <t>Flooring</t>
  </si>
  <si>
    <t>Lighting</t>
  </si>
  <si>
    <t>Security systems</t>
  </si>
  <si>
    <t>decoration work salary (1 worker)</t>
  </si>
  <si>
    <t>walls/ceiling</t>
  </si>
  <si>
    <t>materials for draft and decoration work</t>
  </si>
  <si>
    <t>Total Premises renovation cost</t>
  </si>
  <si>
    <t>Legal and accounting costs</t>
  </si>
  <si>
    <t>Business Registration</t>
  </si>
  <si>
    <t>Tax Identification Number (NIF/CIF)</t>
  </si>
  <si>
    <t>Social Security Registration</t>
  </si>
  <si>
    <t>Activity License (Licencia de actividad)</t>
  </si>
  <si>
    <t>Opening License (Licencia de apertura)</t>
  </si>
  <si>
    <t>Health and Safety Compliance</t>
  </si>
  <si>
    <t>Fire Safety Compliance</t>
  </si>
  <si>
    <t>Building Compliance</t>
  </si>
  <si>
    <t>Property and general liability insuarance</t>
  </si>
  <si>
    <t>Total legal and accounting cost</t>
  </si>
  <si>
    <t>Machine's cost</t>
  </si>
  <si>
    <t>Price per machine</t>
  </si>
  <si>
    <t>Total machine's cost</t>
  </si>
  <si>
    <t>Total startup cost</t>
  </si>
  <si>
    <t>Legal and accounting cost</t>
  </si>
  <si>
    <t>3 month rent deposit</t>
  </si>
  <si>
    <t>Mkt and Sales Forecast (5 years)</t>
  </si>
  <si>
    <t xml:space="preserve">Revenue </t>
  </si>
  <si>
    <t>Market Revenue in Spain (billions, USD)</t>
  </si>
  <si>
    <t>https://www.statista.com/outlook/cmo/home-laundry-care/laundry-care/spain#revenue</t>
  </si>
  <si>
    <t>Cash Convercsion Cycle (CCC)</t>
  </si>
  <si>
    <t>Days Inventory Outstanding (DIO)</t>
  </si>
  <si>
    <t>Days Sales Outstanding (DSO)</t>
  </si>
  <si>
    <t>Days Payable Outstanding (DPO)</t>
  </si>
  <si>
    <t>Working Capital</t>
  </si>
  <si>
    <t>Current Liability</t>
  </si>
  <si>
    <t>WC</t>
  </si>
  <si>
    <t>BEP</t>
  </si>
  <si>
    <t>VC (utilities+soap)</t>
  </si>
  <si>
    <t>Electro</t>
  </si>
  <si>
    <t>Water</t>
  </si>
  <si>
    <t>Soap</t>
  </si>
  <si>
    <t>Total FC</t>
  </si>
  <si>
    <t>VC per load</t>
  </si>
  <si>
    <t>Average P per load</t>
  </si>
  <si>
    <t>Break Even Loads accounting</t>
  </si>
  <si>
    <t>Break Even Loads cash</t>
  </si>
  <si>
    <t>Planned loads</t>
  </si>
  <si>
    <t>PayBack period</t>
  </si>
  <si>
    <t>Initial Investment</t>
  </si>
  <si>
    <t>Cash Flow</t>
  </si>
  <si>
    <t>Accumulated cash flow</t>
  </si>
  <si>
    <t>PayBack period (days)</t>
  </si>
  <si>
    <t>PayBack period (month)</t>
  </si>
  <si>
    <t>Capital Structure</t>
  </si>
  <si>
    <t>Equity</t>
  </si>
  <si>
    <t>Total E+D</t>
  </si>
  <si>
    <t>We</t>
  </si>
  <si>
    <t>Wd</t>
  </si>
  <si>
    <t>WACC</t>
  </si>
  <si>
    <t>Market Risk</t>
  </si>
  <si>
    <t>Risk Free</t>
  </si>
  <si>
    <t>Beta</t>
  </si>
  <si>
    <t>Cost of Equity</t>
  </si>
  <si>
    <t>Cost of Debt</t>
  </si>
  <si>
    <t>Tax</t>
  </si>
  <si>
    <t>TV</t>
  </si>
  <si>
    <t>Net Income</t>
  </si>
  <si>
    <t>CapEx</t>
  </si>
  <si>
    <t>Change in WC</t>
  </si>
  <si>
    <t>FCF</t>
  </si>
  <si>
    <t>FCF = Net Income + Dep - Change in WC - CapEx</t>
  </si>
  <si>
    <t>DF</t>
  </si>
  <si>
    <t>PV</t>
  </si>
  <si>
    <t>NPV</t>
  </si>
  <si>
    <t>growth rate for FCF</t>
  </si>
  <si>
    <t>Ratios</t>
  </si>
  <si>
    <t> </t>
  </si>
  <si>
    <t>Year 1 (2023)</t>
  </si>
  <si>
    <t>Our company</t>
  </si>
  <si>
    <t>UniFist Corporation</t>
  </si>
  <si>
    <t>Elis</t>
  </si>
  <si>
    <t>Industry</t>
  </si>
  <si>
    <t>Profitability ratio</t>
  </si>
  <si>
    <t>Return on Equity</t>
  </si>
  <si>
    <t>Return on Assets </t>
  </si>
  <si>
    <t>Return on Capital Employed</t>
  </si>
  <si>
    <t>Gross Margin Ratio </t>
  </si>
  <si>
    <t>Operating Profit Margin</t>
  </si>
  <si>
    <t>Net Profit Margin </t>
  </si>
  <si>
    <t>Leverage Ratios </t>
  </si>
  <si>
    <t>Debt-to-Equity Ratio</t>
  </si>
  <si>
    <t>Equity Ratio</t>
  </si>
  <si>
    <t>Debt Ratio </t>
  </si>
  <si>
    <t>Efficiency Ratios </t>
  </si>
  <si>
    <t>Accounts Receivable Turnover Ratio</t>
  </si>
  <si>
    <t>-</t>
  </si>
  <si>
    <t>Accounts Receivable Days</t>
  </si>
  <si>
    <t>Asset Turnover Ratio </t>
  </si>
  <si>
    <t>Inventory Turnover Ratio</t>
  </si>
  <si>
    <t>Inventory Turnover Days</t>
  </si>
  <si>
    <t>Liquidity Ratios</t>
  </si>
  <si>
    <t>Current Ratio</t>
  </si>
  <si>
    <t>Quick Ratio</t>
  </si>
  <si>
    <t>Cash Ratio</t>
  </si>
  <si>
    <t>Profitability Ratios:</t>
  </si>
  <si>
    <t>Return on Equity (ROE) = Net Income / Average Shareholders' Equity</t>
  </si>
  <si>
    <t>Return on Assets (ROA) = Net Income / Average Total Assets</t>
  </si>
  <si>
    <t>Return on Capital Employed (ROCE) = Earnings Before Interest and Taxes (EBIT) / (Total Assets - Current Liabilities)</t>
  </si>
  <si>
    <t>Gross Margin Ratio = Gross Profit / Net Sales</t>
  </si>
  <si>
    <t>Operating Profit Margin = Operating Profit / Net Sales</t>
  </si>
  <si>
    <t>Net Profit Margin = Net Income / Net Sales</t>
  </si>
  <si>
    <t>Leverage Ratios:</t>
  </si>
  <si>
    <t>Debt-to-Equity Ratio = Total Debt / Shareholders' Equity</t>
  </si>
  <si>
    <t>Equity Ratio = Shareholders' Equity / Total Assets</t>
  </si>
  <si>
    <t>Debt Ratio = Total Debt / Total Assets</t>
  </si>
  <si>
    <t>Efficiency Ratios:</t>
  </si>
  <si>
    <t>Accounts Receivable Turnover Ratio = Net Credit Sales / Average Accounts Receivable</t>
  </si>
  <si>
    <t>Accounts Receivable Days = 365 / Accounts Receivable Turnover Ratio</t>
  </si>
  <si>
    <t>Asset Turnover Ratio = Net Sales / Average Total Assets</t>
  </si>
  <si>
    <t>Inventory Turnover Ratio = Cost of Goods Sold / Average Inventory</t>
  </si>
  <si>
    <t>Inventory Turnover Days = 365 / Inventory Turnover Ratio</t>
  </si>
  <si>
    <t>Liquidity Ratios:</t>
  </si>
  <si>
    <t>Current Ratio = Current Assets / Current Liabilities</t>
  </si>
  <si>
    <t>Quick Ratio = (Current Assets - Inventory) / Current Liabilities</t>
  </si>
  <si>
    <t>Cash Ratio = Cash and Cash Equivalents / Current Liabilities</t>
  </si>
  <si>
    <t>Multiples</t>
  </si>
  <si>
    <t>Data for Year 1 (2023)</t>
  </si>
  <si>
    <t>EV</t>
  </si>
  <si>
    <t>Sales</t>
  </si>
  <si>
    <t>Book Value</t>
  </si>
  <si>
    <t>Net Debt</t>
  </si>
  <si>
    <t>CF</t>
  </si>
  <si>
    <t>Bliat Express</t>
  </si>
  <si>
    <t>Calculations</t>
  </si>
  <si>
    <t>EV/EBITDA</t>
  </si>
  <si>
    <t>EV/Book Value</t>
  </si>
  <si>
    <t>EV/CF</t>
  </si>
  <si>
    <t>Our company </t>
  </si>
  <si>
    <t>Year</t>
  </si>
  <si>
    <t>Data</t>
  </si>
  <si>
    <t xml:space="preserve">Our company </t>
  </si>
  <si>
    <t>Enterprise Value</t>
  </si>
  <si>
    <t>EV/Sales</t>
  </si>
  <si>
    <t>NOTES AND ASSUMPTIONS</t>
  </si>
  <si>
    <t>Company Name</t>
  </si>
  <si>
    <t>[Document key financial planning assumptions here.]
[Use Alt+Enter to start from a new row.]</t>
  </si>
  <si>
    <t>Terms of Use - EULA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</si>
  <si>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</si>
  <si>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</si>
  <si>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</si>
  <si>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</si>
  <si>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</si>
  <si>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</si>
  <si>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</si>
  <si>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</si>
  <si>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</si>
  <si>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</si>
  <si>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r>
      <t xml:space="preserve">This EULA grants you the right to download this TEMPLATE free of charge for </t>
    </r>
    <r>
      <rPr>
        <b/>
        <sz val="10"/>
        <color indexed="8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</si>
  <si>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</si>
  <si>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</si>
  <si>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</si>
  <si>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</si>
  <si>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</si>
  <si>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8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</si>
  <si>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8"/>
        <rFont val="Calibri"/>
        <family val="2"/>
      </rPr>
      <t>TEMPLATE</t>
    </r>
    <r>
      <rPr>
        <sz val="11"/>
        <color indexed="8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</si>
  <si>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</si>
  <si>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</si>
  <si>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</si>
  <si>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</si>
  <si>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</si>
  <si>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</si>
  <si>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</si>
  <si>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</si>
  <si>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rFont val="Calibri"/>
        <family val="2"/>
      </rPr>
      <t>Spreadsheet123.com</t>
    </r>
    <r>
      <rPr>
        <sz val="10"/>
        <rFont val="Arial"/>
        <family val="2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</si>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</sst>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&quot;$&quot;#,##0"/>
    <numFmt numFmtId="166" formatCode="[$$-409]#,##0"/>
    <numFmt numFmtId="167" formatCode="_-* #,##0.00_-;[Red]\-* #,##0.00_-;_-* &quot;-&quot;??_-;_-@_-"/>
    <numFmt numFmtId="168" formatCode="0.00%_)"/>
    <numFmt numFmtId="169" formatCode="0.0%"/>
    <numFmt numFmtId="170" formatCode="#,##0.000"/>
    <numFmt numFmtId="171" formatCode="_-* #,##0.00\ _€_-;\-* #,##0.00\ _€_-;_-* &quot;-&quot;??\ _€_-;_-@_-"/>
    <numFmt numFmtId="172" formatCode="0.000"/>
    <numFmt numFmtId="173" formatCode="_-* #,##0_-;\-* #,##0_-;_-* &quot;-&quot;??_-;_-@_-"/>
    <numFmt numFmtId="174" formatCode="0.0"/>
  </numFmts>
  <fonts count="63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0"/>
      <color indexed="63"/>
      <name val="Arial"/>
      <family val="2"/>
    </font>
    <font>
      <sz val="14"/>
      <name val="Arial"/>
      <family val="2"/>
    </font>
    <font>
      <sz val="10"/>
      <color indexed="47"/>
      <name val="Arial"/>
      <family val="2"/>
    </font>
    <font>
      <sz val="22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7"/>
      <name val="Verdana"/>
      <family val="2"/>
    </font>
    <font>
      <sz val="7"/>
      <name val="Calibri"/>
      <family val="2"/>
    </font>
    <font>
      <sz val="12"/>
      <color rgb="FFF2F2F2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D1D5DB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Söhne"/>
      <charset val="1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  <font>
      <sz val="24"/>
      <color rgb="FF0F2741"/>
      <name val="Open Sans"/>
      <charset val="1"/>
    </font>
  </fonts>
  <fills count="34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7609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indexed="12"/>
      </top>
      <bottom/>
      <diagonal/>
    </border>
    <border>
      <left style="hair">
        <color indexed="55"/>
      </left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 style="hair">
        <color indexed="55"/>
      </right>
      <top/>
      <bottom/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/>
      <right/>
      <top/>
      <bottom style="thick">
        <color indexed="1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/>
      <top style="thick">
        <color rgb="FF376092"/>
      </top>
      <bottom/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5" borderId="1" applyNumberFormat="0" applyAlignment="0" applyProtection="0"/>
    <xf numFmtId="0" fontId="13" fillId="14" borderId="2" applyNumberFormat="0" applyAlignment="0" applyProtection="0"/>
    <xf numFmtId="0" fontId="14" fillId="0" borderId="0" applyNumberFormat="0" applyFill="0" applyBorder="0" applyAlignment="0" applyProtection="0"/>
    <xf numFmtId="0" fontId="15" fillId="15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21" fillId="7" borderId="0" applyNumberFormat="0" applyBorder="0" applyAlignment="0" applyProtection="0"/>
    <xf numFmtId="0" fontId="3" fillId="4" borderId="7" applyNumberFormat="0" applyFont="0" applyAlignment="0" applyProtection="0"/>
    <xf numFmtId="0" fontId="22" fillId="5" borderId="8" applyNumberFormat="0" applyAlignment="0" applyProtection="0"/>
    <xf numFmtId="9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2" fillId="0" borderId="0"/>
  </cellStyleXfs>
  <cellXfs count="267">
    <xf numFmtId="0" fontId="0" fillId="0" borderId="0" xfId="0"/>
    <xf numFmtId="0" fontId="0" fillId="16" borderId="0" xfId="0" applyFill="1" applyAlignment="1">
      <alignment vertical="center"/>
    </xf>
    <xf numFmtId="0" fontId="0" fillId="16" borderId="0" xfId="0" applyFill="1" applyAlignment="1">
      <alignment horizontal="center" vertical="center"/>
    </xf>
    <xf numFmtId="9" fontId="0" fillId="16" borderId="0" xfId="0" applyNumberFormat="1" applyFill="1" applyAlignment="1">
      <alignment horizontal="center" vertical="center"/>
    </xf>
    <xf numFmtId="0" fontId="5" fillId="16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9" fontId="5" fillId="0" borderId="0" xfId="0" applyNumberFormat="1" applyFont="1" applyAlignment="1">
      <alignment horizontal="center" vertical="center"/>
    </xf>
    <xf numFmtId="38" fontId="5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17" borderId="0" xfId="0" applyFont="1" applyFill="1" applyAlignment="1">
      <alignment vertical="center"/>
    </xf>
    <xf numFmtId="9" fontId="31" fillId="17" borderId="0" xfId="0" applyNumberFormat="1" applyFont="1" applyFill="1" applyAlignment="1">
      <alignment horizontal="center" vertical="center"/>
    </xf>
    <xf numFmtId="38" fontId="32" fillId="17" borderId="0" xfId="0" applyNumberFormat="1" applyFont="1" applyFill="1" applyAlignment="1">
      <alignment horizontal="center" vertical="center"/>
    </xf>
    <xf numFmtId="9" fontId="32" fillId="17" borderId="0" xfId="0" applyNumberFormat="1" applyFont="1" applyFill="1" applyAlignment="1">
      <alignment horizontal="center" vertical="center"/>
    </xf>
    <xf numFmtId="164" fontId="32" fillId="17" borderId="0" xfId="0" applyNumberFormat="1" applyFont="1" applyFill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0" xfId="0" applyNumberFormat="1" applyBorder="1" applyAlignment="1">
      <alignment horizontal="center" vertical="center"/>
    </xf>
    <xf numFmtId="0" fontId="0" fillId="18" borderId="11" xfId="0" applyFill="1" applyBorder="1" applyAlignment="1">
      <alignment vertical="center"/>
    </xf>
    <xf numFmtId="43" fontId="0" fillId="18" borderId="11" xfId="0" applyNumberFormat="1" applyFill="1" applyBorder="1" applyAlignment="1">
      <alignment vertical="center"/>
    </xf>
    <xf numFmtId="0" fontId="30" fillId="18" borderId="11" xfId="0" applyFont="1" applyFill="1" applyBorder="1" applyAlignment="1">
      <alignment horizontal="left" vertical="center"/>
    </xf>
    <xf numFmtId="43" fontId="0" fillId="16" borderId="0" xfId="0" applyNumberFormat="1" applyFill="1" applyAlignment="1">
      <alignment horizontal="center" vertical="center"/>
    </xf>
    <xf numFmtId="0" fontId="30" fillId="16" borderId="0" xfId="0" applyFont="1" applyFill="1" applyAlignment="1">
      <alignment vertical="center"/>
    </xf>
    <xf numFmtId="164" fontId="8" fillId="16" borderId="0" xfId="0" applyNumberFormat="1" applyFont="1" applyFill="1" applyAlignment="1">
      <alignment horizontal="center" vertical="center"/>
    </xf>
    <xf numFmtId="9" fontId="8" fillId="16" borderId="0" xfId="0" applyNumberFormat="1" applyFont="1" applyFill="1" applyAlignment="1">
      <alignment horizontal="center" vertical="center"/>
    </xf>
    <xf numFmtId="38" fontId="8" fillId="16" borderId="0" xfId="0" applyNumberFormat="1" applyFont="1" applyFill="1" applyAlignment="1">
      <alignment horizontal="center" vertical="center"/>
    </xf>
    <xf numFmtId="9" fontId="30" fillId="16" borderId="0" xfId="0" applyNumberFormat="1" applyFont="1" applyFill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0" fillId="16" borderId="0" xfId="0" applyFill="1" applyAlignment="1">
      <alignment horizontal="left" vertical="center" indent="1"/>
    </xf>
    <xf numFmtId="0" fontId="0" fillId="0" borderId="12" xfId="0" applyBorder="1" applyAlignment="1">
      <alignment vertical="center"/>
    </xf>
    <xf numFmtId="0" fontId="34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35" fillId="17" borderId="0" xfId="0" applyFont="1" applyFill="1" applyAlignment="1">
      <alignment vertical="center"/>
    </xf>
    <xf numFmtId="166" fontId="35" fillId="17" borderId="0" xfId="0" applyNumberFormat="1" applyFont="1" applyFill="1" applyAlignment="1">
      <alignment horizontal="right" vertical="center"/>
    </xf>
    <xf numFmtId="0" fontId="28" fillId="19" borderId="0" xfId="0" applyFont="1" applyFill="1" applyAlignment="1">
      <alignment vertical="center"/>
    </xf>
    <xf numFmtId="0" fontId="30" fillId="18" borderId="11" xfId="0" applyFont="1" applyFill="1" applyBorder="1" applyAlignment="1">
      <alignment vertical="center"/>
    </xf>
    <xf numFmtId="167" fontId="28" fillId="19" borderId="0" xfId="0" applyNumberFormat="1" applyFont="1" applyFill="1" applyAlignment="1">
      <alignment horizontal="right" vertical="center"/>
    </xf>
    <xf numFmtId="167" fontId="35" fillId="17" borderId="0" xfId="0" applyNumberFormat="1" applyFont="1" applyFill="1" applyAlignment="1">
      <alignment horizontal="right" vertical="center"/>
    </xf>
    <xf numFmtId="0" fontId="5" fillId="20" borderId="0" xfId="0" applyFont="1" applyFill="1" applyAlignment="1">
      <alignment horizontal="left" vertical="center" indent="1"/>
    </xf>
    <xf numFmtId="0" fontId="31" fillId="19" borderId="0" xfId="0" applyFont="1" applyFill="1" applyAlignment="1">
      <alignment vertical="center"/>
    </xf>
    <xf numFmtId="0" fontId="31" fillId="21" borderId="0" xfId="0" applyFont="1" applyFill="1" applyAlignment="1">
      <alignment vertical="center"/>
    </xf>
    <xf numFmtId="0" fontId="28" fillId="21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14" fontId="35" fillId="17" borderId="0" xfId="0" applyNumberFormat="1" applyFont="1" applyFill="1" applyAlignment="1">
      <alignment horizontal="right" vertical="center"/>
    </xf>
    <xf numFmtId="14" fontId="35" fillId="17" borderId="0" xfId="0" applyNumberFormat="1" applyFont="1" applyFill="1" applyAlignment="1">
      <alignment horizontal="center" vertical="center"/>
    </xf>
    <xf numFmtId="166" fontId="35" fillId="17" borderId="0" xfId="0" applyNumberFormat="1" applyFont="1" applyFill="1" applyAlignment="1">
      <alignment horizontal="center" vertical="center"/>
    </xf>
    <xf numFmtId="167" fontId="26" fillId="0" borderId="0" xfId="0" applyNumberFormat="1" applyFont="1" applyAlignment="1">
      <alignment vertical="center"/>
    </xf>
    <xf numFmtId="0" fontId="31" fillId="16" borderId="0" xfId="0" applyFont="1" applyFill="1" applyAlignment="1">
      <alignment vertical="center"/>
    </xf>
    <xf numFmtId="166" fontId="35" fillId="16" borderId="0" xfId="0" applyNumberFormat="1" applyFont="1" applyFill="1" applyAlignment="1">
      <alignment horizontal="right" vertical="center"/>
    </xf>
    <xf numFmtId="166" fontId="35" fillId="16" borderId="0" xfId="0" applyNumberFormat="1" applyFont="1" applyFill="1" applyAlignment="1">
      <alignment horizontal="center" vertical="center"/>
    </xf>
    <xf numFmtId="0" fontId="30" fillId="18" borderId="16" xfId="0" applyFont="1" applyFill="1" applyBorder="1" applyAlignment="1">
      <alignment vertical="center"/>
    </xf>
    <xf numFmtId="0" fontId="28" fillId="17" borderId="0" xfId="0" applyFont="1" applyFill="1" applyAlignment="1">
      <alignment horizontal="center" vertical="center"/>
    </xf>
    <xf numFmtId="167" fontId="28" fillId="17" borderId="0" xfId="0" applyNumberFormat="1" applyFont="1" applyFill="1" applyAlignment="1">
      <alignment horizontal="center" vertical="center"/>
    </xf>
    <xf numFmtId="0" fontId="28" fillId="17" borderId="0" xfId="0" applyFont="1" applyFill="1" applyAlignment="1">
      <alignment vertical="center"/>
    </xf>
    <xf numFmtId="0" fontId="36" fillId="0" borderId="25" xfId="0" applyFont="1" applyBorder="1" applyAlignment="1">
      <alignment vertical="center"/>
    </xf>
    <xf numFmtId="0" fontId="36" fillId="0" borderId="25" xfId="0" applyFont="1" applyBorder="1" applyAlignment="1">
      <alignment horizontal="left" vertical="center"/>
    </xf>
    <xf numFmtId="167" fontId="34" fillId="0" borderId="25" xfId="0" applyNumberFormat="1" applyFont="1" applyBorder="1" applyAlignment="1">
      <alignment vertical="center"/>
    </xf>
    <xf numFmtId="0" fontId="34" fillId="0" borderId="25" xfId="0" applyFont="1" applyBorder="1" applyAlignment="1">
      <alignment vertical="center"/>
    </xf>
    <xf numFmtId="0" fontId="29" fillId="0" borderId="25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38" fillId="0" borderId="0" xfId="0" applyFont="1" applyAlignment="1" applyProtection="1">
      <alignment vertical="center"/>
      <protection hidden="1"/>
    </xf>
    <xf numFmtId="0" fontId="39" fillId="0" borderId="0" xfId="0" applyFont="1" applyProtection="1">
      <protection hidden="1"/>
    </xf>
    <xf numFmtId="0" fontId="0" fillId="0" borderId="0" xfId="0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27" fillId="0" borderId="0" xfId="34" applyFill="1" applyBorder="1" applyAlignment="1" applyProtection="1">
      <protection hidden="1"/>
    </xf>
    <xf numFmtId="0" fontId="0" fillId="0" borderId="0" xfId="0" applyAlignment="1" applyProtection="1">
      <alignment horizontal="left"/>
      <protection hidden="1"/>
    </xf>
    <xf numFmtId="0" fontId="41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  <protection hidden="1"/>
    </xf>
    <xf numFmtId="0" fontId="3" fillId="0" borderId="0" xfId="0" applyFont="1" applyProtection="1">
      <protection hidden="1"/>
    </xf>
    <xf numFmtId="0" fontId="43" fillId="0" borderId="0" xfId="0" applyFont="1" applyProtection="1">
      <protection hidden="1"/>
    </xf>
    <xf numFmtId="0" fontId="44" fillId="0" borderId="0" xfId="0" applyFont="1" applyAlignment="1" applyProtection="1">
      <alignment horizontal="left"/>
      <protection hidden="1"/>
    </xf>
    <xf numFmtId="0" fontId="44" fillId="0" borderId="0" xfId="0" applyFont="1" applyProtection="1">
      <protection hidden="1"/>
    </xf>
    <xf numFmtId="0" fontId="28" fillId="0" borderId="0" xfId="0" applyFont="1" applyAlignment="1">
      <alignment horizontal="center" vertical="center"/>
    </xf>
    <xf numFmtId="167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" fillId="16" borderId="0" xfId="0" applyFont="1" applyFill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45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5" borderId="0" xfId="0" applyFont="1" applyFill="1" applyAlignment="1">
      <alignment horizontal="left" vertical="center" wrapText="1" indent="1"/>
    </xf>
    <xf numFmtId="0" fontId="3" fillId="25" borderId="0" xfId="0" applyFont="1" applyFill="1" applyAlignment="1">
      <alignment horizontal="left" vertical="center" indent="1"/>
    </xf>
    <xf numFmtId="43" fontId="3" fillId="0" borderId="28" xfId="0" applyNumberFormat="1" applyFont="1" applyBorder="1" applyAlignment="1">
      <alignment horizontal="center" vertical="center"/>
    </xf>
    <xf numFmtId="43" fontId="3" fillId="25" borderId="0" xfId="0" applyNumberFormat="1" applyFont="1" applyFill="1" applyAlignment="1">
      <alignment horizontal="center" vertical="center"/>
    </xf>
    <xf numFmtId="0" fontId="3" fillId="25" borderId="0" xfId="0" applyFont="1" applyFill="1" applyAlignment="1">
      <alignment horizontal="left" vertical="center"/>
    </xf>
    <xf numFmtId="0" fontId="3" fillId="25" borderId="0" xfId="0" applyFont="1" applyFill="1" applyAlignment="1">
      <alignment horizontal="center" vertical="center"/>
    </xf>
    <xf numFmtId="0" fontId="30" fillId="26" borderId="29" xfId="0" applyFont="1" applyFill="1" applyBorder="1" applyAlignment="1">
      <alignment horizontal="left" vertical="center"/>
    </xf>
    <xf numFmtId="0" fontId="3" fillId="26" borderId="29" xfId="0" applyFont="1" applyFill="1" applyBorder="1" applyAlignment="1">
      <alignment vertical="center"/>
    </xf>
    <xf numFmtId="43" fontId="3" fillId="26" borderId="29" xfId="0" applyNumberFormat="1" applyFont="1" applyFill="1" applyBorder="1" applyAlignment="1">
      <alignment vertical="center"/>
    </xf>
    <xf numFmtId="43" fontId="3" fillId="26" borderId="29" xfId="0" applyNumberFormat="1" applyFont="1" applyFill="1" applyBorder="1" applyAlignment="1">
      <alignment horizontal="center" vertical="center"/>
    </xf>
    <xf numFmtId="0" fontId="5" fillId="27" borderId="0" xfId="0" applyFont="1" applyFill="1" applyAlignment="1">
      <alignment horizontal="right" vertical="center"/>
    </xf>
    <xf numFmtId="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16" borderId="0" xfId="44" applyFill="1" applyAlignment="1">
      <alignment horizontal="left" vertical="center" indent="2"/>
    </xf>
    <xf numFmtId="170" fontId="0" fillId="0" borderId="0" xfId="0" applyNumberFormat="1" applyAlignment="1">
      <alignment vertical="center"/>
    </xf>
    <xf numFmtId="0" fontId="3" fillId="0" borderId="27" xfId="0" applyFont="1" applyBorder="1" applyAlignment="1">
      <alignment vertical="center" wrapText="1"/>
    </xf>
    <xf numFmtId="4" fontId="0" fillId="0" borderId="27" xfId="0" applyNumberFormat="1" applyBorder="1" applyAlignment="1">
      <alignment vertical="center"/>
    </xf>
    <xf numFmtId="170" fontId="0" fillId="0" borderId="27" xfId="0" applyNumberFormat="1" applyBorder="1" applyAlignment="1">
      <alignment vertical="center"/>
    </xf>
    <xf numFmtId="4" fontId="3" fillId="0" borderId="0" xfId="0" applyNumberFormat="1" applyFont="1" applyAlignment="1">
      <alignment horizontal="right" vertical="center"/>
    </xf>
    <xf numFmtId="0" fontId="5" fillId="0" borderId="27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2" fillId="28" borderId="0" xfId="45" applyFill="1"/>
    <xf numFmtId="0" fontId="2" fillId="28" borderId="27" xfId="45" applyFill="1" applyBorder="1" applyAlignment="1">
      <alignment horizontal="center"/>
    </xf>
    <xf numFmtId="0" fontId="2" fillId="28" borderId="27" xfId="45" applyFill="1" applyBorder="1"/>
    <xf numFmtId="0" fontId="47" fillId="28" borderId="0" xfId="45" applyFont="1" applyFill="1"/>
    <xf numFmtId="0" fontId="49" fillId="28" borderId="0" xfId="45" applyFont="1" applyFill="1"/>
    <xf numFmtId="0" fontId="46" fillId="28" borderId="27" xfId="0" applyFont="1" applyFill="1" applyBorder="1" applyAlignment="1">
      <alignment horizontal="center"/>
    </xf>
    <xf numFmtId="0" fontId="3" fillId="28" borderId="27" xfId="0" applyFont="1" applyFill="1" applyBorder="1"/>
    <xf numFmtId="4" fontId="0" fillId="28" borderId="27" xfId="0" applyNumberFormat="1" applyFill="1" applyBorder="1"/>
    <xf numFmtId="0" fontId="0" fillId="28" borderId="27" xfId="0" applyFill="1" applyBorder="1"/>
    <xf numFmtId="4" fontId="0" fillId="28" borderId="0" xfId="0" applyNumberFormat="1" applyFill="1" applyAlignment="1">
      <alignment vertical="center"/>
    </xf>
    <xf numFmtId="0" fontId="46" fillId="28" borderId="27" xfId="45" applyFont="1" applyFill="1" applyBorder="1" applyAlignment="1">
      <alignment horizontal="center"/>
    </xf>
    <xf numFmtId="0" fontId="48" fillId="28" borderId="27" xfId="45" applyFont="1" applyFill="1" applyBorder="1"/>
    <xf numFmtId="0" fontId="46" fillId="31" borderId="27" xfId="45" applyFont="1" applyFill="1" applyBorder="1" applyAlignment="1">
      <alignment horizontal="center"/>
    </xf>
    <xf numFmtId="4" fontId="46" fillId="31" borderId="27" xfId="0" applyNumberFormat="1" applyFont="1" applyFill="1" applyBorder="1"/>
    <xf numFmtId="0" fontId="46" fillId="31" borderId="27" xfId="0" applyFont="1" applyFill="1" applyBorder="1" applyAlignment="1">
      <alignment horizont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vertical="center"/>
    </xf>
    <xf numFmtId="0" fontId="30" fillId="0" borderId="30" xfId="0" applyFont="1" applyBorder="1" applyAlignment="1">
      <alignment vertical="center"/>
    </xf>
    <xf numFmtId="4" fontId="0" fillId="0" borderId="30" xfId="0" applyNumberFormat="1" applyBorder="1" applyAlignment="1">
      <alignment vertical="center"/>
    </xf>
    <xf numFmtId="0" fontId="0" fillId="28" borderId="0" xfId="0" applyFill="1"/>
    <xf numFmtId="0" fontId="3" fillId="28" borderId="0" xfId="0" applyFont="1" applyFill="1"/>
    <xf numFmtId="0" fontId="50" fillId="30" borderId="0" xfId="0" applyFont="1" applyFill="1"/>
    <xf numFmtId="172" fontId="0" fillId="28" borderId="0" xfId="0" applyNumberFormat="1" applyFill="1"/>
    <xf numFmtId="2" fontId="0" fillId="28" borderId="0" xfId="0" applyNumberFormat="1" applyFill="1"/>
    <xf numFmtId="0" fontId="1" fillId="28" borderId="0" xfId="45" applyFont="1" applyFill="1"/>
    <xf numFmtId="4" fontId="0" fillId="28" borderId="0" xfId="0" applyNumberFormat="1" applyFill="1"/>
    <xf numFmtId="0" fontId="52" fillId="28" borderId="0" xfId="0" applyFont="1" applyFill="1"/>
    <xf numFmtId="0" fontId="50" fillId="28" borderId="0" xfId="0" applyFont="1" applyFill="1"/>
    <xf numFmtId="0" fontId="52" fillId="29" borderId="0" xfId="0" applyFont="1" applyFill="1"/>
    <xf numFmtId="0" fontId="50" fillId="29" borderId="0" xfId="0" applyFont="1" applyFill="1"/>
    <xf numFmtId="0" fontId="0" fillId="29" borderId="0" xfId="0" applyFill="1"/>
    <xf numFmtId="4" fontId="3" fillId="28" borderId="27" xfId="0" applyNumberFormat="1" applyFont="1" applyFill="1" applyBorder="1"/>
    <xf numFmtId="0" fontId="0" fillId="28" borderId="27" xfId="0" applyFill="1" applyBorder="1" applyAlignment="1">
      <alignment horizontal="center"/>
    </xf>
    <xf numFmtId="4" fontId="2" fillId="28" borderId="27" xfId="45" applyNumberFormat="1" applyFill="1" applyBorder="1" applyAlignment="1">
      <alignment horizontal="right"/>
    </xf>
    <xf numFmtId="4" fontId="46" fillId="31" borderId="27" xfId="45" applyNumberFormat="1" applyFont="1" applyFill="1" applyBorder="1" applyAlignment="1">
      <alignment horizontal="right"/>
    </xf>
    <xf numFmtId="4" fontId="46" fillId="31" borderId="27" xfId="0" applyNumberFormat="1" applyFont="1" applyFill="1" applyBorder="1" applyAlignment="1">
      <alignment horizontal="right"/>
    </xf>
    <xf numFmtId="43" fontId="0" fillId="28" borderId="0" xfId="0" applyNumberFormat="1" applyFill="1"/>
    <xf numFmtId="169" fontId="0" fillId="28" borderId="0" xfId="40" applyNumberFormat="1" applyFont="1" applyFill="1"/>
    <xf numFmtId="10" fontId="0" fillId="28" borderId="0" xfId="40" applyNumberFormat="1" applyFont="1" applyFill="1"/>
    <xf numFmtId="10" fontId="0" fillId="28" borderId="0" xfId="0" applyNumberFormat="1" applyFill="1"/>
    <xf numFmtId="9" fontId="0" fillId="28" borderId="0" xfId="0" applyNumberFormat="1" applyFill="1"/>
    <xf numFmtId="0" fontId="3" fillId="28" borderId="0" xfId="0" applyFont="1" applyFill="1" applyAlignment="1">
      <alignment horizontal="center"/>
    </xf>
    <xf numFmtId="0" fontId="5" fillId="28" borderId="0" xfId="0" applyFont="1" applyFill="1" applyAlignment="1">
      <alignment horizontal="center"/>
    </xf>
    <xf numFmtId="169" fontId="0" fillId="28" borderId="0" xfId="0" applyNumberFormat="1" applyFill="1"/>
    <xf numFmtId="4" fontId="0" fillId="28" borderId="0" xfId="40" applyNumberFormat="1" applyFont="1" applyFill="1"/>
    <xf numFmtId="4" fontId="0" fillId="28" borderId="0" xfId="0" applyNumberFormat="1" applyFill="1" applyAlignment="1">
      <alignment horizontal="right"/>
    </xf>
    <xf numFmtId="166" fontId="0" fillId="0" borderId="0" xfId="0" applyNumberFormat="1" applyAlignment="1">
      <alignment horizontal="right" vertical="center"/>
    </xf>
    <xf numFmtId="0" fontId="5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173" fontId="0" fillId="0" borderId="0" xfId="0" applyNumberFormat="1" applyAlignment="1">
      <alignment vertical="center"/>
    </xf>
    <xf numFmtId="2" fontId="5" fillId="28" borderId="0" xfId="0" applyNumberFormat="1" applyFont="1" applyFill="1"/>
    <xf numFmtId="2" fontId="3" fillId="28" borderId="0" xfId="0" applyNumberFormat="1" applyFont="1" applyFill="1"/>
    <xf numFmtId="0" fontId="3" fillId="28" borderId="0" xfId="0" applyFont="1" applyFill="1" applyAlignment="1">
      <alignment horizontal="right"/>
    </xf>
    <xf numFmtId="0" fontId="58" fillId="28" borderId="0" xfId="0" applyFont="1" applyFill="1"/>
    <xf numFmtId="0" fontId="5" fillId="28" borderId="0" xfId="0" applyFont="1" applyFill="1" applyAlignment="1">
      <alignment horizontal="center" vertical="center"/>
    </xf>
    <xf numFmtId="0" fontId="54" fillId="28" borderId="0" xfId="0" applyFont="1" applyFill="1"/>
    <xf numFmtId="0" fontId="55" fillId="28" borderId="0" xfId="0" applyFont="1" applyFill="1"/>
    <xf numFmtId="10" fontId="54" fillId="28" borderId="0" xfId="0" applyNumberFormat="1" applyFont="1" applyFill="1"/>
    <xf numFmtId="2" fontId="54" fillId="28" borderId="0" xfId="0" applyNumberFormat="1" applyFont="1" applyFill="1"/>
    <xf numFmtId="2" fontId="54" fillId="28" borderId="0" xfId="40" applyNumberFormat="1" applyFont="1" applyFill="1" applyBorder="1"/>
    <xf numFmtId="0" fontId="56" fillId="28" borderId="0" xfId="0" applyFont="1" applyFill="1"/>
    <xf numFmtId="0" fontId="57" fillId="28" borderId="0" xfId="0" applyFont="1" applyFill="1"/>
    <xf numFmtId="0" fontId="55" fillId="28" borderId="0" xfId="0" applyFont="1" applyFill="1" applyAlignment="1">
      <alignment horizontal="center"/>
    </xf>
    <xf numFmtId="0" fontId="54" fillId="28" borderId="0" xfId="0" applyFont="1" applyFill="1" applyAlignment="1">
      <alignment horizontal="right"/>
    </xf>
    <xf numFmtId="0" fontId="3" fillId="32" borderId="0" xfId="0" applyFont="1" applyFill="1" applyAlignment="1">
      <alignment horizontal="left" vertical="center" wrapText="1" indent="1"/>
    </xf>
    <xf numFmtId="3" fontId="59" fillId="28" borderId="0" xfId="0" applyNumberFormat="1" applyFont="1" applyFill="1"/>
    <xf numFmtId="3" fontId="60" fillId="28" borderId="0" xfId="0" applyNumberFormat="1" applyFont="1" applyFill="1"/>
    <xf numFmtId="0" fontId="51" fillId="28" borderId="0" xfId="0" applyFont="1" applyFill="1"/>
    <xf numFmtId="3" fontId="3" fillId="28" borderId="0" xfId="0" applyNumberFormat="1" applyFont="1" applyFill="1"/>
    <xf numFmtId="0" fontId="59" fillId="28" borderId="0" xfId="0" applyFont="1" applyFill="1" applyAlignment="1">
      <alignment horizontal="center"/>
    </xf>
    <xf numFmtId="3" fontId="57" fillId="28" borderId="0" xfId="0" applyNumberFormat="1" applyFont="1" applyFill="1"/>
    <xf numFmtId="0" fontId="59" fillId="28" borderId="0" xfId="0" applyFont="1" applyFill="1"/>
    <xf numFmtId="2" fontId="57" fillId="28" borderId="0" xfId="0" applyNumberFormat="1" applyFont="1" applyFill="1"/>
    <xf numFmtId="0" fontId="5" fillId="33" borderId="0" xfId="0" applyFont="1" applyFill="1" applyAlignment="1">
      <alignment horizontal="center" vertical="center"/>
    </xf>
    <xf numFmtId="0" fontId="61" fillId="28" borderId="0" xfId="0" applyFont="1" applyFill="1" applyAlignment="1">
      <alignment horizontal="center"/>
    </xf>
    <xf numFmtId="167" fontId="0" fillId="16" borderId="0" xfId="0" applyNumberFormat="1" applyFill="1" applyAlignment="1">
      <alignment horizontal="right" vertical="center"/>
    </xf>
    <xf numFmtId="9" fontId="0" fillId="28" borderId="0" xfId="40" applyFont="1" applyFill="1"/>
    <xf numFmtId="0" fontId="3" fillId="0" borderId="0" xfId="0" applyFont="1" applyAlignment="1">
      <alignment horizontal="right" vertical="center"/>
    </xf>
    <xf numFmtId="0" fontId="3" fillId="16" borderId="0" xfId="0" applyFont="1" applyFill="1" applyAlignment="1">
      <alignment vertical="center"/>
    </xf>
    <xf numFmtId="0" fontId="3" fillId="16" borderId="0" xfId="0" applyFont="1" applyFill="1" applyAlignment="1">
      <alignment horizontal="left" vertical="center" indent="1"/>
    </xf>
    <xf numFmtId="43" fontId="3" fillId="16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left" vertical="center"/>
    </xf>
    <xf numFmtId="43" fontId="3" fillId="18" borderId="11" xfId="0" applyNumberFormat="1" applyFont="1" applyFill="1" applyBorder="1" applyAlignment="1">
      <alignment horizontal="center" vertical="center"/>
    </xf>
    <xf numFmtId="169" fontId="3" fillId="0" borderId="10" xfId="0" applyNumberFormat="1" applyFont="1" applyBorder="1" applyAlignment="1">
      <alignment horizontal="center" vertical="center"/>
    </xf>
    <xf numFmtId="9" fontId="3" fillId="16" borderId="0" xfId="0" applyNumberFormat="1" applyFont="1" applyFill="1" applyAlignment="1">
      <alignment horizontal="center" vertical="center"/>
    </xf>
    <xf numFmtId="38" fontId="3" fillId="0" borderId="10" xfId="0" applyNumberFormat="1" applyFont="1" applyBorder="1" applyAlignment="1">
      <alignment horizontal="center" vertical="center"/>
    </xf>
    <xf numFmtId="38" fontId="3" fillId="16" borderId="0" xfId="0" applyNumberFormat="1" applyFont="1" applyFill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8" fontId="3" fillId="0" borderId="10" xfId="40" applyNumberFormat="1" applyFont="1" applyFill="1" applyBorder="1" applyAlignment="1">
      <alignment horizontal="right" vertical="center"/>
    </xf>
    <xf numFmtId="41" fontId="3" fillId="0" borderId="10" xfId="0" applyNumberFormat="1" applyFont="1" applyBorder="1" applyAlignment="1">
      <alignment horizontal="center" vertical="center"/>
    </xf>
    <xf numFmtId="168" fontId="3" fillId="16" borderId="0" xfId="40" applyNumberFormat="1" applyFont="1" applyFill="1" applyBorder="1" applyAlignment="1">
      <alignment horizontal="right" vertical="center"/>
    </xf>
    <xf numFmtId="167" fontId="3" fillId="16" borderId="0" xfId="0" applyNumberFormat="1" applyFont="1" applyFill="1" applyAlignment="1">
      <alignment horizontal="center" vertical="center"/>
    </xf>
    <xf numFmtId="0" fontId="3" fillId="23" borderId="0" xfId="0" quotePrefix="1" applyFont="1" applyFill="1" applyAlignment="1">
      <alignment horizontal="left" vertical="center"/>
    </xf>
    <xf numFmtId="0" fontId="3" fillId="23" borderId="0" xfId="0" applyFont="1" applyFill="1" applyAlignment="1">
      <alignment horizontal="center" vertical="center"/>
    </xf>
    <xf numFmtId="0" fontId="3" fillId="23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10" fontId="3" fillId="22" borderId="0" xfId="0" applyNumberFormat="1" applyFont="1" applyFill="1" applyAlignment="1">
      <alignment horizontal="center" vertical="center"/>
    </xf>
    <xf numFmtId="14" fontId="3" fillId="16" borderId="0" xfId="0" applyNumberFormat="1" applyFont="1" applyFill="1" applyAlignment="1">
      <alignment horizontal="center" vertical="center"/>
    </xf>
    <xf numFmtId="164" fontId="3" fillId="20" borderId="0" xfId="0" applyNumberFormat="1" applyFont="1" applyFill="1" applyAlignment="1">
      <alignment horizontal="right" vertical="center"/>
    </xf>
    <xf numFmtId="0" fontId="3" fillId="20" borderId="0" xfId="0" applyFont="1" applyFill="1" applyAlignment="1">
      <alignment vertical="center"/>
    </xf>
    <xf numFmtId="164" fontId="3" fillId="16" borderId="0" xfId="0" applyNumberFormat="1" applyFont="1" applyFill="1" applyAlignment="1">
      <alignment horizontal="right" vertical="center"/>
    </xf>
    <xf numFmtId="0" fontId="3" fillId="16" borderId="0" xfId="0" applyFont="1" applyFill="1" applyAlignment="1">
      <alignment horizontal="left" vertical="center" indent="2"/>
    </xf>
    <xf numFmtId="167" fontId="3" fillId="16" borderId="0" xfId="0" applyNumberFormat="1" applyFont="1" applyFill="1" applyAlignment="1">
      <alignment horizontal="right" vertical="center"/>
    </xf>
    <xf numFmtId="167" fontId="3" fillId="20" borderId="0" xfId="0" applyNumberFormat="1" applyFont="1" applyFill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6" fontId="3" fillId="20" borderId="0" xfId="0" applyNumberFormat="1" applyFont="1" applyFill="1" applyAlignment="1">
      <alignment horizontal="right" vertical="center"/>
    </xf>
    <xf numFmtId="166" fontId="3" fillId="16" borderId="0" xfId="0" applyNumberFormat="1" applyFont="1" applyFill="1" applyAlignment="1">
      <alignment horizontal="right" vertical="center"/>
    </xf>
    <xf numFmtId="167" fontId="3" fillId="16" borderId="0" xfId="0" applyNumberFormat="1" applyFont="1" applyFill="1" applyAlignment="1">
      <alignment vertical="center"/>
    </xf>
    <xf numFmtId="167" fontId="3" fillId="0" borderId="13" xfId="0" applyNumberFormat="1" applyFont="1" applyBorder="1" applyAlignment="1">
      <alignment horizontal="right" vertical="center"/>
    </xf>
    <xf numFmtId="167" fontId="3" fillId="18" borderId="11" xfId="0" applyNumberFormat="1" applyFont="1" applyFill="1" applyBorder="1" applyAlignment="1">
      <alignment horizontal="right" vertical="center"/>
    </xf>
    <xf numFmtId="0" fontId="3" fillId="18" borderId="11" xfId="0" applyFont="1" applyFill="1" applyBorder="1" applyAlignment="1">
      <alignment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6" fontId="3" fillId="20" borderId="0" xfId="0" applyNumberFormat="1" applyFont="1" applyFill="1" applyAlignment="1">
      <alignment horizontal="center" vertical="center"/>
    </xf>
    <xf numFmtId="171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0" fontId="3" fillId="17" borderId="0" xfId="0" applyFont="1" applyFill="1" applyAlignment="1">
      <alignment vertical="center"/>
    </xf>
    <xf numFmtId="166" fontId="3" fillId="16" borderId="0" xfId="0" applyNumberFormat="1" applyFont="1" applyFill="1" applyAlignment="1">
      <alignment horizontal="center" vertical="center"/>
    </xf>
    <xf numFmtId="167" fontId="3" fillId="18" borderId="16" xfId="0" applyNumberFormat="1" applyFont="1" applyFill="1" applyBorder="1" applyAlignment="1">
      <alignment horizontal="right" vertical="center"/>
    </xf>
    <xf numFmtId="0" fontId="3" fillId="18" borderId="16" xfId="0" applyFont="1" applyFill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4" fontId="3" fillId="20" borderId="0" xfId="0" applyNumberFormat="1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7" fontId="3" fillId="0" borderId="0" xfId="40" applyNumberFormat="1" applyFont="1" applyFill="1" applyBorder="1" applyAlignment="1">
      <alignment horizontal="right" vertical="center"/>
    </xf>
    <xf numFmtId="38" fontId="3" fillId="0" borderId="0" xfId="0" applyNumberFormat="1" applyFont="1" applyAlignment="1">
      <alignment vertical="center" wrapText="1"/>
    </xf>
    <xf numFmtId="0" fontId="27" fillId="28" borderId="0" xfId="34" applyFill="1" applyAlignment="1" applyProtection="1"/>
    <xf numFmtId="0" fontId="62" fillId="0" borderId="0" xfId="0" applyFont="1" applyAlignment="1">
      <alignment wrapText="1"/>
    </xf>
    <xf numFmtId="3" fontId="0" fillId="28" borderId="0" xfId="0" applyNumberFormat="1" applyFill="1"/>
    <xf numFmtId="174" fontId="0" fillId="28" borderId="0" xfId="0" applyNumberFormat="1" applyFill="1"/>
    <xf numFmtId="0" fontId="33" fillId="0" borderId="14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53" fillId="29" borderId="27" xfId="45" applyFont="1" applyFill="1" applyBorder="1" applyAlignment="1">
      <alignment horizontal="center"/>
    </xf>
    <xf numFmtId="0" fontId="46" fillId="31" borderId="27" xfId="45" applyFont="1" applyFill="1" applyBorder="1" applyAlignment="1">
      <alignment horizontal="center"/>
    </xf>
    <xf numFmtId="0" fontId="53" fillId="29" borderId="27" xfId="0" applyFont="1" applyFill="1" applyBorder="1" applyAlignment="1">
      <alignment horizontal="center"/>
    </xf>
    <xf numFmtId="0" fontId="58" fillId="0" borderId="0" xfId="0" applyFont="1"/>
    <xf numFmtId="0" fontId="58" fillId="28" borderId="0" xfId="0" applyFont="1" applyFill="1" applyAlignment="1">
      <alignment horizontal="center"/>
    </xf>
    <xf numFmtId="0" fontId="61" fillId="28" borderId="0" xfId="0" applyFont="1" applyFill="1" applyAlignment="1">
      <alignment horizontal="center"/>
    </xf>
    <xf numFmtId="0" fontId="59" fillId="28" borderId="0" xfId="0" applyFont="1" applyFill="1" applyAlignment="1">
      <alignment horizontal="center"/>
    </xf>
    <xf numFmtId="0" fontId="57" fillId="28" borderId="0" xfId="0" applyFont="1" applyFill="1"/>
    <xf numFmtId="0" fontId="3" fillId="0" borderId="18" xfId="0" applyFont="1" applyBorder="1" applyAlignment="1">
      <alignment horizontal="left" vertical="top" wrapText="1" indent="1"/>
    </xf>
    <xf numFmtId="0" fontId="3" fillId="0" borderId="19" xfId="0" applyFont="1" applyBorder="1" applyAlignment="1">
      <alignment horizontal="left" vertical="top" wrapText="1" indent="1"/>
    </xf>
    <xf numFmtId="0" fontId="3" fillId="0" borderId="20" xfId="0" applyFont="1" applyBorder="1" applyAlignment="1">
      <alignment horizontal="left" vertical="top" wrapText="1" indent="1"/>
    </xf>
    <xf numFmtId="0" fontId="3" fillId="0" borderId="12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3" fillId="0" borderId="21" xfId="0" applyFont="1" applyBorder="1" applyAlignment="1">
      <alignment horizontal="left" vertical="top" wrapText="1" indent="1"/>
    </xf>
    <xf numFmtId="0" fontId="3" fillId="0" borderId="22" xfId="0" applyFont="1" applyBorder="1" applyAlignment="1">
      <alignment horizontal="left" vertical="top" wrapText="1" indent="1"/>
    </xf>
    <xf numFmtId="0" fontId="3" fillId="0" borderId="23" xfId="0" applyFont="1" applyBorder="1" applyAlignment="1">
      <alignment horizontal="left" vertical="top" wrapText="1" indent="1"/>
    </xf>
    <xf numFmtId="0" fontId="3" fillId="0" borderId="24" xfId="0" applyFont="1" applyBorder="1" applyAlignment="1">
      <alignment horizontal="left" vertical="top" wrapText="1" indent="1"/>
    </xf>
    <xf numFmtId="0" fontId="0" fillId="0" borderId="0" xfId="0" applyAlignment="1" applyProtection="1">
      <alignment horizontal="left"/>
      <protection hidden="1"/>
    </xf>
    <xf numFmtId="0" fontId="40" fillId="18" borderId="26" xfId="0" applyFont="1" applyFill="1" applyBorder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 wrapText="1"/>
      <protection hidden="1"/>
    </xf>
    <xf numFmtId="0" fontId="9" fillId="0" borderId="0" xfId="0" applyFont="1" applyAlignment="1" applyProtection="1">
      <alignment horizontal="left"/>
      <protection hidden="1"/>
    </xf>
    <xf numFmtId="0" fontId="37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left" vertical="justify"/>
      <protection hidden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D9EA2C6B-81CB-BE41-B6DF-55B7B830F321}"/>
    <cellStyle name="Normal 3" xfId="45" xr:uid="{2E7DD8D5-6F67-4149-942B-876300961ED6}"/>
    <cellStyle name="Note" xfId="38" builtinId="10" customBuiltin="1"/>
    <cellStyle name="Output" xfId="39" builtinId="21" customBuiltin="1"/>
    <cellStyle name="Per 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 style="thin">
          <color indexed="23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forecast for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'Revenue '!$A$5</c:f>
              <c:strCache>
                <c:ptCount val="1"/>
                <c:pt idx="0">
                  <c:v>Revenue 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'!$B$4:$F$4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'Revenue '!$B$5:$F$5</c:f>
              <c:numCache>
                <c:formatCode>#,##0.00</c:formatCode>
                <c:ptCount val="5"/>
                <c:pt idx="0">
                  <c:v>75737.5</c:v>
                </c:pt>
                <c:pt idx="1">
                  <c:v>96004.125</c:v>
                </c:pt>
                <c:pt idx="2">
                  <c:v>123732.26250000001</c:v>
                </c:pt>
                <c:pt idx="3">
                  <c:v>163138.985625</c:v>
                </c:pt>
                <c:pt idx="4">
                  <c:v>220783.04324999999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A-49D7-99AE-29AEC6A9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715096"/>
        <c:axId val="1135719272"/>
      </c:lineChart>
      <c:catAx>
        <c:axId val="147471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35719272"/>
        <c:crosses val="autoZero"/>
        <c:auto val="1"/>
        <c:lblAlgn val="ctr"/>
        <c:lblOffset val="100"/>
        <c:noMultiLvlLbl val="0"/>
      </c:catAx>
      <c:valAx>
        <c:axId val="11357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47471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B1-2C4B-AEE0-96F4EF45E34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B1-2C4B-AEE0-96F4EF45E344}"/>
              </c:ext>
            </c:extLst>
          </c:dPt>
          <c:dLbls>
            <c:dLbl>
              <c:idx val="0"/>
              <c:layout>
                <c:manualLayout>
                  <c:x val="0.17864004391381913"/>
                  <c:y val="-0.112584771013607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B1-2C4B-AEE0-96F4EF45E344}"/>
                </c:ext>
              </c:extLst>
            </c:dLbl>
            <c:dLbl>
              <c:idx val="1"/>
              <c:layout>
                <c:manualLayout>
                  <c:x val="-0.19171126663922056"/>
                  <c:y val="5.0037676006047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B1-2C4B-AEE0-96F4EF45E3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Struc'!$F$7:$F$8</c:f>
              <c:numCache>
                <c:formatCode>0.00%</c:formatCode>
                <c:ptCount val="2"/>
                <c:pt idx="0">
                  <c:v>0.98965376369284941</c:v>
                </c:pt>
                <c:pt idx="1">
                  <c:v>1.0346236307150525E-2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B1-2C4B-AEE0-96F4EF45E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'Cap Struc'!$A$9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 Struc'!$B$3:$F$3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'Cap Struc'!$B$9:$F$9</c:f>
              <c:numCache>
                <c:formatCode>0.00%</c:formatCode>
                <c:ptCount val="5"/>
                <c:pt idx="0">
                  <c:v>9.0224570552534994E-2</c:v>
                </c:pt>
                <c:pt idx="1">
                  <c:v>9.491814294698539E-2</c:v>
                </c:pt>
                <c:pt idx="2">
                  <c:v>0.10108795154093386</c:v>
                </c:pt>
                <c:pt idx="3">
                  <c:v>0.10957037391287965</c:v>
                </c:pt>
                <c:pt idx="4">
                  <c:v>0.12193912570977966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8-3D47-A2C6-BE2CA1EC334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4505919"/>
        <c:axId val="1519101167"/>
      </c:lineChart>
      <c:catAx>
        <c:axId val="154450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519101167"/>
        <c:crosses val="autoZero"/>
        <c:auto val="1"/>
        <c:lblAlgn val="ctr"/>
        <c:lblOffset val="100"/>
        <c:noMultiLvlLbl val="0"/>
      </c:catAx>
      <c:valAx>
        <c:axId val="15191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5445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Ratios!$A$31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Ratios!$B$31:$F$31</c:f>
              <c:numCache>
                <c:formatCode>0.00%</c:formatCode>
                <c:ptCount val="5"/>
                <c:pt idx="0">
                  <c:v>0.52787208160928023</c:v>
                </c:pt>
                <c:pt idx="1">
                  <c:v>0.47170894673534119</c:v>
                </c:pt>
                <c:pt idx="2">
                  <c:v>0.62332219203523132</c:v>
                </c:pt>
                <c:pt idx="3">
                  <c:v>0.80981546652718128</c:v>
                </c:pt>
                <c:pt idx="4">
                  <c:v>1.0382311288488599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68D-49E4-9C76-948D0D302EDC}"/>
            </c:ext>
          </c:extLst>
        </c:ser>
        <c:ser>
          <c:idx val="1"/>
          <c:order val="1"/>
          <c:tx>
            <c:strRef>
              <c:f>Ratios!$A$32</c:f>
              <c:strCache>
                <c:ptCount val="1"/>
                <c:pt idx="0">
                  <c:v>Return on Assets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Ratios!$B$32:$F$32</c:f>
              <c:numCache>
                <c:formatCode>0.00%</c:formatCode>
                <c:ptCount val="5"/>
                <c:pt idx="0">
                  <c:v>0.39293527805378542</c:v>
                </c:pt>
                <c:pt idx="1">
                  <c:v>0.40470376465761487</c:v>
                </c:pt>
                <c:pt idx="2">
                  <c:v>0.56286968592373754</c:v>
                </c:pt>
                <c:pt idx="3">
                  <c:v>0.76972742562742213</c:v>
                </c:pt>
                <c:pt idx="4">
                  <c:v>1.0357728999013551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68D-49E4-9C76-948D0D302EDC}"/>
            </c:ext>
          </c:extLst>
        </c:ser>
        <c:ser>
          <c:idx val="5"/>
          <c:order val="2"/>
          <c:tx>
            <c:strRef>
              <c:f>Ratios!$A$36</c:f>
              <c:strCache>
                <c:ptCount val="1"/>
                <c:pt idx="0">
                  <c:v>Net Profit Margin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Ratios!$B$36:$F$36</c:f>
              <c:numCache>
                <c:formatCode>0.00%</c:formatCode>
                <c:ptCount val="5"/>
                <c:pt idx="0">
                  <c:v>0.44287309805733277</c:v>
                </c:pt>
                <c:pt idx="1">
                  <c:v>0.50143398702427933</c:v>
                </c:pt>
                <c:pt idx="2">
                  <c:v>0.54828982795399395</c:v>
                </c:pt>
                <c:pt idx="3">
                  <c:v>0.587874512154691</c:v>
                </c:pt>
                <c:pt idx="4">
                  <c:v>0.62142813735947833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68D-49E4-9C76-948D0D30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80455"/>
        <c:axId val="570738071"/>
      </c:lineChart>
      <c:catAx>
        <c:axId val="22008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70738071"/>
        <c:crosses val="autoZero"/>
        <c:auto val="1"/>
        <c:lblAlgn val="ctr"/>
        <c:lblOffset val="100"/>
        <c:noMultiLvlLbl val="0"/>
      </c:catAx>
      <c:valAx>
        <c:axId val="57073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2008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Ratios!$A$38</c:f>
              <c:strCache>
                <c:ptCount val="1"/>
                <c:pt idx="0">
                  <c:v>Debt-to-Equity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Ratios!$B$38:$F$38</c:f>
              <c:numCache>
                <c:formatCode>0.00</c:formatCode>
                <c:ptCount val="5"/>
                <c:pt idx="0">
                  <c:v>0.34340719984176238</c:v>
                </c:pt>
                <c:pt idx="1">
                  <c:v>0.16556599648736578</c:v>
                </c:pt>
                <c:pt idx="2">
                  <c:v>0.10740053625784429</c:v>
                </c:pt>
                <c:pt idx="3">
                  <c:v>5.2080827011045598E-2</c:v>
                </c:pt>
                <c:pt idx="4">
                  <c:v>2.373328118296159E-3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A-4E79-BEFC-F342131AFB50}"/>
            </c:ext>
          </c:extLst>
        </c:ser>
        <c:ser>
          <c:idx val="1"/>
          <c:order val="1"/>
          <c:tx>
            <c:strRef>
              <c:f>Ratios!$A$39</c:f>
              <c:strCache>
                <c:ptCount val="1"/>
                <c:pt idx="0">
                  <c:v>Equity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Ratios!$B$39:$F$39</c:f>
              <c:numCache>
                <c:formatCode>0.00</c:formatCode>
                <c:ptCount val="5"/>
                <c:pt idx="0">
                  <c:v>0.74437594209543334</c:v>
                </c:pt>
                <c:pt idx="1">
                  <c:v>0.85795227641649852</c:v>
                </c:pt>
                <c:pt idx="2">
                  <c:v>0.90301563640128368</c:v>
                </c:pt>
                <c:pt idx="3">
                  <c:v>0.95049731382425551</c:v>
                </c:pt>
                <c:pt idx="4">
                  <c:v>0.99763229123150021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A-4E79-BEFC-F342131AFB50}"/>
            </c:ext>
          </c:extLst>
        </c:ser>
        <c:ser>
          <c:idx val="2"/>
          <c:order val="2"/>
          <c:tx>
            <c:strRef>
              <c:f>Ratios!$A$40</c:f>
              <c:strCache>
                <c:ptCount val="1"/>
                <c:pt idx="0">
                  <c:v>Debt Ratio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Ratios!$B$40:$F$40</c:f>
              <c:numCache>
                <c:formatCode>0.00</c:formatCode>
                <c:ptCount val="5"/>
                <c:pt idx="0">
                  <c:v>0.2556240579045666</c:v>
                </c:pt>
                <c:pt idx="1">
                  <c:v>0.14204772358350148</c:v>
                </c:pt>
                <c:pt idx="2">
                  <c:v>9.6984363598716414E-2</c:v>
                </c:pt>
                <c:pt idx="3">
                  <c:v>4.9502686175744569E-2</c:v>
                </c:pt>
                <c:pt idx="4">
                  <c:v>2.3677087684999417E-3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FA-4E79-BEFC-F342131A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12536"/>
        <c:axId val="41066247"/>
      </c:lineChart>
      <c:catAx>
        <c:axId val="15781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1066247"/>
        <c:crosses val="autoZero"/>
        <c:auto val="1"/>
        <c:lblAlgn val="ctr"/>
        <c:lblOffset val="100"/>
        <c:noMultiLvlLbl val="0"/>
      </c:catAx>
      <c:valAx>
        <c:axId val="41066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5781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Ratios!$A$6</c:f>
              <c:strCache>
                <c:ptCount val="1"/>
                <c:pt idx="0">
                  <c:v>Return on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Ratios!$B$6:$E$6</c:f>
              <c:numCache>
                <c:formatCode>0.00%</c:formatCode>
                <c:ptCount val="4"/>
                <c:pt idx="0">
                  <c:v>0.52787208160928023</c:v>
                </c:pt>
                <c:pt idx="1">
                  <c:v>5.2999999999999999E-2</c:v>
                </c:pt>
                <c:pt idx="2">
                  <c:v>6.5699999999999995E-2</c:v>
                </c:pt>
                <c:pt idx="3">
                  <c:v>5.935E-2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B6-4241-9558-01F832F6088B}"/>
            </c:ext>
          </c:extLst>
        </c:ser>
        <c:ser>
          <c:idx val="1"/>
          <c:order val="1"/>
          <c:tx>
            <c:strRef>
              <c:f>Ratios!$A$7</c:f>
              <c:strCache>
                <c:ptCount val="1"/>
                <c:pt idx="0">
                  <c:v>Return on Assets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Ratios!$B$7:$E$7</c:f>
              <c:numCache>
                <c:formatCode>0.00%</c:formatCode>
                <c:ptCount val="4"/>
                <c:pt idx="0">
                  <c:v>0.39293527805378542</c:v>
                </c:pt>
                <c:pt idx="1">
                  <c:v>4.2000000000000003E-2</c:v>
                </c:pt>
                <c:pt idx="2">
                  <c:v>2.46E-2</c:v>
                </c:pt>
                <c:pt idx="3">
                  <c:v>3.3300000000000003E-2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B6-4241-9558-01F832F6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126535"/>
        <c:axId val="570753447"/>
      </c:barChart>
      <c:catAx>
        <c:axId val="2201265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70753447"/>
        <c:crosses val="autoZero"/>
        <c:auto val="1"/>
        <c:lblAlgn val="ctr"/>
        <c:lblOffset val="100"/>
        <c:noMultiLvlLbl val="0"/>
      </c:catAx>
      <c:valAx>
        <c:axId val="570753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20126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Multiples!$A$1</c:f>
          <c:strCache>
            <c:ptCount val="1"/>
            <c:pt idx="0">
              <c:v>Multiples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Multiples!$A$11</c:f>
              <c:strCache>
                <c:ptCount val="1"/>
                <c:pt idx="0">
                  <c:v>UniFist Corporation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cat>
            <c:strRef>
              <c:f>Multiples!$B$10:$E$10</c:f>
              <c:strCache>
                <c:ptCount val="4"/>
                <c:pt idx="0">
                  <c:v>EV/Sales</c:v>
                </c:pt>
                <c:pt idx="1">
                  <c:v>EV/EBITDA</c:v>
                </c:pt>
                <c:pt idx="2">
                  <c:v>EV/Book Value</c:v>
                </c:pt>
                <c:pt idx="3">
                  <c:v>EV/CF</c:v>
                </c:pt>
              </c:strCache>
            </c:strRef>
          </c:cat>
          <c:val>
            <c:numRef>
              <c:f>Multiples!$B$11:$E$11</c:f>
              <c:numCache>
                <c:formatCode>0.00</c:formatCode>
                <c:ptCount val="4"/>
                <c:pt idx="0">
                  <c:v>1.44</c:v>
                </c:pt>
                <c:pt idx="1">
                  <c:v>11.85</c:v>
                </c:pt>
                <c:pt idx="2">
                  <c:v>1.1861751288729854</c:v>
                </c:pt>
                <c:pt idx="3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8F4E-870A-DAA92E8FFE5B}"/>
            </c:ext>
          </c:extLst>
        </c:ser>
        <c:ser>
          <c:idx val="1"/>
          <c:order val="1"/>
          <c:tx>
            <c:strRef>
              <c:f>Multiples!$A$12</c:f>
              <c:strCache>
                <c:ptCount val="1"/>
                <c:pt idx="0">
                  <c:v>Elis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cat>
            <c:strRef>
              <c:f>Multiples!$B$10:$E$10</c:f>
              <c:strCache>
                <c:ptCount val="4"/>
                <c:pt idx="0">
                  <c:v>EV/Sales</c:v>
                </c:pt>
                <c:pt idx="1">
                  <c:v>EV/EBITDA</c:v>
                </c:pt>
                <c:pt idx="2">
                  <c:v>EV/Book Value</c:v>
                </c:pt>
                <c:pt idx="3">
                  <c:v>EV/CF</c:v>
                </c:pt>
              </c:strCache>
            </c:strRef>
          </c:cat>
          <c:val>
            <c:numRef>
              <c:f>Multiples!$B$12:$E$12</c:f>
              <c:numCache>
                <c:formatCode>0.00</c:formatCode>
                <c:ptCount val="4"/>
                <c:pt idx="0">
                  <c:v>1.1200000000000001</c:v>
                </c:pt>
                <c:pt idx="1">
                  <c:v>3.63</c:v>
                </c:pt>
                <c:pt idx="2">
                  <c:v>0.49547458807147832</c:v>
                </c:pt>
                <c:pt idx="3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E-8F4E-870A-DAA92E8FFE5B}"/>
            </c:ext>
          </c:extLst>
        </c:ser>
        <c:ser>
          <c:idx val="2"/>
          <c:order val="2"/>
          <c:tx>
            <c:strRef>
              <c:f>Multiples!$A$13</c:f>
              <c:strCache>
                <c:ptCount val="1"/>
                <c:pt idx="0">
                  <c:v>Our company 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strRef>
              <c:f>Multiples!$B$10:$E$10</c:f>
              <c:strCache>
                <c:ptCount val="4"/>
                <c:pt idx="0">
                  <c:v>EV/Sales</c:v>
                </c:pt>
                <c:pt idx="1">
                  <c:v>EV/EBITDA</c:v>
                </c:pt>
                <c:pt idx="2">
                  <c:v>EV/Book Value</c:v>
                </c:pt>
                <c:pt idx="3">
                  <c:v>EV/CF</c:v>
                </c:pt>
              </c:strCache>
            </c:strRef>
          </c:cat>
          <c:val>
            <c:numRef>
              <c:f>Multiples!$B$13:$E$13</c:f>
              <c:numCache>
                <c:formatCode>0.00</c:formatCode>
                <c:ptCount val="4"/>
                <c:pt idx="0">
                  <c:v>0.54956580293777846</c:v>
                </c:pt>
                <c:pt idx="1">
                  <c:v>0.77991016221250853</c:v>
                </c:pt>
                <c:pt idx="2">
                  <c:v>0.73930266429840141</c:v>
                </c:pt>
                <c:pt idx="3">
                  <c:v>1.1930759257925385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E-8F4E-870A-DAA92E8FFE5B}"/>
            </c:ext>
          </c:extLst>
        </c:ser>
        <c:ser>
          <c:idx val="3"/>
          <c:order val="3"/>
          <c:tx>
            <c:strRef>
              <c:f>Multiples!$A$14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cat>
            <c:strRef>
              <c:f>Multiples!$B$10:$E$10</c:f>
              <c:strCache>
                <c:ptCount val="4"/>
                <c:pt idx="0">
                  <c:v>EV/Sales</c:v>
                </c:pt>
                <c:pt idx="1">
                  <c:v>EV/EBITDA</c:v>
                </c:pt>
                <c:pt idx="2">
                  <c:v>EV/Book Value</c:v>
                </c:pt>
                <c:pt idx="3">
                  <c:v>EV/CF</c:v>
                </c:pt>
              </c:strCache>
            </c:strRef>
          </c:cat>
          <c:val>
            <c:numRef>
              <c:f>Multiples!$B$14:$E$14</c:f>
              <c:numCache>
                <c:formatCode>0.00</c:formatCode>
                <c:ptCount val="4"/>
                <c:pt idx="0">
                  <c:v>1.0365219343125929</c:v>
                </c:pt>
                <c:pt idx="1">
                  <c:v>5.4199700540708369</c:v>
                </c:pt>
                <c:pt idx="2">
                  <c:v>0.80698412708095502</c:v>
                </c:pt>
                <c:pt idx="3">
                  <c:v>9.5276919752641795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E-8F4E-870A-DAA92E8F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07648"/>
        <c:axId val="751057792"/>
      </c:lineChart>
      <c:catAx>
        <c:axId val="7849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51057792"/>
        <c:crosses val="autoZero"/>
        <c:auto val="1"/>
        <c:lblAlgn val="ctr"/>
        <c:lblOffset val="100"/>
        <c:noMultiLvlLbl val="0"/>
      </c:catAx>
      <c:valAx>
        <c:axId val="7510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849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sales Forecast in Spain (billions, USD) for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'!$A$6</c:f>
              <c:strCache>
                <c:ptCount val="1"/>
                <c:pt idx="0">
                  <c:v>Market Revenue in Spain (billions,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'!$B$3:$F$3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'Revenue '!$B$6:$F$6</c:f>
              <c:numCache>
                <c:formatCode>#,##0.00</c:formatCode>
                <c:ptCount val="5"/>
                <c:pt idx="0">
                  <c:v>1.72</c:v>
                </c:pt>
                <c:pt idx="1">
                  <c:v>1.75</c:v>
                </c:pt>
                <c:pt idx="2">
                  <c:v>1.78</c:v>
                </c:pt>
                <c:pt idx="3">
                  <c:v>1.8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F-C740-AB60-29438C3AC2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546944"/>
        <c:axId val="621480800"/>
      </c:barChart>
      <c:catAx>
        <c:axId val="6215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621480800"/>
        <c:crosses val="autoZero"/>
        <c:auto val="1"/>
        <c:lblAlgn val="ctr"/>
        <c:lblOffset val="100"/>
        <c:noMultiLvlLbl val="0"/>
      </c:catAx>
      <c:valAx>
        <c:axId val="6214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6215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Conversion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CCC!$A$4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CCC!$B$3:$F$3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CCC!$B$4:$F$4</c:f>
              <c:numCache>
                <c:formatCode>0.00</c:formatCode>
                <c:ptCount val="5"/>
                <c:pt idx="0">
                  <c:v>2.0227251247462159</c:v>
                </c:pt>
                <c:pt idx="1">
                  <c:v>2.1012595986272991</c:v>
                </c:pt>
                <c:pt idx="2">
                  <c:v>2.3781964250569319</c:v>
                </c:pt>
                <c:pt idx="3">
                  <c:v>2.5787456589292228</c:v>
                </c:pt>
                <c:pt idx="4">
                  <c:v>2.6926384262671017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0CA-4D8D-9A5D-C76D035AF827}"/>
            </c:ext>
          </c:extLst>
        </c:ser>
        <c:ser>
          <c:idx val="2"/>
          <c:order val="1"/>
          <c:tx>
            <c:strRef>
              <c:f>CCC!$A$6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CCC!$B$3:$F$3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CCC!$B$6:$F$6</c:f>
              <c:numCache>
                <c:formatCode>0.00</c:formatCode>
                <c:ptCount val="5"/>
                <c:pt idx="0">
                  <c:v>1.1829360426003166</c:v>
                </c:pt>
                <c:pt idx="1">
                  <c:v>3.5981643108471908</c:v>
                </c:pt>
                <c:pt idx="2">
                  <c:v>3.9105756503931226</c:v>
                </c:pt>
                <c:pt idx="3">
                  <c:v>4.2563044024457843</c:v>
                </c:pt>
                <c:pt idx="4">
                  <c:v>4.4570348779523856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0CA-4D8D-9A5D-C76D035AF827}"/>
            </c:ext>
          </c:extLst>
        </c:ser>
        <c:ser>
          <c:idx val="3"/>
          <c:order val="2"/>
          <c:tx>
            <c:strRef>
              <c:f>CCC!$A$7</c:f>
              <c:strCache>
                <c:ptCount val="1"/>
                <c:pt idx="0">
                  <c:v>Cash Convercsion Cycle (CCC)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CCC!$B$3:$F$3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CCC!$B$7:$F$7</c:f>
              <c:numCache>
                <c:formatCode>0.00</c:formatCode>
                <c:ptCount val="5"/>
                <c:pt idx="0">
                  <c:v>3.2056611673465323</c:v>
                </c:pt>
                <c:pt idx="1">
                  <c:v>5.6994239094744898</c:v>
                </c:pt>
                <c:pt idx="2">
                  <c:v>6.2887720754500549</c:v>
                </c:pt>
                <c:pt idx="3">
                  <c:v>6.8350500613750071</c:v>
                </c:pt>
                <c:pt idx="4">
                  <c:v>7.1496733042194869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D0CA-4D8D-9A5D-C76D035AF8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752792"/>
        <c:axId val="1251372071"/>
      </c:lineChart>
      <c:catAx>
        <c:axId val="33275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251372071"/>
        <c:crosses val="autoZero"/>
        <c:auto val="1"/>
        <c:lblAlgn val="ctr"/>
        <c:lblOffset val="100"/>
        <c:noMultiLvlLbl val="0"/>
      </c:catAx>
      <c:valAx>
        <c:axId val="125137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3275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Working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WC!$A$6</c:f>
              <c:strCache>
                <c:ptCount val="1"/>
                <c:pt idx="0">
                  <c:v>WC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WC!$B$3:$F$3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WC!$B$6:$F$6</c:f>
              <c:numCache>
                <c:formatCode>#,##0.00</c:formatCode>
                <c:ptCount val="5"/>
                <c:pt idx="0">
                  <c:v>46659.644331289455</c:v>
                </c:pt>
                <c:pt idx="1">
                  <c:v>86449.451563807103</c:v>
                </c:pt>
                <c:pt idx="2">
                  <c:v>94615.323888135317</c:v>
                </c:pt>
                <c:pt idx="3">
                  <c:v>105673.59699751154</c:v>
                </c:pt>
                <c:pt idx="4">
                  <c:v>120928.60498309869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58-48F0-892F-BF56C9F97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9815240"/>
        <c:axId val="1963766248"/>
      </c:barChart>
      <c:catAx>
        <c:axId val="139981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63766248"/>
        <c:crosses val="autoZero"/>
        <c:auto val="1"/>
        <c:lblAlgn val="ctr"/>
        <c:lblOffset val="100"/>
        <c:noMultiLvlLbl val="0"/>
      </c:catAx>
      <c:valAx>
        <c:axId val="19637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9981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BEP&amp;Planned</a:t>
            </a:r>
            <a:r>
              <a:rPr lang="en-GB" baseline="0"/>
              <a:t> 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'PayB&amp;BEP'!$A$18</c:f>
              <c:strCache>
                <c:ptCount val="1"/>
                <c:pt idx="0">
                  <c:v>Break Even Loads accounting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'PayB&amp;BEP'!$B$12:$F$12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'PayB&amp;BEP'!$B$18:$F$18</c:f>
              <c:numCache>
                <c:formatCode>#,##0.00</c:formatCode>
                <c:ptCount val="5"/>
                <c:pt idx="0">
                  <c:v>4809</c:v>
                </c:pt>
                <c:pt idx="1">
                  <c:v>4689</c:v>
                </c:pt>
                <c:pt idx="2">
                  <c:v>4443</c:v>
                </c:pt>
                <c:pt idx="3">
                  <c:v>4102</c:v>
                </c:pt>
                <c:pt idx="4">
                  <c:v>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0-4046-BBC7-FCEB90FB8398}"/>
            </c:ext>
          </c:extLst>
        </c:ser>
        <c:ser>
          <c:idx val="1"/>
          <c:order val="1"/>
          <c:tx>
            <c:strRef>
              <c:f>'PayB&amp;BEP'!$A$19</c:f>
              <c:strCache>
                <c:ptCount val="1"/>
                <c:pt idx="0">
                  <c:v>Break Even Loads cash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'PayB&amp;BEP'!$B$12:$F$12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'PayB&amp;BEP'!$B$19:$F$19</c:f>
              <c:numCache>
                <c:formatCode>#,##0.00</c:formatCode>
                <c:ptCount val="5"/>
                <c:pt idx="0">
                  <c:v>3506.3529532596208</c:v>
                </c:pt>
                <c:pt idx="1">
                  <c:v>3385.9605328166635</c:v>
                </c:pt>
                <c:pt idx="2">
                  <c:v>3202.8079571844969</c:v>
                </c:pt>
                <c:pt idx="3">
                  <c:v>2975.792022703461</c:v>
                </c:pt>
                <c:pt idx="4">
                  <c:v>2722.9010778173179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0-4046-BBC7-FCEB90FB8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8390751"/>
        <c:axId val="1718442783"/>
      </c:lineChart>
      <c:catAx>
        <c:axId val="17183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718442783"/>
        <c:crosses val="autoZero"/>
        <c:auto val="1"/>
        <c:lblAlgn val="ctr"/>
        <c:lblOffset val="100"/>
        <c:noMultiLvlLbl val="0"/>
      </c:catAx>
      <c:valAx>
        <c:axId val="17184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7183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E-4C64-8056-11BC307D211E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E-4C64-8056-11BC307D21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Struc'!$B$7:$B$8</c:f>
              <c:numCache>
                <c:formatCode>0.00%</c:formatCode>
                <c:ptCount val="2"/>
                <c:pt idx="0">
                  <c:v>0.57891794949795372</c:v>
                </c:pt>
                <c:pt idx="1">
                  <c:v>0.42108205050204628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E-2348-B56E-4EF3DDC9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BC-1A40-A16D-33D006670D0B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BC-1A40-A16D-33D006670D0B}"/>
              </c:ext>
            </c:extLst>
          </c:dPt>
          <c:dLbls>
            <c:dLbl>
              <c:idx val="0"/>
              <c:layout>
                <c:manualLayout>
                  <c:x val="6.0999039385206531E-2"/>
                  <c:y val="1.25094190015119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BC-1A40-A16D-33D006670D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Struc'!$C$7:$C$8</c:f>
              <c:numCache>
                <c:formatCode>0.00%</c:formatCode>
                <c:ptCount val="2"/>
                <c:pt idx="0">
                  <c:v>0.63970449590728884</c:v>
                </c:pt>
                <c:pt idx="1">
                  <c:v>0.36029550409271116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BC-1A40-A16D-33D00667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E-CE40-AB95-3B4AC5D62C65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E-CE40-AB95-3B4AC5D62C6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Struc'!$D$7:$D$8</c:f>
              <c:numCache>
                <c:formatCode>0.00%</c:formatCode>
                <c:ptCount val="2"/>
                <c:pt idx="0">
                  <c:v>0.71960980574680589</c:v>
                </c:pt>
                <c:pt idx="1">
                  <c:v>0.28039019425319411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E-CE40-AB95-3B4AC5D6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structure</a:t>
            </a:r>
            <a:r>
              <a:rPr lang="en-GB" baseline="0"/>
              <a:t> Year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5-DD49-AA0B-B15003F2115F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5-DD49-AA0B-B15003F2115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 Struc'!$A$7:$A$8</c:f>
              <c:strCache>
                <c:ptCount val="2"/>
                <c:pt idx="0">
                  <c:v>We</c:v>
                </c:pt>
                <c:pt idx="1">
                  <c:v>Wd</c:v>
                </c:pt>
              </c:strCache>
            </c:strRef>
          </c:cat>
          <c:val>
            <c:numRef>
              <c:f>'Cap Struc'!$E$7:$E$8</c:f>
              <c:numCache>
                <c:formatCode>0.00%</c:formatCode>
                <c:ptCount val="2"/>
                <c:pt idx="0">
                  <c:v>0.82946582113191458</c:v>
                </c:pt>
                <c:pt idx="1">
                  <c:v>0.17053417886808539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5-DD49-AA0B-B15003F2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308046</xdr:colOff>
      <xdr:row>10</xdr:row>
      <xdr:rowOff>22260</xdr:rowOff>
    </xdr:from>
    <xdr:to>
      <xdr:col>6</xdr:col>
      <xdr:colOff>308046</xdr:colOff>
      <xdr:row>27</xdr:row>
      <xdr:rowOff>9561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73DFAD70-A26B-2DD5-3BA8-08D8C2A8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168382</xdr:colOff>
      <xdr:row>10</xdr:row>
      <xdr:rowOff>48232</xdr:rowOff>
    </xdr:from>
    <xdr:to>
      <xdr:col>14</xdr:col>
      <xdr:colOff>171236</xdr:colOff>
      <xdr:row>27</xdr:row>
      <xdr:rowOff>28539</xdr:rowOff>
    </xdr:to>
    <xdr:graphicFrame macro="">
      <xdr:nvGraphicFramePr>
        <xdr:cNvPr id="77" name="Chart 7">
          <a:extLst>
            <a:ext uri="{FF2B5EF4-FFF2-40B4-BE49-F238E27FC236}">
              <a16:creationId xmlns:a16="http://schemas.microsoft.com/office/drawing/2014/main" id="{455C7FC2-4BAC-93E3-D564-9D1E978B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587845</xdr:colOff>
      <xdr:row>9</xdr:row>
      <xdr:rowOff>28338</xdr:rowOff>
    </xdr:from>
    <xdr:to>
      <xdr:col>5</xdr:col>
      <xdr:colOff>301272</xdr:colOff>
      <xdr:row>26</xdr:row>
      <xdr:rowOff>18813</xdr:rowOff>
    </xdr:to>
    <xdr:graphicFrame macro="">
      <xdr:nvGraphicFramePr>
        <xdr:cNvPr id="11" name="Chart 2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428A065B-9A1D-A242-D8CC-87E7FEB5867C}"/>
            </a:ext>
            <a:ext uri="{147F2762-F138-4A5C-976F-8EAC2B608ADB}">
              <a16:predDERef xmlns:a16="http://schemas.microsoft.com/office/drawing/2014/main" pred="{908DB608-40E0-5AA0-3901-9720DDD33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129758</xdr:colOff>
      <xdr:row>8</xdr:row>
      <xdr:rowOff>43793</xdr:rowOff>
    </xdr:from>
    <xdr:to>
      <xdr:col>6</xdr:col>
      <xdr:colOff>267816</xdr:colOff>
      <xdr:row>24</xdr:row>
      <xdr:rowOff>119213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E3B8410-714F-4381-CEE4-7DF522B1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308240</xdr:colOff>
      <xdr:row>2</xdr:row>
      <xdr:rowOff>39687</xdr:rowOff>
    </xdr:from>
    <xdr:to>
      <xdr:col>14</xdr:col>
      <xdr:colOff>524138</xdr:colOff>
      <xdr:row>23</xdr:row>
      <xdr:rowOff>77557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5413D-BBC1-023D-5A10-F6B2031E3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349007</xdr:colOff>
      <xdr:row>32</xdr:row>
      <xdr:rowOff>126031</xdr:rowOff>
    </xdr:from>
    <xdr:ext cx="2278188" cy="264560"/>
    <xdr:sp macro="" textlink="">
      <xdr:nvSpPr>
        <xdr:cNvPr id="45" name="TextBox 1">
          <a:extLst>
            <a:ext uri="{FF2B5EF4-FFF2-40B4-BE49-F238E27FC236}">
              <a16:creationId xmlns:a16="http://schemas.microsoft.com/office/drawing/2014/main" id="{2AEC905D-72B4-ABEF-CDF7-E8562C2D705A}"/>
            </a:ext>
          </a:extLst>
        </xdr:cNvPr>
        <xdr:cNvSpPr txBox="1"/>
      </xdr:nvSpPr>
      <xdr:spPr>
        <a:xfrm>
          <a:off x="3567633" y="5399924"/>
          <a:ext cx="22781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PayBack period</a:t>
          </a:r>
          <a:r>
            <a:rPr lang="en-GB" sz="1100" baseline="0"/>
            <a:t> = 1 year + 6,5 month</a:t>
          </a:r>
          <a:endParaRPr lang="en-GB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799071</xdr:colOff>
      <xdr:row>7</xdr:row>
      <xdr:rowOff>122881</xdr:rowOff>
    </xdr:from>
    <xdr:ext cx="22502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5BF716-590D-B74F-B44E-7902E28E5F9F}"/>
                </a:ext>
              </a:extLst>
            </xdr:cNvPr>
            <xdr:cNvSpPr txBox="1"/>
          </xdr:nvSpPr>
          <xdr:spPr>
            <a:xfrm>
              <a:off x="7858440" y="1244142"/>
              <a:ext cx="2250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𝑊𝐴𝐶𝐶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∗(1−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5BF716-590D-B74F-B44E-7902E28E5F9F}"/>
                </a:ext>
              </a:extLst>
            </xdr:cNvPr>
            <xdr:cNvSpPr txBox="1"/>
          </xdr:nvSpPr>
          <xdr:spPr>
            <a:xfrm>
              <a:off x="7858440" y="1244142"/>
              <a:ext cx="2250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𝑊𝐴𝐶𝐶=𝑤_𝑒∗𝐶_𝑒+𝑤_𝑑∗𝐶_𝑑∗(1−𝑇)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23113</xdr:colOff>
      <xdr:row>13</xdr:row>
      <xdr:rowOff>46452</xdr:rowOff>
    </xdr:from>
    <xdr:ext cx="1457771" cy="183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4469D7-6B92-074A-AE50-2E9053B8CA90}"/>
                </a:ext>
              </a:extLst>
            </xdr:cNvPr>
            <xdr:cNvSpPr txBox="1"/>
          </xdr:nvSpPr>
          <xdr:spPr>
            <a:xfrm>
              <a:off x="7906266" y="2128794"/>
              <a:ext cx="1457771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m:rPr>
                      <m:nor/>
                    </m:rPr>
                    <a:rPr lang="el-GR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β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∗(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4469D7-6B92-074A-AE50-2E9053B8CA90}"/>
                </a:ext>
              </a:extLst>
            </xdr:cNvPr>
            <xdr:cNvSpPr txBox="1"/>
          </xdr:nvSpPr>
          <xdr:spPr>
            <a:xfrm>
              <a:off x="7906266" y="2128794"/>
              <a:ext cx="1457771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𝑒=𝑅_𝑓+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"β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>
                  <a:latin typeface="Cambria Math" panose="02040503050406030204" pitchFamily="18" charset="0"/>
                </a:rPr>
                <a:t>∗(𝑅_𝑚−𝑅_𝑓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  <xdr:oneCellAnchor>
    <xdr:from>
      <xdr:col>8</xdr:col>
      <xdr:colOff>726441</xdr:colOff>
      <xdr:row>27</xdr:row>
      <xdr:rowOff>35560</xdr:rowOff>
    </xdr:from>
    <xdr:ext cx="2647950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0BB2329-B920-074F-A01C-1529E8A10146}"/>
                </a:ext>
              </a:extLst>
            </xdr:cNvPr>
            <xdr:cNvSpPr txBox="1"/>
          </xdr:nvSpPr>
          <xdr:spPr>
            <a:xfrm>
              <a:off x="7686041" y="4749800"/>
              <a:ext cx="264795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𝑇𝑒𝑟𝑚𝑖𝑛𝑎𝑙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𝑇𝑉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𝐹𝐶𝐹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∗(1+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0BB2329-B920-074F-A01C-1529E8A10146}"/>
                </a:ext>
              </a:extLst>
            </xdr:cNvPr>
            <xdr:cNvSpPr txBox="1"/>
          </xdr:nvSpPr>
          <xdr:spPr>
            <a:xfrm>
              <a:off x="7686041" y="4749800"/>
              <a:ext cx="264795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𝑇𝑒𝑟𝑚𝑖𝑛𝑎𝑙 𝑉𝑎𝑙𝑢𝑒 (𝑇𝑉)=(〖𝐹𝐶𝐹〗_5∗(1+𝑔))/((𝑟−𝑔))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12</xdr:col>
      <xdr:colOff>200566</xdr:colOff>
      <xdr:row>2</xdr:row>
      <xdr:rowOff>73865</xdr:rowOff>
    </xdr:from>
    <xdr:to>
      <xdr:col>15</xdr:col>
      <xdr:colOff>630583</xdr:colOff>
      <xdr:row>14</xdr:row>
      <xdr:rowOff>116509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12BF5-9DBF-3957-F20A-3F4B9E84F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745434</xdr:colOff>
      <xdr:row>2</xdr:row>
      <xdr:rowOff>82827</xdr:rowOff>
    </xdr:from>
    <xdr:to>
      <xdr:col>19</xdr:col>
      <xdr:colOff>347191</xdr:colOff>
      <xdr:row>14</xdr:row>
      <xdr:rowOff>125471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0CA797-090B-864F-81A0-480BAA01E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469348</xdr:colOff>
      <xdr:row>2</xdr:row>
      <xdr:rowOff>69023</xdr:rowOff>
    </xdr:from>
    <xdr:to>
      <xdr:col>23</xdr:col>
      <xdr:colOff>71105</xdr:colOff>
      <xdr:row>14</xdr:row>
      <xdr:rowOff>111667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10414F-39F5-744A-B59D-CB6F3BD2A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179457</xdr:colOff>
      <xdr:row>2</xdr:row>
      <xdr:rowOff>55218</xdr:rowOff>
    </xdr:from>
    <xdr:to>
      <xdr:col>26</xdr:col>
      <xdr:colOff>609474</xdr:colOff>
      <xdr:row>14</xdr:row>
      <xdr:rowOff>97862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107FE7-4641-8D45-9C5D-EA391788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759239</xdr:colOff>
      <xdr:row>2</xdr:row>
      <xdr:rowOff>69022</xdr:rowOff>
    </xdr:from>
    <xdr:to>
      <xdr:col>30</xdr:col>
      <xdr:colOff>360995</xdr:colOff>
      <xdr:row>14</xdr:row>
      <xdr:rowOff>111666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9C1E32-9D40-D645-B7AC-1ECB99C48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547914</xdr:colOff>
      <xdr:row>20</xdr:row>
      <xdr:rowOff>155422</xdr:rowOff>
    </xdr:from>
    <xdr:to>
      <xdr:col>23</xdr:col>
      <xdr:colOff>141515</xdr:colOff>
      <xdr:row>37</xdr:row>
      <xdr:rowOff>21316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48AD59-81C0-B714-7D12-21BB3CCDA80F}"/>
            </a:ext>
            <a:ext uri="{147F2762-F138-4A5C-976F-8EAC2B608ADB}">
              <a16:predDERef xmlns:a16="http://schemas.microsoft.com/office/drawing/2014/main" pred="{D29C1E32-9D40-D645-B7AC-1ECB99C4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27</xdr:row>
      <xdr:rowOff>85725</xdr:rowOff>
    </xdr:from>
    <xdr:to>
      <xdr:col>13</xdr:col>
      <xdr:colOff>400050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1EC3F-F757-4FCB-FCA5-BA0F0963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43</xdr:row>
      <xdr:rowOff>0</xdr:rowOff>
    </xdr:from>
    <xdr:to>
      <xdr:col>13</xdr:col>
      <xdr:colOff>180975</xdr:colOff>
      <xdr:row>57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43689-CC20-5357-9595-2C550A8E7D90}"/>
            </a:ext>
            <a:ext uri="{147F2762-F138-4A5C-976F-8EAC2B608ADB}">
              <a16:predDERef xmlns:a16="http://schemas.microsoft.com/office/drawing/2014/main" pred="{C471EC3F-F757-4FCB-FCA5-BA0F0963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13</xdr:row>
      <xdr:rowOff>38100</xdr:rowOff>
    </xdr:from>
    <xdr:to>
      <xdr:col>15</xdr:col>
      <xdr:colOff>600075</xdr:colOff>
      <xdr:row>27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6D6DBD-38DC-DF5B-1520-E51E775B0617}"/>
            </a:ext>
            <a:ext uri="{147F2762-F138-4A5C-976F-8EAC2B608ADB}">
              <a16:predDERef xmlns:a16="http://schemas.microsoft.com/office/drawing/2014/main" pred="{63243689-CC20-5357-9595-2C550A8E7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765174</xdr:colOff>
      <xdr:row>29</xdr:row>
      <xdr:rowOff>111477</xdr:rowOff>
    </xdr:from>
    <xdr:to>
      <xdr:col>16</xdr:col>
      <xdr:colOff>72201</xdr:colOff>
      <xdr:row>50</xdr:row>
      <xdr:rowOff>42568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F077B4F6-A95F-FA2F-2471-279E4FA47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FEZ Ahmed" id="{C4DC9516-8443-4E44-B393-2F9B37C8A70F}" userId="S::ahmed.hafez@euruni.edu::ba3da27b-fb21-45cc-a14d-27ca74488f7e" providerId="AD"/>
  <person displayName="GASHIMOVA Tanzilia" id="{BA4D1858-F70F-6947-88E6-31E702B32F3D}" userId="S::tanzilia.gashimova@euruni.edu::06845b83-e7d7-45c1-8268-d469108a8a6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3-06-02T23:22:39.11" personId="{BA4D1858-F70F-6947-88E6-31E702B32F3D}" id="{0BA7BCF7-DD13-4546-B124-918B0C5156C9}">
    <text>How to calculate growth rate for FCF</text>
  </threadedComment>
  <threadedComment ref="C31" dT="2023-06-03T11:39:15.91" personId="{C4DC9516-8443-4E44-B393-2F9B37C8A70F}" id="{E155D6DC-1085-47BD-A0B7-8931CF66A47B}">
    <text>Dry-cleaning And Laundry Services Market [2023 Report] (grandviewresearch.com)</text>
    <extLst>
      <x:ext xmlns:xltc2="http://schemas.microsoft.com/office/spreadsheetml/2020/threadedcomments2" uri="{F7C98A9C-CBB3-438F-8F68-D28B6AF4A901}">
        <xltc2:checksum>3320544009</xltc2:checksum>
        <xltc2:hyperlink startIndex="0" length="78" url="https://www.grandviewresearch.com/industry-analysis/dry-cleaning-laundry-services-market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tatista.com/outlook/cmo/home-laundry-care/laundry-care/spa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8"/>
  <sheetViews>
    <sheetView showGridLines="0" topLeftCell="A28" workbookViewId="0">
      <selection activeCell="B54" sqref="B54"/>
    </sheetView>
  </sheetViews>
  <sheetFormatPr baseColWidth="10" defaultColWidth="9.1640625" defaultRowHeight="13"/>
  <cols>
    <col min="1" max="1" width="54.5" style="7" customWidth="1"/>
    <col min="2" max="3" width="13.6640625" style="7" customWidth="1"/>
    <col min="4" max="4" width="15.5" style="8" customWidth="1"/>
    <col min="5" max="5" width="4.5" style="7" customWidth="1"/>
    <col min="6" max="6" width="16.83203125" style="7" bestFit="1" customWidth="1"/>
    <col min="7" max="7" width="9.6640625" style="7" bestFit="1" customWidth="1"/>
    <col min="8" max="8" width="21.6640625" style="7" bestFit="1" customWidth="1"/>
    <col min="9" max="10" width="19.1640625" style="7" customWidth="1"/>
    <col min="11" max="11" width="17.6640625" style="7" bestFit="1" customWidth="1"/>
    <col min="12" max="12" width="15.5" style="7" bestFit="1" customWidth="1"/>
    <col min="13" max="13" width="15.33203125" style="7" bestFit="1" customWidth="1"/>
    <col min="14" max="14" width="19" style="7" bestFit="1" customWidth="1"/>
    <col min="15" max="15" width="17.1640625" style="7" bestFit="1" customWidth="1"/>
    <col min="16" max="16" width="15.6640625" style="7" customWidth="1"/>
    <col min="17" max="17" width="9.1640625" style="122"/>
    <col min="18" max="18" width="35.83203125" style="7" bestFit="1" customWidth="1"/>
    <col min="19" max="19" width="9.1640625" style="7" customWidth="1"/>
    <col min="20" max="20" width="13.1640625" style="7" bestFit="1" customWidth="1"/>
    <col min="21" max="21" width="15" style="7" bestFit="1" customWidth="1"/>
    <col min="22" max="22" width="0" style="7" hidden="1" customWidth="1"/>
    <col min="23" max="23" width="13.1640625" style="7" bestFit="1" customWidth="1"/>
    <col min="24" max="24" width="10.1640625" style="7" bestFit="1" customWidth="1"/>
    <col min="25" max="25" width="19.33203125" style="7" bestFit="1" customWidth="1"/>
    <col min="26" max="26" width="12.33203125" style="7" customWidth="1"/>
    <col min="27" max="27" width="9.1640625" style="122"/>
    <col min="28" max="28" width="35.83203125" style="7" bestFit="1" customWidth="1"/>
    <col min="29" max="29" width="9.1640625" style="7" customWidth="1"/>
    <col min="30" max="30" width="13.1640625" style="7" bestFit="1" customWidth="1"/>
    <col min="31" max="31" width="15" style="7" bestFit="1" customWidth="1"/>
    <col min="32" max="32" width="0" style="7" hidden="1" customWidth="1"/>
    <col min="33" max="33" width="13.1640625" style="7" bestFit="1" customWidth="1"/>
    <col min="34" max="34" width="10.1640625" style="7" bestFit="1" customWidth="1"/>
    <col min="35" max="35" width="19.33203125" style="7" bestFit="1" customWidth="1"/>
    <col min="36" max="36" width="9.1640625" style="7"/>
    <col min="37" max="37" width="9.1640625" style="122"/>
    <col min="38" max="38" width="35.83203125" style="7" bestFit="1" customWidth="1"/>
    <col min="39" max="39" width="9.1640625" style="7" customWidth="1"/>
    <col min="40" max="40" width="13.1640625" style="7" bestFit="1" customWidth="1"/>
    <col min="41" max="41" width="15" style="7" bestFit="1" customWidth="1"/>
    <col min="42" max="42" width="10.1640625" style="7" hidden="1" customWidth="1"/>
    <col min="43" max="43" width="13.1640625" style="7" bestFit="1" customWidth="1"/>
    <col min="44" max="44" width="10.1640625" style="7" bestFit="1" customWidth="1"/>
    <col min="45" max="45" width="19.33203125" style="7" bestFit="1" customWidth="1"/>
    <col min="46" max="46" width="9.1640625" style="7"/>
    <col min="47" max="47" width="9.1640625" style="122"/>
    <col min="48" max="48" width="35.83203125" style="7" bestFit="1" customWidth="1"/>
    <col min="49" max="49" width="9.1640625" style="7" customWidth="1"/>
    <col min="50" max="50" width="13.1640625" style="7" bestFit="1" customWidth="1"/>
    <col min="51" max="51" width="15" style="7" bestFit="1" customWidth="1"/>
    <col min="52" max="52" width="10.1640625" style="7" hidden="1" customWidth="1"/>
    <col min="53" max="53" width="13.1640625" style="7" bestFit="1" customWidth="1"/>
    <col min="54" max="54" width="10.1640625" style="7" bestFit="1" customWidth="1"/>
    <col min="55" max="55" width="19.33203125" style="7" bestFit="1" customWidth="1"/>
    <col min="56" max="56" width="9.1640625" style="7"/>
    <col min="57" max="57" width="9.1640625" style="122"/>
    <col min="58" max="16384" width="9.1640625" style="7"/>
  </cols>
  <sheetData>
    <row r="1" spans="1:57" s="5" customFormat="1" ht="35" customHeight="1" thickBot="1">
      <c r="A1" s="61" t="s">
        <v>0</v>
      </c>
      <c r="B1" s="61"/>
      <c r="C1" s="61"/>
      <c r="D1" s="61"/>
      <c r="E1" s="62"/>
      <c r="Q1" s="121"/>
      <c r="AA1" s="121"/>
      <c r="AK1" s="121"/>
      <c r="AU1" s="121"/>
      <c r="BE1" s="121"/>
    </row>
    <row r="2" spans="1:57" ht="18" customHeight="1" thickTop="1">
      <c r="A2" s="6"/>
      <c r="B2" s="6"/>
      <c r="C2" s="6"/>
      <c r="D2" s="183"/>
      <c r="E2" s="6"/>
    </row>
    <row r="3" spans="1:57" ht="18" customHeight="1">
      <c r="A3" s="30" t="s">
        <v>1</v>
      </c>
      <c r="B3" s="32"/>
      <c r="D3" s="7"/>
      <c r="T3" s="80" t="s">
        <v>2</v>
      </c>
      <c r="AD3" s="80" t="s">
        <v>2</v>
      </c>
      <c r="AN3" s="80" t="s">
        <v>2</v>
      </c>
    </row>
    <row r="4" spans="1:57" ht="15" customHeight="1">
      <c r="D4" s="93" t="s">
        <v>3</v>
      </c>
      <c r="T4" s="95">
        <f>'Profit and Loss'!C7</f>
        <v>0.05</v>
      </c>
      <c r="U4" s="93" t="s">
        <v>4</v>
      </c>
      <c r="AD4" s="95">
        <f>'Profit and Loss'!D7</f>
        <v>0.1</v>
      </c>
      <c r="AE4" s="93" t="s">
        <v>5</v>
      </c>
      <c r="AL4" s="80"/>
      <c r="AM4" s="80"/>
      <c r="AN4" s="96">
        <f>'Profit and Loss'!E7</f>
        <v>0.15000000000000002</v>
      </c>
      <c r="AO4" s="93" t="s">
        <v>6</v>
      </c>
      <c r="AV4" s="80"/>
      <c r="AW4" s="80"/>
      <c r="AX4" s="96">
        <f>'Profit and Loss'!F7</f>
        <v>0.2</v>
      </c>
      <c r="AY4" s="93" t="s">
        <v>7</v>
      </c>
    </row>
    <row r="5" spans="1:57" s="12" customFormat="1" ht="20" customHeight="1">
      <c r="A5" s="13" t="s">
        <v>8</v>
      </c>
      <c r="B5" s="13"/>
      <c r="C5" s="13"/>
      <c r="D5" s="13"/>
      <c r="E5" s="13"/>
      <c r="Q5" s="123"/>
      <c r="R5" s="13" t="s">
        <v>8</v>
      </c>
      <c r="S5" s="13"/>
      <c r="T5" s="13"/>
      <c r="U5" s="13"/>
      <c r="AA5" s="123"/>
      <c r="AB5" s="13" t="s">
        <v>8</v>
      </c>
      <c r="AC5" s="13"/>
      <c r="AD5" s="13"/>
      <c r="AE5" s="13"/>
      <c r="AK5" s="123"/>
      <c r="AL5" s="81" t="s">
        <v>8</v>
      </c>
      <c r="AM5" s="81"/>
      <c r="AN5" s="81"/>
      <c r="AO5" s="81"/>
      <c r="AU5" s="123"/>
      <c r="AV5" s="81" t="s">
        <v>8</v>
      </c>
      <c r="AW5" s="81"/>
      <c r="AX5" s="81"/>
      <c r="AY5" s="81"/>
      <c r="BE5" s="123"/>
    </row>
    <row r="6" spans="1:57" ht="33.75" customHeight="1">
      <c r="A6" s="184"/>
      <c r="B6" s="79" t="s">
        <v>9</v>
      </c>
      <c r="C6" s="79" t="s">
        <v>10</v>
      </c>
      <c r="D6" s="170" t="s">
        <v>11</v>
      </c>
      <c r="E6" s="1"/>
      <c r="F6" s="97" t="s">
        <v>12</v>
      </c>
      <c r="G6" s="97" t="s">
        <v>13</v>
      </c>
      <c r="H6" s="100" t="s">
        <v>14</v>
      </c>
      <c r="I6" s="100" t="s">
        <v>15</v>
      </c>
      <c r="J6" s="104" t="s">
        <v>16</v>
      </c>
      <c r="K6" s="100" t="s">
        <v>17</v>
      </c>
      <c r="L6" s="100" t="s">
        <v>18</v>
      </c>
      <c r="M6" s="104" t="s">
        <v>19</v>
      </c>
      <c r="N6" s="104" t="s">
        <v>20</v>
      </c>
      <c r="O6" s="97" t="s">
        <v>21</v>
      </c>
      <c r="P6" s="97" t="s">
        <v>22</v>
      </c>
      <c r="R6" s="184"/>
      <c r="S6" s="79" t="s">
        <v>9</v>
      </c>
      <c r="T6" s="79" t="s">
        <v>10</v>
      </c>
      <c r="U6" s="79" t="s">
        <v>23</v>
      </c>
      <c r="V6" s="80" t="s">
        <v>24</v>
      </c>
      <c r="W6" s="97" t="s">
        <v>25</v>
      </c>
      <c r="X6" s="97" t="s">
        <v>13</v>
      </c>
      <c r="Y6" s="97" t="s">
        <v>20</v>
      </c>
      <c r="Z6" s="97" t="s">
        <v>22</v>
      </c>
      <c r="AB6" s="184"/>
      <c r="AC6" s="79" t="s">
        <v>9</v>
      </c>
      <c r="AD6" s="79" t="s">
        <v>10</v>
      </c>
      <c r="AE6" s="79" t="s">
        <v>23</v>
      </c>
      <c r="AF6" s="80" t="s">
        <v>24</v>
      </c>
      <c r="AG6" s="97" t="s">
        <v>25</v>
      </c>
      <c r="AH6" s="97" t="s">
        <v>13</v>
      </c>
      <c r="AI6" s="97" t="s">
        <v>20</v>
      </c>
      <c r="AJ6" s="97" t="s">
        <v>22</v>
      </c>
      <c r="AL6" s="82"/>
      <c r="AM6" s="83" t="s">
        <v>9</v>
      </c>
      <c r="AN6" s="83" t="s">
        <v>10</v>
      </c>
      <c r="AO6" s="83" t="s">
        <v>23</v>
      </c>
      <c r="AP6" s="80" t="s">
        <v>24</v>
      </c>
      <c r="AQ6" s="97" t="s">
        <v>25</v>
      </c>
      <c r="AR6" s="97" t="s">
        <v>13</v>
      </c>
      <c r="AS6" s="97" t="s">
        <v>20</v>
      </c>
      <c r="AT6" s="97" t="s">
        <v>22</v>
      </c>
      <c r="AV6" s="82"/>
      <c r="AW6" s="83" t="s">
        <v>9</v>
      </c>
      <c r="AX6" s="83" t="s">
        <v>10</v>
      </c>
      <c r="AY6" s="83" t="s">
        <v>23</v>
      </c>
      <c r="AZ6" s="80" t="s">
        <v>24</v>
      </c>
      <c r="BA6" s="97" t="s">
        <v>25</v>
      </c>
      <c r="BB6" s="97" t="s">
        <v>13</v>
      </c>
      <c r="BC6" s="97" t="s">
        <v>20</v>
      </c>
      <c r="BD6" s="97" t="s">
        <v>22</v>
      </c>
    </row>
    <row r="7" spans="1:57" ht="18" customHeight="1">
      <c r="A7" s="185" t="s">
        <v>26</v>
      </c>
      <c r="B7" s="19">
        <f>F7*365*G7</f>
        <v>6570</v>
      </c>
      <c r="C7" s="20">
        <v>5</v>
      </c>
      <c r="D7" s="186">
        <f>IF(OR(ISBLANK(B7),ISBLANK(C7)),0,B7*C7)</f>
        <v>32850</v>
      </c>
      <c r="E7" s="1"/>
      <c r="F7" s="7">
        <v>6</v>
      </c>
      <c r="G7" s="7">
        <v>3</v>
      </c>
      <c r="H7" s="101">
        <v>0.75</v>
      </c>
      <c r="I7" s="102">
        <v>8.5000000000000006E-2</v>
      </c>
      <c r="J7" s="102">
        <f>I7*H7</f>
        <v>6.3750000000000001E-2</v>
      </c>
      <c r="K7" s="101">
        <v>45</v>
      </c>
      <c r="L7" s="101">
        <v>1.81</v>
      </c>
      <c r="M7" s="101">
        <f>K7/1000*L7</f>
        <v>8.1449999999999995E-2</v>
      </c>
      <c r="N7" s="101">
        <f>(J7+M7)*F7*G7</f>
        <v>2.6135999999999999</v>
      </c>
      <c r="O7" s="7">
        <v>4.4999999999999998E-2</v>
      </c>
      <c r="P7" s="7">
        <f>O7*F7*G7</f>
        <v>0.81</v>
      </c>
      <c r="R7" s="185" t="s">
        <v>26</v>
      </c>
      <c r="S7" s="19">
        <f>W7*365*X7</f>
        <v>7665</v>
      </c>
      <c r="T7" s="20">
        <f>C7*(1+$T$4)</f>
        <v>5.25</v>
      </c>
      <c r="U7" s="186">
        <f>IF(OR(ISBLANK(S7),ISBLANK(T7)),0,S7*T7)</f>
        <v>40241.25</v>
      </c>
      <c r="V7" s="94">
        <v>34492.5</v>
      </c>
      <c r="W7" s="7">
        <f>F7+1</f>
        <v>7</v>
      </c>
      <c r="X7" s="7">
        <v>3</v>
      </c>
      <c r="Y7" s="99">
        <f>($J$7+$M$7)*W7*X7</f>
        <v>3.0491999999999999</v>
      </c>
      <c r="Z7" s="7">
        <f>$O$7*W7*X7</f>
        <v>0.94500000000000006</v>
      </c>
      <c r="AA7" s="124"/>
      <c r="AB7" s="185" t="s">
        <v>26</v>
      </c>
      <c r="AC7" s="19">
        <f>AG7*365*AH7</f>
        <v>8760</v>
      </c>
      <c r="AD7" s="20">
        <f>T7*(1+$AD$4)</f>
        <v>5.7750000000000004</v>
      </c>
      <c r="AE7" s="186">
        <f>IF(OR(ISBLANK(AC7),ISBLANK(AD7)),0,AC7*AD7)</f>
        <v>50589</v>
      </c>
      <c r="AF7" s="94">
        <v>37941.75</v>
      </c>
      <c r="AG7" s="7">
        <f>W7+1</f>
        <v>8</v>
      </c>
      <c r="AH7" s="7">
        <v>3</v>
      </c>
      <c r="AI7" s="99">
        <f>($J$7+$M$7)*AG7*AH7</f>
        <v>3.4847999999999999</v>
      </c>
      <c r="AJ7" s="7">
        <f>$O$7*AG7*AH7</f>
        <v>1.08</v>
      </c>
      <c r="AL7" s="84" t="s">
        <v>26</v>
      </c>
      <c r="AM7" s="19">
        <f>AQ7*365*AR7</f>
        <v>9855</v>
      </c>
      <c r="AN7" s="85">
        <f>AD7*(1+$AN$4)</f>
        <v>6.6412500000000003</v>
      </c>
      <c r="AO7" s="186">
        <f>IF(OR(ISBLANK(AM7),ISBLANK(AN7)),0,AM7*AN7)</f>
        <v>65449.518750000003</v>
      </c>
      <c r="AP7" s="94">
        <v>43633.012499999997</v>
      </c>
      <c r="AQ7" s="7">
        <f>AG7+1</f>
        <v>9</v>
      </c>
      <c r="AR7" s="7">
        <v>3</v>
      </c>
      <c r="AS7" s="99">
        <f>($J$7+$M$7)*AQ7*AR7</f>
        <v>3.9203999999999999</v>
      </c>
      <c r="AT7" s="7">
        <f>$O$7*AQ7*AR7</f>
        <v>1.2149999999999999</v>
      </c>
      <c r="AV7" s="84" t="s">
        <v>26</v>
      </c>
      <c r="AW7" s="19">
        <f>BA7*365*BB7</f>
        <v>10950</v>
      </c>
      <c r="AX7" s="85">
        <f>AN7*(1+$AX$4)</f>
        <v>7.9695</v>
      </c>
      <c r="AY7" s="186">
        <f>IF(OR(ISBLANK(AW7),ISBLANK(AX7)),0,AW7*AX7)</f>
        <v>87266.024999999994</v>
      </c>
      <c r="AZ7" s="94">
        <v>52359.614999999998</v>
      </c>
      <c r="BA7" s="7">
        <f>AQ7+1</f>
        <v>10</v>
      </c>
      <c r="BB7" s="7">
        <v>3</v>
      </c>
      <c r="BC7" s="99">
        <f>($J$7+$M$7)*BA7*BB7</f>
        <v>4.3559999999999999</v>
      </c>
      <c r="BD7" s="7">
        <f>$O$7*BA7*BB7</f>
        <v>1.3499999999999999</v>
      </c>
    </row>
    <row r="8" spans="1:57" ht="18" customHeight="1">
      <c r="A8" s="185" t="s">
        <v>27</v>
      </c>
      <c r="B8" s="19">
        <f t="shared" ref="B8:B10" si="0">F8*365*G8</f>
        <v>1460</v>
      </c>
      <c r="C8" s="20">
        <v>9.5</v>
      </c>
      <c r="D8" s="186">
        <f>IF(OR(ISBLANK(B8),ISBLANK(C8)),0,B8*C8)</f>
        <v>13870</v>
      </c>
      <c r="E8" s="1"/>
      <c r="F8" s="7">
        <v>4</v>
      </c>
      <c r="G8" s="7">
        <v>1</v>
      </c>
      <c r="H8" s="101">
        <v>2.2000000000000002</v>
      </c>
      <c r="I8" s="102">
        <v>8.5000000000000006E-2</v>
      </c>
      <c r="J8" s="102">
        <f t="shared" ref="J8:J10" si="1">I8*H8</f>
        <v>0.18700000000000003</v>
      </c>
      <c r="K8" s="101">
        <v>95</v>
      </c>
      <c r="L8" s="101">
        <v>1.81</v>
      </c>
      <c r="M8" s="101">
        <f t="shared" ref="M8:M10" si="2">K8/1000*L8</f>
        <v>0.17195000000000002</v>
      </c>
      <c r="N8" s="101">
        <f>(J8+M8)*F8*G8</f>
        <v>1.4358000000000002</v>
      </c>
      <c r="O8" s="7">
        <v>9.4E-2</v>
      </c>
      <c r="P8" s="7">
        <f>O8*F8*G8</f>
        <v>0.376</v>
      </c>
      <c r="R8" s="185" t="s">
        <v>28</v>
      </c>
      <c r="S8" s="19">
        <f t="shared" ref="S8:S10" si="3">W8*365*X8</f>
        <v>1825</v>
      </c>
      <c r="T8" s="20">
        <f>C8*(1+$T$4)</f>
        <v>9.9749999999999996</v>
      </c>
      <c r="U8" s="186">
        <f>IF(OR(ISBLANK(S8),ISBLANK(T8)),0,S8*T8)</f>
        <v>18204.375</v>
      </c>
      <c r="V8" s="94">
        <v>14563.5</v>
      </c>
      <c r="W8" s="7">
        <f>F8+1</f>
        <v>5</v>
      </c>
      <c r="X8" s="7">
        <v>1</v>
      </c>
      <c r="Y8" s="99">
        <f t="shared" ref="Y8:Y10" si="4">($J$7+$M$7)*W8*X8</f>
        <v>0.72599999999999998</v>
      </c>
      <c r="Z8" s="7">
        <f>$O$8*W8*X8</f>
        <v>0.47</v>
      </c>
      <c r="AA8" s="124"/>
      <c r="AB8" s="185" t="s">
        <v>28</v>
      </c>
      <c r="AC8" s="19">
        <f t="shared" ref="AC8:AC10" si="5">AG8*365*AH8</f>
        <v>2190</v>
      </c>
      <c r="AD8" s="20">
        <f>T8*(1+$AD$4)</f>
        <v>10.9725</v>
      </c>
      <c r="AE8" s="186">
        <f>IF(OR(ISBLANK(AC8),ISBLANK(AD8)),0,AC8*AD8)</f>
        <v>24029.775000000001</v>
      </c>
      <c r="AF8" s="94">
        <v>16019.850000000002</v>
      </c>
      <c r="AG8" s="7">
        <f t="shared" ref="AG8:AG10" si="6">W8+1</f>
        <v>6</v>
      </c>
      <c r="AH8" s="7">
        <v>1</v>
      </c>
      <c r="AI8" s="99">
        <f t="shared" ref="AI8:AI10" si="7">($J$7+$M$7)*AG8*AH8</f>
        <v>0.87119999999999997</v>
      </c>
      <c r="AJ8" s="7">
        <f>$O$8*AG8*AH8</f>
        <v>0.56400000000000006</v>
      </c>
      <c r="AL8" s="84" t="s">
        <v>28</v>
      </c>
      <c r="AM8" s="19">
        <f t="shared" ref="AM8:AM10" si="8">AQ8*365*AR8</f>
        <v>2555</v>
      </c>
      <c r="AN8" s="85">
        <f>AD8*(1+$AN$4)</f>
        <v>12.618374999999999</v>
      </c>
      <c r="AO8" s="186">
        <f t="shared" ref="AO8:AO9" si="9">IF(OR(ISBLANK(AM8),ISBLANK(AN8)),0,AM8*AN8)</f>
        <v>32239.948124999995</v>
      </c>
      <c r="AP8" s="94">
        <v>18422.827499999999</v>
      </c>
      <c r="AQ8" s="7">
        <f t="shared" ref="AQ8:AQ10" si="10">AG8+1</f>
        <v>7</v>
      </c>
      <c r="AR8" s="7">
        <v>1</v>
      </c>
      <c r="AS8" s="99">
        <f t="shared" ref="AS8:AS10" si="11">($J$7+$M$7)*AQ8*AR8</f>
        <v>1.0164</v>
      </c>
      <c r="AT8" s="7">
        <f>$O$8*AQ8*AR8</f>
        <v>0.65800000000000003</v>
      </c>
      <c r="AV8" s="84" t="s">
        <v>28</v>
      </c>
      <c r="AW8" s="19">
        <f t="shared" ref="AW8:AW10" si="12">BA8*365*BB8</f>
        <v>2920</v>
      </c>
      <c r="AX8" s="85">
        <f t="shared" ref="AX8:AX10" si="13">AN8*(1+$AX$4)</f>
        <v>15.142049999999998</v>
      </c>
      <c r="AY8" s="186">
        <f t="shared" ref="AY8:AY10" si="14">IF(OR(ISBLANK(AW8),ISBLANK(AX8)),0,AW8*AX8)</f>
        <v>44214.785999999993</v>
      </c>
      <c r="AZ8" s="94">
        <v>22107.393</v>
      </c>
      <c r="BA8" s="7">
        <f t="shared" ref="BA8:BA10" si="15">AQ8+1</f>
        <v>8</v>
      </c>
      <c r="BB8" s="7">
        <v>1</v>
      </c>
      <c r="BC8" s="99">
        <f t="shared" ref="BC8:BC10" si="16">($J$7+$M$7)*BA8*BB8</f>
        <v>1.1616</v>
      </c>
      <c r="BD8" s="7">
        <f>$O$8*BA8*BB8</f>
        <v>0.752</v>
      </c>
    </row>
    <row r="9" spans="1:57" ht="18" customHeight="1">
      <c r="A9" s="185" t="s">
        <v>29</v>
      </c>
      <c r="B9" s="19">
        <f t="shared" si="0"/>
        <v>5475</v>
      </c>
      <c r="C9" s="20">
        <v>4</v>
      </c>
      <c r="D9" s="186">
        <f>IF(OR(ISBLANK(B9),ISBLANK(C9)),0,B9*C9)</f>
        <v>21900</v>
      </c>
      <c r="E9" s="1"/>
      <c r="F9" s="7">
        <v>5</v>
      </c>
      <c r="G9" s="7">
        <v>3</v>
      </c>
      <c r="H9" s="101">
        <v>1.2</v>
      </c>
      <c r="I9" s="102">
        <v>8.5000000000000006E-2</v>
      </c>
      <c r="J9" s="102">
        <f t="shared" si="1"/>
        <v>0.10200000000000001</v>
      </c>
      <c r="K9" s="101"/>
      <c r="L9" s="101">
        <v>1.81</v>
      </c>
      <c r="M9" s="101">
        <f t="shared" si="2"/>
        <v>0</v>
      </c>
      <c r="N9" s="101">
        <f>(J9+M9)*F9*G9</f>
        <v>1.53</v>
      </c>
      <c r="R9" s="185" t="s">
        <v>30</v>
      </c>
      <c r="S9" s="19">
        <f t="shared" si="3"/>
        <v>6570</v>
      </c>
      <c r="T9" s="20">
        <f>C9*(1+$T$4)</f>
        <v>4.2</v>
      </c>
      <c r="U9" s="186">
        <f>IF(OR(ISBLANK(S9),ISBLANK(T9)),0,S9*T9)</f>
        <v>27594</v>
      </c>
      <c r="V9" s="94">
        <v>22995</v>
      </c>
      <c r="W9" s="7">
        <f>F9+1</f>
        <v>6</v>
      </c>
      <c r="X9" s="7">
        <v>3</v>
      </c>
      <c r="Y9" s="99">
        <f t="shared" si="4"/>
        <v>2.6135999999999999</v>
      </c>
      <c r="AA9" s="124"/>
      <c r="AB9" s="185" t="s">
        <v>30</v>
      </c>
      <c r="AC9" s="19">
        <f t="shared" si="5"/>
        <v>7665</v>
      </c>
      <c r="AD9" s="20">
        <f>T9*(1+$AD$4)</f>
        <v>4.620000000000001</v>
      </c>
      <c r="AE9" s="186">
        <f>IF(OR(ISBLANK(AC9),ISBLANK(AD9)),0,AC9*AD9)</f>
        <v>35412.30000000001</v>
      </c>
      <c r="AF9" s="94">
        <v>25294.500000000004</v>
      </c>
      <c r="AG9" s="7">
        <f t="shared" si="6"/>
        <v>7</v>
      </c>
      <c r="AH9" s="7">
        <v>3</v>
      </c>
      <c r="AI9" s="99">
        <f t="shared" si="7"/>
        <v>3.0491999999999999</v>
      </c>
      <c r="AL9" s="84" t="s">
        <v>30</v>
      </c>
      <c r="AM9" s="19">
        <f t="shared" si="8"/>
        <v>8760</v>
      </c>
      <c r="AN9" s="85">
        <f>AD9*(1+$AN$4)</f>
        <v>5.3130000000000006</v>
      </c>
      <c r="AO9" s="186">
        <f t="shared" si="9"/>
        <v>46541.880000000005</v>
      </c>
      <c r="AP9" s="94">
        <v>29088.675000000003</v>
      </c>
      <c r="AQ9" s="7">
        <f t="shared" si="10"/>
        <v>8</v>
      </c>
      <c r="AR9" s="7">
        <v>3</v>
      </c>
      <c r="AS9" s="99">
        <f t="shared" si="11"/>
        <v>3.4847999999999999</v>
      </c>
      <c r="AV9" s="84" t="s">
        <v>30</v>
      </c>
      <c r="AW9" s="19">
        <f t="shared" si="12"/>
        <v>9855</v>
      </c>
      <c r="AX9" s="85">
        <f t="shared" si="13"/>
        <v>6.3756000000000004</v>
      </c>
      <c r="AY9" s="186">
        <f t="shared" si="14"/>
        <v>62831.538</v>
      </c>
      <c r="AZ9" s="94">
        <v>34906.410000000003</v>
      </c>
      <c r="BA9" s="7">
        <f t="shared" si="15"/>
        <v>9</v>
      </c>
      <c r="BB9" s="7">
        <v>3</v>
      </c>
      <c r="BC9" s="99">
        <f t="shared" si="16"/>
        <v>3.9203999999999999</v>
      </c>
    </row>
    <row r="10" spans="1:57" ht="18" customHeight="1">
      <c r="A10" s="185" t="s">
        <v>31</v>
      </c>
      <c r="B10" s="19">
        <f t="shared" si="0"/>
        <v>1095</v>
      </c>
      <c r="C10" s="20">
        <v>6.5</v>
      </c>
      <c r="D10" s="186">
        <f>IF(OR(ISBLANK(B10),ISBLANK(C10)),0,B10*C10)</f>
        <v>7117.5</v>
      </c>
      <c r="E10" s="1"/>
      <c r="F10" s="7">
        <v>3</v>
      </c>
      <c r="G10" s="7">
        <v>1</v>
      </c>
      <c r="H10" s="101">
        <v>2.6</v>
      </c>
      <c r="I10" s="102">
        <v>8.5000000000000006E-2</v>
      </c>
      <c r="J10" s="102">
        <f t="shared" si="1"/>
        <v>0.22100000000000003</v>
      </c>
      <c r="K10" s="101"/>
      <c r="L10" s="101">
        <v>1.81</v>
      </c>
      <c r="M10" s="101">
        <f t="shared" si="2"/>
        <v>0</v>
      </c>
      <c r="N10" s="101">
        <f>(J10+M10)*F10*G10</f>
        <v>0.66300000000000003</v>
      </c>
      <c r="R10" s="185" t="s">
        <v>32</v>
      </c>
      <c r="S10" s="19">
        <f t="shared" si="3"/>
        <v>1460</v>
      </c>
      <c r="T10" s="20">
        <f>C10*(1+$T$4)</f>
        <v>6.8250000000000002</v>
      </c>
      <c r="U10" s="186">
        <f>IF(OR(ISBLANK(S10),ISBLANK(T10)),0,S10*T10)</f>
        <v>9964.5</v>
      </c>
      <c r="V10" s="94">
        <v>7473.375</v>
      </c>
      <c r="W10" s="7">
        <f>F10+1</f>
        <v>4</v>
      </c>
      <c r="X10" s="7">
        <v>1</v>
      </c>
      <c r="Y10" s="99">
        <f t="shared" si="4"/>
        <v>0.58079999999999998</v>
      </c>
      <c r="AA10" s="124"/>
      <c r="AB10" s="185" t="s">
        <v>32</v>
      </c>
      <c r="AC10" s="19">
        <f t="shared" si="5"/>
        <v>1825</v>
      </c>
      <c r="AD10" s="20">
        <f>T10*(1+$AD$4)</f>
        <v>7.5075000000000012</v>
      </c>
      <c r="AE10" s="186">
        <f>IF(OR(ISBLANK(AC10),ISBLANK(AD10)),0,AC10*AD10)</f>
        <v>13701.187500000002</v>
      </c>
      <c r="AF10" s="94">
        <v>8220.7125000000015</v>
      </c>
      <c r="AG10" s="7">
        <f t="shared" si="6"/>
        <v>5</v>
      </c>
      <c r="AH10" s="7">
        <v>1</v>
      </c>
      <c r="AI10" s="99">
        <f t="shared" si="7"/>
        <v>0.72599999999999998</v>
      </c>
      <c r="AL10" s="84" t="s">
        <v>32</v>
      </c>
      <c r="AM10" s="19">
        <f t="shared" si="8"/>
        <v>2190</v>
      </c>
      <c r="AN10" s="85">
        <f>AD10*(1+$AN$4)</f>
        <v>8.6336250000000003</v>
      </c>
      <c r="AO10" s="186">
        <f>IF(OR(ISBLANK(AM10),ISBLANK(AN10)),0,AM10*AN10)</f>
        <v>18907.638750000002</v>
      </c>
      <c r="AP10" s="94">
        <v>9453.8193750000009</v>
      </c>
      <c r="AQ10" s="7">
        <f t="shared" si="10"/>
        <v>6</v>
      </c>
      <c r="AR10" s="7">
        <v>1</v>
      </c>
      <c r="AS10" s="99">
        <f t="shared" si="11"/>
        <v>0.87119999999999997</v>
      </c>
      <c r="AV10" s="84" t="s">
        <v>32</v>
      </c>
      <c r="AW10" s="19">
        <f t="shared" si="12"/>
        <v>2555</v>
      </c>
      <c r="AX10" s="85">
        <f t="shared" si="13"/>
        <v>10.36035</v>
      </c>
      <c r="AY10" s="186">
        <f t="shared" si="14"/>
        <v>26470.69425</v>
      </c>
      <c r="AZ10" s="94">
        <v>11344.583250000001</v>
      </c>
      <c r="BA10" s="7">
        <f t="shared" si="15"/>
        <v>7</v>
      </c>
      <c r="BB10" s="7">
        <v>1</v>
      </c>
      <c r="BC10" s="99">
        <f t="shared" si="16"/>
        <v>1.0164</v>
      </c>
    </row>
    <row r="11" spans="1:57" ht="7" customHeight="1" thickBot="1">
      <c r="A11" s="187"/>
      <c r="B11" s="2"/>
      <c r="C11" s="24"/>
      <c r="D11" s="186"/>
      <c r="E11" s="1"/>
      <c r="R11" s="187"/>
      <c r="S11" s="2"/>
      <c r="T11" s="24"/>
      <c r="U11" s="186"/>
      <c r="AB11" s="187"/>
      <c r="AC11" s="2"/>
      <c r="AD11" s="24"/>
      <c r="AE11" s="186"/>
      <c r="AL11" s="87"/>
      <c r="AM11" s="88"/>
      <c r="AN11" s="86"/>
      <c r="AO11" s="86"/>
      <c r="AV11" s="87"/>
      <c r="AW11" s="88"/>
      <c r="AX11" s="86"/>
      <c r="AY11" s="86"/>
    </row>
    <row r="12" spans="1:57" ht="20" customHeight="1" thickTop="1">
      <c r="A12" s="23" t="s">
        <v>33</v>
      </c>
      <c r="B12" s="21"/>
      <c r="C12" s="22"/>
      <c r="D12" s="188">
        <f>SUM(D7:D10)</f>
        <v>75737.5</v>
      </c>
      <c r="E12" s="21"/>
      <c r="H12" s="94"/>
      <c r="I12" s="94"/>
      <c r="J12" s="94"/>
      <c r="K12" s="94"/>
      <c r="L12" s="94"/>
      <c r="M12" s="103"/>
      <c r="N12" s="94">
        <f>SUM(N7:N10)</f>
        <v>6.2424000000000008</v>
      </c>
      <c r="P12" s="7">
        <f>P7+P8</f>
        <v>1.1859999999999999</v>
      </c>
      <c r="R12" s="23" t="s">
        <v>33</v>
      </c>
      <c r="S12" s="21"/>
      <c r="T12" s="22"/>
      <c r="U12" s="188">
        <f>SUM(U7:U10)</f>
        <v>96004.125</v>
      </c>
      <c r="V12" s="94">
        <f>SUM(V7:V10)</f>
        <v>79524.375</v>
      </c>
      <c r="W12" s="94"/>
      <c r="X12" s="94"/>
      <c r="Y12" s="99">
        <f>SUM(Y7:Y10)</f>
        <v>6.9695999999999998</v>
      </c>
      <c r="Z12" s="7">
        <f>Z7+Z8</f>
        <v>1.415</v>
      </c>
      <c r="AB12" s="23" t="s">
        <v>33</v>
      </c>
      <c r="AC12" s="21"/>
      <c r="AD12" s="22"/>
      <c r="AE12" s="188">
        <f>SUM(AE7:AE10)</f>
        <v>123732.26250000001</v>
      </c>
      <c r="AF12" s="94">
        <f>SUM(AF7:AF10)</f>
        <v>87476.8125</v>
      </c>
      <c r="AI12" s="99">
        <f>SUM(AI7:AI10)</f>
        <v>8.1311999999999998</v>
      </c>
      <c r="AJ12" s="7">
        <f>AJ7+AJ8</f>
        <v>1.6440000000000001</v>
      </c>
      <c r="AL12" s="89" t="s">
        <v>33</v>
      </c>
      <c r="AM12" s="90"/>
      <c r="AN12" s="91"/>
      <c r="AO12" s="92">
        <f>SUM(AO7:AO10)</f>
        <v>163138.985625</v>
      </c>
      <c r="AP12" s="94">
        <f>SUM(AP7:AP10)</f>
        <v>100598.33437500001</v>
      </c>
      <c r="AS12" s="99">
        <f>SUM(AS7:AS10)</f>
        <v>9.2927999999999997</v>
      </c>
      <c r="AT12" s="7">
        <f>AT7+AT8</f>
        <v>1.8729999999999998</v>
      </c>
      <c r="AV12" s="89" t="s">
        <v>33</v>
      </c>
      <c r="AW12" s="90"/>
      <c r="AX12" s="91"/>
      <c r="AY12" s="92">
        <f>SUM(AY7:AY10)</f>
        <v>220783.04324999999</v>
      </c>
      <c r="AZ12" s="94">
        <f>SUM(AZ7:AZ10)</f>
        <v>120718.00125</v>
      </c>
      <c r="BC12" s="99">
        <f>SUM(BC7:BC10)</f>
        <v>10.4544</v>
      </c>
      <c r="BD12" s="7">
        <f>BD7+BD8</f>
        <v>2.1019999999999999</v>
      </c>
    </row>
    <row r="13" spans="1:57" ht="7" customHeight="1">
      <c r="A13" s="80"/>
      <c r="D13" s="80"/>
    </row>
    <row r="14" spans="1:57" s="12" customFormat="1" ht="20" customHeight="1">
      <c r="A14" s="13" t="s">
        <v>34</v>
      </c>
      <c r="B14" s="13"/>
      <c r="C14" s="13"/>
      <c r="D14" s="13"/>
      <c r="E14" s="13"/>
      <c r="Q14" s="123"/>
      <c r="R14" s="13" t="s">
        <v>34</v>
      </c>
      <c r="S14" s="13"/>
      <c r="T14" s="13"/>
      <c r="U14" s="13"/>
      <c r="AA14" s="123"/>
      <c r="AB14" s="13" t="s">
        <v>34</v>
      </c>
      <c r="AC14" s="13"/>
      <c r="AD14" s="13"/>
      <c r="AE14" s="13"/>
      <c r="AK14" s="123"/>
      <c r="AL14" s="13" t="s">
        <v>34</v>
      </c>
      <c r="AM14" s="13"/>
      <c r="AN14" s="13"/>
      <c r="AO14" s="13"/>
      <c r="AU14" s="123"/>
      <c r="AV14" s="13" t="s">
        <v>34</v>
      </c>
      <c r="AW14" s="13"/>
      <c r="AX14" s="13"/>
      <c r="AY14" s="13"/>
      <c r="BE14" s="123"/>
    </row>
    <row r="15" spans="1:57" ht="40.5" customHeight="1">
      <c r="A15" s="184"/>
      <c r="B15" s="79" t="s">
        <v>35</v>
      </c>
      <c r="C15" s="1"/>
      <c r="D15" s="79" t="s">
        <v>36</v>
      </c>
      <c r="E15" s="1"/>
      <c r="R15" s="184"/>
      <c r="S15" s="79" t="s">
        <v>35</v>
      </c>
      <c r="T15" s="1"/>
      <c r="U15" s="79" t="s">
        <v>36</v>
      </c>
      <c r="V15" s="13"/>
      <c r="AB15" s="184"/>
      <c r="AC15" s="79" t="s">
        <v>35</v>
      </c>
      <c r="AD15" s="1"/>
      <c r="AE15" s="79" t="s">
        <v>36</v>
      </c>
      <c r="AL15" s="184"/>
      <c r="AM15" s="79" t="s">
        <v>35</v>
      </c>
      <c r="AN15" s="1"/>
      <c r="AO15" s="79" t="s">
        <v>36</v>
      </c>
      <c r="AV15" s="184"/>
      <c r="AW15" s="79" t="s">
        <v>35</v>
      </c>
      <c r="AX15" s="1"/>
      <c r="AY15" s="79" t="s">
        <v>36</v>
      </c>
    </row>
    <row r="16" spans="1:57" ht="18" customHeight="1">
      <c r="A16" s="185" t="str">
        <f>A7</f>
        <v>W9kg</v>
      </c>
      <c r="B16" s="18">
        <f>(D7-D16)/D7</f>
        <v>0.96195999999999993</v>
      </c>
      <c r="C16" s="1"/>
      <c r="D16" s="186">
        <f>(N7+P7)*365</f>
        <v>1249.614</v>
      </c>
      <c r="E16" s="1"/>
      <c r="R16" s="185" t="str">
        <f>R8</f>
        <v>W19kg</v>
      </c>
      <c r="S16" s="18">
        <f>(U8-U16)/U8</f>
        <v>0.91991578947368413</v>
      </c>
      <c r="T16" s="1"/>
      <c r="U16" s="186">
        <f>(Y7+Z7)*365</f>
        <v>1457.883</v>
      </c>
      <c r="V16" s="1"/>
      <c r="AB16" s="185" t="str">
        <f>AB8</f>
        <v>W19kg</v>
      </c>
      <c r="AC16" s="18">
        <f>(AE8-AE16)/AE8</f>
        <v>0.93066302118933686</v>
      </c>
      <c r="AD16" s="1"/>
      <c r="AE16" s="186">
        <f>(AI7+AJ7)*365</f>
        <v>1666.152</v>
      </c>
      <c r="AL16" s="185" t="str">
        <f>AL8</f>
        <v>W19kg</v>
      </c>
      <c r="AM16" s="18">
        <f>(AO8-AO16)/AO8</f>
        <v>0.94186029727056209</v>
      </c>
      <c r="AN16" s="1"/>
      <c r="AO16" s="186">
        <f>(AS7+AT7)*365</f>
        <v>1874.4209999999998</v>
      </c>
      <c r="AV16" s="185" t="str">
        <f>AV7</f>
        <v>W9kg</v>
      </c>
      <c r="AW16" s="18">
        <f>(AY7-AY16)/AY7</f>
        <v>0.97613401091661955</v>
      </c>
      <c r="AX16" s="1"/>
      <c r="AY16" s="186">
        <f>(BC7+BD7)*365</f>
        <v>2082.6899999999996</v>
      </c>
    </row>
    <row r="17" spans="1:57" ht="18" customHeight="1">
      <c r="A17" s="185" t="str">
        <f>A8</f>
        <v>W18kg</v>
      </c>
      <c r="B17" s="18">
        <f>(D8-D17)/D8</f>
        <v>0.95232105263157885</v>
      </c>
      <c r="C17" s="1"/>
      <c r="D17" s="186">
        <f>(N8+P8)*365</f>
        <v>661.30700000000013</v>
      </c>
      <c r="E17" s="1"/>
      <c r="R17" s="185" t="str">
        <f>R9</f>
        <v>D18kg</v>
      </c>
      <c r="S17" s="18">
        <f>(U9-U17)/U9</f>
        <v>0.98417989417989415</v>
      </c>
      <c r="T17" s="1"/>
      <c r="U17" s="186">
        <f>(Y8+Z8)*365</f>
        <v>436.53999999999996</v>
      </c>
      <c r="V17" s="1"/>
      <c r="AB17" s="185" t="str">
        <f>AB9</f>
        <v>D18kg</v>
      </c>
      <c r="AC17" s="18">
        <f>(AE9-AE17)/AE9</f>
        <v>0.98520717377860245</v>
      </c>
      <c r="AD17" s="1"/>
      <c r="AE17" s="186">
        <f>(AI8+AJ8)*365</f>
        <v>523.84799999999996</v>
      </c>
      <c r="AL17" s="185" t="str">
        <f>AL9</f>
        <v>D18kg</v>
      </c>
      <c r="AM17" s="18">
        <f>(AO9-AO17)/AO9</f>
        <v>0.98686868686868678</v>
      </c>
      <c r="AN17" s="1"/>
      <c r="AO17" s="186">
        <f>(AS8+AT8)*365</f>
        <v>611.15599999999995</v>
      </c>
      <c r="AV17" s="185" t="str">
        <f>AV8</f>
        <v>W19kg</v>
      </c>
      <c r="AW17" s="18">
        <f t="shared" ref="AW17:AW18" si="17">(AY8-AY17)/AY8</f>
        <v>0.98420293157135263</v>
      </c>
      <c r="AX17" s="1"/>
      <c r="AY17" s="186">
        <f t="shared" ref="AY17:AY19" si="18">(BC8+BD8)*365</f>
        <v>698.46399999999994</v>
      </c>
    </row>
    <row r="18" spans="1:57" ht="18" customHeight="1">
      <c r="A18" s="185" t="str">
        <f>A9</f>
        <v>D14kg</v>
      </c>
      <c r="B18" s="18">
        <f>(D9-D18)/D9</f>
        <v>0.97449999999999992</v>
      </c>
      <c r="C18" s="1"/>
      <c r="D18" s="186">
        <f>(N9+P9)*365</f>
        <v>558.45000000000005</v>
      </c>
      <c r="E18" s="1"/>
      <c r="R18" s="185" t="str">
        <f>R10</f>
        <v>D36kg</v>
      </c>
      <c r="S18" s="18">
        <f>(U10-U18)/U10</f>
        <v>0.90426373626373624</v>
      </c>
      <c r="T18" s="1"/>
      <c r="U18" s="186">
        <f>(Y9+Z9)*365</f>
        <v>953.96399999999994</v>
      </c>
      <c r="V18" s="1"/>
      <c r="AB18" s="185" t="str">
        <f>AB10</f>
        <v>D36kg</v>
      </c>
      <c r="AC18" s="18">
        <f>(AE10-AE18)/AE10</f>
        <v>0.91876923076923078</v>
      </c>
      <c r="AD18" s="1"/>
      <c r="AE18" s="186">
        <f>(AI9+AJ9)*365</f>
        <v>1112.9579999999999</v>
      </c>
      <c r="AL18" s="185" t="str">
        <f>AL10</f>
        <v>D36kg</v>
      </c>
      <c r="AM18" s="18">
        <f>(AO10-AO18)/AO10</f>
        <v>0.93272814142379357</v>
      </c>
      <c r="AN18" s="1"/>
      <c r="AO18" s="186">
        <f>(AS9+AT9)*365</f>
        <v>1271.952</v>
      </c>
      <c r="AV18" s="185" t="str">
        <f>AV9</f>
        <v>D18kg</v>
      </c>
      <c r="AW18" s="18">
        <f t="shared" si="17"/>
        <v>0.9772256728778469</v>
      </c>
      <c r="AX18" s="1"/>
      <c r="AY18" s="186">
        <f t="shared" si="18"/>
        <v>1430.9459999999999</v>
      </c>
    </row>
    <row r="19" spans="1:57" ht="14.25" customHeight="1">
      <c r="A19" s="185" t="str">
        <f>A10</f>
        <v>D25kg</v>
      </c>
      <c r="B19" s="18">
        <f>(D10-D19)/D10</f>
        <v>0.96599999999999997</v>
      </c>
      <c r="C19" s="1"/>
      <c r="D19" s="186">
        <f>(N10+P10)*365</f>
        <v>241.995</v>
      </c>
      <c r="E19" s="1"/>
      <c r="R19" s="185">
        <f>R11</f>
        <v>0</v>
      </c>
      <c r="S19" s="18">
        <f>(U10-U19)/U10</f>
        <v>0.97872527472527471</v>
      </c>
      <c r="T19" s="1"/>
      <c r="U19" s="186">
        <f>(Y10+Z10)*365</f>
        <v>211.99199999999999</v>
      </c>
      <c r="V19" s="1"/>
      <c r="AB19" s="185">
        <f>AB11</f>
        <v>0</v>
      </c>
      <c r="AC19" s="18">
        <f>(AE10-AE19)/AE10</f>
        <v>0.98065934065934068</v>
      </c>
      <c r="AD19" s="1"/>
      <c r="AE19" s="186">
        <f>(AI10+AJ10)*365</f>
        <v>264.99</v>
      </c>
      <c r="AL19" s="185">
        <f>AL11</f>
        <v>0</v>
      </c>
      <c r="AM19" s="18">
        <f>(AO10-AO19)/AO10</f>
        <v>0.98318203535594839</v>
      </c>
      <c r="AN19" s="1"/>
      <c r="AO19" s="186">
        <f>(AS10+AT10)*365</f>
        <v>317.988</v>
      </c>
      <c r="AV19" s="185" t="str">
        <f>AV10</f>
        <v>D36kg</v>
      </c>
      <c r="AW19" s="18">
        <f>(AY9-AY19)/AY9</f>
        <v>0.99409554482018259</v>
      </c>
      <c r="AX19" s="1"/>
      <c r="AY19" s="186">
        <f t="shared" si="18"/>
        <v>370.98599999999999</v>
      </c>
    </row>
    <row r="20" spans="1:57" ht="13.5" customHeight="1">
      <c r="A20" s="187"/>
      <c r="B20" s="3"/>
      <c r="C20" s="1"/>
      <c r="D20" s="186"/>
      <c r="E20" s="1"/>
      <c r="R20" s="187"/>
      <c r="S20" s="3"/>
      <c r="T20" s="1"/>
      <c r="U20" s="186"/>
      <c r="V20" s="1"/>
      <c r="AB20" s="187"/>
      <c r="AC20" s="3"/>
      <c r="AD20" s="1"/>
      <c r="AE20" s="186"/>
      <c r="AL20" s="187"/>
      <c r="AM20" s="3"/>
      <c r="AN20" s="1"/>
      <c r="AO20" s="186"/>
      <c r="AV20" s="187"/>
      <c r="AW20" s="3"/>
      <c r="AX20" s="1"/>
      <c r="AY20" s="186"/>
    </row>
    <row r="21" spans="1:57" ht="20" customHeight="1">
      <c r="A21" s="23" t="s">
        <v>37</v>
      </c>
      <c r="B21" s="21"/>
      <c r="C21" s="21"/>
      <c r="D21" s="188">
        <f>SUM(D16:D19)</f>
        <v>2711.366</v>
      </c>
      <c r="E21" s="21"/>
      <c r="R21" s="23" t="s">
        <v>37</v>
      </c>
      <c r="S21" s="21"/>
      <c r="T21" s="21"/>
      <c r="U21" s="188">
        <f>SUM(U16:U19)</f>
        <v>3060.3789999999999</v>
      </c>
      <c r="V21" s="1"/>
      <c r="AB21" s="23" t="s">
        <v>37</v>
      </c>
      <c r="AC21" s="21"/>
      <c r="AD21" s="21"/>
      <c r="AE21" s="188">
        <f>SUM(AE16:AE19)</f>
        <v>3567.9479999999994</v>
      </c>
      <c r="AL21" s="23" t="s">
        <v>37</v>
      </c>
      <c r="AM21" s="21"/>
      <c r="AN21" s="21"/>
      <c r="AO21" s="188">
        <f>SUM(AO16:AO19)</f>
        <v>4075.5169999999994</v>
      </c>
      <c r="AV21" s="23" t="s">
        <v>37</v>
      </c>
      <c r="AW21" s="21"/>
      <c r="AX21" s="21"/>
      <c r="AY21" s="188">
        <f>SUM(AY16:AY19)</f>
        <v>4583.0859999999993</v>
      </c>
    </row>
    <row r="22" spans="1:57" ht="12" customHeight="1">
      <c r="A22" s="80"/>
      <c r="D22" s="80"/>
      <c r="V22" s="21"/>
    </row>
    <row r="23" spans="1:57" s="12" customFormat="1" ht="20" customHeight="1">
      <c r="A23" s="13" t="s">
        <v>38</v>
      </c>
      <c r="B23" s="17"/>
      <c r="C23" s="13"/>
      <c r="D23" s="13"/>
      <c r="E23" s="13"/>
      <c r="Q23" s="123"/>
      <c r="AA23" s="123"/>
      <c r="AK23" s="123"/>
      <c r="AU23" s="123"/>
      <c r="AX23" s="97"/>
      <c r="BE23" s="123"/>
    </row>
    <row r="24" spans="1:57" s="12" customFormat="1" ht="7" customHeight="1">
      <c r="A24" s="25"/>
      <c r="B24" s="26"/>
      <c r="C24" s="25"/>
      <c r="D24" s="25"/>
      <c r="E24" s="25"/>
      <c r="Q24" s="123"/>
      <c r="AA24" s="123"/>
      <c r="AK24" s="123"/>
      <c r="AU24" s="123"/>
      <c r="BE24" s="123"/>
    </row>
    <row r="25" spans="1:57" ht="18" customHeight="1">
      <c r="A25" s="185" t="s">
        <v>39</v>
      </c>
      <c r="B25" s="189">
        <v>2.5000000000000001E-2</v>
      </c>
      <c r="C25" s="1"/>
      <c r="D25" s="184"/>
      <c r="E25" s="1"/>
    </row>
    <row r="26" spans="1:57" ht="7" customHeight="1">
      <c r="A26" s="185"/>
      <c r="B26" s="190"/>
      <c r="C26" s="1"/>
      <c r="D26" s="184"/>
      <c r="E26" s="1"/>
    </row>
    <row r="27" spans="1:57" ht="7" customHeight="1">
      <c r="A27" s="80"/>
      <c r="B27" s="9"/>
      <c r="D27" s="80"/>
    </row>
    <row r="28" spans="1:57" s="12" customFormat="1" ht="20" customHeight="1">
      <c r="A28" s="13" t="s">
        <v>40</v>
      </c>
      <c r="B28" s="16"/>
      <c r="C28" s="13"/>
      <c r="D28" s="13"/>
      <c r="E28" s="13"/>
      <c r="Q28" s="123"/>
      <c r="AA28" s="123"/>
      <c r="AK28" s="123"/>
      <c r="AU28" s="123"/>
      <c r="BE28" s="123"/>
    </row>
    <row r="29" spans="1:57" s="12" customFormat="1" ht="7" customHeight="1">
      <c r="A29" s="25"/>
      <c r="B29" s="27"/>
      <c r="C29" s="25"/>
      <c r="D29" s="25"/>
      <c r="E29" s="25"/>
      <c r="Q29" s="123"/>
      <c r="AA29" s="123"/>
      <c r="AK29" s="123"/>
      <c r="AU29" s="123"/>
      <c r="BE29" s="123"/>
    </row>
    <row r="30" spans="1:57" ht="18" customHeight="1">
      <c r="A30" s="185" t="s">
        <v>41</v>
      </c>
      <c r="B30" s="191">
        <v>5</v>
      </c>
      <c r="C30" s="1"/>
      <c r="D30" s="184"/>
      <c r="E30" s="1"/>
    </row>
    <row r="31" spans="1:57" ht="7" customHeight="1">
      <c r="A31" s="185"/>
      <c r="B31" s="192"/>
      <c r="C31" s="1"/>
      <c r="D31" s="184"/>
      <c r="E31" s="1"/>
    </row>
    <row r="32" spans="1:57" ht="7" customHeight="1">
      <c r="A32" s="80"/>
      <c r="B32" s="10"/>
      <c r="D32" s="80"/>
    </row>
    <row r="33" spans="1:57" s="12" customFormat="1" ht="20" customHeight="1">
      <c r="A33" s="13" t="s">
        <v>42</v>
      </c>
      <c r="B33" s="15"/>
      <c r="C33" s="13"/>
      <c r="D33" s="13"/>
      <c r="E33" s="13"/>
      <c r="Q33" s="123"/>
      <c r="AA33" s="123"/>
      <c r="AK33" s="123"/>
      <c r="AU33" s="123"/>
      <c r="BE33" s="123"/>
    </row>
    <row r="34" spans="1:57" s="12" customFormat="1" ht="7" customHeight="1">
      <c r="A34" s="25"/>
      <c r="B34" s="28"/>
      <c r="C34" s="25"/>
      <c r="D34" s="25"/>
      <c r="E34" s="25"/>
      <c r="Q34" s="123"/>
      <c r="AA34" s="123"/>
      <c r="AK34" s="123"/>
      <c r="AU34" s="123"/>
      <c r="BE34" s="123"/>
    </row>
    <row r="35" spans="1:57" ht="18" customHeight="1">
      <c r="A35" s="185" t="s">
        <v>43</v>
      </c>
      <c r="B35" s="193">
        <v>0.24</v>
      </c>
      <c r="C35" s="1"/>
      <c r="D35" s="184"/>
      <c r="E35" s="1"/>
    </row>
    <row r="36" spans="1:57" ht="7" customHeight="1">
      <c r="A36" s="185"/>
      <c r="B36" s="190"/>
      <c r="C36" s="1"/>
      <c r="D36" s="184"/>
      <c r="E36" s="1"/>
    </row>
    <row r="37" spans="1:57" ht="7" customHeight="1">
      <c r="A37" s="80"/>
      <c r="B37" s="11"/>
      <c r="D37" s="80"/>
    </row>
    <row r="38" spans="1:57" s="12" customFormat="1" ht="20" customHeight="1">
      <c r="A38" s="13" t="s">
        <v>44</v>
      </c>
      <c r="B38" s="15"/>
      <c r="C38" s="13"/>
      <c r="D38" s="13"/>
      <c r="E38" s="13"/>
      <c r="Q38" s="123"/>
      <c r="AA38" s="123"/>
      <c r="AK38" s="123"/>
      <c r="AU38" s="123"/>
      <c r="BE38" s="123"/>
    </row>
    <row r="39" spans="1:57" s="12" customFormat="1" ht="7" customHeight="1">
      <c r="A39" s="25"/>
      <c r="B39" s="28"/>
      <c r="C39" s="25"/>
      <c r="D39" s="25"/>
      <c r="E39" s="25"/>
      <c r="Q39" s="123"/>
      <c r="AA39" s="123"/>
      <c r="AK39" s="123"/>
      <c r="AU39" s="123"/>
      <c r="BE39" s="123"/>
    </row>
    <row r="40" spans="1:57" ht="18" customHeight="1">
      <c r="A40" s="185" t="s">
        <v>45</v>
      </c>
      <c r="B40" s="193">
        <v>0.03</v>
      </c>
      <c r="C40" s="1"/>
      <c r="D40" s="184"/>
      <c r="E40" s="1"/>
    </row>
    <row r="41" spans="1:57" ht="7" customHeight="1">
      <c r="A41" s="185"/>
      <c r="B41" s="190"/>
      <c r="C41" s="1"/>
      <c r="D41" s="184"/>
      <c r="E41" s="1"/>
    </row>
    <row r="42" spans="1:57" ht="7" customHeight="1">
      <c r="A42" s="80"/>
      <c r="B42" s="11"/>
      <c r="D42" s="80"/>
    </row>
    <row r="43" spans="1:57" s="12" customFormat="1" ht="20" customHeight="1">
      <c r="A43" s="13" t="s">
        <v>46</v>
      </c>
      <c r="B43" s="15"/>
      <c r="C43" s="13"/>
      <c r="D43" s="13"/>
      <c r="E43" s="13"/>
      <c r="Q43" s="123"/>
      <c r="AA43" s="123"/>
      <c r="AK43" s="123"/>
      <c r="AU43" s="123"/>
      <c r="BE43" s="123"/>
    </row>
    <row r="44" spans="1:57" s="12" customFormat="1" ht="7" customHeight="1">
      <c r="A44" s="25"/>
      <c r="B44" s="28"/>
      <c r="C44" s="25"/>
      <c r="D44" s="25"/>
      <c r="E44" s="25"/>
      <c r="Q44" s="123"/>
      <c r="AA44" s="123"/>
      <c r="AK44" s="123"/>
      <c r="AU44" s="123"/>
      <c r="BE44" s="123"/>
    </row>
    <row r="45" spans="1:57" ht="18" customHeight="1">
      <c r="A45" s="185" t="s">
        <v>47</v>
      </c>
      <c r="B45" s="193">
        <v>0.05</v>
      </c>
      <c r="C45" s="1"/>
      <c r="D45" s="184"/>
      <c r="E45" s="1"/>
    </row>
    <row r="46" spans="1:57" ht="7" customHeight="1">
      <c r="A46" s="185"/>
      <c r="B46" s="190"/>
      <c r="C46" s="1"/>
      <c r="D46" s="184"/>
      <c r="E46" s="1"/>
    </row>
    <row r="47" spans="1:57" ht="7" customHeight="1">
      <c r="A47" s="80"/>
      <c r="B47" s="11"/>
      <c r="D47" s="80"/>
    </row>
    <row r="48" spans="1:57" s="12" customFormat="1" ht="20" customHeight="1">
      <c r="A48" s="13" t="s">
        <v>48</v>
      </c>
      <c r="B48" s="14"/>
      <c r="C48" s="13"/>
      <c r="D48" s="13"/>
      <c r="E48" s="13"/>
      <c r="Q48" s="123"/>
      <c r="AA48" s="123"/>
      <c r="AK48" s="123"/>
      <c r="AU48" s="123"/>
      <c r="BE48" s="123"/>
    </row>
    <row r="49" spans="1:57" s="12" customFormat="1" ht="7" customHeight="1">
      <c r="A49" s="25"/>
      <c r="B49" s="29"/>
      <c r="C49" s="25"/>
      <c r="D49" s="25"/>
      <c r="E49" s="25"/>
      <c r="Q49" s="123"/>
      <c r="AA49" s="123"/>
      <c r="AK49" s="123"/>
      <c r="AU49" s="123"/>
      <c r="BE49" s="123"/>
    </row>
    <row r="50" spans="1:57" ht="18" customHeight="1">
      <c r="A50" s="79" t="s">
        <v>49</v>
      </c>
      <c r="B50" s="194">
        <f>'Startup total cost'!D36</f>
        <v>26300</v>
      </c>
      <c r="C50" s="1"/>
      <c r="D50" s="184"/>
      <c r="E50" s="1"/>
    </row>
    <row r="51" spans="1:57" ht="18" customHeight="1">
      <c r="A51" s="31" t="s">
        <v>50</v>
      </c>
      <c r="B51" s="195">
        <v>5.9900000000000002E-2</v>
      </c>
      <c r="C51" s="1"/>
      <c r="D51" s="184"/>
      <c r="E51" s="1"/>
    </row>
    <row r="52" spans="1:57" ht="18" customHeight="1">
      <c r="A52" s="31" t="s">
        <v>51</v>
      </c>
      <c r="B52" s="196">
        <v>60</v>
      </c>
      <c r="C52" s="1"/>
      <c r="D52" s="184"/>
      <c r="E52" s="1"/>
    </row>
    <row r="53" spans="1:57" ht="18" customHeight="1">
      <c r="A53" s="31" t="s">
        <v>52</v>
      </c>
      <c r="B53" s="197">
        <f>(1+'Model Inputs'!B51)^(1/12)-1</f>
        <v>4.8596503216116194E-3</v>
      </c>
      <c r="C53" s="1"/>
      <c r="D53" s="184"/>
      <c r="E53" s="1"/>
    </row>
    <row r="54" spans="1:57" ht="18" customHeight="1">
      <c r="A54" s="31" t="s">
        <v>53</v>
      </c>
      <c r="B54" s="198">
        <f>IF(ISBLANK(B52),0,-PMT('Model Inputs'!B53,'Model Inputs'!B52,'Model Inputs'!B50))</f>
        <v>506.39559702103969</v>
      </c>
      <c r="C54" s="1"/>
      <c r="D54" s="184"/>
      <c r="E54" s="1"/>
    </row>
    <row r="55" spans="1:57" ht="18" customHeight="1">
      <c r="A55" s="31" t="s">
        <v>54</v>
      </c>
      <c r="B55" s="198">
        <f>IF(ISBLANK(B52),0,B52*B54)</f>
        <v>30383.73582126238</v>
      </c>
      <c r="C55" s="1"/>
      <c r="D55" s="184"/>
      <c r="E55" s="1"/>
    </row>
    <row r="56" spans="1:57" ht="7" customHeight="1">
      <c r="A56" s="1"/>
      <c r="B56" s="1"/>
      <c r="C56" s="1"/>
      <c r="D56" s="184"/>
      <c r="E56" s="1"/>
    </row>
    <row r="57" spans="1:57" ht="18" customHeight="1">
      <c r="D57" s="80"/>
    </row>
    <row r="58" spans="1:57" ht="18" customHeight="1">
      <c r="D58" s="80"/>
    </row>
  </sheetData>
  <phoneticPr fontId="7" type="noConversion"/>
  <pageMargins left="0.19685039370078741" right="0.19685039370078741" top="0.19685039370078741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B525-4783-5C48-A751-A9881A6E10B6}">
  <dimension ref="A1:P44"/>
  <sheetViews>
    <sheetView zoomScale="131" workbookViewId="0">
      <selection activeCell="G10" sqref="G10"/>
    </sheetView>
  </sheetViews>
  <sheetFormatPr baseColWidth="10" defaultColWidth="10.83203125" defaultRowHeight="13"/>
  <cols>
    <col min="1" max="1" width="31.33203125" style="125" bestFit="1" customWidth="1"/>
    <col min="2" max="2" width="11" style="125" bestFit="1" customWidth="1"/>
    <col min="3" max="16384" width="10.83203125" style="125"/>
  </cols>
  <sheetData>
    <row r="1" spans="1:16" s="127" customFormat="1">
      <c r="A1" s="127" t="s">
        <v>228</v>
      </c>
    </row>
    <row r="4" spans="1:16">
      <c r="A4" s="126" t="s">
        <v>229</v>
      </c>
      <c r="B4" s="148" t="s">
        <v>230</v>
      </c>
      <c r="C4" s="148" t="s">
        <v>231</v>
      </c>
      <c r="D4" s="148" t="s">
        <v>232</v>
      </c>
      <c r="E4" s="148" t="s">
        <v>153</v>
      </c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</row>
    <row r="5" spans="1:16">
      <c r="A5" s="185" t="s">
        <v>26</v>
      </c>
      <c r="B5" s="125">
        <f>'Model Inputs'!J7</f>
        <v>6.3750000000000001E-2</v>
      </c>
      <c r="C5" s="131">
        <f>'Model Inputs'!M7</f>
        <v>8.1449999999999995E-2</v>
      </c>
      <c r="D5" s="125">
        <f>'Model Inputs'!O7</f>
        <v>4.4999999999999998E-2</v>
      </c>
      <c r="E5" s="125">
        <f>SUM(B5:D5)</f>
        <v>0.19019999999999998</v>
      </c>
    </row>
    <row r="6" spans="1:16">
      <c r="A6" s="185" t="s">
        <v>27</v>
      </c>
      <c r="B6" s="125">
        <f>'Model Inputs'!J8</f>
        <v>0.18700000000000003</v>
      </c>
      <c r="C6" s="131">
        <f>'Model Inputs'!M8</f>
        <v>0.17195000000000002</v>
      </c>
      <c r="D6" s="125">
        <f>'Model Inputs'!O8</f>
        <v>9.4E-2</v>
      </c>
      <c r="E6" s="125">
        <f>SUM(B6:D6)</f>
        <v>0.45295000000000007</v>
      </c>
    </row>
    <row r="7" spans="1:16">
      <c r="A7" s="185" t="s">
        <v>29</v>
      </c>
      <c r="B7" s="125">
        <f>'Model Inputs'!J9</f>
        <v>0.10200000000000001</v>
      </c>
      <c r="C7" s="131"/>
      <c r="E7" s="125">
        <f>SUM(B7:D7)</f>
        <v>0.10200000000000001</v>
      </c>
    </row>
    <row r="8" spans="1:16">
      <c r="A8" s="185" t="s">
        <v>31</v>
      </c>
      <c r="B8" s="125">
        <f>'Model Inputs'!J10</f>
        <v>0.22100000000000003</v>
      </c>
      <c r="C8" s="131"/>
      <c r="E8" s="125">
        <f>SUM(B8:D8)</f>
        <v>0.22100000000000003</v>
      </c>
    </row>
    <row r="9" spans="1:16">
      <c r="A9" s="126"/>
      <c r="E9" s="156">
        <f>AVERAGE(E5:E8)</f>
        <v>0.24153750000000002</v>
      </c>
      <c r="F9" s="129"/>
      <c r="G9" s="129"/>
    </row>
    <row r="12" spans="1:16">
      <c r="B12" s="148" t="s">
        <v>57</v>
      </c>
      <c r="C12" s="148" t="s">
        <v>58</v>
      </c>
      <c r="D12" s="148" t="s">
        <v>59</v>
      </c>
      <c r="E12" s="148" t="s">
        <v>60</v>
      </c>
      <c r="F12" s="148" t="s">
        <v>61</v>
      </c>
    </row>
    <row r="13" spans="1:16">
      <c r="A13" s="126" t="s">
        <v>233</v>
      </c>
      <c r="B13" s="131">
        <f>'Profit and Loss'!B57</f>
        <v>28891.790231424686</v>
      </c>
      <c r="C13" s="131">
        <f>'Profit and Loss'!C57</f>
        <v>29601.994461148293</v>
      </c>
      <c r="D13" s="131">
        <f>'Profit and Loss'!D57</f>
        <v>30899.655396732353</v>
      </c>
      <c r="E13" s="131">
        <f>'Profit and Loss'!E57</f>
        <v>32872.348114857887</v>
      </c>
      <c r="F13" s="131">
        <f>'Profit and Loss'!F57</f>
        <v>35672.594977099157</v>
      </c>
    </row>
    <row r="14" spans="1:16">
      <c r="A14" s="126" t="s">
        <v>80</v>
      </c>
      <c r="B14" s="151">
        <f>'Profit and Loss'!B49</f>
        <v>7824</v>
      </c>
      <c r="C14" s="151">
        <f>'Profit and Loss'!C49</f>
        <v>8224</v>
      </c>
      <c r="D14" s="151">
        <f>'Profit and Loss'!D49</f>
        <v>8624</v>
      </c>
      <c r="E14" s="151">
        <f>'Profit and Loss'!E49</f>
        <v>9024</v>
      </c>
      <c r="F14" s="151">
        <f>'Profit and Loss'!F49</f>
        <v>9424</v>
      </c>
    </row>
    <row r="15" spans="1:16">
      <c r="A15" s="126" t="s">
        <v>2</v>
      </c>
      <c r="B15" s="145">
        <f>'Profit and Loss'!B8</f>
        <v>0</v>
      </c>
      <c r="C15" s="145">
        <f>'Profit and Loss'!C8</f>
        <v>0.03</v>
      </c>
      <c r="D15" s="145">
        <f>'Profit and Loss'!D8</f>
        <v>0.06</v>
      </c>
      <c r="E15" s="145">
        <f>'Profit and Loss'!E8</f>
        <v>0.09</v>
      </c>
      <c r="F15" s="145">
        <f>'Profit and Loss'!F8</f>
        <v>0.12</v>
      </c>
    </row>
    <row r="16" spans="1:16">
      <c r="A16" s="126" t="s">
        <v>234</v>
      </c>
      <c r="B16" s="128">
        <f>E9</f>
        <v>0.24153750000000002</v>
      </c>
      <c r="C16" s="128">
        <f>B16*(1+C15)</f>
        <v>0.24878362500000004</v>
      </c>
      <c r="D16" s="128">
        <f>C16*(1+D15)</f>
        <v>0.26371064250000004</v>
      </c>
      <c r="E16" s="128">
        <f>D16*(1+E15)</f>
        <v>0.28744460032500008</v>
      </c>
      <c r="F16" s="128">
        <f>E16*(1+F15)</f>
        <v>0.32193795236400014</v>
      </c>
    </row>
    <row r="17" spans="1:7">
      <c r="A17" s="126" t="s">
        <v>235</v>
      </c>
      <c r="B17" s="142">
        <f>AVERAGE('Model Inputs'!C7:C10)</f>
        <v>6.25</v>
      </c>
      <c r="C17" s="142">
        <f>AVERAGE('Model Inputs'!T7:T10)</f>
        <v>6.5625</v>
      </c>
      <c r="D17" s="142">
        <f>AVERAGE('Model Inputs'!AD7:AD10)</f>
        <v>7.2187500000000009</v>
      </c>
      <c r="E17" s="142">
        <f>AVERAGE('Model Inputs'!AN7:AN10)</f>
        <v>8.3015625000000011</v>
      </c>
      <c r="F17" s="142">
        <f>AVERAGE('Model Inputs'!AX7:AX10)</f>
        <v>9.9618749999999991</v>
      </c>
    </row>
    <row r="18" spans="1:7">
      <c r="A18" s="126" t="s">
        <v>236</v>
      </c>
      <c r="B18" s="151">
        <f>ROUND(B13/(B17-B16),0)</f>
        <v>4809</v>
      </c>
      <c r="C18" s="151">
        <f t="shared" ref="C18:F18" si="0">ROUND(C13/(C17-C16),0)</f>
        <v>4689</v>
      </c>
      <c r="D18" s="151">
        <f t="shared" si="0"/>
        <v>4443</v>
      </c>
      <c r="E18" s="151">
        <f t="shared" si="0"/>
        <v>4102</v>
      </c>
      <c r="F18" s="151">
        <f t="shared" si="0"/>
        <v>3701</v>
      </c>
    </row>
    <row r="19" spans="1:7">
      <c r="A19" s="126" t="s">
        <v>237</v>
      </c>
      <c r="B19" s="131">
        <f>(B13-B14)/(B17-B16)</f>
        <v>3506.3529532596208</v>
      </c>
      <c r="C19" s="131">
        <f t="shared" ref="C19:F19" si="1">(C13-C14)/(C17-C16)</f>
        <v>3385.9605328166635</v>
      </c>
      <c r="D19" s="131">
        <f>(D13-D14)/(D17-D16)</f>
        <v>3202.8079571844969</v>
      </c>
      <c r="E19" s="131">
        <f t="shared" si="1"/>
        <v>2975.792022703461</v>
      </c>
      <c r="F19" s="131">
        <f t="shared" si="1"/>
        <v>2722.9010778173179</v>
      </c>
    </row>
    <row r="20" spans="1:7">
      <c r="A20" s="126" t="s">
        <v>238</v>
      </c>
      <c r="B20" s="151">
        <f>SUM('Model Inputs'!B7:B10)</f>
        <v>14600</v>
      </c>
      <c r="C20" s="151">
        <f>SUM('Model Inputs'!S7:S10)</f>
        <v>17520</v>
      </c>
      <c r="D20" s="151">
        <f>SUM('Model Inputs'!AC7:AC10)</f>
        <v>20440</v>
      </c>
      <c r="E20" s="151">
        <f>SUM('Model Inputs'!AM7:AM10)</f>
        <v>23360</v>
      </c>
      <c r="F20" s="151">
        <f>SUM('Model Inputs'!AW7:AW10)</f>
        <v>26280</v>
      </c>
    </row>
    <row r="26" spans="1:7" s="127" customFormat="1">
      <c r="A26" s="127" t="s">
        <v>239</v>
      </c>
    </row>
    <row r="28" spans="1:7">
      <c r="B28" t="s">
        <v>240</v>
      </c>
      <c r="C28" s="148" t="s">
        <v>57</v>
      </c>
      <c r="D28" s="148" t="s">
        <v>58</v>
      </c>
      <c r="E28" s="148" t="s">
        <v>59</v>
      </c>
      <c r="F28" s="148" t="s">
        <v>60</v>
      </c>
      <c r="G28" s="148" t="s">
        <v>61</v>
      </c>
    </row>
    <row r="29" spans="1:7">
      <c r="A29" t="s">
        <v>241</v>
      </c>
      <c r="B29" s="237">
        <f>-1*('Balance Sheet'!B66+'Balance Sheet'!B76)</f>
        <v>-56300</v>
      </c>
      <c r="C29" s="237">
        <f>'Cash Flow'!B37</f>
        <v>34886.916331289453</v>
      </c>
      <c r="D29" s="237">
        <f>'Cash Flow'!C37</f>
        <v>39791.013232517653</v>
      </c>
      <c r="E29" s="237">
        <f>'Cash Flow'!D37</f>
        <v>8180.1103243282123</v>
      </c>
      <c r="F29" s="237">
        <f>'Cash Flow'!E37</f>
        <v>11072.511109376224</v>
      </c>
      <c r="G29" s="237">
        <f>'Cash Flow'!F37</f>
        <v>15269.245985587157</v>
      </c>
    </row>
    <row r="30" spans="1:7">
      <c r="A30" s="126" t="s">
        <v>242</v>
      </c>
      <c r="C30" s="237">
        <f>B29+C29</f>
        <v>-21413.083668710547</v>
      </c>
      <c r="D30" s="237">
        <f>C30+D29</f>
        <v>18377.929563807105</v>
      </c>
      <c r="E30" s="237">
        <f>D30+E29</f>
        <v>26558.039888135318</v>
      </c>
      <c r="F30" s="237">
        <f>E30+F29</f>
        <v>37630.550997511542</v>
      </c>
      <c r="G30" s="237">
        <f>F30+G29</f>
        <v>52899.796983098699</v>
      </c>
    </row>
    <row r="31" spans="1:7">
      <c r="A31" s="126" t="s">
        <v>243</v>
      </c>
      <c r="C31" s="157"/>
      <c r="D31" s="156">
        <f>-C30/D29*365</f>
        <v>196.42062124450285</v>
      </c>
      <c r="E31" s="157"/>
      <c r="F31" s="157"/>
      <c r="G31" s="157"/>
    </row>
    <row r="32" spans="1:7">
      <c r="A32" s="125" t="s">
        <v>244</v>
      </c>
      <c r="C32" s="128"/>
      <c r="D32" s="238">
        <f>D31/30.4</f>
        <v>6.461204646200752</v>
      </c>
    </row>
    <row r="33" spans="3:4">
      <c r="D33" s="158"/>
    </row>
    <row r="44" spans="3:4">
      <c r="C44" s="237"/>
    </row>
  </sheetData>
  <phoneticPr fontId="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4DB1-FE38-C648-855D-CED4EDF97AF8}">
  <dimension ref="A1:N34"/>
  <sheetViews>
    <sheetView topLeftCell="A10" zoomScale="138" workbookViewId="0">
      <selection activeCell="F32" sqref="F32"/>
    </sheetView>
  </sheetViews>
  <sheetFormatPr baseColWidth="10" defaultColWidth="10.83203125" defaultRowHeight="13"/>
  <cols>
    <col min="1" max="1" width="17" style="125" customWidth="1"/>
    <col min="2" max="2" width="12.1640625" style="125" bestFit="1" customWidth="1"/>
    <col min="3" max="6" width="10.83203125" style="125"/>
    <col min="7" max="7" width="15.5" style="125" customWidth="1"/>
    <col min="8" max="8" width="14.6640625" style="125" customWidth="1"/>
    <col min="9" max="16384" width="10.83203125" style="125"/>
  </cols>
  <sheetData>
    <row r="1" spans="1:6" s="127" customFormat="1">
      <c r="A1" s="127" t="s">
        <v>245</v>
      </c>
    </row>
    <row r="3" spans="1:6">
      <c r="B3" s="148" t="s">
        <v>57</v>
      </c>
      <c r="C3" s="148" t="s">
        <v>58</v>
      </c>
      <c r="D3" s="148" t="s">
        <v>59</v>
      </c>
      <c r="E3" s="148" t="s">
        <v>60</v>
      </c>
      <c r="F3" s="148" t="s">
        <v>61</v>
      </c>
    </row>
    <row r="4" spans="1:6">
      <c r="A4" s="126" t="s">
        <v>246</v>
      </c>
      <c r="B4" s="131">
        <f>'Balance Sheet'!B71</f>
        <v>30000</v>
      </c>
      <c r="C4" s="131">
        <f>'Balance Sheet'!C71</f>
        <v>30000</v>
      </c>
      <c r="D4" s="131">
        <f>'Balance Sheet'!D71</f>
        <v>30000</v>
      </c>
      <c r="E4" s="131">
        <f>'Balance Sheet'!E71</f>
        <v>30000</v>
      </c>
      <c r="F4" s="131">
        <f>'Balance Sheet'!F71</f>
        <v>30000</v>
      </c>
    </row>
    <row r="5" spans="1:6">
      <c r="A5" s="126" t="s">
        <v>136</v>
      </c>
      <c r="B5" s="131">
        <f>'Balance Sheet'!C66</f>
        <v>21820.815067172211</v>
      </c>
      <c r="C5" s="131">
        <f>'Balance Sheet'!D66</f>
        <v>16896.653364068028</v>
      </c>
      <c r="D5" s="131">
        <f>'Balance Sheet'!E66</f>
        <v>11689.259596547903</v>
      </c>
      <c r="E5" s="131">
        <f>'Balance Sheet'!F66</f>
        <v>6167.8555471533182</v>
      </c>
      <c r="F5" s="131">
        <f>'Balance Sheet'!G66</f>
        <v>313.63200000000001</v>
      </c>
    </row>
    <row r="6" spans="1:6">
      <c r="A6" s="126" t="s">
        <v>247</v>
      </c>
      <c r="B6" s="131">
        <f>B4+B5</f>
        <v>51820.815067172211</v>
      </c>
      <c r="C6" s="131">
        <f t="shared" ref="C6:F6" si="0">C4+C5</f>
        <v>46896.653364068028</v>
      </c>
      <c r="D6" s="131">
        <f t="shared" si="0"/>
        <v>41689.259596547905</v>
      </c>
      <c r="E6" s="131">
        <f t="shared" si="0"/>
        <v>36167.855547153318</v>
      </c>
      <c r="F6" s="131">
        <f t="shared" si="0"/>
        <v>30313.632000000001</v>
      </c>
    </row>
    <row r="7" spans="1:6">
      <c r="A7" s="126" t="s">
        <v>248</v>
      </c>
      <c r="B7" s="144">
        <f>B4/B6</f>
        <v>0.57891794949795372</v>
      </c>
      <c r="C7" s="144">
        <f t="shared" ref="C7:F7" si="1">C4/C6</f>
        <v>0.63970449590728884</v>
      </c>
      <c r="D7" s="144">
        <f t="shared" si="1"/>
        <v>0.71960980574680589</v>
      </c>
      <c r="E7" s="144">
        <f t="shared" si="1"/>
        <v>0.82946582113191458</v>
      </c>
      <c r="F7" s="144">
        <f t="shared" si="1"/>
        <v>0.98965376369284941</v>
      </c>
    </row>
    <row r="8" spans="1:6">
      <c r="A8" s="126" t="s">
        <v>249</v>
      </c>
      <c r="B8" s="144">
        <f>B5/B6</f>
        <v>0.42108205050204628</v>
      </c>
      <c r="C8" s="144">
        <f t="shared" ref="C8:F8" si="2">C5/C6</f>
        <v>0.36029550409271116</v>
      </c>
      <c r="D8" s="144">
        <f t="shared" si="2"/>
        <v>0.28039019425319411</v>
      </c>
      <c r="E8" s="144">
        <f t="shared" si="2"/>
        <v>0.17053417886808539</v>
      </c>
      <c r="F8" s="144">
        <f t="shared" si="2"/>
        <v>1.0346236307150525E-2</v>
      </c>
    </row>
    <row r="9" spans="1:6">
      <c r="A9" s="126" t="s">
        <v>250</v>
      </c>
      <c r="B9" s="145">
        <f>B7*$B$14+B8*$B$16*(1-$B$17)</f>
        <v>9.0224570552534994E-2</v>
      </c>
      <c r="C9" s="145">
        <f>C7*$B$14+C8*$B$16*(1-$B$17)</f>
        <v>9.491814294698539E-2</v>
      </c>
      <c r="D9" s="145">
        <f>D7*$B$14+D8*$B$16*(1-$B$17)</f>
        <v>0.10108795154093386</v>
      </c>
      <c r="E9" s="145">
        <f>E7*$B$14+E8*$B$16*(1-$B$17)</f>
        <v>0.10957037391287965</v>
      </c>
      <c r="F9" s="145">
        <f>F7*$B$14+F8*$B$16*(1-$B$17)</f>
        <v>0.12193912570977966</v>
      </c>
    </row>
    <row r="11" spans="1:6">
      <c r="A11" s="126" t="s">
        <v>251</v>
      </c>
      <c r="B11" s="145">
        <v>0.1106</v>
      </c>
    </row>
    <row r="12" spans="1:6">
      <c r="A12" s="126" t="s">
        <v>252</v>
      </c>
      <c r="B12" s="145">
        <v>3.9199999999999999E-2</v>
      </c>
    </row>
    <row r="13" spans="1:6">
      <c r="A13" s="126" t="s">
        <v>253</v>
      </c>
      <c r="B13" s="125">
        <v>1.17</v>
      </c>
    </row>
    <row r="14" spans="1:6">
      <c r="A14" s="126" t="s">
        <v>254</v>
      </c>
      <c r="B14" s="145">
        <f>B12+B13*(B11-B12)</f>
        <v>0.122738</v>
      </c>
    </row>
    <row r="16" spans="1:6">
      <c r="A16" s="126" t="s">
        <v>255</v>
      </c>
      <c r="B16" s="144">
        <f>'Model Inputs'!B51</f>
        <v>5.9900000000000002E-2</v>
      </c>
    </row>
    <row r="17" spans="1:14">
      <c r="A17" s="126" t="s">
        <v>256</v>
      </c>
      <c r="B17" s="146">
        <f>'Model Inputs'!B35</f>
        <v>0.24</v>
      </c>
    </row>
    <row r="20" spans="1:14">
      <c r="B20" s="148">
        <v>1</v>
      </c>
      <c r="C20" s="148">
        <v>2</v>
      </c>
      <c r="D20" s="148">
        <v>3</v>
      </c>
      <c r="E20" s="148">
        <v>4</v>
      </c>
      <c r="F20" s="148">
        <v>5</v>
      </c>
      <c r="G20" s="148" t="s">
        <v>257</v>
      </c>
    </row>
    <row r="21" spans="1:14">
      <c r="A21" s="126" t="s">
        <v>258</v>
      </c>
      <c r="B21" s="131">
        <f>'Profit and Loss'!B75</f>
        <v>33542.101264117242</v>
      </c>
      <c r="C21" s="131">
        <f>'Profit and Loss'!C75</f>
        <v>48139.731169527295</v>
      </c>
      <c r="D21" s="131">
        <f>'Profit and Loss'!D75</f>
        <v>67841.140918483419</v>
      </c>
      <c r="E21" s="131">
        <f>'Profit and Loss'!E75</f>
        <v>95905.251587708015</v>
      </c>
      <c r="F21" s="131">
        <f>'Profit and Loss'!F75</f>
        <v>137200.79532740463</v>
      </c>
    </row>
    <row r="22" spans="1:14">
      <c r="A22" s="126" t="s">
        <v>80</v>
      </c>
      <c r="B22" s="131">
        <f>'Profit and Loss'!B49</f>
        <v>7824</v>
      </c>
      <c r="C22" s="131">
        <f>'Profit and Loss'!C49</f>
        <v>8224</v>
      </c>
      <c r="D22" s="131">
        <f>'Profit and Loss'!D49</f>
        <v>8624</v>
      </c>
      <c r="E22" s="131">
        <f>'Profit and Loss'!E49</f>
        <v>9024</v>
      </c>
      <c r="F22" s="131">
        <f>'Profit and Loss'!F49</f>
        <v>9424</v>
      </c>
    </row>
    <row r="23" spans="1:14">
      <c r="A23" s="126" t="s">
        <v>259</v>
      </c>
      <c r="B23" s="131">
        <f>'Cash Flow'!B20</f>
        <v>-2000</v>
      </c>
      <c r="C23" s="131">
        <f>'Cash Flow'!C20</f>
        <v>-2000</v>
      </c>
      <c r="D23" s="131">
        <f>'Cash Flow'!D20</f>
        <v>-2000</v>
      </c>
      <c r="E23" s="131">
        <f>'Cash Flow'!E20</f>
        <v>-2000</v>
      </c>
      <c r="F23" s="131">
        <f>'Cash Flow'!F20</f>
        <v>-2000</v>
      </c>
    </row>
    <row r="24" spans="1:14">
      <c r="A24" s="126" t="s">
        <v>227</v>
      </c>
      <c r="B24" s="131">
        <f>'Balance Sheet'!C16-'Balance Sheet'!C50</f>
        <v>46659.644331289455</v>
      </c>
      <c r="C24" s="131">
        <f>'Balance Sheet'!D16-'Balance Sheet'!D50</f>
        <v>86449.451563807103</v>
      </c>
      <c r="D24" s="131">
        <f>'Balance Sheet'!E16-'Balance Sheet'!E50</f>
        <v>94615.323888135317</v>
      </c>
      <c r="E24" s="131">
        <f>'Balance Sheet'!F16-'Balance Sheet'!F50</f>
        <v>105673.59699751154</v>
      </c>
      <c r="F24" s="131">
        <f>'Balance Sheet'!G16-'Balance Sheet'!G50</f>
        <v>120928.60498309869</v>
      </c>
      <c r="J24" s="131">
        <f>(C27-B27)/B27*100</f>
        <v>-299.81953630473475</v>
      </c>
      <c r="K24" s="131">
        <f>(D27-C27)/C27*100</f>
        <v>354.91707573546478</v>
      </c>
      <c r="L24" s="131">
        <f>(E27-D27)/D27*100</f>
        <v>38.57012366261749</v>
      </c>
      <c r="M24" s="131">
        <f>(F27-E27)/E27*100</f>
        <v>40.816816675496682</v>
      </c>
      <c r="N24" s="131"/>
    </row>
    <row r="25" spans="1:14">
      <c r="A25" s="126" t="s">
        <v>260</v>
      </c>
      <c r="B25" s="131">
        <f>B24</f>
        <v>46659.644331289455</v>
      </c>
      <c r="C25" s="131">
        <f>C24-B24</f>
        <v>39789.807232517647</v>
      </c>
      <c r="D25" s="131">
        <f t="shared" ref="D25:F25" si="3">D24-C24</f>
        <v>8165.8723243282147</v>
      </c>
      <c r="E25" s="131">
        <f t="shared" si="3"/>
        <v>11058.273109376227</v>
      </c>
      <c r="F25" s="131">
        <f t="shared" si="3"/>
        <v>15255.007985587145</v>
      </c>
    </row>
    <row r="26" spans="1:14">
      <c r="A26" s="126"/>
      <c r="B26" s="131"/>
      <c r="C26" s="143"/>
      <c r="D26" s="143"/>
      <c r="E26" s="143"/>
      <c r="F26" s="143"/>
      <c r="G26" s="149"/>
    </row>
    <row r="27" spans="1:14">
      <c r="A27" s="126" t="s">
        <v>261</v>
      </c>
      <c r="B27" s="131">
        <f>B21+B22-B25+B23</f>
        <v>-7293.5430671722133</v>
      </c>
      <c r="C27" s="131">
        <f t="shared" ref="C27:F27" si="4">C21+C22-C25+C23</f>
        <v>14573.923937009647</v>
      </c>
      <c r="D27" s="131">
        <f t="shared" si="4"/>
        <v>66299.268594155204</v>
      </c>
      <c r="E27" s="131">
        <f t="shared" si="4"/>
        <v>91870.978478331788</v>
      </c>
      <c r="F27" s="131">
        <f t="shared" si="4"/>
        <v>129369.78734181749</v>
      </c>
      <c r="G27" s="131">
        <f>F27*(1+B31)/(F9-B31)</f>
        <v>1579442.5519736463</v>
      </c>
      <c r="J27" s="126" t="s">
        <v>262</v>
      </c>
    </row>
    <row r="28" spans="1:14">
      <c r="A28" s="126" t="s">
        <v>263</v>
      </c>
      <c r="B28" s="128">
        <f>(1+B9)^B20</f>
        <v>1.0902245705525351</v>
      </c>
      <c r="C28" s="128">
        <f>(1+C9)^C20</f>
        <v>1.1988457397544752</v>
      </c>
      <c r="D28" s="128">
        <f>(1+D9)^D20</f>
        <v>1.3349531713885636</v>
      </c>
      <c r="E28" s="128">
        <f>(1+E9)^E20</f>
        <v>1.5157214943428969</v>
      </c>
      <c r="F28" s="128">
        <f>(1+F9)^F20</f>
        <v>1.777650862195389</v>
      </c>
      <c r="G28" s="128">
        <f>F28</f>
        <v>1.777650862195389</v>
      </c>
    </row>
    <row r="29" spans="1:14">
      <c r="A29" s="126" t="s">
        <v>264</v>
      </c>
      <c r="B29" s="131">
        <f>B27/B28</f>
        <v>-6689.9455985254335</v>
      </c>
      <c r="C29" s="131">
        <f t="shared" ref="C29:G29" si="5">C27/C28</f>
        <v>12156.629876329545</v>
      </c>
      <c r="D29" s="131">
        <f t="shared" si="5"/>
        <v>49664.115577322773</v>
      </c>
      <c r="E29" s="131">
        <f t="shared" si="5"/>
        <v>60612.044377031249</v>
      </c>
      <c r="F29" s="131">
        <f t="shared" si="5"/>
        <v>72775.700838153629</v>
      </c>
      <c r="G29" s="131">
        <f t="shared" si="5"/>
        <v>888499.86550398509</v>
      </c>
      <c r="H29" s="131">
        <f>SUM(B29:G29)-B32</f>
        <v>1020718.410574297</v>
      </c>
    </row>
    <row r="30" spans="1:14">
      <c r="C30" s="143"/>
      <c r="D30" s="143"/>
      <c r="E30" s="143"/>
      <c r="F30" s="143"/>
      <c r="H30" s="147" t="s">
        <v>265</v>
      </c>
    </row>
    <row r="31" spans="1:14">
      <c r="A31" s="126" t="s">
        <v>266</v>
      </c>
      <c r="B31" s="144">
        <f>3.7%</f>
        <v>3.7000000000000005E-2</v>
      </c>
      <c r="E31" s="149"/>
    </row>
    <row r="32" spans="1:14">
      <c r="A32" s="126" t="s">
        <v>240</v>
      </c>
      <c r="B32" s="150">
        <f>'Balance Sheet'!B71+'Balance Sheet'!B54</f>
        <v>56300</v>
      </c>
      <c r="E32" s="149"/>
    </row>
    <row r="34" spans="3:6">
      <c r="C34" s="182"/>
      <c r="D34" s="182"/>
      <c r="E34" s="182"/>
      <c r="F34" s="182"/>
    </row>
  </sheetData>
  <phoneticPr fontId="7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4908-C064-3B4D-ADDF-0AC06B98487D}">
  <dimension ref="A1:I58"/>
  <sheetViews>
    <sheetView topLeftCell="A26" zoomScale="125" workbookViewId="0">
      <selection activeCell="A23" sqref="A23"/>
    </sheetView>
  </sheetViews>
  <sheetFormatPr baseColWidth="10" defaultColWidth="10.83203125" defaultRowHeight="13"/>
  <cols>
    <col min="1" max="1" width="37.6640625" style="125" customWidth="1"/>
    <col min="2" max="2" width="15.5" style="125" customWidth="1"/>
    <col min="3" max="3" width="22.5" style="125" customWidth="1"/>
    <col min="4" max="4" width="14.6640625" style="125" customWidth="1"/>
    <col min="5" max="5" width="12.83203125" style="125" customWidth="1"/>
    <col min="6" max="6" width="12.5" style="125" customWidth="1"/>
    <col min="7" max="16384" width="10.83203125" style="125"/>
  </cols>
  <sheetData>
    <row r="1" spans="1:5" s="127" customFormat="1">
      <c r="A1" s="127" t="s">
        <v>267</v>
      </c>
    </row>
    <row r="2" spans="1:5" ht="16">
      <c r="A2" s="161" t="s">
        <v>268</v>
      </c>
    </row>
    <row r="3" spans="1:5" ht="16">
      <c r="A3" s="161"/>
      <c r="B3" s="245" t="s">
        <v>269</v>
      </c>
      <c r="C3" s="246"/>
      <c r="D3" s="246"/>
      <c r="E3" s="246"/>
    </row>
    <row r="4" spans="1:5" ht="16">
      <c r="A4" s="161"/>
      <c r="B4" s="168" t="s">
        <v>270</v>
      </c>
      <c r="C4" s="168" t="s">
        <v>271</v>
      </c>
      <c r="D4" s="168" t="s">
        <v>272</v>
      </c>
      <c r="E4" s="168" t="s">
        <v>273</v>
      </c>
    </row>
    <row r="5" spans="1:5" ht="16">
      <c r="A5" s="162" t="s">
        <v>274</v>
      </c>
      <c r="B5" s="161" t="s">
        <v>268</v>
      </c>
      <c r="C5" s="161" t="s">
        <v>268</v>
      </c>
      <c r="D5" s="161" t="s">
        <v>268</v>
      </c>
    </row>
    <row r="6" spans="1:5" ht="16">
      <c r="A6" s="161" t="s">
        <v>275</v>
      </c>
      <c r="B6" s="163">
        <f>'Profit and Loss'!B75/'Balance Sheet'!C76</f>
        <v>0.52787208160928023</v>
      </c>
      <c r="C6" s="163">
        <v>5.2999999999999999E-2</v>
      </c>
      <c r="D6" s="163">
        <v>6.5699999999999995E-2</v>
      </c>
      <c r="E6" s="163">
        <f t="shared" ref="E6:E11" si="0">AVERAGE(C6:D6)</f>
        <v>5.935E-2</v>
      </c>
    </row>
    <row r="7" spans="1:5" ht="16">
      <c r="A7" s="161" t="s">
        <v>276</v>
      </c>
      <c r="B7" s="163">
        <f>'Profit and Loss'!B75/'Balance Sheet'!C38</f>
        <v>0.39293527805378542</v>
      </c>
      <c r="C7" s="163">
        <v>4.2000000000000003E-2</v>
      </c>
      <c r="D7" s="163">
        <v>2.46E-2</v>
      </c>
      <c r="E7" s="163">
        <f t="shared" si="0"/>
        <v>3.3300000000000003E-2</v>
      </c>
    </row>
    <row r="8" spans="1:5" ht="16">
      <c r="A8" s="161" t="s">
        <v>277</v>
      </c>
      <c r="B8" s="163">
        <f>'Profit and Loss'!B78/('Balance Sheet'!C38-'Balance Sheet'!C66)</f>
        <v>0.71676310814290678</v>
      </c>
      <c r="C8" s="163">
        <v>0.06</v>
      </c>
      <c r="D8" s="163">
        <v>4.9000000000000002E-2</v>
      </c>
      <c r="E8" s="163">
        <f t="shared" si="0"/>
        <v>5.45E-2</v>
      </c>
    </row>
    <row r="9" spans="1:5" ht="16">
      <c r="A9" s="161" t="s">
        <v>278</v>
      </c>
      <c r="B9" s="163">
        <f>'Profit and Loss'!B31/'Profit and Loss'!B20</f>
        <v>0.96420048192771091</v>
      </c>
      <c r="C9" s="163">
        <v>0.33950000000000002</v>
      </c>
      <c r="D9" s="163">
        <v>0.30599999999999999</v>
      </c>
      <c r="E9" s="163">
        <f t="shared" si="0"/>
        <v>0.32274999999999998</v>
      </c>
    </row>
    <row r="10" spans="1:5" ht="16">
      <c r="A10" s="161" t="s">
        <v>279</v>
      </c>
      <c r="B10" s="163">
        <f>B35</f>
        <v>0.58272776060175369</v>
      </c>
      <c r="C10" s="163">
        <v>6.2E-2</v>
      </c>
      <c r="D10" s="163">
        <v>0.1148</v>
      </c>
      <c r="E10" s="163">
        <f t="shared" si="0"/>
        <v>8.8400000000000006E-2</v>
      </c>
    </row>
    <row r="11" spans="1:5" ht="16">
      <c r="A11" s="161" t="s">
        <v>280</v>
      </c>
      <c r="B11" s="163">
        <f>'Profit and Loss'!B75/'Profit and Loss'!B20</f>
        <v>0.44287309805733277</v>
      </c>
      <c r="C11" s="163">
        <v>4.8800000000000003E-2</v>
      </c>
      <c r="D11" s="163">
        <v>5.3499999999999999E-2</v>
      </c>
      <c r="E11" s="163">
        <f t="shared" si="0"/>
        <v>5.1150000000000001E-2</v>
      </c>
    </row>
    <row r="12" spans="1:5" ht="16">
      <c r="A12" s="162" t="s">
        <v>281</v>
      </c>
      <c r="B12" s="161" t="s">
        <v>268</v>
      </c>
      <c r="C12" s="161" t="s">
        <v>268</v>
      </c>
      <c r="D12" s="161" t="s">
        <v>268</v>
      </c>
      <c r="E12" s="161"/>
    </row>
    <row r="13" spans="1:5" ht="16">
      <c r="A13" s="161" t="s">
        <v>282</v>
      </c>
      <c r="B13" s="164">
        <f>'Balance Sheet'!C66/'Balance Sheet'!C76</f>
        <v>0.34340719984176238</v>
      </c>
      <c r="C13" s="164">
        <v>0.03</v>
      </c>
      <c r="D13" s="164">
        <v>1.68</v>
      </c>
      <c r="E13" s="164">
        <f>AVERAGE(C13:D13)</f>
        <v>0.85499999999999998</v>
      </c>
    </row>
    <row r="14" spans="1:5" ht="16">
      <c r="A14" s="161" t="s">
        <v>283</v>
      </c>
      <c r="B14" s="164">
        <f>'Balance Sheet'!C76/'Balance Sheet'!C38</f>
        <v>0.74437594209543334</v>
      </c>
      <c r="C14" s="164">
        <v>0.78900000000000003</v>
      </c>
      <c r="D14" s="164">
        <v>0.37290000000000001</v>
      </c>
      <c r="E14" s="164">
        <f>AVERAGE(C14:D14)</f>
        <v>0.58095000000000008</v>
      </c>
    </row>
    <row r="15" spans="1:5" ht="16">
      <c r="A15" s="161" t="s">
        <v>284</v>
      </c>
      <c r="B15" s="164">
        <f>'Balance Sheet'!B66/'Balance Sheet'!B38</f>
        <v>0.46714031971580816</v>
      </c>
      <c r="C15" s="164">
        <v>0.21099999999999999</v>
      </c>
      <c r="D15" s="164">
        <v>0.62690000000000001</v>
      </c>
      <c r="E15" s="164">
        <f>AVERAGE(C15:D15)</f>
        <v>0.41894999999999999</v>
      </c>
    </row>
    <row r="16" spans="1:5" ht="16">
      <c r="A16" s="162" t="s">
        <v>285</v>
      </c>
      <c r="B16" s="161" t="s">
        <v>268</v>
      </c>
      <c r="C16" s="161" t="s">
        <v>268</v>
      </c>
      <c r="D16" s="161" t="s">
        <v>268</v>
      </c>
      <c r="E16" s="161"/>
    </row>
    <row r="17" spans="1:9" ht="16">
      <c r="A17" s="161" t="s">
        <v>286</v>
      </c>
      <c r="B17" s="169" t="s">
        <v>287</v>
      </c>
      <c r="C17" s="161">
        <v>1.98</v>
      </c>
      <c r="D17" s="161">
        <v>4.71</v>
      </c>
      <c r="E17" s="161">
        <f>AVERAGE(C17:D17)</f>
        <v>3.3449999999999998</v>
      </c>
    </row>
    <row r="18" spans="1:9" ht="16">
      <c r="A18" s="161" t="s">
        <v>288</v>
      </c>
      <c r="B18" s="169" t="s">
        <v>287</v>
      </c>
      <c r="C18" s="161">
        <v>46.5</v>
      </c>
      <c r="D18" s="161">
        <v>61.16</v>
      </c>
      <c r="E18" s="161">
        <f>AVERAGE(C18:D18)</f>
        <v>53.83</v>
      </c>
    </row>
    <row r="19" spans="1:9" ht="16">
      <c r="A19" s="161" t="s">
        <v>289</v>
      </c>
      <c r="B19" s="164">
        <f>'Profit and Loss'!B20/'Balance Sheet'!C38</f>
        <v>0.88724124309514374</v>
      </c>
      <c r="C19" s="161">
        <v>0.87</v>
      </c>
      <c r="D19" s="161">
        <v>0.46</v>
      </c>
      <c r="E19" s="161">
        <f>AVERAGE(C19:D19)</f>
        <v>0.66500000000000004</v>
      </c>
    </row>
    <row r="20" spans="1:9" ht="16">
      <c r="A20" s="161" t="s">
        <v>290</v>
      </c>
      <c r="B20" s="164">
        <f>'Profit and Loss'!B29/'Balance Sheet'!C11</f>
        <v>25.401592655049654</v>
      </c>
      <c r="C20" s="161">
        <v>8.9499999999999993</v>
      </c>
      <c r="D20" s="161">
        <v>15.88</v>
      </c>
      <c r="E20" s="161">
        <f>AVERAGE(C20:D20)</f>
        <v>12.414999999999999</v>
      </c>
    </row>
    <row r="21" spans="1:9" ht="16">
      <c r="A21" s="161" t="s">
        <v>291</v>
      </c>
      <c r="B21" s="164">
        <f>365/B20</f>
        <v>14.369177750255774</v>
      </c>
      <c r="C21" s="161">
        <v>93.64</v>
      </c>
      <c r="D21" s="161">
        <v>23.35</v>
      </c>
      <c r="E21" s="161">
        <f>AVERAGE(C21:D21)</f>
        <v>58.495000000000005</v>
      </c>
    </row>
    <row r="22" spans="1:9" ht="16">
      <c r="A22" s="162" t="s">
        <v>292</v>
      </c>
      <c r="B22" s="161" t="s">
        <v>268</v>
      </c>
      <c r="C22" s="161" t="s">
        <v>268</v>
      </c>
      <c r="D22" s="161" t="s">
        <v>268</v>
      </c>
      <c r="E22" s="161"/>
    </row>
    <row r="23" spans="1:9" ht="16">
      <c r="A23" s="161" t="s">
        <v>293</v>
      </c>
      <c r="B23" s="164">
        <f>'Balance Sheet'!C16/'Balance Sheet'!C50</f>
        <v>250.1544081939075</v>
      </c>
      <c r="C23" s="161">
        <v>4.37</v>
      </c>
      <c r="D23" s="161">
        <v>0.9</v>
      </c>
      <c r="E23" s="161">
        <f>AVERAGE(C23:D23)</f>
        <v>2.6350000000000002</v>
      </c>
    </row>
    <row r="24" spans="1:9" ht="16">
      <c r="A24" s="161" t="s">
        <v>294</v>
      </c>
      <c r="B24" s="164">
        <f>('Balance Sheet'!C16-'Balance Sheet'!C11)/'Balance Sheet'!C50</f>
        <v>249.58443510663341</v>
      </c>
      <c r="C24" s="161">
        <v>2.68</v>
      </c>
      <c r="D24" s="161">
        <v>0.7</v>
      </c>
      <c r="E24" s="161">
        <f>AVERAGE(C24:D24)</f>
        <v>1.69</v>
      </c>
    </row>
    <row r="25" spans="1:9" ht="16">
      <c r="A25" s="161" t="s">
        <v>295</v>
      </c>
      <c r="B25" s="164">
        <f>'Balance Sheet'!C9/'Balance Sheet'!C50</f>
        <v>233.56495541933364</v>
      </c>
      <c r="C25" s="161">
        <v>1.94</v>
      </c>
      <c r="D25" s="161">
        <v>0.16</v>
      </c>
      <c r="E25" s="161">
        <f>AVERAGE(C25:D25)</f>
        <v>1.05</v>
      </c>
    </row>
    <row r="29" spans="1:9" ht="16">
      <c r="A29" s="161"/>
      <c r="B29" s="148" t="s">
        <v>57</v>
      </c>
      <c r="C29" s="148" t="s">
        <v>58</v>
      </c>
      <c r="D29" s="148" t="s">
        <v>59</v>
      </c>
      <c r="E29" s="148" t="s">
        <v>60</v>
      </c>
      <c r="F29" s="148" t="s">
        <v>61</v>
      </c>
    </row>
    <row r="30" spans="1:9" ht="16">
      <c r="A30" s="162" t="s">
        <v>274</v>
      </c>
      <c r="C30" s="161"/>
      <c r="D30" s="161"/>
      <c r="E30" s="161"/>
      <c r="F30" s="161"/>
      <c r="H30" s="166" t="s">
        <v>296</v>
      </c>
      <c r="I30" s="167"/>
    </row>
    <row r="31" spans="1:9" ht="16">
      <c r="A31" s="161" t="s">
        <v>275</v>
      </c>
      <c r="B31" s="163">
        <f>'Profit and Loss'!B75/'Balance Sheet'!C76</f>
        <v>0.52787208160928023</v>
      </c>
      <c r="C31" s="163">
        <f>'Profit and Loss'!C75/'Balance Sheet'!D76</f>
        <v>0.47170894673534119</v>
      </c>
      <c r="D31" s="163">
        <f>'Profit and Loss'!D75/'Balance Sheet'!E76</f>
        <v>0.62332219203523132</v>
      </c>
      <c r="E31" s="163">
        <f>'Profit and Loss'!E75/'Balance Sheet'!F76</f>
        <v>0.80981546652718128</v>
      </c>
      <c r="F31" s="163">
        <f>'Profit and Loss'!F75/'Balance Sheet'!G76</f>
        <v>1.0382311288488599</v>
      </c>
      <c r="H31" s="166">
        <v>1</v>
      </c>
      <c r="I31" s="166" t="s">
        <v>297</v>
      </c>
    </row>
    <row r="32" spans="1:9" ht="16">
      <c r="A32" s="161" t="s">
        <v>276</v>
      </c>
      <c r="B32" s="163">
        <f>'Profit and Loss'!B75/'Balance Sheet'!C38</f>
        <v>0.39293527805378542</v>
      </c>
      <c r="C32" s="163">
        <f>'Profit and Loss'!C75/'Balance Sheet'!D38</f>
        <v>0.40470376465761487</v>
      </c>
      <c r="D32" s="163">
        <f>'Profit and Loss'!D75/'Balance Sheet'!E38</f>
        <v>0.56286968592373754</v>
      </c>
      <c r="E32" s="163">
        <f>'Profit and Loss'!E75/'Balance Sheet'!F38</f>
        <v>0.76972742562742213</v>
      </c>
      <c r="F32" s="163">
        <f>'Profit and Loss'!F75/'Balance Sheet'!G38</f>
        <v>1.0357728999013551</v>
      </c>
      <c r="H32" s="166">
        <v>2</v>
      </c>
      <c r="I32" s="166" t="s">
        <v>298</v>
      </c>
    </row>
    <row r="33" spans="1:9" ht="16">
      <c r="A33" s="161" t="s">
        <v>277</v>
      </c>
      <c r="B33" s="163">
        <f>'Profit and Loss'!B78/('Balance Sheet'!C38-'Balance Sheet'!C66)</f>
        <v>0.71676310814290678</v>
      </c>
      <c r="C33" s="163">
        <f>'Profit and Loss'!C78/('Balance Sheet'!D38-'Balance Sheet'!D66)</f>
        <v>0.63174978828160344</v>
      </c>
      <c r="D33" s="163">
        <f>'Profit and Loss'!D78/('Balance Sheet'!E38-'Balance Sheet'!E66)</f>
        <v>0.82782818738506503</v>
      </c>
      <c r="E33" s="163">
        <f>'Profit and Loss'!E78/('Balance Sheet'!F38-'Balance Sheet'!F66)</f>
        <v>1.0699416812220111</v>
      </c>
      <c r="F33" s="163">
        <f>'Profit and Loss'!F78/('Balance Sheet'!G38-'Balance Sheet'!G66)</f>
        <v>1.3675137767297112</v>
      </c>
      <c r="H33" s="166">
        <v>3</v>
      </c>
      <c r="I33" s="166" t="s">
        <v>299</v>
      </c>
    </row>
    <row r="34" spans="1:9" ht="16">
      <c r="A34" s="161" t="s">
        <v>278</v>
      </c>
      <c r="B34" s="163">
        <f>'Profit and Loss'!B31/'Profit and Loss'!B20</f>
        <v>0.96420048192771091</v>
      </c>
      <c r="C34" s="163">
        <f>'Profit and Loss'!C31/'Profit and Loss'!C20</f>
        <v>0.96812242182302066</v>
      </c>
      <c r="D34" s="163">
        <f>'Profit and Loss'!D31/'Profit and Loss'!D20</f>
        <v>0.97116396380450887</v>
      </c>
      <c r="E34" s="163">
        <f>'Profit and Loss'!E31/'Profit and Loss'!E20</f>
        <v>0.9750181295759176</v>
      </c>
      <c r="F34" s="163">
        <f>'Profit and Loss'!F31/'Profit and Loss'!F20</f>
        <v>0.97924167575310384</v>
      </c>
      <c r="H34" s="166">
        <v>4</v>
      </c>
      <c r="I34" s="166" t="s">
        <v>300</v>
      </c>
    </row>
    <row r="35" spans="1:9" ht="16">
      <c r="A35" s="161" t="s">
        <v>279</v>
      </c>
      <c r="B35" s="163">
        <f>'Profit and Loss'!B79/'Profit and Loss'!B20</f>
        <v>0.58272776060175369</v>
      </c>
      <c r="C35" s="163">
        <f>'Profit and Loss'!C79/'Profit and Loss'!C20</f>
        <v>0.65978156187405179</v>
      </c>
      <c r="D35" s="163">
        <f>'Profit and Loss'!D79/'Profit and Loss'!D20</f>
        <v>0.72143398414999194</v>
      </c>
      <c r="E35" s="163">
        <f>'Profit and Loss'!E79/'Profit and Loss'!E20</f>
        <v>0.77351909494038285</v>
      </c>
      <c r="F35" s="163">
        <f>'Profit and Loss'!F79/'Profit and Loss'!F20</f>
        <v>0.8176686017887872</v>
      </c>
      <c r="H35" s="166">
        <v>5</v>
      </c>
      <c r="I35" s="166" t="s">
        <v>301</v>
      </c>
    </row>
    <row r="36" spans="1:9" ht="16">
      <c r="A36" s="161" t="s">
        <v>280</v>
      </c>
      <c r="B36" s="163">
        <f>'Profit and Loss'!B75/'Profit and Loss'!B20</f>
        <v>0.44287309805733277</v>
      </c>
      <c r="C36" s="163">
        <f>'Profit and Loss'!C75/'Profit and Loss'!C20</f>
        <v>0.50143398702427933</v>
      </c>
      <c r="D36" s="163">
        <f>'Profit and Loss'!D75/'Profit and Loss'!D20</f>
        <v>0.54828982795399395</v>
      </c>
      <c r="E36" s="163">
        <f>'Profit and Loss'!E75/'Profit and Loss'!E20</f>
        <v>0.587874512154691</v>
      </c>
      <c r="F36" s="163">
        <f>'Profit and Loss'!F75/'Profit and Loss'!F20</f>
        <v>0.62142813735947833</v>
      </c>
      <c r="H36" s="166">
        <v>6</v>
      </c>
      <c r="I36" s="166" t="s">
        <v>302</v>
      </c>
    </row>
    <row r="37" spans="1:9" ht="16">
      <c r="A37" s="162" t="s">
        <v>281</v>
      </c>
      <c r="B37" s="164"/>
      <c r="C37" s="164"/>
      <c r="D37" s="164"/>
      <c r="E37" s="164"/>
      <c r="F37" s="164"/>
      <c r="H37" s="166" t="s">
        <v>303</v>
      </c>
      <c r="I37" s="167"/>
    </row>
    <row r="38" spans="1:9" ht="16">
      <c r="A38" s="161" t="s">
        <v>282</v>
      </c>
      <c r="B38" s="165">
        <f>'Balance Sheet'!C66/'Balance Sheet'!C76</f>
        <v>0.34340719984176238</v>
      </c>
      <c r="C38" s="165">
        <f>'Balance Sheet'!D66/'Balance Sheet'!D76</f>
        <v>0.16556599648736578</v>
      </c>
      <c r="D38" s="165">
        <f>'Balance Sheet'!E66/'Balance Sheet'!E76</f>
        <v>0.10740053625784429</v>
      </c>
      <c r="E38" s="165">
        <f>'Balance Sheet'!F66/'Balance Sheet'!F76</f>
        <v>5.2080827011045598E-2</v>
      </c>
      <c r="F38" s="165">
        <f>'Balance Sheet'!G66/'Balance Sheet'!G76</f>
        <v>2.373328118296159E-3</v>
      </c>
      <c r="H38" s="166">
        <v>1</v>
      </c>
      <c r="I38" s="166" t="s">
        <v>304</v>
      </c>
    </row>
    <row r="39" spans="1:9" ht="16">
      <c r="A39" s="161" t="s">
        <v>283</v>
      </c>
      <c r="B39" s="165">
        <f>'Balance Sheet'!C76/'Balance Sheet'!C38</f>
        <v>0.74437594209543334</v>
      </c>
      <c r="C39" s="165">
        <f>'Balance Sheet'!D76/'Balance Sheet'!D38</f>
        <v>0.85795227641649852</v>
      </c>
      <c r="D39" s="165">
        <f>'Balance Sheet'!E76/'Balance Sheet'!E38</f>
        <v>0.90301563640128368</v>
      </c>
      <c r="E39" s="165">
        <f>'Balance Sheet'!F76/'Balance Sheet'!F38</f>
        <v>0.95049731382425551</v>
      </c>
      <c r="F39" s="165">
        <f>'Balance Sheet'!G76/'Balance Sheet'!G38</f>
        <v>0.99763229123150021</v>
      </c>
      <c r="H39" s="166">
        <v>2</v>
      </c>
      <c r="I39" s="166" t="s">
        <v>305</v>
      </c>
    </row>
    <row r="40" spans="1:9" ht="16">
      <c r="A40" s="161" t="s">
        <v>284</v>
      </c>
      <c r="B40" s="165">
        <f>'Balance Sheet'!C66/'Balance Sheet'!C38</f>
        <v>0.2556240579045666</v>
      </c>
      <c r="C40" s="165">
        <f>'Balance Sheet'!D66/'Balance Sheet'!D38</f>
        <v>0.14204772358350148</v>
      </c>
      <c r="D40" s="165">
        <f>'Balance Sheet'!E66/'Balance Sheet'!E38</f>
        <v>9.6984363598716414E-2</v>
      </c>
      <c r="E40" s="165">
        <f>'Balance Sheet'!F66/'Balance Sheet'!F38</f>
        <v>4.9502686175744569E-2</v>
      </c>
      <c r="F40" s="165">
        <f>'Balance Sheet'!G66/'Balance Sheet'!G38</f>
        <v>2.3677087684999417E-3</v>
      </c>
      <c r="H40" s="166">
        <v>3</v>
      </c>
      <c r="I40" s="166" t="s">
        <v>306</v>
      </c>
    </row>
    <row r="41" spans="1:9" ht="16">
      <c r="A41" s="162" t="s">
        <v>285</v>
      </c>
      <c r="B41" s="164"/>
      <c r="C41" s="164"/>
      <c r="D41" s="164"/>
      <c r="E41" s="164"/>
      <c r="F41" s="164"/>
      <c r="H41" s="166" t="s">
        <v>307</v>
      </c>
      <c r="I41" s="167"/>
    </row>
    <row r="42" spans="1:9" ht="16">
      <c r="A42" s="161" t="s">
        <v>289</v>
      </c>
      <c r="B42" s="164">
        <f>'Profit and Loss'!B20/'Balance Sheet'!C38</f>
        <v>0.88724124309514374</v>
      </c>
      <c r="C42" s="164">
        <f>'Profit and Loss'!C20/'Balance Sheet'!D38</f>
        <v>0.80709280808685824</v>
      </c>
      <c r="D42" s="164">
        <f>'Profit and Loss'!D20/'Balance Sheet'!E38</f>
        <v>1.0265915164323767</v>
      </c>
      <c r="E42" s="164">
        <f>'Profit and Loss'!E20/'Balance Sheet'!F38</f>
        <v>1.3093396800044959</v>
      </c>
      <c r="F42" s="164">
        <f>'Profit and Loss'!F20/'Balance Sheet'!G38</f>
        <v>1.6667621525836869</v>
      </c>
      <c r="G42" s="161"/>
      <c r="H42" s="166">
        <v>1</v>
      </c>
      <c r="I42" s="166" t="s">
        <v>308</v>
      </c>
    </row>
    <row r="43" spans="1:9" ht="16">
      <c r="A43" s="161" t="s">
        <v>290</v>
      </c>
      <c r="B43" s="164">
        <f>'Profit and Loss'!B29/'Balance Sheet'!C11</f>
        <v>25.401592655049654</v>
      </c>
      <c r="C43" s="164">
        <f>'Profit and Loss'!C29/'Balance Sheet'!D11</f>
        <v>24.031244601491949</v>
      </c>
      <c r="D43" s="164">
        <f>'Profit and Loss'!D29/'Balance Sheet'!E11</f>
        <v>24.114274128142736</v>
      </c>
      <c r="E43" s="164">
        <f>'Profit and Loss'!E29/'Balance Sheet'!F11</f>
        <v>24.1770006525479</v>
      </c>
      <c r="F43" s="164">
        <f>'Profit and Loss'!F29/'Balance Sheet'!G11</f>
        <v>24.226059837192093</v>
      </c>
      <c r="H43" s="166">
        <v>2</v>
      </c>
      <c r="I43" s="166" t="s">
        <v>309</v>
      </c>
    </row>
    <row r="44" spans="1:9" ht="16">
      <c r="A44" s="161" t="s">
        <v>291</v>
      </c>
      <c r="B44" s="164">
        <f>365/B43</f>
        <v>14.369177750255774</v>
      </c>
      <c r="C44" s="164">
        <f t="shared" ref="C44:F44" si="1">365/C43</f>
        <v>15.188559979009137</v>
      </c>
      <c r="D44" s="164">
        <f t="shared" si="1"/>
        <v>15.136263196660941</v>
      </c>
      <c r="E44" s="164">
        <f t="shared" si="1"/>
        <v>15.096992602410936</v>
      </c>
      <c r="F44" s="164">
        <f t="shared" si="1"/>
        <v>15.066420311554268</v>
      </c>
      <c r="H44" s="166">
        <v>3</v>
      </c>
      <c r="I44" s="166" t="s">
        <v>310</v>
      </c>
    </row>
    <row r="45" spans="1:9" ht="16">
      <c r="A45" s="162" t="s">
        <v>292</v>
      </c>
      <c r="B45" s="164"/>
      <c r="C45" s="164"/>
      <c r="D45" s="164"/>
      <c r="E45" s="164"/>
      <c r="F45" s="164"/>
      <c r="H45" s="166">
        <v>4</v>
      </c>
      <c r="I45" s="166" t="s">
        <v>311</v>
      </c>
    </row>
    <row r="46" spans="1:9" ht="16">
      <c r="A46" s="161" t="s">
        <v>293</v>
      </c>
      <c r="B46" s="164">
        <f>'Balance Sheet'!C16/'Balance Sheet'!C50</f>
        <v>250.1544081939075</v>
      </c>
      <c r="C46" s="164">
        <f>'Balance Sheet'!D16/'Balance Sheet'!D50</f>
        <v>414.45965126552989</v>
      </c>
      <c r="D46" s="164">
        <f>'Balance Sheet'!E16/'Balance Sheet'!E50</f>
        <v>388.86945710405735</v>
      </c>
      <c r="E46" s="164">
        <f>'Balance Sheet'!F16/'Balance Sheet'!F50</f>
        <v>380.051871691028</v>
      </c>
      <c r="F46" s="164">
        <f>'Balance Sheet'!G16/'Balance Sheet'!G50</f>
        <v>386.57482968287258</v>
      </c>
      <c r="H46" s="166">
        <v>5</v>
      </c>
      <c r="I46" s="166" t="s">
        <v>312</v>
      </c>
    </row>
    <row r="47" spans="1:9" ht="16">
      <c r="A47" s="161" t="s">
        <v>294</v>
      </c>
      <c r="B47" s="164">
        <f>('Balance Sheet'!C16-'Balance Sheet'!C11)/'Balance Sheet'!C50</f>
        <v>249.58443510663341</v>
      </c>
      <c r="C47" s="164">
        <f>('Balance Sheet'!D16-'Balance Sheet'!D11)/'Balance Sheet'!D50</f>
        <v>413.8505775740698</v>
      </c>
      <c r="D47" s="164">
        <f>('Balance Sheet'!E16-'Balance Sheet'!E11)/'Balance Sheet'!E50</f>
        <v>388.2629045656866</v>
      </c>
      <c r="E47" s="164">
        <f>('Balance Sheet'!F16-'Balance Sheet'!F11)/'Balance Sheet'!F50</f>
        <v>379.44721001747422</v>
      </c>
      <c r="F47" s="164">
        <f>('Balance Sheet'!G16-'Balance Sheet'!G11)/'Balance Sheet'!G50</f>
        <v>385.97163868195429</v>
      </c>
      <c r="H47" s="166" t="s">
        <v>313</v>
      </c>
      <c r="I47" s="167"/>
    </row>
    <row r="48" spans="1:9" ht="16">
      <c r="A48" s="161" t="s">
        <v>295</v>
      </c>
      <c r="B48" s="164">
        <f>'Balance Sheet'!C9/'Balance Sheet'!C50</f>
        <v>233.56495541933364</v>
      </c>
      <c r="C48" s="164">
        <f>'Balance Sheet'!D9/'Balance Sheet'!D50</f>
        <v>399.5025518624077</v>
      </c>
      <c r="D48" s="164">
        <f>'Balance Sheet'!E9/'Balance Sheet'!E50</f>
        <v>375.96459681283335</v>
      </c>
      <c r="E48" s="164">
        <f>'Balance Sheet'!F9/'Balance Sheet'!F50</f>
        <v>368.6861907337277</v>
      </c>
      <c r="F48" s="164">
        <f>'Balance Sheet'!G9/'Balance Sheet'!G50</f>
        <v>376.40628820751294</v>
      </c>
      <c r="H48" s="166">
        <v>1</v>
      </c>
      <c r="I48" s="166" t="s">
        <v>314</v>
      </c>
    </row>
    <row r="49" spans="1:9" ht="16">
      <c r="B49" s="161"/>
      <c r="C49" s="161"/>
      <c r="D49" s="161"/>
      <c r="E49" s="161"/>
      <c r="F49" s="161"/>
      <c r="H49" s="166">
        <v>2</v>
      </c>
      <c r="I49" s="166" t="s">
        <v>315</v>
      </c>
    </row>
    <row r="50" spans="1:9" ht="16">
      <c r="B50" s="161"/>
      <c r="C50" s="161"/>
      <c r="D50" s="161"/>
      <c r="E50" s="161"/>
      <c r="F50" s="161"/>
      <c r="H50" s="166">
        <v>3</v>
      </c>
      <c r="I50" s="166" t="s">
        <v>316</v>
      </c>
    </row>
    <row r="51" spans="1:9" ht="16">
      <c r="H51" s="166"/>
      <c r="I51" s="167"/>
    </row>
    <row r="52" spans="1:9" ht="16">
      <c r="A52" s="162"/>
      <c r="C52" s="161"/>
      <c r="D52" s="161"/>
      <c r="E52" s="161"/>
      <c r="F52" s="161"/>
    </row>
    <row r="53" spans="1:9" ht="16">
      <c r="A53" s="161"/>
      <c r="B53" s="163"/>
      <c r="C53" s="163"/>
      <c r="D53" s="163"/>
      <c r="E53" s="163"/>
      <c r="F53" s="163"/>
    </row>
    <row r="54" spans="1:9" ht="16">
      <c r="A54" s="161"/>
      <c r="B54" s="163"/>
      <c r="C54" s="163"/>
      <c r="D54" s="163"/>
      <c r="E54" s="163"/>
      <c r="F54" s="163"/>
    </row>
    <row r="55" spans="1:9" ht="16">
      <c r="A55" s="161"/>
      <c r="B55" s="163"/>
      <c r="C55" s="163"/>
      <c r="D55" s="163"/>
      <c r="E55" s="163"/>
      <c r="F55" s="163"/>
    </row>
    <row r="56" spans="1:9" ht="16">
      <c r="A56" s="161"/>
      <c r="B56" s="163"/>
      <c r="C56" s="163"/>
      <c r="D56" s="163"/>
      <c r="E56" s="163"/>
      <c r="F56" s="163"/>
    </row>
    <row r="57" spans="1:9" ht="16">
      <c r="A57" s="161"/>
      <c r="B57" s="163"/>
      <c r="C57" s="163"/>
      <c r="D57" s="163"/>
      <c r="E57" s="163"/>
      <c r="F57" s="163"/>
    </row>
    <row r="58" spans="1:9" ht="16">
      <c r="A58" s="161"/>
      <c r="B58" s="163"/>
      <c r="C58" s="163"/>
      <c r="D58" s="163"/>
      <c r="E58" s="163"/>
      <c r="F58" s="163"/>
    </row>
  </sheetData>
  <mergeCells count="1">
    <mergeCell ref="B3:E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619B-163E-7B47-B3CF-E252CB5E45FC}">
  <dimension ref="A1:I34"/>
  <sheetViews>
    <sheetView workbookViewId="0">
      <selection activeCell="R13" sqref="R13"/>
    </sheetView>
  </sheetViews>
  <sheetFormatPr baseColWidth="10" defaultColWidth="10.83203125" defaultRowHeight="13"/>
  <cols>
    <col min="1" max="1" width="15.83203125" style="126" customWidth="1"/>
    <col min="2" max="2" width="15.6640625" style="126" customWidth="1"/>
    <col min="3" max="3" width="13.6640625" style="126" customWidth="1"/>
    <col min="4" max="4" width="16.5" style="126" customWidth="1"/>
    <col min="5" max="5" width="13.6640625" style="126" customWidth="1"/>
    <col min="6" max="6" width="13.5" style="126" customWidth="1"/>
    <col min="7" max="7" width="12.33203125" style="126" customWidth="1"/>
    <col min="8" max="8" width="13" style="126" bestFit="1" customWidth="1"/>
    <col min="9" max="16384" width="10.83203125" style="126"/>
  </cols>
  <sheetData>
    <row r="1" spans="1:9" s="127" customFormat="1">
      <c r="A1" s="127" t="s">
        <v>317</v>
      </c>
    </row>
    <row r="2" spans="1:9" s="133" customFormat="1"/>
    <row r="3" spans="1:9" s="133" customFormat="1">
      <c r="B3" s="247" t="s">
        <v>318</v>
      </c>
      <c r="C3" s="247"/>
      <c r="D3" s="247"/>
      <c r="E3" s="247"/>
      <c r="F3" s="247"/>
      <c r="G3" s="247"/>
      <c r="H3" s="247"/>
    </row>
    <row r="4" spans="1:9">
      <c r="A4" s="167" t="s">
        <v>268</v>
      </c>
      <c r="B4" s="175" t="s">
        <v>319</v>
      </c>
      <c r="C4" s="175" t="s">
        <v>320</v>
      </c>
      <c r="D4" s="175" t="s">
        <v>98</v>
      </c>
      <c r="E4" s="175" t="s">
        <v>258</v>
      </c>
      <c r="F4" s="175" t="s">
        <v>321</v>
      </c>
      <c r="G4" s="175" t="s">
        <v>322</v>
      </c>
      <c r="H4" s="175" t="s">
        <v>323</v>
      </c>
      <c r="I4" s="167"/>
    </row>
    <row r="5" spans="1:9">
      <c r="A5" s="167" t="s">
        <v>271</v>
      </c>
      <c r="B5" s="176">
        <v>2880000000</v>
      </c>
      <c r="C5" s="176">
        <v>2000822000</v>
      </c>
      <c r="D5" s="176">
        <v>243076000</v>
      </c>
      <c r="E5" s="176">
        <v>103015000</v>
      </c>
      <c r="F5" s="176">
        <v>2427972000</v>
      </c>
      <c r="G5" s="176">
        <v>512101000</v>
      </c>
      <c r="H5" s="176">
        <v>122649000</v>
      </c>
      <c r="I5" s="176"/>
    </row>
    <row r="6" spans="1:9">
      <c r="A6" s="167" t="s">
        <v>272</v>
      </c>
      <c r="B6" s="176">
        <v>4270000000</v>
      </c>
      <c r="C6" s="176">
        <v>3820800000</v>
      </c>
      <c r="D6" s="176">
        <v>1176500000</v>
      </c>
      <c r="E6" s="176">
        <v>204600000</v>
      </c>
      <c r="F6" s="176">
        <v>8618000000</v>
      </c>
      <c r="G6" s="176">
        <v>5403800000</v>
      </c>
      <c r="H6" s="176">
        <v>1091200000</v>
      </c>
      <c r="I6" s="176"/>
    </row>
    <row r="7" spans="1:9">
      <c r="A7" s="177" t="s">
        <v>324</v>
      </c>
      <c r="B7" s="171">
        <f>B19</f>
        <v>41622.74</v>
      </c>
      <c r="C7" s="172">
        <f>'Revenue '!B5</f>
        <v>75737.5</v>
      </c>
      <c r="D7" s="172">
        <f>'Profit and Loss'!B77</f>
        <v>53368.633999999998</v>
      </c>
      <c r="E7" s="172">
        <f>B22</f>
        <v>33542.101264117242</v>
      </c>
      <c r="F7" s="171">
        <f>B23</f>
        <v>56300</v>
      </c>
      <c r="G7" s="171">
        <f>B24</f>
        <v>26300</v>
      </c>
      <c r="H7" s="171">
        <f>B25</f>
        <v>34886.916331289453</v>
      </c>
      <c r="I7" s="171"/>
    </row>
    <row r="8" spans="1:9">
      <c r="A8" s="167"/>
      <c r="B8" s="249"/>
      <c r="C8" s="249"/>
      <c r="D8" s="249"/>
      <c r="E8" s="167"/>
      <c r="F8" s="167"/>
      <c r="G8" s="167"/>
      <c r="H8" s="167"/>
      <c r="I8" s="167"/>
    </row>
    <row r="9" spans="1:9">
      <c r="A9" s="167"/>
      <c r="B9" s="248" t="s">
        <v>325</v>
      </c>
      <c r="C9" s="248"/>
      <c r="D9" s="248"/>
      <c r="E9" s="248"/>
      <c r="F9" s="167"/>
      <c r="G9" s="167"/>
      <c r="H9" s="167"/>
      <c r="I9" s="167"/>
    </row>
    <row r="10" spans="1:9">
      <c r="A10" s="173" t="s">
        <v>268</v>
      </c>
      <c r="B10" s="180" t="str">
        <f>A29</f>
        <v>EV/Sales</v>
      </c>
      <c r="C10" s="180" t="s">
        <v>326</v>
      </c>
      <c r="D10" s="180" t="s">
        <v>327</v>
      </c>
      <c r="E10" s="180" t="s">
        <v>328</v>
      </c>
      <c r="F10" s="167"/>
      <c r="G10" s="167"/>
      <c r="H10" s="167"/>
      <c r="I10" s="167"/>
    </row>
    <row r="11" spans="1:9">
      <c r="A11" s="167" t="s">
        <v>271</v>
      </c>
      <c r="B11" s="178">
        <v>1.44</v>
      </c>
      <c r="C11" s="178">
        <v>11.85</v>
      </c>
      <c r="D11" s="178">
        <f>B5/F5</f>
        <v>1.1861751288729854</v>
      </c>
      <c r="E11" s="178">
        <v>23.48</v>
      </c>
      <c r="F11" s="167"/>
      <c r="G11" s="167"/>
      <c r="H11" s="167"/>
      <c r="I11" s="167"/>
    </row>
    <row r="12" spans="1:9">
      <c r="A12" s="167" t="s">
        <v>272</v>
      </c>
      <c r="B12" s="178">
        <v>1.1200000000000001</v>
      </c>
      <c r="C12" s="178">
        <v>3.63</v>
      </c>
      <c r="D12" s="178">
        <f t="shared" ref="D12" si="0">B6/F6</f>
        <v>0.49547458807147832</v>
      </c>
      <c r="E12" s="178">
        <v>3.91</v>
      </c>
      <c r="F12" s="167"/>
      <c r="G12" s="167"/>
      <c r="H12" s="167"/>
      <c r="I12" s="167"/>
    </row>
    <row r="13" spans="1:9">
      <c r="A13" s="167" t="s">
        <v>329</v>
      </c>
      <c r="B13" s="178">
        <f>B7/C7</f>
        <v>0.54956580293777846</v>
      </c>
      <c r="C13" s="178">
        <f>B7/D7</f>
        <v>0.77991016221250853</v>
      </c>
      <c r="D13" s="178">
        <f>B7/F7</f>
        <v>0.73930266429840141</v>
      </c>
      <c r="E13" s="178">
        <f>B7/H7</f>
        <v>1.1930759257925385</v>
      </c>
      <c r="F13" s="167"/>
      <c r="G13" s="167"/>
      <c r="H13" s="167"/>
      <c r="I13" s="167"/>
    </row>
    <row r="14" spans="1:9">
      <c r="A14" s="167" t="s">
        <v>273</v>
      </c>
      <c r="B14" s="178">
        <f>AVERAGE(B11:B13)</f>
        <v>1.0365219343125929</v>
      </c>
      <c r="C14" s="178">
        <f t="shared" ref="C14:E14" si="1">AVERAGE(C11:C13)</f>
        <v>5.4199700540708369</v>
      </c>
      <c r="D14" s="178">
        <f t="shared" si="1"/>
        <v>0.80698412708095502</v>
      </c>
      <c r="E14" s="178">
        <f t="shared" si="1"/>
        <v>9.5276919752641795</v>
      </c>
      <c r="F14" s="167"/>
      <c r="G14" s="167"/>
      <c r="H14" s="167"/>
      <c r="I14" s="167"/>
    </row>
    <row r="16" spans="1:9">
      <c r="A16" s="173" t="s">
        <v>330</v>
      </c>
      <c r="B16" s="173">
        <v>1</v>
      </c>
      <c r="C16" s="173">
        <v>2</v>
      </c>
      <c r="D16" s="173">
        <v>3</v>
      </c>
      <c r="E16" s="173">
        <v>4</v>
      </c>
      <c r="F16" s="173">
        <v>5</v>
      </c>
    </row>
    <row r="17" spans="1:6">
      <c r="A17" s="173"/>
      <c r="B17" s="247" t="s">
        <v>331</v>
      </c>
      <c r="C17" s="247"/>
      <c r="D17" s="247"/>
      <c r="E17" s="247"/>
      <c r="F17" s="247"/>
    </row>
    <row r="18" spans="1:6">
      <c r="A18" s="126" t="s">
        <v>332</v>
      </c>
      <c r="B18" s="179" t="s">
        <v>57</v>
      </c>
      <c r="C18" s="179" t="s">
        <v>58</v>
      </c>
      <c r="D18" s="179" t="s">
        <v>59</v>
      </c>
      <c r="E18" s="179" t="s">
        <v>60</v>
      </c>
      <c r="F18" s="179" t="s">
        <v>61</v>
      </c>
    </row>
    <row r="19" spans="1:6">
      <c r="A19" s="126" t="s">
        <v>333</v>
      </c>
      <c r="B19" s="174">
        <f>'Balance Sheet'!C78-'Balance Sheet'!C9</f>
        <v>41622.74</v>
      </c>
      <c r="C19" s="174">
        <f>'Balance Sheet'!D78-'Balance Sheet'!D9</f>
        <v>35419.350000000006</v>
      </c>
      <c r="D19" s="174">
        <f>'Balance Sheet'!E78-'Balance Sheet'!E9</f>
        <v>28815.960000000006</v>
      </c>
      <c r="E19" s="174">
        <f>'Balance Sheet'!F78-'Balance Sheet'!F9</f>
        <v>21812.570000000022</v>
      </c>
      <c r="F19" s="174">
        <f>'Balance Sheet'!G78-'Balance Sheet'!G9</f>
        <v>14409.180000000008</v>
      </c>
    </row>
    <row r="20" spans="1:6">
      <c r="A20" s="126" t="s">
        <v>320</v>
      </c>
      <c r="B20" s="174">
        <f>'Profit and Loss'!B20</f>
        <v>75737.5</v>
      </c>
      <c r="C20" s="174">
        <f>'Profit and Loss'!C20</f>
        <v>96004.125</v>
      </c>
      <c r="D20" s="174">
        <f>'Profit and Loss'!D20</f>
        <v>123732.26250000001</v>
      </c>
      <c r="E20" s="174">
        <f>'Profit and Loss'!E20</f>
        <v>163138.985625</v>
      </c>
      <c r="F20" s="174">
        <f>'Profit and Loss'!F20</f>
        <v>220783.04324999999</v>
      </c>
    </row>
    <row r="21" spans="1:6">
      <c r="A21" s="126" t="s">
        <v>98</v>
      </c>
      <c r="B21" s="174">
        <f>'Profit and Loss'!B77</f>
        <v>53368.633999999998</v>
      </c>
      <c r="C21" s="174">
        <f>'Profit and Loss'!C77</f>
        <v>72696.521000000008</v>
      </c>
      <c r="D21" s="174">
        <f>'Profit and Loss'!D77</f>
        <v>98723.164499999999</v>
      </c>
      <c r="E21" s="174">
        <f>'Profit and Loss'!E77</f>
        <v>135735.61562500001</v>
      </c>
      <c r="F21" s="174">
        <f>'Profit and Loss'!F77</f>
        <v>190139.03788999998</v>
      </c>
    </row>
    <row r="22" spans="1:6">
      <c r="A22" s="126" t="s">
        <v>258</v>
      </c>
      <c r="B22" s="174">
        <f>'Profit and Loss'!B75</f>
        <v>33542.101264117242</v>
      </c>
      <c r="C22" s="174">
        <f>'Profit and Loss'!C75</f>
        <v>48139.731169527295</v>
      </c>
      <c r="D22" s="174">
        <f>'Profit and Loss'!D75</f>
        <v>67841.140918483419</v>
      </c>
      <c r="E22" s="174">
        <f>'Profit and Loss'!E75</f>
        <v>95905.251587708015</v>
      </c>
      <c r="F22" s="174">
        <f>'Profit and Loss'!F75</f>
        <v>137200.79532740463</v>
      </c>
    </row>
    <row r="23" spans="1:6">
      <c r="A23" s="126" t="s">
        <v>321</v>
      </c>
      <c r="B23" s="174">
        <f>'Balance Sheet'!B38</f>
        <v>56300</v>
      </c>
      <c r="C23" s="174">
        <f>'Balance Sheet'!C38</f>
        <v>85362.916331289453</v>
      </c>
      <c r="D23" s="174">
        <f>'Balance Sheet'!D38</f>
        <v>118950.53956380711</v>
      </c>
      <c r="E23" s="174">
        <f>'Balance Sheet'!E38</f>
        <v>120527.25988813532</v>
      </c>
      <c r="F23" s="174">
        <f>'Balance Sheet'!F38</f>
        <v>124596.38099751154</v>
      </c>
    </row>
    <row r="24" spans="1:6">
      <c r="A24" s="126" t="s">
        <v>322</v>
      </c>
      <c r="B24" s="174">
        <f>'Balance Sheet'!B66</f>
        <v>26300</v>
      </c>
      <c r="C24" s="174">
        <f>'Balance Sheet'!C66</f>
        <v>21820.815067172211</v>
      </c>
      <c r="D24" s="174">
        <f>'Balance Sheet'!D66</f>
        <v>16896.653364068028</v>
      </c>
      <c r="E24" s="174">
        <f>'Balance Sheet'!E66</f>
        <v>11689.259596547903</v>
      </c>
      <c r="F24" s="174">
        <f>'Balance Sheet'!F66</f>
        <v>6167.8555471533182</v>
      </c>
    </row>
    <row r="25" spans="1:6">
      <c r="A25" s="126" t="s">
        <v>323</v>
      </c>
      <c r="B25" s="174">
        <f>'Cash Flow'!B37</f>
        <v>34886.916331289453</v>
      </c>
      <c r="C25" s="174">
        <f>'Cash Flow'!C37</f>
        <v>39791.013232517653</v>
      </c>
      <c r="D25" s="174">
        <f>'Cash Flow'!D37</f>
        <v>8180.1103243282123</v>
      </c>
      <c r="E25" s="174">
        <f>'Cash Flow'!E37</f>
        <v>11072.511109376224</v>
      </c>
      <c r="F25" s="174">
        <f>'Cash Flow'!F37</f>
        <v>15269.245985587157</v>
      </c>
    </row>
    <row r="26" spans="1:6">
      <c r="B26" s="174"/>
      <c r="C26" s="174"/>
      <c r="D26" s="174"/>
      <c r="E26" s="174"/>
      <c r="F26" s="174"/>
    </row>
    <row r="27" spans="1:6">
      <c r="A27" s="173" t="s">
        <v>330</v>
      </c>
      <c r="B27" s="247" t="s">
        <v>325</v>
      </c>
      <c r="C27" s="247"/>
      <c r="D27" s="247"/>
      <c r="E27" s="247"/>
      <c r="F27" s="247"/>
    </row>
    <row r="28" spans="1:6">
      <c r="B28" s="160" t="s">
        <v>57</v>
      </c>
      <c r="C28" s="160" t="s">
        <v>58</v>
      </c>
      <c r="D28" s="160" t="s">
        <v>59</v>
      </c>
      <c r="E28" s="160" t="s">
        <v>60</v>
      </c>
      <c r="F28" s="160" t="s">
        <v>61</v>
      </c>
    </row>
    <row r="29" spans="1:6">
      <c r="A29" s="167" t="s">
        <v>334</v>
      </c>
      <c r="B29" s="157">
        <f>B19/B20</f>
        <v>0.54956580293777846</v>
      </c>
      <c r="C29" s="157">
        <f t="shared" ref="C29:F29" si="2">C19/C20</f>
        <v>0.36893570979371987</v>
      </c>
      <c r="D29" s="157">
        <f t="shared" si="2"/>
        <v>0.23288962327024451</v>
      </c>
      <c r="E29" s="157">
        <f t="shared" si="2"/>
        <v>0.13370544089405803</v>
      </c>
      <c r="F29" s="157">
        <f t="shared" si="2"/>
        <v>6.5263979460977048E-2</v>
      </c>
    </row>
    <row r="30" spans="1:6">
      <c r="A30" s="167" t="s">
        <v>326</v>
      </c>
      <c r="B30" s="157">
        <f>B19/B21</f>
        <v>0.77991016221250853</v>
      </c>
      <c r="C30" s="157">
        <f t="shared" ref="C30:F30" si="3">C19/C21</f>
        <v>0.48722207765623338</v>
      </c>
      <c r="D30" s="157">
        <f t="shared" si="3"/>
        <v>0.2918865105868847</v>
      </c>
      <c r="E30" s="157">
        <f t="shared" si="3"/>
        <v>0.16069894330653883</v>
      </c>
      <c r="F30" s="157">
        <f t="shared" si="3"/>
        <v>7.5782333601246393E-2</v>
      </c>
    </row>
    <row r="31" spans="1:6">
      <c r="A31" s="167" t="s">
        <v>327</v>
      </c>
      <c r="B31" s="157">
        <f>B19/B23</f>
        <v>0.73930266429840141</v>
      </c>
      <c r="C31" s="157">
        <f t="shared" ref="C31:F31" si="4">C19/C23</f>
        <v>0.4149266627974515</v>
      </c>
      <c r="D31" s="157">
        <f t="shared" si="4"/>
        <v>0.2422516123564335</v>
      </c>
      <c r="E31" s="157">
        <f t="shared" si="4"/>
        <v>0.18097623741089669</v>
      </c>
      <c r="F31" s="157">
        <f t="shared" si="4"/>
        <v>0.11564685815623962</v>
      </c>
    </row>
    <row r="32" spans="1:6">
      <c r="A32" s="167" t="s">
        <v>328</v>
      </c>
      <c r="B32" s="157">
        <f>B19/B25</f>
        <v>1.1930759257925385</v>
      </c>
      <c r="C32" s="157">
        <f t="shared" ref="C32:F32" si="5">C19/C25</f>
        <v>0.89013440781284059</v>
      </c>
      <c r="D32" s="157">
        <f t="shared" si="5"/>
        <v>3.5226859855788684</v>
      </c>
      <c r="E32" s="157">
        <f t="shared" si="5"/>
        <v>1.9699749934347859</v>
      </c>
      <c r="F32" s="157">
        <f t="shared" si="5"/>
        <v>0.94367331652139363</v>
      </c>
    </row>
    <row r="33" s="126" customFormat="1"/>
    <row r="34" s="126" customFormat="1"/>
  </sheetData>
  <mergeCells count="5">
    <mergeCell ref="B27:F27"/>
    <mergeCell ref="B9:E9"/>
    <mergeCell ref="B8:D8"/>
    <mergeCell ref="B3:H3"/>
    <mergeCell ref="B17:F1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showGridLines="0" workbookViewId="0">
      <selection activeCell="U8" sqref="U8"/>
    </sheetView>
  </sheetViews>
  <sheetFormatPr baseColWidth="10" defaultColWidth="9.1640625" defaultRowHeight="18" customHeight="1"/>
  <cols>
    <col min="1" max="6" width="9.1640625" style="8"/>
    <col min="7" max="7" width="10.83203125" style="8" customWidth="1"/>
    <col min="8" max="16384" width="9.1640625" style="8"/>
  </cols>
  <sheetData>
    <row r="1" spans="1:11" s="45" customFormat="1" ht="35" customHeight="1" thickBot="1">
      <c r="A1" s="57" t="s">
        <v>335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18" customHeight="1" thickTop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18" customHeight="1">
      <c r="A3" s="239" t="s">
        <v>336</v>
      </c>
      <c r="B3" s="241"/>
      <c r="C3" s="241"/>
      <c r="D3" s="241"/>
      <c r="E3" s="241"/>
      <c r="F3" s="240"/>
      <c r="G3" s="80"/>
      <c r="H3" s="80"/>
      <c r="I3" s="80"/>
      <c r="J3" s="80"/>
      <c r="K3" s="80"/>
    </row>
    <row r="5" spans="1:11" ht="18" customHeight="1">
      <c r="A5" s="250" t="s">
        <v>337</v>
      </c>
      <c r="B5" s="251"/>
      <c r="C5" s="251"/>
      <c r="D5" s="251"/>
      <c r="E5" s="251"/>
      <c r="F5" s="251"/>
      <c r="G5" s="251"/>
      <c r="H5" s="251"/>
      <c r="I5" s="251"/>
      <c r="J5" s="251"/>
      <c r="K5" s="252"/>
    </row>
    <row r="6" spans="1:11" ht="18" customHeight="1">
      <c r="A6" s="253"/>
      <c r="B6" s="254"/>
      <c r="C6" s="254"/>
      <c r="D6" s="254"/>
      <c r="E6" s="254"/>
      <c r="F6" s="254"/>
      <c r="G6" s="254"/>
      <c r="H6" s="254"/>
      <c r="I6" s="254"/>
      <c r="J6" s="254"/>
      <c r="K6" s="255"/>
    </row>
    <row r="7" spans="1:11" ht="18" customHeight="1">
      <c r="A7" s="253"/>
      <c r="B7" s="254"/>
      <c r="C7" s="254"/>
      <c r="D7" s="254"/>
      <c r="E7" s="254"/>
      <c r="F7" s="254"/>
      <c r="G7" s="254"/>
      <c r="H7" s="254"/>
      <c r="I7" s="254"/>
      <c r="J7" s="254"/>
      <c r="K7" s="255"/>
    </row>
    <row r="8" spans="1:11" ht="18" customHeight="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5"/>
    </row>
    <row r="9" spans="1:11" ht="18" customHeight="1">
      <c r="A9" s="253"/>
      <c r="B9" s="254"/>
      <c r="C9" s="254"/>
      <c r="D9" s="254"/>
      <c r="E9" s="254"/>
      <c r="F9" s="254"/>
      <c r="G9" s="254"/>
      <c r="H9" s="254"/>
      <c r="I9" s="254"/>
      <c r="J9" s="254"/>
      <c r="K9" s="255"/>
    </row>
    <row r="10" spans="1:11" ht="18" customHeight="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5"/>
    </row>
    <row r="11" spans="1:11" ht="18" customHeight="1">
      <c r="A11" s="253"/>
      <c r="B11" s="254"/>
      <c r="C11" s="254"/>
      <c r="D11" s="254"/>
      <c r="E11" s="254"/>
      <c r="F11" s="254"/>
      <c r="G11" s="254"/>
      <c r="H11" s="254"/>
      <c r="I11" s="254"/>
      <c r="J11" s="254"/>
      <c r="K11" s="255"/>
    </row>
    <row r="12" spans="1:11" ht="18" customHeight="1">
      <c r="A12" s="253"/>
      <c r="B12" s="254"/>
      <c r="C12" s="254"/>
      <c r="D12" s="254"/>
      <c r="E12" s="254"/>
      <c r="F12" s="254"/>
      <c r="G12" s="254"/>
      <c r="H12" s="254"/>
      <c r="I12" s="254"/>
      <c r="J12" s="254"/>
      <c r="K12" s="255"/>
    </row>
    <row r="13" spans="1:11" ht="18" customHeight="1">
      <c r="A13" s="253"/>
      <c r="B13" s="254"/>
      <c r="C13" s="254"/>
      <c r="D13" s="254"/>
      <c r="E13" s="254"/>
      <c r="F13" s="254"/>
      <c r="G13" s="254"/>
      <c r="H13" s="254"/>
      <c r="I13" s="254"/>
      <c r="J13" s="254"/>
      <c r="K13" s="255"/>
    </row>
    <row r="14" spans="1:11" ht="18" customHeight="1">
      <c r="A14" s="253"/>
      <c r="B14" s="254"/>
      <c r="C14" s="254"/>
      <c r="D14" s="254"/>
      <c r="E14" s="254"/>
      <c r="F14" s="254"/>
      <c r="G14" s="254"/>
      <c r="H14" s="254"/>
      <c r="I14" s="254"/>
      <c r="J14" s="254"/>
      <c r="K14" s="255"/>
    </row>
    <row r="15" spans="1:11" ht="18" customHeight="1">
      <c r="A15" s="253"/>
      <c r="B15" s="254"/>
      <c r="C15" s="254"/>
      <c r="D15" s="254"/>
      <c r="E15" s="254"/>
      <c r="F15" s="254"/>
      <c r="G15" s="254"/>
      <c r="H15" s="254"/>
      <c r="I15" s="254"/>
      <c r="J15" s="254"/>
      <c r="K15" s="255"/>
    </row>
    <row r="16" spans="1:11" ht="18" customHeight="1">
      <c r="A16" s="253"/>
      <c r="B16" s="254"/>
      <c r="C16" s="254"/>
      <c r="D16" s="254"/>
      <c r="E16" s="254"/>
      <c r="F16" s="254"/>
      <c r="G16" s="254"/>
      <c r="H16" s="254"/>
      <c r="I16" s="254"/>
      <c r="J16" s="254"/>
      <c r="K16" s="255"/>
    </row>
    <row r="17" spans="1:11" ht="18" customHeight="1">
      <c r="A17" s="253"/>
      <c r="B17" s="254"/>
      <c r="C17" s="254"/>
      <c r="D17" s="254"/>
      <c r="E17" s="254"/>
      <c r="F17" s="254"/>
      <c r="G17" s="254"/>
      <c r="H17" s="254"/>
      <c r="I17" s="254"/>
      <c r="J17" s="254"/>
      <c r="K17" s="255"/>
    </row>
    <row r="18" spans="1:11" ht="18" customHeight="1">
      <c r="A18" s="253"/>
      <c r="B18" s="254"/>
      <c r="C18" s="254"/>
      <c r="D18" s="254"/>
      <c r="E18" s="254"/>
      <c r="F18" s="254"/>
      <c r="G18" s="254"/>
      <c r="H18" s="254"/>
      <c r="I18" s="254"/>
      <c r="J18" s="254"/>
      <c r="K18" s="255"/>
    </row>
    <row r="19" spans="1:11" ht="18" customHeight="1">
      <c r="A19" s="253"/>
      <c r="B19" s="254"/>
      <c r="C19" s="254"/>
      <c r="D19" s="254"/>
      <c r="E19" s="254"/>
      <c r="F19" s="254"/>
      <c r="G19" s="254"/>
      <c r="H19" s="254"/>
      <c r="I19" s="254"/>
      <c r="J19" s="254"/>
      <c r="K19" s="255"/>
    </row>
    <row r="20" spans="1:11" ht="18" customHeight="1">
      <c r="A20" s="253"/>
      <c r="B20" s="254"/>
      <c r="C20" s="254"/>
      <c r="D20" s="254"/>
      <c r="E20" s="254"/>
      <c r="F20" s="254"/>
      <c r="G20" s="254"/>
      <c r="H20" s="254"/>
      <c r="I20" s="254"/>
      <c r="J20" s="254"/>
      <c r="K20" s="255"/>
    </row>
    <row r="21" spans="1:11" ht="18" customHeight="1">
      <c r="A21" s="253"/>
      <c r="B21" s="254"/>
      <c r="C21" s="254"/>
      <c r="D21" s="254"/>
      <c r="E21" s="254"/>
      <c r="F21" s="254"/>
      <c r="G21" s="254"/>
      <c r="H21" s="254"/>
      <c r="I21" s="254"/>
      <c r="J21" s="254"/>
      <c r="K21" s="255"/>
    </row>
    <row r="22" spans="1:11" ht="18" customHeight="1">
      <c r="A22" s="253"/>
      <c r="B22" s="254"/>
      <c r="C22" s="254"/>
      <c r="D22" s="254"/>
      <c r="E22" s="254"/>
      <c r="F22" s="254"/>
      <c r="G22" s="254"/>
      <c r="H22" s="254"/>
      <c r="I22" s="254"/>
      <c r="J22" s="254"/>
      <c r="K22" s="255"/>
    </row>
    <row r="23" spans="1:11" ht="18" customHeight="1">
      <c r="A23" s="253"/>
      <c r="B23" s="254"/>
      <c r="C23" s="254"/>
      <c r="D23" s="254"/>
      <c r="E23" s="254"/>
      <c r="F23" s="254"/>
      <c r="G23" s="254"/>
      <c r="H23" s="254"/>
      <c r="I23" s="254"/>
      <c r="J23" s="254"/>
      <c r="K23" s="255"/>
    </row>
    <row r="24" spans="1:11" ht="18" customHeight="1">
      <c r="A24" s="253"/>
      <c r="B24" s="254"/>
      <c r="C24" s="254"/>
      <c r="D24" s="254"/>
      <c r="E24" s="254"/>
      <c r="F24" s="254"/>
      <c r="G24" s="254"/>
      <c r="H24" s="254"/>
      <c r="I24" s="254"/>
      <c r="J24" s="254"/>
      <c r="K24" s="255"/>
    </row>
    <row r="25" spans="1:11" ht="18" customHeight="1">
      <c r="A25" s="253"/>
      <c r="B25" s="254"/>
      <c r="C25" s="254"/>
      <c r="D25" s="254"/>
      <c r="E25" s="254"/>
      <c r="F25" s="254"/>
      <c r="G25" s="254"/>
      <c r="H25" s="254"/>
      <c r="I25" s="254"/>
      <c r="J25" s="254"/>
      <c r="K25" s="255"/>
    </row>
    <row r="26" spans="1:11" ht="18" customHeight="1">
      <c r="A26" s="253"/>
      <c r="B26" s="254"/>
      <c r="C26" s="254"/>
      <c r="D26" s="254"/>
      <c r="E26" s="254"/>
      <c r="F26" s="254"/>
      <c r="G26" s="254"/>
      <c r="H26" s="254"/>
      <c r="I26" s="254"/>
      <c r="J26" s="254"/>
      <c r="K26" s="255"/>
    </row>
    <row r="27" spans="1:11" ht="18" customHeight="1">
      <c r="A27" s="253"/>
      <c r="B27" s="254"/>
      <c r="C27" s="254"/>
      <c r="D27" s="254"/>
      <c r="E27" s="254"/>
      <c r="F27" s="254"/>
      <c r="G27" s="254"/>
      <c r="H27" s="254"/>
      <c r="I27" s="254"/>
      <c r="J27" s="254"/>
      <c r="K27" s="255"/>
    </row>
    <row r="28" spans="1:11" ht="18" customHeight="1">
      <c r="A28" s="253"/>
      <c r="B28" s="254"/>
      <c r="C28" s="254"/>
      <c r="D28" s="254"/>
      <c r="E28" s="254"/>
      <c r="F28" s="254"/>
      <c r="G28" s="254"/>
      <c r="H28" s="254"/>
      <c r="I28" s="254"/>
      <c r="J28" s="254"/>
      <c r="K28" s="255"/>
    </row>
    <row r="29" spans="1:11" ht="18" customHeight="1">
      <c r="A29" s="253"/>
      <c r="B29" s="254"/>
      <c r="C29" s="254"/>
      <c r="D29" s="254"/>
      <c r="E29" s="254"/>
      <c r="F29" s="254"/>
      <c r="G29" s="254"/>
      <c r="H29" s="254"/>
      <c r="I29" s="254"/>
      <c r="J29" s="254"/>
      <c r="K29" s="255"/>
    </row>
    <row r="30" spans="1:11" ht="18" customHeight="1">
      <c r="A30" s="253"/>
      <c r="B30" s="254"/>
      <c r="C30" s="254"/>
      <c r="D30" s="254"/>
      <c r="E30" s="254"/>
      <c r="F30" s="254"/>
      <c r="G30" s="254"/>
      <c r="H30" s="254"/>
      <c r="I30" s="254"/>
      <c r="J30" s="254"/>
      <c r="K30" s="255"/>
    </row>
    <row r="31" spans="1:11" ht="18" customHeight="1">
      <c r="A31" s="253"/>
      <c r="B31" s="254"/>
      <c r="C31" s="254"/>
      <c r="D31" s="254"/>
      <c r="E31" s="254"/>
      <c r="F31" s="254"/>
      <c r="G31" s="254"/>
      <c r="H31" s="254"/>
      <c r="I31" s="254"/>
      <c r="J31" s="254"/>
      <c r="K31" s="255"/>
    </row>
    <row r="32" spans="1:11" ht="18" customHeight="1">
      <c r="A32" s="253"/>
      <c r="B32" s="254"/>
      <c r="C32" s="254"/>
      <c r="D32" s="254"/>
      <c r="E32" s="254"/>
      <c r="F32" s="254"/>
      <c r="G32" s="254"/>
      <c r="H32" s="254"/>
      <c r="I32" s="254"/>
      <c r="J32" s="254"/>
      <c r="K32" s="255"/>
    </row>
    <row r="33" spans="1:11" ht="18" customHeight="1">
      <c r="A33" s="253"/>
      <c r="B33" s="254"/>
      <c r="C33" s="254"/>
      <c r="D33" s="254"/>
      <c r="E33" s="254"/>
      <c r="F33" s="254"/>
      <c r="G33" s="254"/>
      <c r="H33" s="254"/>
      <c r="I33" s="254"/>
      <c r="J33" s="254"/>
      <c r="K33" s="255"/>
    </row>
    <row r="34" spans="1:11" ht="18" customHeight="1">
      <c r="A34" s="253"/>
      <c r="B34" s="254"/>
      <c r="C34" s="254"/>
      <c r="D34" s="254"/>
      <c r="E34" s="254"/>
      <c r="F34" s="254"/>
      <c r="G34" s="254"/>
      <c r="H34" s="254"/>
      <c r="I34" s="254"/>
      <c r="J34" s="254"/>
      <c r="K34" s="255"/>
    </row>
    <row r="35" spans="1:11" ht="18" customHeight="1">
      <c r="A35" s="253"/>
      <c r="B35" s="254"/>
      <c r="C35" s="254"/>
      <c r="D35" s="254"/>
      <c r="E35" s="254"/>
      <c r="F35" s="254"/>
      <c r="G35" s="254"/>
      <c r="H35" s="254"/>
      <c r="I35" s="254"/>
      <c r="J35" s="254"/>
      <c r="K35" s="255"/>
    </row>
    <row r="36" spans="1:11" ht="18" customHeight="1">
      <c r="A36" s="253"/>
      <c r="B36" s="254"/>
      <c r="C36" s="254"/>
      <c r="D36" s="254"/>
      <c r="E36" s="254"/>
      <c r="F36" s="254"/>
      <c r="G36" s="254"/>
      <c r="H36" s="254"/>
      <c r="I36" s="254"/>
      <c r="J36" s="254"/>
      <c r="K36" s="255"/>
    </row>
    <row r="37" spans="1:11" ht="18" customHeight="1">
      <c r="A37" s="253"/>
      <c r="B37" s="254"/>
      <c r="C37" s="254"/>
      <c r="D37" s="254"/>
      <c r="E37" s="254"/>
      <c r="F37" s="254"/>
      <c r="G37" s="254"/>
      <c r="H37" s="254"/>
      <c r="I37" s="254"/>
      <c r="J37" s="254"/>
      <c r="K37" s="255"/>
    </row>
    <row r="38" spans="1:11" ht="18" customHeight="1">
      <c r="A38" s="253"/>
      <c r="B38" s="254"/>
      <c r="C38" s="254"/>
      <c r="D38" s="254"/>
      <c r="E38" s="254"/>
      <c r="F38" s="254"/>
      <c r="G38" s="254"/>
      <c r="H38" s="254"/>
      <c r="I38" s="254"/>
      <c r="J38" s="254"/>
      <c r="K38" s="255"/>
    </row>
    <row r="39" spans="1:11" ht="18" customHeight="1">
      <c r="A39" s="253"/>
      <c r="B39" s="254"/>
      <c r="C39" s="254"/>
      <c r="D39" s="254"/>
      <c r="E39" s="254"/>
      <c r="F39" s="254"/>
      <c r="G39" s="254"/>
      <c r="H39" s="254"/>
      <c r="I39" s="254"/>
      <c r="J39" s="254"/>
      <c r="K39" s="255"/>
    </row>
    <row r="40" spans="1:11" ht="18" customHeight="1">
      <c r="A40" s="253"/>
      <c r="B40" s="254"/>
      <c r="C40" s="254"/>
      <c r="D40" s="254"/>
      <c r="E40" s="254"/>
      <c r="F40" s="254"/>
      <c r="G40" s="254"/>
      <c r="H40" s="254"/>
      <c r="I40" s="254"/>
      <c r="J40" s="254"/>
      <c r="K40" s="255"/>
    </row>
    <row r="41" spans="1:11" ht="18" customHeight="1">
      <c r="A41" s="253"/>
      <c r="B41" s="254"/>
      <c r="C41" s="254"/>
      <c r="D41" s="254"/>
      <c r="E41" s="254"/>
      <c r="F41" s="254"/>
      <c r="G41" s="254"/>
      <c r="H41" s="254"/>
      <c r="I41" s="254"/>
      <c r="J41" s="254"/>
      <c r="K41" s="255"/>
    </row>
    <row r="42" spans="1:11" ht="18" customHeight="1">
      <c r="A42" s="253"/>
      <c r="B42" s="254"/>
      <c r="C42" s="254"/>
      <c r="D42" s="254"/>
      <c r="E42" s="254"/>
      <c r="F42" s="254"/>
      <c r="G42" s="254"/>
      <c r="H42" s="254"/>
      <c r="I42" s="254"/>
      <c r="J42" s="254"/>
      <c r="K42" s="255"/>
    </row>
    <row r="43" spans="1:11" ht="18" customHeight="1">
      <c r="A43" s="253"/>
      <c r="B43" s="254"/>
      <c r="C43" s="254"/>
      <c r="D43" s="254"/>
      <c r="E43" s="254"/>
      <c r="F43" s="254"/>
      <c r="G43" s="254"/>
      <c r="H43" s="254"/>
      <c r="I43" s="254"/>
      <c r="J43" s="254"/>
      <c r="K43" s="255"/>
    </row>
    <row r="44" spans="1:11" ht="18" customHeight="1">
      <c r="A44" s="253"/>
      <c r="B44" s="254"/>
      <c r="C44" s="254"/>
      <c r="D44" s="254"/>
      <c r="E44" s="254"/>
      <c r="F44" s="254"/>
      <c r="G44" s="254"/>
      <c r="H44" s="254"/>
      <c r="I44" s="254"/>
      <c r="J44" s="254"/>
      <c r="K44" s="255"/>
    </row>
    <row r="45" spans="1:11" ht="18" customHeight="1">
      <c r="A45" s="256"/>
      <c r="B45" s="257"/>
      <c r="C45" s="257"/>
      <c r="D45" s="257"/>
      <c r="E45" s="257"/>
      <c r="F45" s="257"/>
      <c r="G45" s="257"/>
      <c r="H45" s="257"/>
      <c r="I45" s="257"/>
      <c r="J45" s="257"/>
      <c r="K45" s="258"/>
    </row>
  </sheetData>
  <mergeCells count="2">
    <mergeCell ref="A3:F3"/>
    <mergeCell ref="A5:K45"/>
  </mergeCells>
  <phoneticPr fontId="7" type="noConversion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7"/>
  <sheetViews>
    <sheetView showGridLines="0" topLeftCell="A28" workbookViewId="0">
      <selection activeCell="H3" sqref="H3:I3"/>
    </sheetView>
  </sheetViews>
  <sheetFormatPr baseColWidth="10" defaultColWidth="9.1640625" defaultRowHeight="13"/>
  <cols>
    <col min="1" max="8" width="9.1640625" style="65"/>
    <col min="9" max="9" width="35.5" style="65" customWidth="1"/>
    <col min="10" max="16384" width="9.1640625" style="65"/>
  </cols>
  <sheetData>
    <row r="1" spans="1:21" ht="30" customHeight="1">
      <c r="A1" s="264" t="s">
        <v>338</v>
      </c>
      <c r="B1" s="264"/>
      <c r="C1" s="264"/>
      <c r="D1" s="264"/>
      <c r="E1" s="264"/>
      <c r="F1" s="264"/>
      <c r="G1" s="264"/>
      <c r="H1" s="264"/>
      <c r="I1" s="264"/>
      <c r="J1" s="63"/>
      <c r="K1" s="63"/>
      <c r="L1" s="63"/>
      <c r="M1" s="64"/>
      <c r="N1" s="64"/>
      <c r="O1" s="64"/>
      <c r="P1" s="64"/>
      <c r="Q1" s="64"/>
      <c r="T1" s="66"/>
      <c r="U1" s="66"/>
    </row>
    <row r="2" spans="1:21">
      <c r="I2" s="67"/>
    </row>
    <row r="3" spans="1:21">
      <c r="A3" s="68"/>
      <c r="B3" s="68"/>
      <c r="H3" s="265" t="str">
        <f ca="1">"© "&amp;YEAR(TODAY())&amp;" Spreadsheet123 LTD. All rights reserved"</f>
        <v>© 2023 Spreadsheet123 LTD. All rights reserved</v>
      </c>
      <c r="I3" s="265"/>
    </row>
    <row r="4" spans="1:21" ht="5" customHeight="1"/>
    <row r="5" spans="1:21" ht="14">
      <c r="A5" s="260" t="s">
        <v>339</v>
      </c>
      <c r="B5" s="260"/>
      <c r="C5" s="260"/>
      <c r="D5" s="260"/>
      <c r="E5" s="260"/>
      <c r="F5" s="260"/>
      <c r="G5" s="260"/>
      <c r="H5" s="260"/>
      <c r="I5" s="260"/>
    </row>
    <row r="6" spans="1:21">
      <c r="A6" s="266" t="s">
        <v>340</v>
      </c>
      <c r="B6" s="266"/>
      <c r="C6" s="266"/>
      <c r="D6" s="266"/>
      <c r="E6" s="266"/>
      <c r="F6" s="266"/>
      <c r="G6" s="266"/>
      <c r="H6" s="266"/>
      <c r="I6" s="266"/>
    </row>
    <row r="7" spans="1:21">
      <c r="A7" s="259" t="s">
        <v>341</v>
      </c>
      <c r="B7" s="259"/>
      <c r="C7" s="259"/>
      <c r="D7" s="259"/>
      <c r="E7" s="259"/>
      <c r="F7" s="259"/>
      <c r="G7" s="259"/>
      <c r="H7" s="259"/>
      <c r="I7" s="259"/>
    </row>
    <row r="8" spans="1:21">
      <c r="A8" s="69" t="s">
        <v>342</v>
      </c>
      <c r="B8" s="69"/>
      <c r="C8" s="69"/>
      <c r="D8" s="69"/>
      <c r="E8" s="69"/>
      <c r="F8" s="69"/>
      <c r="G8" s="69"/>
      <c r="H8" s="69"/>
      <c r="I8" s="69"/>
    </row>
    <row r="9" spans="1:21">
      <c r="A9" s="259"/>
      <c r="B9" s="259"/>
      <c r="C9" s="259"/>
      <c r="D9" s="259"/>
      <c r="E9" s="259"/>
      <c r="F9" s="259"/>
      <c r="G9" s="259"/>
      <c r="H9" s="259"/>
      <c r="I9" s="259"/>
    </row>
    <row r="10" spans="1:21">
      <c r="A10" s="259" t="s">
        <v>343</v>
      </c>
      <c r="B10" s="259"/>
      <c r="C10" s="259"/>
      <c r="D10" s="259"/>
      <c r="E10" s="259"/>
      <c r="F10" s="259"/>
      <c r="G10" s="259"/>
      <c r="H10" s="259"/>
      <c r="I10" s="259"/>
    </row>
    <row r="11" spans="1:21">
      <c r="A11" s="259" t="s">
        <v>344</v>
      </c>
      <c r="B11" s="259"/>
      <c r="C11" s="259"/>
      <c r="D11" s="259"/>
      <c r="E11" s="259"/>
      <c r="F11" s="259"/>
      <c r="G11" s="259"/>
      <c r="H11" s="259"/>
      <c r="I11" s="259"/>
    </row>
    <row r="12" spans="1:21">
      <c r="A12" s="69"/>
      <c r="B12" s="69"/>
      <c r="C12" s="69"/>
      <c r="D12" s="69"/>
      <c r="E12" s="69"/>
      <c r="F12" s="69"/>
      <c r="G12" s="69"/>
      <c r="H12" s="69"/>
      <c r="I12" s="69"/>
    </row>
    <row r="13" spans="1:21" ht="14">
      <c r="A13" s="260" t="s">
        <v>345</v>
      </c>
      <c r="B13" s="260"/>
      <c r="C13" s="260"/>
      <c r="D13" s="260"/>
      <c r="E13" s="260"/>
      <c r="F13" s="260"/>
      <c r="G13" s="260"/>
      <c r="H13" s="260"/>
      <c r="I13" s="260"/>
    </row>
    <row r="14" spans="1:21">
      <c r="A14" s="259" t="s">
        <v>346</v>
      </c>
      <c r="B14" s="259"/>
      <c r="C14" s="259"/>
      <c r="D14" s="259"/>
      <c r="E14" s="259"/>
      <c r="F14" s="259"/>
      <c r="G14" s="259"/>
      <c r="H14" s="259"/>
      <c r="I14" s="259"/>
    </row>
    <row r="15" spans="1:21">
      <c r="A15" s="259" t="s">
        <v>347</v>
      </c>
      <c r="B15" s="259"/>
      <c r="C15" s="259"/>
      <c r="D15" s="259"/>
      <c r="E15" s="259"/>
      <c r="F15" s="259"/>
      <c r="G15" s="259"/>
      <c r="H15" s="259"/>
      <c r="I15" s="259"/>
    </row>
    <row r="16" spans="1:21">
      <c r="A16" s="69"/>
      <c r="B16" s="69"/>
      <c r="C16" s="69"/>
      <c r="D16" s="69"/>
      <c r="E16" s="69"/>
      <c r="F16" s="69"/>
      <c r="G16" s="69"/>
      <c r="H16" s="69"/>
      <c r="I16" s="69"/>
    </row>
    <row r="17" spans="1:9" ht="14">
      <c r="A17" s="260" t="s">
        <v>348</v>
      </c>
      <c r="B17" s="260"/>
      <c r="C17" s="260"/>
      <c r="D17" s="260"/>
      <c r="E17" s="260"/>
      <c r="F17" s="260"/>
      <c r="G17" s="260"/>
      <c r="H17" s="260"/>
      <c r="I17" s="260"/>
    </row>
    <row r="18" spans="1:9">
      <c r="A18" s="259" t="s">
        <v>349</v>
      </c>
      <c r="B18" s="259"/>
      <c r="C18" s="259"/>
      <c r="D18" s="259"/>
      <c r="E18" s="259"/>
      <c r="F18" s="259"/>
      <c r="G18" s="259"/>
      <c r="H18" s="259"/>
      <c r="I18" s="259"/>
    </row>
    <row r="19" spans="1:9">
      <c r="A19" s="70" t="s">
        <v>350</v>
      </c>
      <c r="B19" s="69"/>
      <c r="C19" s="69"/>
      <c r="D19" s="69"/>
      <c r="E19" s="69"/>
      <c r="F19" s="69"/>
      <c r="G19" s="69"/>
      <c r="H19" s="69"/>
      <c r="I19" s="69"/>
    </row>
    <row r="20" spans="1:9">
      <c r="A20" s="259" t="s">
        <v>351</v>
      </c>
      <c r="B20" s="259"/>
      <c r="C20" s="259"/>
      <c r="D20" s="259"/>
      <c r="E20" s="259"/>
      <c r="F20" s="259"/>
      <c r="G20" s="259"/>
      <c r="H20" s="259"/>
      <c r="I20" s="259"/>
    </row>
    <row r="21" spans="1:9">
      <c r="A21" s="259" t="s">
        <v>352</v>
      </c>
      <c r="B21" s="259"/>
      <c r="C21" s="259"/>
      <c r="D21" s="259"/>
      <c r="E21" s="259"/>
      <c r="F21" s="259"/>
      <c r="G21" s="259"/>
      <c r="H21" s="259"/>
      <c r="I21" s="259"/>
    </row>
    <row r="22" spans="1:9">
      <c r="A22" s="259" t="s">
        <v>353</v>
      </c>
      <c r="B22" s="259"/>
      <c r="C22" s="259"/>
      <c r="D22" s="259"/>
      <c r="E22" s="259"/>
      <c r="F22" s="259"/>
      <c r="G22" s="259"/>
      <c r="H22" s="259"/>
      <c r="I22" s="259"/>
    </row>
    <row r="23" spans="1:9" ht="15">
      <c r="A23" s="263" t="s">
        <v>354</v>
      </c>
      <c r="B23" s="263"/>
      <c r="C23" s="263"/>
      <c r="D23" s="263"/>
      <c r="E23" s="263"/>
      <c r="F23" s="263"/>
      <c r="G23" s="263"/>
      <c r="H23" s="263"/>
      <c r="I23" s="263"/>
    </row>
    <row r="24" spans="1:9" ht="15">
      <c r="A24" s="263" t="s">
        <v>355</v>
      </c>
      <c r="B24" s="263"/>
      <c r="C24" s="263"/>
      <c r="D24" s="263"/>
      <c r="E24" s="263"/>
      <c r="F24" s="263"/>
      <c r="G24" s="263"/>
      <c r="H24" s="263"/>
      <c r="I24" s="263"/>
    </row>
    <row r="25" spans="1:9" ht="15">
      <c r="A25" s="71" t="s">
        <v>356</v>
      </c>
      <c r="B25" s="71"/>
      <c r="C25" s="71"/>
      <c r="D25" s="71"/>
      <c r="E25" s="71"/>
      <c r="F25" s="71"/>
      <c r="G25" s="71"/>
      <c r="H25" s="71"/>
      <c r="I25" s="71"/>
    </row>
    <row r="26" spans="1:9" ht="15">
      <c r="A26" s="71" t="s">
        <v>357</v>
      </c>
      <c r="B26" s="71"/>
      <c r="C26" s="71"/>
      <c r="D26" s="71"/>
      <c r="E26" s="71"/>
      <c r="F26" s="71"/>
      <c r="G26" s="71"/>
      <c r="H26" s="71"/>
      <c r="I26" s="71"/>
    </row>
    <row r="27" spans="1:9" ht="15">
      <c r="A27" s="71" t="s">
        <v>358</v>
      </c>
      <c r="B27" s="71"/>
      <c r="C27" s="71"/>
      <c r="D27" s="71"/>
      <c r="E27" s="71"/>
      <c r="F27" s="71"/>
      <c r="G27" s="71"/>
      <c r="H27" s="71"/>
      <c r="I27" s="71"/>
    </row>
    <row r="28" spans="1:9">
      <c r="A28" s="69"/>
      <c r="B28" s="69"/>
      <c r="C28" s="69"/>
      <c r="D28" s="69"/>
      <c r="E28" s="69"/>
      <c r="F28" s="69"/>
      <c r="G28" s="69"/>
      <c r="H28" s="69"/>
      <c r="I28" s="69"/>
    </row>
    <row r="29" spans="1:9" ht="14">
      <c r="A29" s="260" t="s">
        <v>359</v>
      </c>
      <c r="B29" s="260"/>
      <c r="C29" s="260"/>
      <c r="D29" s="260"/>
      <c r="E29" s="260"/>
      <c r="F29" s="260"/>
      <c r="G29" s="260"/>
      <c r="H29" s="260"/>
      <c r="I29" s="260"/>
    </row>
    <row r="30" spans="1:9" ht="15" customHeight="1">
      <c r="A30" s="262" t="s">
        <v>360</v>
      </c>
      <c r="B30" s="262"/>
      <c r="C30" s="262"/>
      <c r="D30" s="262"/>
      <c r="E30" s="262"/>
      <c r="F30" s="262"/>
      <c r="G30" s="262"/>
      <c r="H30" s="262"/>
      <c r="I30" s="262"/>
    </row>
    <row r="31" spans="1:9" ht="15" customHeight="1">
      <c r="A31" s="262" t="s">
        <v>361</v>
      </c>
      <c r="B31" s="262"/>
      <c r="C31" s="262"/>
      <c r="D31" s="262"/>
      <c r="E31" s="262"/>
      <c r="F31" s="262"/>
      <c r="G31" s="262"/>
      <c r="H31" s="262"/>
      <c r="I31" s="262"/>
    </row>
    <row r="32" spans="1:9">
      <c r="A32" s="262" t="s">
        <v>362</v>
      </c>
      <c r="B32" s="259"/>
      <c r="C32" s="259"/>
      <c r="D32" s="259"/>
      <c r="E32" s="259"/>
      <c r="F32" s="259"/>
      <c r="G32" s="259"/>
      <c r="H32" s="259"/>
      <c r="I32" s="259"/>
    </row>
    <row r="33" spans="1:9">
      <c r="A33" s="262" t="s">
        <v>363</v>
      </c>
      <c r="B33" s="262"/>
      <c r="C33" s="262"/>
      <c r="D33" s="262"/>
      <c r="E33" s="262"/>
      <c r="F33" s="262"/>
      <c r="G33" s="262"/>
      <c r="H33" s="262"/>
      <c r="I33" s="262"/>
    </row>
    <row r="34" spans="1:9">
      <c r="A34" s="69"/>
      <c r="B34" s="69"/>
      <c r="C34" s="69"/>
      <c r="D34" s="69"/>
      <c r="E34" s="69"/>
      <c r="F34" s="69"/>
      <c r="G34" s="69"/>
      <c r="H34" s="69"/>
      <c r="I34" s="69"/>
    </row>
    <row r="35" spans="1:9" ht="14">
      <c r="A35" s="260" t="s">
        <v>364</v>
      </c>
      <c r="B35" s="260"/>
      <c r="C35" s="260"/>
      <c r="D35" s="260"/>
      <c r="E35" s="260"/>
      <c r="F35" s="260"/>
      <c r="G35" s="260"/>
      <c r="H35" s="260"/>
      <c r="I35" s="260"/>
    </row>
    <row r="36" spans="1:9" s="72" customFormat="1" ht="15">
      <c r="A36" s="261" t="s">
        <v>365</v>
      </c>
      <c r="B36" s="261"/>
      <c r="C36" s="261"/>
      <c r="D36" s="261"/>
      <c r="E36" s="261"/>
      <c r="F36" s="261"/>
      <c r="G36" s="261"/>
      <c r="H36" s="261"/>
      <c r="I36" s="261"/>
    </row>
    <row r="37" spans="1:9" s="72" customFormat="1">
      <c r="A37" s="261" t="s">
        <v>366</v>
      </c>
      <c r="B37" s="261"/>
      <c r="C37" s="261"/>
      <c r="D37" s="261"/>
      <c r="E37" s="261"/>
      <c r="F37" s="261"/>
      <c r="G37" s="261"/>
      <c r="H37" s="261"/>
      <c r="I37" s="261"/>
    </row>
    <row r="38" spans="1:9">
      <c r="A38" s="69"/>
      <c r="B38" s="69"/>
      <c r="C38" s="69"/>
      <c r="D38" s="69"/>
      <c r="E38" s="69"/>
      <c r="F38" s="69"/>
      <c r="G38" s="69"/>
      <c r="H38" s="69"/>
      <c r="I38" s="69"/>
    </row>
    <row r="39" spans="1:9" ht="14">
      <c r="A39" s="260" t="s">
        <v>367</v>
      </c>
      <c r="B39" s="260"/>
      <c r="C39" s="260"/>
      <c r="D39" s="260"/>
      <c r="E39" s="260"/>
      <c r="F39" s="260"/>
      <c r="G39" s="260"/>
      <c r="H39" s="260"/>
      <c r="I39" s="260"/>
    </row>
    <row r="40" spans="1:9">
      <c r="A40" s="259" t="s">
        <v>368</v>
      </c>
      <c r="B40" s="259"/>
      <c r="C40" s="259"/>
      <c r="D40" s="259"/>
      <c r="E40" s="259"/>
      <c r="F40" s="259"/>
      <c r="G40" s="259"/>
      <c r="H40" s="259"/>
      <c r="I40" s="259"/>
    </row>
    <row r="41" spans="1:9">
      <c r="A41" s="259" t="s">
        <v>369</v>
      </c>
      <c r="B41" s="259"/>
      <c r="C41" s="259"/>
      <c r="D41" s="259"/>
      <c r="E41" s="259"/>
      <c r="F41" s="259"/>
      <c r="G41" s="259"/>
      <c r="H41" s="259"/>
      <c r="I41" s="259"/>
    </row>
    <row r="42" spans="1:9">
      <c r="A42" s="259" t="s">
        <v>370</v>
      </c>
      <c r="B42" s="259"/>
      <c r="C42" s="259"/>
      <c r="D42" s="259"/>
      <c r="E42" s="259"/>
      <c r="F42" s="259"/>
      <c r="G42" s="259"/>
      <c r="H42" s="259"/>
      <c r="I42" s="259"/>
    </row>
    <row r="43" spans="1:9">
      <c r="A43" s="259" t="s">
        <v>371</v>
      </c>
      <c r="B43" s="259"/>
      <c r="C43" s="259"/>
      <c r="D43" s="259"/>
      <c r="E43" s="259"/>
      <c r="F43" s="259"/>
      <c r="G43" s="259"/>
      <c r="H43" s="259"/>
      <c r="I43" s="259"/>
    </row>
    <row r="44" spans="1:9">
      <c r="A44" s="259" t="s">
        <v>372</v>
      </c>
      <c r="B44" s="259"/>
      <c r="C44" s="259"/>
      <c r="D44" s="259"/>
      <c r="E44" s="259"/>
      <c r="F44" s="259"/>
      <c r="G44" s="259"/>
      <c r="H44" s="259"/>
      <c r="I44" s="259"/>
    </row>
    <row r="45" spans="1:9">
      <c r="A45" s="259" t="s">
        <v>373</v>
      </c>
      <c r="B45" s="259"/>
      <c r="C45" s="259"/>
      <c r="D45" s="259"/>
      <c r="E45" s="259"/>
      <c r="F45" s="259"/>
      <c r="G45" s="259"/>
      <c r="H45" s="259"/>
      <c r="I45" s="259"/>
    </row>
    <row r="46" spans="1:9">
      <c r="A46" s="259" t="s">
        <v>374</v>
      </c>
      <c r="B46" s="259"/>
      <c r="C46" s="259"/>
      <c r="D46" s="259"/>
      <c r="E46" s="259"/>
      <c r="F46" s="259"/>
      <c r="G46" s="259"/>
      <c r="H46" s="259"/>
      <c r="I46" s="259"/>
    </row>
    <row r="47" spans="1:9">
      <c r="A47" s="259" t="s">
        <v>375</v>
      </c>
      <c r="B47" s="259"/>
      <c r="C47" s="259"/>
      <c r="D47" s="259"/>
      <c r="E47" s="259"/>
      <c r="F47" s="259"/>
      <c r="G47" s="259"/>
      <c r="H47" s="259"/>
      <c r="I47" s="259"/>
    </row>
    <row r="48" spans="1:9">
      <c r="A48" s="69"/>
      <c r="B48" s="69"/>
      <c r="C48" s="69"/>
      <c r="D48" s="69"/>
      <c r="E48" s="69"/>
      <c r="F48" s="69"/>
      <c r="G48" s="69"/>
      <c r="H48" s="69"/>
      <c r="I48" s="69"/>
    </row>
    <row r="49" spans="1:9" s="75" customFormat="1" ht="11">
      <c r="A49" s="73" t="s">
        <v>376</v>
      </c>
      <c r="B49" s="74"/>
      <c r="C49" s="74"/>
      <c r="D49" s="74"/>
      <c r="E49" s="74"/>
      <c r="F49" s="74"/>
      <c r="G49" s="74"/>
      <c r="H49" s="74"/>
      <c r="I49" s="74"/>
    </row>
    <row r="50" spans="1:9" s="75" customFormat="1" ht="10">
      <c r="A50" s="74" t="s">
        <v>377</v>
      </c>
      <c r="B50" s="74"/>
      <c r="C50" s="74"/>
      <c r="D50" s="74"/>
      <c r="E50" s="74"/>
      <c r="F50" s="74"/>
      <c r="G50" s="74"/>
      <c r="H50" s="74"/>
      <c r="I50" s="74"/>
    </row>
    <row r="51" spans="1:9" s="75" customFormat="1" ht="10">
      <c r="A51" s="74" t="s">
        <v>378</v>
      </c>
      <c r="B51" s="74"/>
      <c r="C51" s="74"/>
      <c r="D51" s="74"/>
      <c r="E51" s="74"/>
      <c r="F51" s="74"/>
      <c r="G51" s="74"/>
      <c r="H51" s="74"/>
      <c r="I51" s="74"/>
    </row>
    <row r="52" spans="1:9">
      <c r="A52" s="69"/>
      <c r="B52" s="69"/>
      <c r="C52" s="69"/>
      <c r="D52" s="69"/>
      <c r="E52" s="69"/>
      <c r="F52" s="69"/>
      <c r="G52" s="69"/>
      <c r="H52" s="69"/>
      <c r="I52" s="69"/>
    </row>
    <row r="53" spans="1:9" ht="14">
      <c r="A53" s="260" t="s">
        <v>379</v>
      </c>
      <c r="B53" s="260"/>
      <c r="C53" s="260"/>
      <c r="D53" s="260"/>
      <c r="E53" s="260"/>
      <c r="F53" s="260"/>
      <c r="G53" s="260"/>
      <c r="H53" s="260"/>
      <c r="I53" s="260"/>
    </row>
    <row r="54" spans="1:9">
      <c r="A54" s="259" t="s">
        <v>380</v>
      </c>
      <c r="B54" s="259"/>
      <c r="C54" s="259"/>
      <c r="D54" s="259"/>
      <c r="E54" s="259"/>
      <c r="F54" s="259"/>
      <c r="G54" s="259"/>
      <c r="H54" s="259"/>
      <c r="I54" s="259"/>
    </row>
    <row r="55" spans="1:9">
      <c r="A55" s="69" t="s">
        <v>381</v>
      </c>
      <c r="B55" s="69"/>
      <c r="C55" s="69"/>
      <c r="D55" s="69"/>
      <c r="E55" s="69"/>
      <c r="F55" s="69"/>
      <c r="G55" s="69"/>
      <c r="H55" s="69"/>
      <c r="I55" s="69"/>
    </row>
    <row r="56" spans="1:9">
      <c r="A56" s="69"/>
      <c r="B56" s="69"/>
      <c r="C56" s="69"/>
      <c r="D56" s="69"/>
      <c r="E56" s="69"/>
      <c r="F56" s="69"/>
      <c r="G56" s="69"/>
      <c r="H56" s="69"/>
      <c r="I56" s="69"/>
    </row>
    <row r="57" spans="1:9">
      <c r="H57" s="259" t="str">
        <f ca="1">H3</f>
        <v>© 2023 Spreadsheet123 LTD. All rights reserved</v>
      </c>
      <c r="I57" s="259"/>
    </row>
  </sheetData>
  <mergeCells count="38">
    <mergeCell ref="A7:I7"/>
    <mergeCell ref="A9:I9"/>
    <mergeCell ref="A10:I10"/>
    <mergeCell ref="A11:I11"/>
    <mergeCell ref="A1:I1"/>
    <mergeCell ref="H3:I3"/>
    <mergeCell ref="A5:I5"/>
    <mergeCell ref="A6:I6"/>
    <mergeCell ref="A18:I18"/>
    <mergeCell ref="A20:I20"/>
    <mergeCell ref="A21:I21"/>
    <mergeCell ref="A22:I22"/>
    <mergeCell ref="A13:I13"/>
    <mergeCell ref="A14:I14"/>
    <mergeCell ref="A15:I15"/>
    <mergeCell ref="A17:I17"/>
    <mergeCell ref="A31:I31"/>
    <mergeCell ref="A32:I32"/>
    <mergeCell ref="A33:I33"/>
    <mergeCell ref="A35:I35"/>
    <mergeCell ref="A23:I23"/>
    <mergeCell ref="A24:I24"/>
    <mergeCell ref="A29:I29"/>
    <mergeCell ref="A30:I30"/>
    <mergeCell ref="A41:I41"/>
    <mergeCell ref="A42:I42"/>
    <mergeCell ref="A43:I43"/>
    <mergeCell ref="A44:I44"/>
    <mergeCell ref="A36:I36"/>
    <mergeCell ref="A37:I37"/>
    <mergeCell ref="A39:I39"/>
    <mergeCell ref="A40:I40"/>
    <mergeCell ref="A54:I54"/>
    <mergeCell ref="H57:I57"/>
    <mergeCell ref="A45:I45"/>
    <mergeCell ref="A46:I46"/>
    <mergeCell ref="A47:I47"/>
    <mergeCell ref="A53:I5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J79"/>
  <sheetViews>
    <sheetView showGridLines="0" topLeftCell="A22" zoomScale="114" workbookViewId="0">
      <selection activeCell="A46" sqref="A46"/>
    </sheetView>
  </sheetViews>
  <sheetFormatPr baseColWidth="10" defaultColWidth="9.1640625" defaultRowHeight="18" customHeight="1"/>
  <cols>
    <col min="1" max="1" width="35.1640625" style="8" customWidth="1"/>
    <col min="2" max="6" width="12.6640625" style="8" customWidth="1"/>
    <col min="7" max="7" width="3.6640625" style="8" customWidth="1"/>
    <col min="8" max="8" width="33.33203125" style="8" bestFit="1" customWidth="1"/>
    <col min="9" max="9" width="10.33203125" style="8" bestFit="1" customWidth="1"/>
    <col min="10" max="10" width="9.1640625" style="8"/>
    <col min="11" max="11" width="32.1640625" style="8" bestFit="1" customWidth="1"/>
    <col min="12" max="16384" width="9.1640625" style="8"/>
  </cols>
  <sheetData>
    <row r="1" spans="1:7" ht="35" customHeight="1" thickBot="1">
      <c r="A1" s="57" t="s">
        <v>55</v>
      </c>
      <c r="B1" s="60"/>
      <c r="C1" s="60"/>
      <c r="D1" s="60"/>
      <c r="E1" s="60"/>
      <c r="F1" s="60"/>
      <c r="G1" s="60"/>
    </row>
    <row r="2" spans="1:7" ht="18" customHeight="1" thickTop="1">
      <c r="A2" s="80"/>
      <c r="B2" s="80"/>
      <c r="C2" s="80"/>
      <c r="D2" s="80"/>
      <c r="E2" s="80"/>
      <c r="F2" s="80"/>
      <c r="G2" s="80"/>
    </row>
    <row r="3" spans="1:7" ht="18" customHeight="1">
      <c r="A3" s="239" t="s">
        <v>1</v>
      </c>
      <c r="B3" s="240"/>
      <c r="C3" s="80"/>
      <c r="D3" s="80"/>
      <c r="E3" s="80"/>
      <c r="F3" s="80"/>
      <c r="G3" s="80"/>
    </row>
    <row r="4" spans="1:7" ht="18" customHeight="1">
      <c r="A4" s="183"/>
      <c r="B4" s="80"/>
      <c r="C4" s="80"/>
      <c r="D4" s="80"/>
      <c r="E4" s="80"/>
      <c r="F4" s="80"/>
      <c r="G4" s="80"/>
    </row>
    <row r="5" spans="1:7" ht="20" customHeight="1">
      <c r="A5" s="43" t="s">
        <v>56</v>
      </c>
      <c r="B5" s="43"/>
      <c r="C5" s="43"/>
      <c r="D5" s="43"/>
      <c r="E5" s="43"/>
      <c r="F5" s="43"/>
      <c r="G5" s="44"/>
    </row>
    <row r="6" spans="1:7" ht="18" customHeight="1">
      <c r="A6" s="199"/>
      <c r="B6" s="200" t="s">
        <v>57</v>
      </c>
      <c r="C6" s="200" t="s">
        <v>58</v>
      </c>
      <c r="D6" s="200" t="s">
        <v>59</v>
      </c>
      <c r="E6" s="200" t="s">
        <v>60</v>
      </c>
      <c r="F6" s="200" t="s">
        <v>61</v>
      </c>
      <c r="G6" s="201"/>
    </row>
    <row r="7" spans="1:7" ht="18" customHeight="1">
      <c r="A7" s="202" t="s">
        <v>62</v>
      </c>
      <c r="B7" s="203">
        <f>IF(ISBLANK('Model Inputs'!$B$45),0,(COLUMN(B7)-COLUMN($B$7))*'Model Inputs'!$B$45)</f>
        <v>0</v>
      </c>
      <c r="C7" s="203">
        <f>IF(ISBLANK('Model Inputs'!$B$45),0,(COLUMN(C7)-COLUMN($B$7))*'Model Inputs'!$B$45)</f>
        <v>0.05</v>
      </c>
      <c r="D7" s="203">
        <f>IF(ISBLANK('Model Inputs'!$B$45),0,(COLUMN(D7)-COLUMN($B$7))*'Model Inputs'!$B$45)</f>
        <v>0.1</v>
      </c>
      <c r="E7" s="203">
        <f>IF(ISBLANK('Model Inputs'!$B$45),0,(COLUMN(E7)-COLUMN($B$7))*'Model Inputs'!$B$45)</f>
        <v>0.15000000000000002</v>
      </c>
      <c r="F7" s="203">
        <f>IF(ISBLANK('Model Inputs'!$B$45),0,(COLUMN(F7)-COLUMN($B$7))*'Model Inputs'!$B$45)</f>
        <v>0.2</v>
      </c>
      <c r="G7" s="202"/>
    </row>
    <row r="8" spans="1:7" ht="18" customHeight="1">
      <c r="A8" s="202" t="s">
        <v>63</v>
      </c>
      <c r="B8" s="203">
        <f>IF(ISBLANK('Model Inputs'!$B$40),0,(COLUMN(B8)-COLUMN($B$8))*'Model Inputs'!$B$40)</f>
        <v>0</v>
      </c>
      <c r="C8" s="203">
        <f>IF(ISBLANK('Model Inputs'!$B$40),0,(COLUMN(C8)-COLUMN($B$8))*'Model Inputs'!$B$40)</f>
        <v>0.03</v>
      </c>
      <c r="D8" s="203">
        <f>IF(ISBLANK('Model Inputs'!$B$40),0,(COLUMN(D8)-COLUMN($B$8))*'Model Inputs'!$B$40)</f>
        <v>0.06</v>
      </c>
      <c r="E8" s="203">
        <f>IF(ISBLANK('Model Inputs'!$B$40),0,(COLUMN(E8)-COLUMN($B$8))*'Model Inputs'!$B$40)</f>
        <v>0.09</v>
      </c>
      <c r="F8" s="203">
        <f>IF(ISBLANK('Model Inputs'!$B$40),0,(COLUMN(F8)-COLUMN($B$8))*'Model Inputs'!$B$40)</f>
        <v>0.12</v>
      </c>
      <c r="G8" s="202"/>
    </row>
    <row r="9" spans="1:7" ht="7" customHeight="1">
      <c r="A9" s="202"/>
      <c r="B9" s="203"/>
      <c r="C9" s="203"/>
      <c r="D9" s="203"/>
      <c r="E9" s="203"/>
      <c r="F9" s="203"/>
      <c r="G9" s="202"/>
    </row>
    <row r="11" spans="1:7" ht="20" customHeight="1">
      <c r="A11" s="13" t="s">
        <v>64</v>
      </c>
      <c r="B11" s="35"/>
      <c r="C11" s="35"/>
      <c r="D11" s="35"/>
      <c r="E11" s="35"/>
      <c r="F11" s="35"/>
      <c r="G11" s="35"/>
    </row>
    <row r="12" spans="1:7" ht="18" customHeight="1">
      <c r="A12" s="184"/>
      <c r="B12" s="204" t="s">
        <v>57</v>
      </c>
      <c r="C12" s="204" t="s">
        <v>58</v>
      </c>
      <c r="D12" s="204" t="s">
        <v>59</v>
      </c>
      <c r="E12" s="204" t="s">
        <v>60</v>
      </c>
      <c r="F12" s="204" t="s">
        <v>61</v>
      </c>
      <c r="G12" s="184"/>
    </row>
    <row r="13" spans="1:7" ht="18" customHeight="1">
      <c r="A13" s="41" t="s">
        <v>65</v>
      </c>
      <c r="B13" s="205"/>
      <c r="C13" s="205"/>
      <c r="D13" s="205"/>
      <c r="E13" s="205"/>
      <c r="F13" s="205"/>
      <c r="G13" s="206"/>
    </row>
    <row r="14" spans="1:7" ht="7" customHeight="1">
      <c r="A14" s="4"/>
      <c r="B14" s="207"/>
      <c r="C14" s="207"/>
      <c r="D14" s="207"/>
      <c r="E14" s="207"/>
      <c r="F14" s="207"/>
      <c r="G14" s="184"/>
    </row>
    <row r="15" spans="1:7" ht="18" customHeight="1">
      <c r="A15" s="208" t="str">
        <f>'Model Inputs'!A7</f>
        <v>W9kg</v>
      </c>
      <c r="B15" s="209">
        <f>'Model Inputs'!D7</f>
        <v>32850</v>
      </c>
      <c r="C15" s="209">
        <f>'Model Inputs'!U7</f>
        <v>40241.25</v>
      </c>
      <c r="D15" s="209">
        <f>'Model Inputs'!AE7</f>
        <v>50589</v>
      </c>
      <c r="E15" s="209">
        <f>'Model Inputs'!AO7</f>
        <v>65449.518750000003</v>
      </c>
      <c r="F15" s="209">
        <f>'Model Inputs'!AY7</f>
        <v>87266.024999999994</v>
      </c>
      <c r="G15" s="184"/>
    </row>
    <row r="16" spans="1:7" ht="18" customHeight="1">
      <c r="A16" s="208" t="str">
        <f>'Model Inputs'!A8</f>
        <v>W18kg</v>
      </c>
      <c r="B16" s="209">
        <f>'Model Inputs'!D8</f>
        <v>13870</v>
      </c>
      <c r="C16" s="209">
        <f>'Model Inputs'!U8</f>
        <v>18204.375</v>
      </c>
      <c r="D16" s="209">
        <f>'Model Inputs'!AE8</f>
        <v>24029.775000000001</v>
      </c>
      <c r="E16" s="209">
        <f>'Model Inputs'!AO8</f>
        <v>32239.948124999995</v>
      </c>
      <c r="F16" s="209">
        <f>'Model Inputs'!AY8</f>
        <v>44214.785999999993</v>
      </c>
      <c r="G16" s="184"/>
    </row>
    <row r="17" spans="1:7" ht="18" customHeight="1">
      <c r="A17" s="208" t="str">
        <f>'Model Inputs'!A9</f>
        <v>D14kg</v>
      </c>
      <c r="B17" s="209">
        <f>'Model Inputs'!D9</f>
        <v>21900</v>
      </c>
      <c r="C17" s="209">
        <f>'Model Inputs'!U9</f>
        <v>27594</v>
      </c>
      <c r="D17" s="209">
        <f>'Model Inputs'!AE9</f>
        <v>35412.30000000001</v>
      </c>
      <c r="E17" s="209">
        <f>'Model Inputs'!AO9</f>
        <v>46541.880000000005</v>
      </c>
      <c r="F17" s="209">
        <f>'Model Inputs'!AY9</f>
        <v>62831.538</v>
      </c>
      <c r="G17" s="184"/>
    </row>
    <row r="18" spans="1:7" ht="18" customHeight="1">
      <c r="A18" s="208" t="str">
        <f>'Model Inputs'!A10</f>
        <v>D25kg</v>
      </c>
      <c r="B18" s="209">
        <f>'Model Inputs'!D10</f>
        <v>7117.5</v>
      </c>
      <c r="C18" s="209">
        <f>'Model Inputs'!U10</f>
        <v>9964.5</v>
      </c>
      <c r="D18" s="209">
        <f>'Model Inputs'!AE10</f>
        <v>13701.187500000002</v>
      </c>
      <c r="E18" s="209">
        <f>'Model Inputs'!AO10</f>
        <v>18907.638750000002</v>
      </c>
      <c r="F18" s="209">
        <f>'Model Inputs'!AY10</f>
        <v>26470.69425</v>
      </c>
      <c r="G18" s="184"/>
    </row>
    <row r="19" spans="1:7" ht="7" customHeight="1">
      <c r="A19" s="184"/>
      <c r="B19" s="209"/>
      <c r="C19" s="209"/>
      <c r="D19" s="209"/>
      <c r="E19" s="209"/>
      <c r="F19" s="209"/>
      <c r="G19" s="184"/>
    </row>
    <row r="20" spans="1:7" ht="18" customHeight="1">
      <c r="A20" s="41" t="s">
        <v>66</v>
      </c>
      <c r="B20" s="210">
        <f>SUM(B15:B18)</f>
        <v>75737.5</v>
      </c>
      <c r="C20" s="210">
        <f>SUM(C15:C18)</f>
        <v>96004.125</v>
      </c>
      <c r="D20" s="210">
        <f>SUM(D15:D18)</f>
        <v>123732.26250000001</v>
      </c>
      <c r="E20" s="210">
        <f>SUM(E15:E18)</f>
        <v>163138.985625</v>
      </c>
      <c r="F20" s="210">
        <f>SUM(F15:F18)</f>
        <v>220783.04324999999</v>
      </c>
      <c r="G20" s="206"/>
    </row>
    <row r="21" spans="1:7" ht="18" customHeight="1">
      <c r="A21" s="80"/>
      <c r="B21" s="211"/>
      <c r="C21" s="211"/>
      <c r="D21" s="211"/>
      <c r="E21" s="211"/>
      <c r="F21" s="211"/>
      <c r="G21" s="80"/>
    </row>
    <row r="22" spans="1:7" ht="18" customHeight="1">
      <c r="A22" s="41" t="s">
        <v>67</v>
      </c>
      <c r="B22" s="212"/>
      <c r="C22" s="212"/>
      <c r="D22" s="212"/>
      <c r="E22" s="212"/>
      <c r="F22" s="212"/>
      <c r="G22" s="206"/>
    </row>
    <row r="23" spans="1:7" ht="7" customHeight="1">
      <c r="A23" s="4"/>
      <c r="B23" s="213"/>
      <c r="C23" s="213"/>
      <c r="D23" s="213"/>
      <c r="E23" s="213"/>
      <c r="F23" s="213"/>
      <c r="G23" s="184"/>
    </row>
    <row r="24" spans="1:7" ht="18" customHeight="1">
      <c r="A24" s="208" t="str">
        <f>'Model Inputs'!A16</f>
        <v>W9kg</v>
      </c>
      <c r="B24" s="214">
        <f>'Model Inputs'!D16</f>
        <v>1249.614</v>
      </c>
      <c r="C24" s="209">
        <f>'Model Inputs'!U16</f>
        <v>1457.883</v>
      </c>
      <c r="D24" s="209">
        <f>'Model Inputs'!AE16</f>
        <v>1666.152</v>
      </c>
      <c r="E24" s="209">
        <f>'Model Inputs'!AO16</f>
        <v>1874.4209999999998</v>
      </c>
      <c r="F24" s="209">
        <f>'Model Inputs'!AY16</f>
        <v>2082.6899999999996</v>
      </c>
      <c r="G24" s="184"/>
    </row>
    <row r="25" spans="1:7" ht="18" customHeight="1">
      <c r="A25" s="208" t="str">
        <f>'Model Inputs'!A17</f>
        <v>W18kg</v>
      </c>
      <c r="B25" s="214">
        <f>'Model Inputs'!D17</f>
        <v>661.30700000000013</v>
      </c>
      <c r="C25" s="209">
        <f>'Model Inputs'!U17</f>
        <v>436.53999999999996</v>
      </c>
      <c r="D25" s="209">
        <f>'Model Inputs'!AE17</f>
        <v>523.84799999999996</v>
      </c>
      <c r="E25" s="209">
        <f>'Model Inputs'!AO17</f>
        <v>611.15599999999995</v>
      </c>
      <c r="F25" s="209">
        <f>'Model Inputs'!AY17</f>
        <v>698.46399999999994</v>
      </c>
      <c r="G25" s="184"/>
    </row>
    <row r="26" spans="1:7" ht="18" customHeight="1">
      <c r="A26" s="208" t="str">
        <f>'Model Inputs'!A18</f>
        <v>D14kg</v>
      </c>
      <c r="B26" s="214">
        <f>'Model Inputs'!D18</f>
        <v>558.45000000000005</v>
      </c>
      <c r="C26" s="209">
        <f>'Model Inputs'!U18</f>
        <v>953.96399999999994</v>
      </c>
      <c r="D26" s="209">
        <f>'Model Inputs'!AE18</f>
        <v>1112.9579999999999</v>
      </c>
      <c r="E26" s="209">
        <f>'Model Inputs'!AO18</f>
        <v>1271.952</v>
      </c>
      <c r="F26" s="209">
        <f>'Model Inputs'!AY18</f>
        <v>1430.9459999999999</v>
      </c>
      <c r="G26" s="184"/>
    </row>
    <row r="27" spans="1:7" ht="18" customHeight="1">
      <c r="A27" s="208" t="str">
        <f>'Model Inputs'!A19</f>
        <v>D25kg</v>
      </c>
      <c r="B27" s="214">
        <f>'Model Inputs'!D19</f>
        <v>241.995</v>
      </c>
      <c r="C27" s="209">
        <f>'Model Inputs'!U19</f>
        <v>211.99199999999999</v>
      </c>
      <c r="D27" s="209">
        <f>'Model Inputs'!AE19</f>
        <v>264.99</v>
      </c>
      <c r="E27" s="209">
        <f>'Model Inputs'!AO19</f>
        <v>317.988</v>
      </c>
      <c r="F27" s="209">
        <f>'Model Inputs'!AY19</f>
        <v>370.98599999999999</v>
      </c>
      <c r="G27" s="184"/>
    </row>
    <row r="28" spans="1:7" ht="7" customHeight="1">
      <c r="A28" s="184"/>
      <c r="B28" s="214"/>
      <c r="C28" s="209"/>
      <c r="D28" s="209"/>
      <c r="E28" s="209"/>
      <c r="F28" s="209"/>
      <c r="G28" s="184"/>
    </row>
    <row r="29" spans="1:7" ht="18" customHeight="1">
      <c r="A29" s="41" t="s">
        <v>68</v>
      </c>
      <c r="B29" s="210">
        <f>'Model Inputs'!D21</f>
        <v>2711.366</v>
      </c>
      <c r="C29" s="210">
        <f>SUM(C24:C27)</f>
        <v>3060.3789999999999</v>
      </c>
      <c r="D29" s="210">
        <f>SUM(D24:D27)</f>
        <v>3567.9479999999994</v>
      </c>
      <c r="E29" s="210">
        <f t="shared" ref="E29:F29" si="0">SUM(E24:E27)</f>
        <v>4075.5169999999994</v>
      </c>
      <c r="F29" s="210">
        <f t="shared" si="0"/>
        <v>4583.0859999999993</v>
      </c>
      <c r="G29" s="206"/>
    </row>
    <row r="30" spans="1:7" ht="18" customHeight="1">
      <c r="A30" s="80"/>
      <c r="B30" s="211"/>
      <c r="C30" s="211"/>
      <c r="D30" s="211"/>
      <c r="E30" s="211"/>
      <c r="F30" s="211"/>
      <c r="G30" s="80"/>
    </row>
    <row r="31" spans="1:7" ht="18" customHeight="1">
      <c r="A31" s="42" t="s">
        <v>69</v>
      </c>
      <c r="B31" s="39">
        <f>B20-B29</f>
        <v>73026.134000000005</v>
      </c>
      <c r="C31" s="39">
        <f>C20-C29</f>
        <v>92943.745999999999</v>
      </c>
      <c r="D31" s="39">
        <f>D20-D29</f>
        <v>120164.31450000001</v>
      </c>
      <c r="E31" s="39">
        <f>E20-E29</f>
        <v>159063.46862500001</v>
      </c>
      <c r="F31" s="39">
        <f>F20-F29</f>
        <v>216199.95724999998</v>
      </c>
      <c r="G31" s="37"/>
    </row>
    <row r="32" spans="1:7" ht="18" customHeight="1">
      <c r="A32" s="80"/>
      <c r="B32" s="211"/>
      <c r="C32" s="211"/>
      <c r="D32" s="211"/>
      <c r="E32" s="211"/>
      <c r="F32" s="211"/>
      <c r="G32" s="80"/>
    </row>
    <row r="33" spans="1:7" ht="18" customHeight="1">
      <c r="A33" s="41" t="s">
        <v>70</v>
      </c>
      <c r="B33" s="212"/>
      <c r="C33" s="212"/>
      <c r="D33" s="212"/>
      <c r="E33" s="212"/>
      <c r="F33" s="212"/>
      <c r="G33" s="206"/>
    </row>
    <row r="34" spans="1:7" ht="7" customHeight="1">
      <c r="A34" s="4"/>
      <c r="B34" s="213"/>
      <c r="C34" s="213"/>
      <c r="D34" s="213"/>
      <c r="E34" s="213"/>
      <c r="F34" s="213"/>
      <c r="G34" s="184"/>
    </row>
    <row r="35" spans="1:7" ht="18" customHeight="1">
      <c r="A35" s="208" t="s">
        <v>71</v>
      </c>
      <c r="B35" s="215">
        <v>0</v>
      </c>
      <c r="C35" s="215">
        <v>0</v>
      </c>
      <c r="D35" s="215">
        <v>0</v>
      </c>
      <c r="E35" s="215">
        <v>0</v>
      </c>
      <c r="F35" s="215">
        <v>0</v>
      </c>
      <c r="G35" s="184"/>
    </row>
    <row r="36" spans="1:7" ht="18" customHeight="1">
      <c r="A36" s="208" t="s">
        <v>72</v>
      </c>
      <c r="B36" s="215">
        <v>0</v>
      </c>
      <c r="C36" s="215">
        <v>0</v>
      </c>
      <c r="D36" s="215">
        <v>0</v>
      </c>
      <c r="E36" s="215">
        <v>0</v>
      </c>
      <c r="F36" s="215">
        <v>0</v>
      </c>
      <c r="G36" s="184"/>
    </row>
    <row r="37" spans="1:7" ht="18" customHeight="1">
      <c r="A37" s="208" t="s">
        <v>73</v>
      </c>
      <c r="B37" s="215">
        <v>0</v>
      </c>
      <c r="C37" s="215">
        <v>0</v>
      </c>
      <c r="D37" s="215">
        <v>0</v>
      </c>
      <c r="E37" s="215">
        <v>0</v>
      </c>
      <c r="F37" s="215">
        <v>0</v>
      </c>
      <c r="G37" s="184"/>
    </row>
    <row r="38" spans="1:7" ht="18" customHeight="1">
      <c r="A38" s="208" t="s">
        <v>74</v>
      </c>
      <c r="B38" s="215">
        <v>0</v>
      </c>
      <c r="C38" s="215">
        <v>0</v>
      </c>
      <c r="D38" s="215">
        <v>0</v>
      </c>
      <c r="E38" s="215">
        <v>0</v>
      </c>
      <c r="F38" s="215">
        <v>0</v>
      </c>
      <c r="G38" s="184"/>
    </row>
    <row r="39" spans="1:7" ht="7" customHeight="1">
      <c r="A39" s="184"/>
      <c r="B39" s="213"/>
      <c r="C39" s="213"/>
      <c r="D39" s="213"/>
      <c r="E39" s="213"/>
      <c r="F39" s="213"/>
      <c r="G39" s="184"/>
    </row>
    <row r="40" spans="1:7" ht="18" customHeight="1">
      <c r="A40" s="41" t="s">
        <v>75</v>
      </c>
      <c r="B40" s="210">
        <f>SUM(B35:B38)</f>
        <v>0</v>
      </c>
      <c r="C40" s="210">
        <f>SUM(C35:C38)</f>
        <v>0</v>
      </c>
      <c r="D40" s="210">
        <f>SUM(D35:D38)</f>
        <v>0</v>
      </c>
      <c r="E40" s="210">
        <f>SUM(E35:E38)</f>
        <v>0</v>
      </c>
      <c r="F40" s="210">
        <f>SUM(F35:F38)</f>
        <v>0</v>
      </c>
      <c r="G40" s="206"/>
    </row>
    <row r="41" spans="1:7" ht="18" customHeight="1" thickBot="1">
      <c r="A41" s="80"/>
      <c r="B41" s="211"/>
      <c r="C41" s="211"/>
      <c r="D41" s="211"/>
      <c r="E41" s="211"/>
      <c r="F41" s="211"/>
      <c r="G41" s="80"/>
    </row>
    <row r="42" spans="1:7" ht="20" customHeight="1" thickTop="1">
      <c r="A42" s="38" t="s">
        <v>76</v>
      </c>
      <c r="B42" s="216">
        <f>B31+B40</f>
        <v>73026.134000000005</v>
      </c>
      <c r="C42" s="216">
        <f>C31+C40</f>
        <v>92943.745999999999</v>
      </c>
      <c r="D42" s="216">
        <f>D31+D40</f>
        <v>120164.31450000001</v>
      </c>
      <c r="E42" s="216">
        <f>E31+E40</f>
        <v>159063.46862500001</v>
      </c>
      <c r="F42" s="216">
        <f>F31+F40</f>
        <v>216199.95724999998</v>
      </c>
      <c r="G42" s="217"/>
    </row>
    <row r="43" spans="1:7" ht="18" customHeight="1">
      <c r="A43" s="80"/>
      <c r="B43" s="211"/>
      <c r="C43" s="211"/>
      <c r="D43" s="211"/>
      <c r="E43" s="211"/>
      <c r="F43" s="211"/>
      <c r="G43" s="80"/>
    </row>
    <row r="44" spans="1:7" ht="20" customHeight="1">
      <c r="A44" s="13" t="s">
        <v>77</v>
      </c>
      <c r="B44" s="36"/>
      <c r="C44" s="36"/>
      <c r="D44" s="36"/>
      <c r="E44" s="36"/>
      <c r="F44" s="36"/>
      <c r="G44" s="35"/>
    </row>
    <row r="45" spans="1:7" ht="18" customHeight="1">
      <c r="A45" s="80"/>
      <c r="B45" s="211"/>
      <c r="C45" s="211"/>
      <c r="D45" s="211"/>
      <c r="E45" s="211"/>
      <c r="F45" s="211"/>
      <c r="G45" s="80"/>
    </row>
    <row r="46" spans="1:7" ht="18" customHeight="1">
      <c r="A46" s="41" t="s">
        <v>78</v>
      </c>
      <c r="B46" s="212"/>
      <c r="C46" s="212"/>
      <c r="D46" s="212"/>
      <c r="E46" s="212"/>
      <c r="F46" s="212"/>
      <c r="G46" s="206"/>
    </row>
    <row r="47" spans="1:7" ht="7" customHeight="1">
      <c r="A47" s="4"/>
      <c r="B47" s="213"/>
      <c r="C47" s="213"/>
      <c r="D47" s="213"/>
      <c r="E47" s="213"/>
      <c r="F47" s="213"/>
      <c r="G47" s="184"/>
    </row>
    <row r="48" spans="1:7" ht="18" customHeight="1">
      <c r="A48" s="98" t="s">
        <v>79</v>
      </c>
      <c r="B48" s="215">
        <f>200*12</f>
        <v>2400</v>
      </c>
      <c r="C48" s="209">
        <f>B48*(1+C$8)</f>
        <v>2472</v>
      </c>
      <c r="D48" s="209">
        <f>C48*(1+D$8)</f>
        <v>2620.3200000000002</v>
      </c>
      <c r="E48" s="209">
        <f>D48*(1+E$8)</f>
        <v>2856.1488000000004</v>
      </c>
      <c r="F48" s="209">
        <f>E48*(1+F$8)</f>
        <v>3198.8866560000006</v>
      </c>
      <c r="G48" s="184"/>
    </row>
    <row r="49" spans="1:10" ht="18" customHeight="1">
      <c r="A49" s="98" t="s">
        <v>80</v>
      </c>
      <c r="B49" s="209">
        <f>SUM('Balance Sheet'!B20,'Balance Sheet'!B22,'Balance Sheet'!B23)/'Model Inputs'!$B$30</f>
        <v>7824</v>
      </c>
      <c r="C49" s="209">
        <f>SUM('Balance Sheet'!C20,'Balance Sheet'!C22,'Balance Sheet'!C23)/'Model Inputs'!$B$30</f>
        <v>8224</v>
      </c>
      <c r="D49" s="209">
        <f>SUM('Balance Sheet'!D20,'Balance Sheet'!D22,'Balance Sheet'!D23)/'Model Inputs'!$B$30</f>
        <v>8624</v>
      </c>
      <c r="E49" s="209">
        <f>SUM('Balance Sheet'!E20,'Balance Sheet'!E22,'Balance Sheet'!E23)/'Model Inputs'!$B$30</f>
        <v>9024</v>
      </c>
      <c r="F49" s="209">
        <f>SUM('Balance Sheet'!F20,'Balance Sheet'!F22,'Balance Sheet'!F23)/'Model Inputs'!$B$30</f>
        <v>9424</v>
      </c>
      <c r="G49" s="184"/>
      <c r="H49" s="7"/>
      <c r="I49" s="80"/>
      <c r="J49" s="80"/>
    </row>
    <row r="50" spans="1:10" ht="18" customHeight="1">
      <c r="A50" s="98" t="s">
        <v>81</v>
      </c>
      <c r="B50" s="215">
        <v>1000</v>
      </c>
      <c r="C50" s="209">
        <f t="shared" ref="C50:F51" si="1">B50*(1+C$8)</f>
        <v>1030</v>
      </c>
      <c r="D50" s="209">
        <f t="shared" si="1"/>
        <v>1091.8</v>
      </c>
      <c r="E50" s="209">
        <f t="shared" si="1"/>
        <v>1190.0620000000001</v>
      </c>
      <c r="F50" s="209">
        <f t="shared" si="1"/>
        <v>1332.8694400000002</v>
      </c>
      <c r="G50" s="184"/>
      <c r="H50" s="7"/>
      <c r="I50" s="80"/>
      <c r="J50" s="80"/>
    </row>
    <row r="51" spans="1:10" ht="18" customHeight="1">
      <c r="A51" s="98" t="s">
        <v>82</v>
      </c>
      <c r="B51" s="215">
        <f>1000*12</f>
        <v>12000</v>
      </c>
      <c r="C51" s="209">
        <f t="shared" si="1"/>
        <v>12360</v>
      </c>
      <c r="D51" s="209">
        <f t="shared" si="1"/>
        <v>13101.6</v>
      </c>
      <c r="E51" s="209">
        <f t="shared" si="1"/>
        <v>14280.744000000001</v>
      </c>
      <c r="F51" s="209">
        <f t="shared" si="1"/>
        <v>15994.433280000003</v>
      </c>
      <c r="G51" s="184"/>
      <c r="H51" s="80"/>
      <c r="I51" s="80"/>
      <c r="J51" s="80"/>
    </row>
    <row r="52" spans="1:10" ht="18" customHeight="1">
      <c r="A52" s="98" t="s">
        <v>83</v>
      </c>
      <c r="B52" s="209">
        <f>'Balance Sheet'!B23*'Model Inputs'!$B$25</f>
        <v>657.5</v>
      </c>
      <c r="C52" s="209">
        <f>('Balance Sheet'!C23*'Model Inputs'!$B$25)*(1+C$8)</f>
        <v>677.22500000000002</v>
      </c>
      <c r="D52" s="209">
        <f>('Balance Sheet'!D23*'Model Inputs'!$B$25)*(1+D$8)</f>
        <v>696.95</v>
      </c>
      <c r="E52" s="209">
        <f>('Balance Sheet'!E23*'Model Inputs'!$B$25)*(1+E$8)</f>
        <v>716.67500000000007</v>
      </c>
      <c r="F52" s="209">
        <f>('Balance Sheet'!F23*'Model Inputs'!$B$25)*(1+F$8)</f>
        <v>736.40000000000009</v>
      </c>
      <c r="G52" s="184"/>
      <c r="H52" s="80"/>
      <c r="I52" s="80"/>
      <c r="J52" s="80"/>
    </row>
    <row r="53" spans="1:10" ht="18" customHeight="1">
      <c r="A53" s="98" t="s">
        <v>84</v>
      </c>
      <c r="B53" s="215">
        <v>0</v>
      </c>
      <c r="C53" s="209">
        <v>0</v>
      </c>
      <c r="D53" s="209">
        <v>0</v>
      </c>
      <c r="E53" s="209">
        <v>0</v>
      </c>
      <c r="F53" s="209">
        <v>0</v>
      </c>
      <c r="G53" s="184"/>
      <c r="H53" s="80"/>
      <c r="I53" s="80"/>
      <c r="J53" s="80"/>
    </row>
    <row r="54" spans="1:10" ht="18" customHeight="1">
      <c r="A54" s="98" t="s">
        <v>85</v>
      </c>
      <c r="B54" s="215">
        <f>300*12</f>
        <v>3600</v>
      </c>
      <c r="C54" s="209">
        <f>B54*(1+C$8)</f>
        <v>3708</v>
      </c>
      <c r="D54" s="209">
        <f t="shared" ref="D54:F54" si="2">C54*(1+D$8)</f>
        <v>3930.48</v>
      </c>
      <c r="E54" s="209">
        <f t="shared" si="2"/>
        <v>4284.2232000000004</v>
      </c>
      <c r="F54" s="209">
        <f t="shared" si="2"/>
        <v>4798.3299840000009</v>
      </c>
      <c r="G54" s="184"/>
      <c r="H54" s="80"/>
      <c r="I54" s="80"/>
      <c r="J54" s="80"/>
    </row>
    <row r="55" spans="1:10" ht="18" customHeight="1">
      <c r="A55" s="98" t="s">
        <v>86</v>
      </c>
      <c r="B55" s="209">
        <f>SUM('Loan Payment Calculator'!E9:E20)</f>
        <v>1410.2902314246855</v>
      </c>
      <c r="C55" s="209">
        <f>SUM('Loan Payment Calculator'!E21:E32)</f>
        <v>1130.7694611482966</v>
      </c>
      <c r="D55" s="209">
        <f>SUM('Loan Payment Calculator'!E33:E44)</f>
        <v>834.5053967323513</v>
      </c>
      <c r="E55" s="209">
        <f>SUM('Loan Payment Calculator'!E45:E56)</f>
        <v>520.49511485789083</v>
      </c>
      <c r="F55" s="209">
        <f>SUM('Loan Payment Calculator'!E57:E68)</f>
        <v>187.6756170991498</v>
      </c>
      <c r="G55" s="184"/>
      <c r="H55" s="80"/>
      <c r="I55" s="80"/>
      <c r="J55" s="80"/>
    </row>
    <row r="56" spans="1:10" ht="7" customHeight="1">
      <c r="A56" s="184"/>
      <c r="B56" s="213"/>
      <c r="C56" s="213"/>
      <c r="D56" s="213"/>
      <c r="E56" s="213"/>
      <c r="F56" s="213"/>
      <c r="G56" s="184"/>
      <c r="H56" s="80"/>
      <c r="I56" s="80"/>
      <c r="J56" s="80"/>
    </row>
    <row r="57" spans="1:10" ht="18" customHeight="1">
      <c r="A57" s="41" t="s">
        <v>87</v>
      </c>
      <c r="B57" s="210">
        <f>SUM(B48:B55)</f>
        <v>28891.790231424686</v>
      </c>
      <c r="C57" s="210">
        <f>SUM(C48:C55)</f>
        <v>29601.994461148293</v>
      </c>
      <c r="D57" s="210">
        <f>SUM(D48:D55)</f>
        <v>30899.655396732353</v>
      </c>
      <c r="E57" s="210">
        <f>SUM(E48:E55)</f>
        <v>32872.348114857887</v>
      </c>
      <c r="F57" s="210">
        <f>SUM(F48:F55)</f>
        <v>35672.594977099157</v>
      </c>
      <c r="G57" s="206"/>
      <c r="H57" s="80"/>
      <c r="I57" s="80"/>
      <c r="J57" s="80"/>
    </row>
    <row r="58" spans="1:10" ht="18" customHeight="1">
      <c r="A58" s="80"/>
      <c r="B58" s="211"/>
      <c r="C58" s="211"/>
      <c r="D58" s="211"/>
      <c r="E58" s="211"/>
      <c r="F58" s="211"/>
      <c r="G58" s="80"/>
      <c r="H58" s="80"/>
      <c r="I58" s="80"/>
      <c r="J58" s="80"/>
    </row>
    <row r="59" spans="1:10" ht="18" customHeight="1">
      <c r="A59" s="41" t="s">
        <v>88</v>
      </c>
      <c r="B59" s="212"/>
      <c r="C59" s="212"/>
      <c r="D59" s="212"/>
      <c r="E59" s="212"/>
      <c r="F59" s="212"/>
      <c r="G59" s="206"/>
      <c r="H59" s="80"/>
      <c r="I59" s="80"/>
      <c r="J59" s="80"/>
    </row>
    <row r="60" spans="1:10" ht="7" customHeight="1">
      <c r="A60" s="4"/>
      <c r="B60" s="213"/>
      <c r="C60" s="213"/>
      <c r="D60" s="213"/>
      <c r="E60" s="213"/>
      <c r="F60" s="213"/>
      <c r="G60" s="184"/>
      <c r="H60" s="80"/>
      <c r="I60" s="80"/>
      <c r="J60" s="80"/>
    </row>
    <row r="61" spans="1:10" ht="18" customHeight="1">
      <c r="A61" s="208" t="s">
        <v>89</v>
      </c>
      <c r="B61" s="215">
        <v>0</v>
      </c>
      <c r="C61" s="215">
        <v>0</v>
      </c>
      <c r="D61" s="215"/>
      <c r="E61" s="215">
        <v>0</v>
      </c>
      <c r="F61" s="215">
        <v>0</v>
      </c>
      <c r="G61" s="184"/>
      <c r="H61" s="80"/>
      <c r="I61" s="80"/>
      <c r="J61" s="80"/>
    </row>
    <row r="62" spans="1:10" ht="18" customHeight="1">
      <c r="A62" s="208" t="s">
        <v>90</v>
      </c>
      <c r="B62" s="215">
        <v>0</v>
      </c>
      <c r="C62" s="215">
        <v>0</v>
      </c>
      <c r="D62" s="215">
        <v>0</v>
      </c>
      <c r="E62" s="215">
        <v>0</v>
      </c>
      <c r="F62" s="215">
        <v>0</v>
      </c>
      <c r="G62" s="184"/>
      <c r="H62" s="80"/>
      <c r="I62" s="80"/>
      <c r="J62" s="80"/>
    </row>
    <row r="63" spans="1:10" ht="7" customHeight="1">
      <c r="A63" s="184"/>
      <c r="B63" s="213"/>
      <c r="C63" s="213"/>
      <c r="D63" s="213"/>
      <c r="E63" s="213"/>
      <c r="F63" s="213"/>
      <c r="G63" s="184"/>
      <c r="H63" s="80"/>
      <c r="I63" s="80"/>
      <c r="J63" s="80"/>
    </row>
    <row r="64" spans="1:10" ht="18" customHeight="1">
      <c r="A64" s="41" t="s">
        <v>91</v>
      </c>
      <c r="B64" s="210">
        <f>SUM(B61:B62)</f>
        <v>0</v>
      </c>
      <c r="C64" s="210">
        <f>SUM(C61:C62)</f>
        <v>0</v>
      </c>
      <c r="D64" s="210">
        <f>SUM(D61:D62)</f>
        <v>0</v>
      </c>
      <c r="E64" s="210">
        <f>SUM(E61:E62)</f>
        <v>0</v>
      </c>
      <c r="F64" s="210">
        <f>SUM(F61:F62)</f>
        <v>0</v>
      </c>
      <c r="G64" s="206"/>
      <c r="H64" s="80"/>
      <c r="I64" s="80"/>
      <c r="J64" s="218"/>
    </row>
    <row r="65" spans="1:9" ht="18" customHeight="1" thickBot="1">
      <c r="A65" s="80"/>
      <c r="B65" s="211"/>
      <c r="C65" s="211"/>
      <c r="D65" s="211"/>
      <c r="E65" s="211"/>
      <c r="F65" s="211"/>
      <c r="G65" s="80"/>
      <c r="H65" s="80"/>
      <c r="I65" s="80"/>
    </row>
    <row r="66" spans="1:9" ht="20" customHeight="1" thickTop="1">
      <c r="A66" s="38" t="s">
        <v>92</v>
      </c>
      <c r="B66" s="216">
        <f>B57+B64</f>
        <v>28891.790231424686</v>
      </c>
      <c r="C66" s="216">
        <f>C57+C64</f>
        <v>29601.994461148293</v>
      </c>
      <c r="D66" s="216">
        <f>D57+D64</f>
        <v>30899.655396732353</v>
      </c>
      <c r="E66" s="216">
        <f>E57+E64</f>
        <v>32872.348114857887</v>
      </c>
      <c r="F66" s="216">
        <f>F57+F64</f>
        <v>35672.594977099157</v>
      </c>
      <c r="G66" s="217"/>
      <c r="H66" s="80"/>
      <c r="I66" s="219"/>
    </row>
    <row r="67" spans="1:9" ht="18" customHeight="1">
      <c r="A67" s="80"/>
      <c r="B67" s="211"/>
      <c r="C67" s="211"/>
      <c r="D67" s="211"/>
      <c r="E67" s="211"/>
      <c r="F67" s="211"/>
      <c r="G67" s="80"/>
      <c r="H67" s="80"/>
      <c r="I67" s="80"/>
    </row>
    <row r="68" spans="1:9" ht="20" customHeight="1">
      <c r="A68" s="13" t="s">
        <v>93</v>
      </c>
      <c r="B68" s="36"/>
      <c r="C68" s="36"/>
      <c r="D68" s="36"/>
      <c r="E68" s="36"/>
      <c r="F68" s="36"/>
      <c r="G68" s="35"/>
      <c r="H68" s="80"/>
      <c r="I68" s="80"/>
    </row>
    <row r="69" spans="1:9" ht="7" customHeight="1">
      <c r="A69" s="184"/>
      <c r="B69" s="213"/>
      <c r="C69" s="213"/>
      <c r="D69" s="213"/>
      <c r="E69" s="213"/>
      <c r="F69" s="213"/>
      <c r="G69" s="184"/>
      <c r="H69" s="80"/>
      <c r="I69" s="80"/>
    </row>
    <row r="70" spans="1:9" ht="18" customHeight="1">
      <c r="A70" s="208" t="s">
        <v>94</v>
      </c>
      <c r="B70" s="209">
        <f>IF(ISBLANK('Model Inputs'!$B$35),0,'Model Inputs'!$B$35*(B42-B66))</f>
        <v>10592.242504458076</v>
      </c>
      <c r="C70" s="209">
        <f>IF(ISBLANK('Model Inputs'!$B$35),0,'Model Inputs'!$B$35*(C42-C66))</f>
        <v>15202.020369324409</v>
      </c>
      <c r="D70" s="209">
        <f>IF(ISBLANK('Model Inputs'!$B$35),0,'Model Inputs'!$B$35*(D42-D66))</f>
        <v>21423.518184784236</v>
      </c>
      <c r="E70" s="209">
        <f>IF(ISBLANK('Model Inputs'!$B$35),0,'Model Inputs'!$B$35*(E42-E66))</f>
        <v>30285.868922434107</v>
      </c>
      <c r="F70" s="209">
        <f>IF(ISBLANK('Model Inputs'!$B$35),0,'Model Inputs'!$B$35*(F42-F66))</f>
        <v>43326.566945496197</v>
      </c>
      <c r="G70" s="184"/>
      <c r="H70" s="80"/>
      <c r="I70" s="80"/>
    </row>
    <row r="71" spans="1:9" ht="18" customHeight="1">
      <c r="A71" s="208" t="s">
        <v>95</v>
      </c>
      <c r="B71" s="215">
        <v>0</v>
      </c>
      <c r="C71" s="215">
        <v>0</v>
      </c>
      <c r="D71" s="215">
        <v>0</v>
      </c>
      <c r="E71" s="215">
        <v>0</v>
      </c>
      <c r="F71" s="215">
        <v>0</v>
      </c>
      <c r="G71" s="184"/>
      <c r="H71" s="80"/>
      <c r="I71" s="80"/>
    </row>
    <row r="72" spans="1:9" ht="7" customHeight="1" thickBot="1">
      <c r="A72" s="184"/>
      <c r="B72" s="213"/>
      <c r="C72" s="213"/>
      <c r="D72" s="213"/>
      <c r="E72" s="213"/>
      <c r="F72" s="213"/>
      <c r="G72" s="184"/>
      <c r="H72" s="80"/>
      <c r="I72" s="80"/>
    </row>
    <row r="73" spans="1:9" ht="20" customHeight="1" thickTop="1">
      <c r="A73" s="38" t="s">
        <v>96</v>
      </c>
      <c r="B73" s="216">
        <f>SUM(B70:B71)</f>
        <v>10592.242504458076</v>
      </c>
      <c r="C73" s="216">
        <f>SUM(C70:C71)</f>
        <v>15202.020369324409</v>
      </c>
      <c r="D73" s="216">
        <f>SUM(D70:D71)</f>
        <v>21423.518184784236</v>
      </c>
      <c r="E73" s="216">
        <f>SUM(E70:E71)</f>
        <v>30285.868922434107</v>
      </c>
      <c r="F73" s="216">
        <f>SUM(F70:F71)</f>
        <v>43326.566945496197</v>
      </c>
      <c r="G73" s="217"/>
      <c r="H73" s="80"/>
      <c r="I73" s="80"/>
    </row>
    <row r="74" spans="1:9" ht="18" customHeight="1">
      <c r="A74" s="80"/>
      <c r="B74" s="211"/>
      <c r="C74" s="211"/>
      <c r="D74" s="211"/>
      <c r="E74" s="211"/>
      <c r="F74" s="211"/>
      <c r="G74" s="80"/>
      <c r="H74" s="80"/>
      <c r="I74" s="80"/>
    </row>
    <row r="75" spans="1:9" ht="20" customHeight="1">
      <c r="A75" s="13" t="s">
        <v>97</v>
      </c>
      <c r="B75" s="40">
        <f>B42-B66-B73</f>
        <v>33542.101264117242</v>
      </c>
      <c r="C75" s="40">
        <f>C42-C66-C73</f>
        <v>48139.731169527295</v>
      </c>
      <c r="D75" s="40">
        <f>D42-D66-D73</f>
        <v>67841.140918483419</v>
      </c>
      <c r="E75" s="40">
        <f>E42-E66-E73</f>
        <v>95905.251587708015</v>
      </c>
      <c r="F75" s="40">
        <f>F42-F66-F73</f>
        <v>137200.79532740463</v>
      </c>
      <c r="G75" s="35"/>
      <c r="H75" s="80"/>
      <c r="I75" s="80"/>
    </row>
    <row r="76" spans="1:9" ht="18" customHeight="1">
      <c r="A76" s="80"/>
      <c r="B76" s="211"/>
      <c r="C76" s="211"/>
      <c r="D76" s="211"/>
      <c r="E76" s="211"/>
      <c r="F76" s="211"/>
      <c r="G76" s="80"/>
      <c r="H76" s="80"/>
      <c r="I76" s="80"/>
    </row>
    <row r="77" spans="1:9" ht="18" customHeight="1">
      <c r="A77" s="153" t="s">
        <v>98</v>
      </c>
      <c r="B77" s="211">
        <f>B75+B73+B55+B49</f>
        <v>53368.633999999998</v>
      </c>
      <c r="C77" s="211">
        <f>C75+C73+C55+C49</f>
        <v>72696.521000000008</v>
      </c>
      <c r="D77" s="211">
        <f>D75+D73+D55+D49</f>
        <v>98723.164499999999</v>
      </c>
      <c r="E77" s="211">
        <f>E75+E73+E55+E49</f>
        <v>135735.61562500001</v>
      </c>
      <c r="F77" s="211">
        <f>F75+F73+F55+F49</f>
        <v>190139.03788999998</v>
      </c>
      <c r="G77" s="80"/>
      <c r="H77" s="80"/>
      <c r="I77" s="80"/>
    </row>
    <row r="78" spans="1:9" ht="18" customHeight="1">
      <c r="A78" s="153" t="s">
        <v>99</v>
      </c>
      <c r="B78" s="211">
        <f>B77-B49</f>
        <v>45544.633999999998</v>
      </c>
      <c r="C78" s="152">
        <f>C77-C49</f>
        <v>64472.521000000008</v>
      </c>
      <c r="D78" s="152">
        <f>D77-D49</f>
        <v>90099.164499999999</v>
      </c>
      <c r="E78" s="152">
        <f>E77-E49</f>
        <v>126711.61562500001</v>
      </c>
      <c r="F78" s="152">
        <f>F77-F49</f>
        <v>180715.03788999998</v>
      </c>
      <c r="G78" s="80"/>
      <c r="H78" s="80"/>
      <c r="I78" s="80"/>
    </row>
    <row r="79" spans="1:9" ht="18" customHeight="1">
      <c r="A79" s="153" t="s">
        <v>100</v>
      </c>
      <c r="B79" s="155">
        <f>B20-B29-B57</f>
        <v>44134.343768575316</v>
      </c>
      <c r="C79" s="155">
        <f>C20-C29-C57</f>
        <v>63341.751538851706</v>
      </c>
      <c r="D79" s="155">
        <f>D20-D29-D57</f>
        <v>89264.659103267652</v>
      </c>
      <c r="E79" s="155">
        <f>E20-E29-E57</f>
        <v>126191.12051014212</v>
      </c>
      <c r="F79" s="155">
        <f>F20-F29-F57</f>
        <v>180527.36227290082</v>
      </c>
      <c r="G79" s="154"/>
      <c r="H79" s="80"/>
      <c r="I79" s="80"/>
    </row>
  </sheetData>
  <mergeCells count="1">
    <mergeCell ref="A3:B3"/>
  </mergeCells>
  <phoneticPr fontId="7" type="noConversion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ignoredErrors>
    <ignoredError sqref="D52:F52 C5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M79"/>
  <sheetViews>
    <sheetView showGridLines="0" zoomScale="113" workbookViewId="0">
      <selection activeCell="A74" sqref="A74"/>
    </sheetView>
  </sheetViews>
  <sheetFormatPr baseColWidth="10" defaultColWidth="9.1640625" defaultRowHeight="18" customHeight="1"/>
  <cols>
    <col min="1" max="1" width="39.5" style="8" customWidth="1"/>
    <col min="2" max="7" width="11.6640625" style="8" customWidth="1"/>
    <col min="8" max="8" width="4" style="8" customWidth="1"/>
    <col min="9" max="16384" width="9.1640625" style="8"/>
  </cols>
  <sheetData>
    <row r="1" spans="1:13" ht="35" customHeight="1" thickBot="1">
      <c r="A1" s="57" t="s">
        <v>101</v>
      </c>
      <c r="B1" s="57"/>
      <c r="C1" s="57"/>
      <c r="D1" s="57"/>
      <c r="E1" s="57"/>
      <c r="F1" s="57"/>
      <c r="G1" s="57"/>
      <c r="H1" s="57"/>
      <c r="I1" s="80"/>
      <c r="J1" s="80"/>
      <c r="K1" s="80"/>
      <c r="L1" s="80"/>
      <c r="M1" s="80"/>
    </row>
    <row r="2" spans="1:13" ht="18" customHeight="1" thickTop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ht="18" customHeight="1">
      <c r="A3" s="239" t="s">
        <v>1</v>
      </c>
      <c r="B3" s="24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5" spans="1:13" ht="20" customHeight="1">
      <c r="A5" s="13" t="s">
        <v>102</v>
      </c>
      <c r="B5" s="46"/>
      <c r="C5" s="47"/>
      <c r="D5" s="47"/>
      <c r="E5" s="47"/>
      <c r="F5" s="47"/>
      <c r="G5" s="47"/>
      <c r="H5" s="35"/>
      <c r="I5" s="80"/>
      <c r="J5" s="80"/>
      <c r="K5" s="80"/>
      <c r="L5" s="80"/>
      <c r="M5" s="80"/>
    </row>
    <row r="6" spans="1:13" ht="7" customHeight="1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ht="20" customHeight="1">
      <c r="A7" s="41" t="s">
        <v>103</v>
      </c>
      <c r="B7" s="212" t="s">
        <v>104</v>
      </c>
      <c r="C7" s="220" t="s">
        <v>57</v>
      </c>
      <c r="D7" s="220" t="s">
        <v>58</v>
      </c>
      <c r="E7" s="220" t="s">
        <v>59</v>
      </c>
      <c r="F7" s="220" t="s">
        <v>60</v>
      </c>
      <c r="G7" s="220" t="s">
        <v>61</v>
      </c>
      <c r="H7" s="206"/>
      <c r="I7" s="80"/>
      <c r="J7" s="80"/>
      <c r="K7" s="80"/>
      <c r="L7" s="80"/>
      <c r="M7" s="80"/>
    </row>
    <row r="8" spans="1:13" ht="7" customHeight="1">
      <c r="A8" s="184"/>
      <c r="B8" s="184"/>
      <c r="C8" s="184"/>
      <c r="D8" s="184"/>
      <c r="E8" s="184"/>
      <c r="F8" s="184"/>
      <c r="G8" s="184"/>
      <c r="H8" s="184"/>
      <c r="I8" s="80"/>
      <c r="J8" s="80"/>
      <c r="K8" s="80"/>
      <c r="L8" s="80"/>
      <c r="M8" s="80"/>
    </row>
    <row r="9" spans="1:13" ht="18" customHeight="1">
      <c r="A9" s="208" t="s">
        <v>105</v>
      </c>
      <c r="B9" s="215">
        <f>B54+B71-B11-B22-B23-B34-B14</f>
        <v>8853.260000000002</v>
      </c>
      <c r="C9" s="209">
        <f>'Cash Flow'!B41</f>
        <v>43740.176331289455</v>
      </c>
      <c r="D9" s="209">
        <f>'Cash Flow'!C41</f>
        <v>83531.1895638071</v>
      </c>
      <c r="E9" s="209">
        <f>'Cash Flow'!D41</f>
        <v>91711.299888135312</v>
      </c>
      <c r="F9" s="209">
        <f>'Cash Flow'!E41</f>
        <v>102783.81099751154</v>
      </c>
      <c r="G9" s="209">
        <f>'Cash Flow'!F41</f>
        <v>118053.05698309869</v>
      </c>
      <c r="H9" s="184"/>
      <c r="I9" s="80"/>
      <c r="J9" s="80"/>
      <c r="K9" s="80"/>
      <c r="L9" s="80"/>
      <c r="M9" s="80"/>
    </row>
    <row r="10" spans="1:13" ht="18" customHeight="1">
      <c r="A10" s="208" t="s">
        <v>106</v>
      </c>
      <c r="B10" s="215"/>
      <c r="C10" s="209">
        <f t="shared" ref="C10:G10" si="0">B10</f>
        <v>0</v>
      </c>
      <c r="D10" s="209">
        <f t="shared" si="0"/>
        <v>0</v>
      </c>
      <c r="E10" s="209">
        <f t="shared" si="0"/>
        <v>0</v>
      </c>
      <c r="F10" s="209">
        <f t="shared" si="0"/>
        <v>0</v>
      </c>
      <c r="G10" s="209">
        <f t="shared" si="0"/>
        <v>0</v>
      </c>
      <c r="H10" s="184"/>
      <c r="I10" s="80"/>
      <c r="J10" s="80"/>
      <c r="K10" s="80"/>
      <c r="L10" s="80"/>
      <c r="M10" s="80"/>
    </row>
    <row r="11" spans="1:13" ht="18" customHeight="1">
      <c r="A11" s="208" t="s">
        <v>107</v>
      </c>
      <c r="B11" s="215">
        <f>C11</f>
        <v>106.74</v>
      </c>
      <c r="C11" s="209">
        <f>'Model Inputs'!P12*3*30</f>
        <v>106.74</v>
      </c>
      <c r="D11" s="209">
        <f>'Model Inputs'!Z12*3*30</f>
        <v>127.35000000000001</v>
      </c>
      <c r="E11" s="209">
        <f>'Model Inputs'!AJ12*3*30</f>
        <v>147.96</v>
      </c>
      <c r="F11" s="209">
        <f>'Model Inputs'!AT12*3*30</f>
        <v>168.57</v>
      </c>
      <c r="G11" s="209">
        <f>'Model Inputs'!BD12*3*30</f>
        <v>189.17999999999998</v>
      </c>
      <c r="H11" s="184"/>
      <c r="I11" s="221"/>
      <c r="J11" s="221"/>
      <c r="K11" s="221"/>
      <c r="L11" s="221"/>
      <c r="M11" s="221"/>
    </row>
    <row r="12" spans="1:13" ht="18" customHeight="1">
      <c r="A12" s="208" t="s">
        <v>108</v>
      </c>
      <c r="B12" s="215">
        <v>0</v>
      </c>
      <c r="C12" s="209">
        <f t="shared" ref="C12:G13" si="1">B12</f>
        <v>0</v>
      </c>
      <c r="D12" s="209">
        <f t="shared" si="1"/>
        <v>0</v>
      </c>
      <c r="E12" s="209">
        <f t="shared" si="1"/>
        <v>0</v>
      </c>
      <c r="F12" s="209">
        <f t="shared" si="1"/>
        <v>0</v>
      </c>
      <c r="G12" s="209">
        <f t="shared" si="1"/>
        <v>0</v>
      </c>
      <c r="H12" s="184"/>
      <c r="I12" s="80"/>
      <c r="J12" s="80"/>
      <c r="K12" s="80"/>
      <c r="L12" s="80"/>
      <c r="M12" s="80"/>
    </row>
    <row r="13" spans="1:13" ht="18" customHeight="1">
      <c r="A13" s="208" t="s">
        <v>109</v>
      </c>
      <c r="B13" s="215">
        <v>0</v>
      </c>
      <c r="C13" s="209">
        <f t="shared" si="1"/>
        <v>0</v>
      </c>
      <c r="D13" s="209">
        <f t="shared" si="1"/>
        <v>0</v>
      </c>
      <c r="E13" s="209">
        <f t="shared" si="1"/>
        <v>0</v>
      </c>
      <c r="F13" s="209">
        <f t="shared" si="1"/>
        <v>0</v>
      </c>
      <c r="G13" s="209">
        <f t="shared" si="1"/>
        <v>0</v>
      </c>
      <c r="H13" s="184"/>
      <c r="I13" s="80"/>
      <c r="J13" s="80"/>
      <c r="K13" s="80"/>
      <c r="L13" s="80"/>
      <c r="M13" s="80"/>
    </row>
    <row r="14" spans="1:13" ht="18" customHeight="1">
      <c r="A14" s="208" t="s">
        <v>110</v>
      </c>
      <c r="B14" s="215">
        <f>'Startup total cost'!C44</f>
        <v>3000</v>
      </c>
      <c r="C14" s="209">
        <f>+B14</f>
        <v>3000</v>
      </c>
      <c r="D14" s="209">
        <f>+C14</f>
        <v>3000</v>
      </c>
      <c r="E14" s="209">
        <f>+D14</f>
        <v>3000</v>
      </c>
      <c r="F14" s="209">
        <f>+E14</f>
        <v>3000</v>
      </c>
      <c r="G14" s="209">
        <f>+F14</f>
        <v>3000</v>
      </c>
      <c r="H14" s="184"/>
      <c r="I14" s="80" t="s">
        <v>111</v>
      </c>
      <c r="J14" s="80"/>
      <c r="K14" s="80"/>
      <c r="L14" s="80"/>
      <c r="M14" s="80"/>
    </row>
    <row r="15" spans="1:13" ht="7" customHeight="1">
      <c r="A15" s="184"/>
      <c r="B15" s="213"/>
      <c r="C15" s="213"/>
      <c r="D15" s="213"/>
      <c r="E15" s="213"/>
      <c r="F15" s="213"/>
      <c r="G15" s="213"/>
      <c r="H15" s="184"/>
      <c r="I15" s="80"/>
      <c r="J15" s="80"/>
      <c r="K15" s="80"/>
      <c r="L15" s="80"/>
      <c r="M15" s="80"/>
    </row>
    <row r="16" spans="1:13" ht="20" customHeight="1">
      <c r="A16" s="41" t="s">
        <v>112</v>
      </c>
      <c r="B16" s="210">
        <f t="shared" ref="B16:G16" si="2">SUM(B9:B14)</f>
        <v>11960.000000000002</v>
      </c>
      <c r="C16" s="210">
        <f>SUM(C9:C14)</f>
        <v>46846.916331289453</v>
      </c>
      <c r="D16" s="210">
        <f t="shared" si="2"/>
        <v>86658.539563807106</v>
      </c>
      <c r="E16" s="210">
        <f t="shared" si="2"/>
        <v>94859.259888135319</v>
      </c>
      <c r="F16" s="210">
        <f t="shared" si="2"/>
        <v>105952.38099751154</v>
      </c>
      <c r="G16" s="210">
        <f t="shared" si="2"/>
        <v>121242.23698309869</v>
      </c>
      <c r="H16" s="206"/>
      <c r="I16" s="80"/>
      <c r="J16" s="80"/>
      <c r="K16" s="80"/>
      <c r="L16" s="80"/>
      <c r="M16" s="80"/>
    </row>
    <row r="17" spans="1:8" ht="20" customHeight="1">
      <c r="A17" s="80"/>
      <c r="B17" s="211"/>
      <c r="C17" s="211"/>
      <c r="D17" s="211"/>
      <c r="E17" s="211"/>
      <c r="F17" s="211"/>
      <c r="G17" s="211"/>
      <c r="H17" s="80"/>
    </row>
    <row r="18" spans="1:8" ht="20" customHeight="1">
      <c r="A18" s="41" t="s">
        <v>113</v>
      </c>
      <c r="B18" s="212" t="s">
        <v>104</v>
      </c>
      <c r="C18" s="220" t="s">
        <v>57</v>
      </c>
      <c r="D18" s="220" t="s">
        <v>58</v>
      </c>
      <c r="E18" s="220" t="s">
        <v>59</v>
      </c>
      <c r="F18" s="220" t="s">
        <v>60</v>
      </c>
      <c r="G18" s="220" t="s">
        <v>61</v>
      </c>
      <c r="H18" s="206"/>
    </row>
    <row r="19" spans="1:8" ht="7" customHeight="1">
      <c r="A19" s="184"/>
      <c r="B19" s="213"/>
      <c r="C19" s="213"/>
      <c r="D19" s="213"/>
      <c r="E19" s="213"/>
      <c r="F19" s="213"/>
      <c r="G19" s="213"/>
      <c r="H19" s="184"/>
    </row>
    <row r="20" spans="1:8" ht="18" customHeight="1">
      <c r="A20" s="208" t="s">
        <v>114</v>
      </c>
      <c r="B20" s="215">
        <v>0</v>
      </c>
      <c r="C20" s="209">
        <f t="shared" ref="C20:G21" si="3">B20</f>
        <v>0</v>
      </c>
      <c r="D20" s="209">
        <f t="shared" si="3"/>
        <v>0</v>
      </c>
      <c r="E20" s="209">
        <f t="shared" si="3"/>
        <v>0</v>
      </c>
      <c r="F20" s="209">
        <f t="shared" si="3"/>
        <v>0</v>
      </c>
      <c r="G20" s="209">
        <f t="shared" si="3"/>
        <v>0</v>
      </c>
      <c r="H20" s="184"/>
    </row>
    <row r="21" spans="1:8" ht="18" customHeight="1">
      <c r="A21" s="208" t="s">
        <v>115</v>
      </c>
      <c r="B21" s="215">
        <v>0</v>
      </c>
      <c r="C21" s="209">
        <f t="shared" si="3"/>
        <v>0</v>
      </c>
      <c r="D21" s="209">
        <f t="shared" si="3"/>
        <v>0</v>
      </c>
      <c r="E21" s="209">
        <f t="shared" si="3"/>
        <v>0</v>
      </c>
      <c r="F21" s="209">
        <f t="shared" si="3"/>
        <v>0</v>
      </c>
      <c r="G21" s="209">
        <f t="shared" si="3"/>
        <v>0</v>
      </c>
      <c r="H21" s="184"/>
    </row>
    <row r="22" spans="1:8" ht="18" customHeight="1">
      <c r="A22" s="208" t="s">
        <v>116</v>
      </c>
      <c r="B22" s="215">
        <f>'Startup total cost'!E13</f>
        <v>12820</v>
      </c>
      <c r="C22" s="181">
        <f>B22+2000</f>
        <v>14820</v>
      </c>
      <c r="D22" s="181">
        <f>C22+2000</f>
        <v>16820</v>
      </c>
      <c r="E22" s="181">
        <f>D22+2000</f>
        <v>18820</v>
      </c>
      <c r="F22" s="181">
        <f>E22+2000</f>
        <v>20820</v>
      </c>
      <c r="G22" s="181">
        <f>F22+2000</f>
        <v>22820</v>
      </c>
      <c r="H22" s="184"/>
    </row>
    <row r="23" spans="1:8" ht="18" customHeight="1">
      <c r="A23" s="208" t="s">
        <v>117</v>
      </c>
      <c r="B23" s="215">
        <f>'Startup total cost'!C42</f>
        <v>26300</v>
      </c>
      <c r="C23" s="209">
        <f>B23</f>
        <v>26300</v>
      </c>
      <c r="D23" s="209">
        <f>C23</f>
        <v>26300</v>
      </c>
      <c r="E23" s="209">
        <f>D23</f>
        <v>26300</v>
      </c>
      <c r="F23" s="209">
        <f>E23</f>
        <v>26300</v>
      </c>
      <c r="G23" s="209">
        <f>F23</f>
        <v>26300</v>
      </c>
      <c r="H23" s="184"/>
    </row>
    <row r="24" spans="1:8" ht="18" customHeight="1">
      <c r="A24" s="208" t="s">
        <v>118</v>
      </c>
      <c r="B24" s="209"/>
      <c r="C24" s="209">
        <f>B24+'Profit and Loss'!B49</f>
        <v>7824</v>
      </c>
      <c r="D24" s="209">
        <f>C24+'Profit and Loss'!C49</f>
        <v>16048</v>
      </c>
      <c r="E24" s="209">
        <f>D24+'Profit and Loss'!D49</f>
        <v>24672</v>
      </c>
      <c r="F24" s="209">
        <f>E24+'Profit and Loss'!E49</f>
        <v>33696</v>
      </c>
      <c r="G24" s="209">
        <f>F24+'Profit and Loss'!F49</f>
        <v>43120</v>
      </c>
      <c r="H24" s="184"/>
    </row>
    <row r="25" spans="1:8" ht="7" customHeight="1">
      <c r="A25" s="184"/>
      <c r="B25" s="213"/>
      <c r="C25" s="213"/>
      <c r="D25" s="213"/>
      <c r="E25" s="213"/>
      <c r="F25" s="213"/>
      <c r="G25" s="213"/>
      <c r="H25" s="184"/>
    </row>
    <row r="26" spans="1:8" ht="20" customHeight="1">
      <c r="A26" s="41" t="s">
        <v>119</v>
      </c>
      <c r="B26" s="210">
        <f t="shared" ref="B26:G26" si="4">SUM(B20:B23)-B24</f>
        <v>39120</v>
      </c>
      <c r="C26" s="210">
        <f>SUM(C20:C23)-C24</f>
        <v>33296</v>
      </c>
      <c r="D26" s="210">
        <f>SUM(D20:D23)-D24</f>
        <v>27072</v>
      </c>
      <c r="E26" s="210">
        <f t="shared" si="4"/>
        <v>20448</v>
      </c>
      <c r="F26" s="210">
        <f t="shared" si="4"/>
        <v>13424</v>
      </c>
      <c r="G26" s="210">
        <f t="shared" si="4"/>
        <v>6000</v>
      </c>
      <c r="H26" s="206"/>
    </row>
    <row r="27" spans="1:8" ht="20" customHeight="1">
      <c r="A27" s="80"/>
      <c r="B27" s="211"/>
      <c r="C27" s="211"/>
      <c r="D27" s="211"/>
      <c r="E27" s="211"/>
      <c r="F27" s="211"/>
      <c r="G27" s="211"/>
      <c r="H27" s="80"/>
    </row>
    <row r="28" spans="1:8" ht="20" customHeight="1">
      <c r="A28" s="41" t="s">
        <v>120</v>
      </c>
      <c r="B28" s="212" t="s">
        <v>104</v>
      </c>
      <c r="C28" s="220" t="s">
        <v>57</v>
      </c>
      <c r="D28" s="220" t="s">
        <v>58</v>
      </c>
      <c r="E28" s="220" t="s">
        <v>59</v>
      </c>
      <c r="F28" s="220" t="s">
        <v>60</v>
      </c>
      <c r="G28" s="220" t="s">
        <v>61</v>
      </c>
      <c r="H28" s="206"/>
    </row>
    <row r="29" spans="1:8" ht="7" customHeight="1">
      <c r="A29" s="184"/>
      <c r="B29" s="213"/>
      <c r="C29" s="213"/>
      <c r="D29" s="213"/>
      <c r="E29" s="213"/>
      <c r="F29" s="213"/>
      <c r="G29" s="213"/>
      <c r="H29" s="184"/>
    </row>
    <row r="30" spans="1:8" ht="18" customHeight="1">
      <c r="A30" s="208" t="s">
        <v>121</v>
      </c>
      <c r="B30" s="215">
        <v>0</v>
      </c>
      <c r="C30" s="209">
        <f t="shared" ref="C30:G32" si="5">B30</f>
        <v>0</v>
      </c>
      <c r="D30" s="209">
        <f t="shared" si="5"/>
        <v>0</v>
      </c>
      <c r="E30" s="209">
        <f t="shared" si="5"/>
        <v>0</v>
      </c>
      <c r="F30" s="209">
        <f t="shared" si="5"/>
        <v>0</v>
      </c>
      <c r="G30" s="209">
        <f t="shared" si="5"/>
        <v>0</v>
      </c>
      <c r="H30" s="184"/>
    </row>
    <row r="31" spans="1:8" ht="18" customHeight="1">
      <c r="A31" s="208" t="s">
        <v>109</v>
      </c>
      <c r="B31" s="215">
        <v>0</v>
      </c>
      <c r="C31" s="209">
        <f t="shared" si="5"/>
        <v>0</v>
      </c>
      <c r="D31" s="209">
        <f t="shared" si="5"/>
        <v>0</v>
      </c>
      <c r="E31" s="209">
        <f t="shared" si="5"/>
        <v>0</v>
      </c>
      <c r="F31" s="209">
        <f t="shared" si="5"/>
        <v>0</v>
      </c>
      <c r="G31" s="209">
        <f t="shared" si="5"/>
        <v>0</v>
      </c>
      <c r="H31" s="184"/>
    </row>
    <row r="32" spans="1:8" ht="18" customHeight="1">
      <c r="A32" s="208" t="s">
        <v>122</v>
      </c>
      <c r="B32" s="215">
        <v>0</v>
      </c>
      <c r="C32" s="209">
        <f t="shared" si="5"/>
        <v>0</v>
      </c>
      <c r="D32" s="209">
        <f t="shared" si="5"/>
        <v>0</v>
      </c>
      <c r="E32" s="209">
        <f t="shared" si="5"/>
        <v>0</v>
      </c>
      <c r="F32" s="209">
        <f t="shared" si="5"/>
        <v>0</v>
      </c>
      <c r="G32" s="209">
        <f t="shared" si="5"/>
        <v>0</v>
      </c>
      <c r="H32" s="184"/>
    </row>
    <row r="33" spans="1:13" ht="18" customHeight="1">
      <c r="A33" s="208" t="s">
        <v>123</v>
      </c>
      <c r="B33" s="215"/>
      <c r="C33" s="209">
        <f t="shared" ref="C33:G33" si="6">B33</f>
        <v>0</v>
      </c>
      <c r="D33" s="209">
        <f t="shared" si="6"/>
        <v>0</v>
      </c>
      <c r="E33" s="209">
        <f t="shared" si="6"/>
        <v>0</v>
      </c>
      <c r="F33" s="209">
        <f t="shared" si="6"/>
        <v>0</v>
      </c>
      <c r="G33" s="209">
        <f t="shared" si="6"/>
        <v>0</v>
      </c>
      <c r="H33" s="184"/>
      <c r="I33" s="80"/>
      <c r="J33" s="80"/>
      <c r="K33" s="80"/>
      <c r="L33" s="80"/>
      <c r="M33" s="80"/>
    </row>
    <row r="34" spans="1:13" ht="18" customHeight="1">
      <c r="A34" s="208" t="s">
        <v>124</v>
      </c>
      <c r="B34" s="215">
        <f>'Startup total cost'!C27</f>
        <v>5220</v>
      </c>
      <c r="C34" s="209">
        <f>B34</f>
        <v>5220</v>
      </c>
      <c r="D34" s="209">
        <f>C34</f>
        <v>5220</v>
      </c>
      <c r="E34" s="209">
        <f>D34</f>
        <v>5220</v>
      </c>
      <c r="F34" s="209">
        <f>E34</f>
        <v>5220</v>
      </c>
      <c r="G34" s="209">
        <f>F34</f>
        <v>5220</v>
      </c>
      <c r="H34" s="184"/>
      <c r="I34" s="80" t="s">
        <v>125</v>
      </c>
      <c r="J34" s="80"/>
      <c r="K34" s="80"/>
      <c r="L34" s="80"/>
      <c r="M34" s="80"/>
    </row>
    <row r="35" spans="1:13" ht="7" customHeight="1">
      <c r="A35" s="184"/>
      <c r="B35" s="213"/>
      <c r="C35" s="213"/>
      <c r="D35" s="213"/>
      <c r="E35" s="213"/>
      <c r="F35" s="213"/>
      <c r="G35" s="213"/>
      <c r="H35" s="184"/>
      <c r="I35" s="80"/>
      <c r="J35" s="80"/>
      <c r="K35" s="80"/>
      <c r="L35" s="80"/>
      <c r="M35" s="80"/>
    </row>
    <row r="36" spans="1:13" ht="20" customHeight="1">
      <c r="A36" s="41" t="s">
        <v>126</v>
      </c>
      <c r="B36" s="210">
        <f t="shared" ref="B36:G36" si="7">SUM(B30:B34)</f>
        <v>5220</v>
      </c>
      <c r="C36" s="210">
        <f t="shared" si="7"/>
        <v>5220</v>
      </c>
      <c r="D36" s="210">
        <f t="shared" si="7"/>
        <v>5220</v>
      </c>
      <c r="E36" s="210">
        <f t="shared" si="7"/>
        <v>5220</v>
      </c>
      <c r="F36" s="210">
        <f t="shared" si="7"/>
        <v>5220</v>
      </c>
      <c r="G36" s="210">
        <f t="shared" si="7"/>
        <v>5220</v>
      </c>
      <c r="H36" s="206"/>
      <c r="I36" s="80"/>
      <c r="J36" s="80"/>
      <c r="K36" s="80"/>
      <c r="L36" s="80"/>
      <c r="M36" s="80"/>
    </row>
    <row r="37" spans="1:13" ht="20" customHeight="1" thickBot="1">
      <c r="A37" s="80"/>
      <c r="B37" s="211"/>
      <c r="C37" s="211"/>
      <c r="D37" s="211"/>
      <c r="E37" s="211"/>
      <c r="F37" s="211"/>
      <c r="G37" s="211"/>
      <c r="H37" s="80"/>
      <c r="I37" s="80"/>
      <c r="J37" s="80"/>
      <c r="K37" s="80"/>
      <c r="L37" s="80"/>
      <c r="M37" s="80"/>
    </row>
    <row r="38" spans="1:13" ht="20" customHeight="1" thickTop="1">
      <c r="A38" s="38" t="s">
        <v>127</v>
      </c>
      <c r="B38" s="216">
        <f t="shared" ref="B38:G38" si="8">B16+B26+B36</f>
        <v>56300</v>
      </c>
      <c r="C38" s="216">
        <f t="shared" si="8"/>
        <v>85362.916331289453</v>
      </c>
      <c r="D38" s="216">
        <f t="shared" si="8"/>
        <v>118950.53956380711</v>
      </c>
      <c r="E38" s="216">
        <f t="shared" si="8"/>
        <v>120527.25988813532</v>
      </c>
      <c r="F38" s="216">
        <f t="shared" si="8"/>
        <v>124596.38099751154</v>
      </c>
      <c r="G38" s="216">
        <f t="shared" si="8"/>
        <v>132462.23698309867</v>
      </c>
      <c r="H38" s="217"/>
      <c r="I38" s="80"/>
      <c r="J38" s="80"/>
      <c r="K38" s="80"/>
      <c r="L38" s="80"/>
      <c r="M38" s="80"/>
    </row>
    <row r="39" spans="1:13" ht="18" customHeight="1">
      <c r="A39" s="80"/>
      <c r="B39" s="222"/>
      <c r="C39" s="222"/>
      <c r="D39" s="222"/>
      <c r="E39" s="222"/>
      <c r="F39" s="222"/>
      <c r="G39" s="222"/>
      <c r="H39" s="80"/>
      <c r="I39" s="80"/>
      <c r="J39" s="80"/>
      <c r="K39" s="80"/>
      <c r="L39" s="80"/>
      <c r="M39" s="80"/>
    </row>
    <row r="40" spans="1:13" ht="20" customHeight="1">
      <c r="A40" s="13" t="s">
        <v>128</v>
      </c>
      <c r="B40" s="223"/>
      <c r="C40" s="223"/>
      <c r="D40" s="223"/>
      <c r="E40" s="223"/>
      <c r="F40" s="223"/>
      <c r="G40" s="223"/>
      <c r="H40" s="223"/>
      <c r="I40" s="80"/>
      <c r="J40" s="80"/>
      <c r="K40" s="80"/>
      <c r="L40" s="80"/>
      <c r="M40" s="80"/>
    </row>
    <row r="41" spans="1:13" ht="7" customHeight="1">
      <c r="A41" s="80"/>
      <c r="B41" s="211"/>
      <c r="C41" s="211"/>
      <c r="D41" s="211"/>
      <c r="E41" s="211"/>
      <c r="F41" s="211"/>
      <c r="G41" s="211"/>
      <c r="H41" s="80"/>
      <c r="I41" s="80"/>
      <c r="J41" s="80"/>
      <c r="K41" s="80"/>
      <c r="L41" s="80"/>
      <c r="M41" s="80"/>
    </row>
    <row r="42" spans="1:13" ht="18" customHeight="1">
      <c r="A42" s="41" t="s">
        <v>129</v>
      </c>
      <c r="B42" s="212" t="s">
        <v>104</v>
      </c>
      <c r="C42" s="220" t="s">
        <v>57</v>
      </c>
      <c r="D42" s="220" t="s">
        <v>58</v>
      </c>
      <c r="E42" s="220" t="s">
        <v>59</v>
      </c>
      <c r="F42" s="220" t="s">
        <v>60</v>
      </c>
      <c r="G42" s="220" t="s">
        <v>61</v>
      </c>
      <c r="H42" s="206"/>
      <c r="I42" s="80"/>
      <c r="J42" s="80"/>
      <c r="K42" s="80"/>
      <c r="L42" s="80"/>
      <c r="M42" s="80"/>
    </row>
    <row r="43" spans="1:13" ht="7" customHeight="1">
      <c r="A43" s="184"/>
      <c r="B43" s="213"/>
      <c r="C43" s="224"/>
      <c r="D43" s="224"/>
      <c r="E43" s="224"/>
      <c r="F43" s="224"/>
      <c r="G43" s="224"/>
      <c r="H43" s="184"/>
      <c r="I43" s="80"/>
      <c r="J43" s="80"/>
      <c r="K43" s="80"/>
      <c r="L43" s="80"/>
      <c r="M43" s="80"/>
    </row>
    <row r="44" spans="1:13" ht="18" customHeight="1">
      <c r="A44" s="208" t="s">
        <v>130</v>
      </c>
      <c r="B44" s="215">
        <v>0</v>
      </c>
      <c r="C44" s="209">
        <f>'Model Inputs'!N12*30</f>
        <v>187.27200000000002</v>
      </c>
      <c r="D44" s="209">
        <f>'Model Inputs'!Y12*30</f>
        <v>209.08799999999999</v>
      </c>
      <c r="E44" s="209">
        <f>'Model Inputs'!AI12*30</f>
        <v>243.93599999999998</v>
      </c>
      <c r="F44" s="209">
        <f>'Model Inputs'!AS12*30</f>
        <v>278.78399999999999</v>
      </c>
      <c r="G44" s="209">
        <f>'Model Inputs'!BC12*30</f>
        <v>313.63200000000001</v>
      </c>
      <c r="H44" s="184"/>
      <c r="I44" s="221"/>
      <c r="J44" s="221"/>
      <c r="K44" s="221"/>
      <c r="L44" s="221"/>
      <c r="M44" s="221"/>
    </row>
    <row r="45" spans="1:13" ht="18" customHeight="1">
      <c r="A45" s="208" t="s">
        <v>131</v>
      </c>
      <c r="B45" s="215">
        <v>0</v>
      </c>
      <c r="C45" s="209">
        <f t="shared" ref="C45:G47" si="9">B45</f>
        <v>0</v>
      </c>
      <c r="D45" s="209">
        <f t="shared" si="9"/>
        <v>0</v>
      </c>
      <c r="E45" s="209">
        <f t="shared" si="9"/>
        <v>0</v>
      </c>
      <c r="F45" s="209">
        <f t="shared" si="9"/>
        <v>0</v>
      </c>
      <c r="G45" s="209">
        <f t="shared" si="9"/>
        <v>0</v>
      </c>
      <c r="H45" s="184"/>
      <c r="I45" s="80"/>
      <c r="J45" s="80"/>
      <c r="K45" s="80"/>
      <c r="L45" s="80"/>
      <c r="M45" s="80"/>
    </row>
    <row r="46" spans="1:13" ht="18" customHeight="1">
      <c r="A46" s="208" t="s">
        <v>132</v>
      </c>
      <c r="B46" s="215">
        <v>0</v>
      </c>
      <c r="C46" s="209">
        <f t="shared" si="9"/>
        <v>0</v>
      </c>
      <c r="D46" s="209">
        <f t="shared" si="9"/>
        <v>0</v>
      </c>
      <c r="E46" s="209">
        <f t="shared" si="9"/>
        <v>0</v>
      </c>
      <c r="F46" s="209">
        <f t="shared" si="9"/>
        <v>0</v>
      </c>
      <c r="G46" s="209">
        <f t="shared" si="9"/>
        <v>0</v>
      </c>
      <c r="H46" s="184"/>
      <c r="I46" s="80"/>
      <c r="J46" s="80"/>
      <c r="K46" s="80"/>
      <c r="L46" s="80"/>
      <c r="M46" s="80"/>
    </row>
    <row r="47" spans="1:13" ht="18" customHeight="1">
      <c r="A47" s="208" t="s">
        <v>133</v>
      </c>
      <c r="B47" s="215">
        <v>0</v>
      </c>
      <c r="C47" s="209">
        <f t="shared" si="9"/>
        <v>0</v>
      </c>
      <c r="D47" s="209">
        <f t="shared" si="9"/>
        <v>0</v>
      </c>
      <c r="E47" s="209">
        <f t="shared" si="9"/>
        <v>0</v>
      </c>
      <c r="F47" s="209">
        <f t="shared" si="9"/>
        <v>0</v>
      </c>
      <c r="G47" s="209">
        <f t="shared" si="9"/>
        <v>0</v>
      </c>
      <c r="H47" s="184"/>
      <c r="I47" s="80"/>
      <c r="J47" s="80"/>
      <c r="K47" s="80"/>
      <c r="L47" s="80"/>
      <c r="M47" s="80"/>
    </row>
    <row r="48" spans="1:13" ht="18" customHeight="1">
      <c r="A48" s="208" t="s">
        <v>134</v>
      </c>
      <c r="B48" s="215"/>
      <c r="C48" s="209">
        <f>+B48</f>
        <v>0</v>
      </c>
      <c r="D48" s="209">
        <f>+C48</f>
        <v>0</v>
      </c>
      <c r="E48" s="209">
        <f>+D48</f>
        <v>0</v>
      </c>
      <c r="F48" s="209">
        <f>+E48</f>
        <v>0</v>
      </c>
      <c r="G48" s="209">
        <f>+F48</f>
        <v>0</v>
      </c>
      <c r="H48" s="184"/>
      <c r="I48" s="80"/>
      <c r="J48" s="80"/>
      <c r="K48" s="80"/>
      <c r="L48" s="80"/>
      <c r="M48" s="80"/>
    </row>
    <row r="49" spans="1:8" ht="7" customHeight="1">
      <c r="A49" s="184"/>
      <c r="B49" s="213"/>
      <c r="C49" s="213"/>
      <c r="D49" s="213"/>
      <c r="E49" s="213"/>
      <c r="F49" s="213"/>
      <c r="G49" s="213"/>
      <c r="H49" s="184"/>
    </row>
    <row r="50" spans="1:8" ht="18" customHeight="1">
      <c r="A50" s="41" t="s">
        <v>135</v>
      </c>
      <c r="B50" s="210">
        <f t="shared" ref="B50:G50" si="10">SUM(B44:B48)</f>
        <v>0</v>
      </c>
      <c r="C50" s="210">
        <f t="shared" si="10"/>
        <v>187.27200000000002</v>
      </c>
      <c r="D50" s="210">
        <f t="shared" si="10"/>
        <v>209.08799999999999</v>
      </c>
      <c r="E50" s="210">
        <f t="shared" si="10"/>
        <v>243.93599999999998</v>
      </c>
      <c r="F50" s="210">
        <f t="shared" si="10"/>
        <v>278.78399999999999</v>
      </c>
      <c r="G50" s="210">
        <f t="shared" si="10"/>
        <v>313.63200000000001</v>
      </c>
      <c r="H50" s="206"/>
    </row>
    <row r="51" spans="1:8" ht="18" customHeight="1">
      <c r="A51" s="80"/>
      <c r="B51" s="211"/>
      <c r="C51" s="211"/>
      <c r="D51" s="211"/>
      <c r="E51" s="211"/>
      <c r="F51" s="211"/>
      <c r="G51" s="211"/>
      <c r="H51" s="80"/>
    </row>
    <row r="52" spans="1:8" ht="18" customHeight="1">
      <c r="A52" s="41" t="s">
        <v>136</v>
      </c>
      <c r="B52" s="212" t="s">
        <v>104</v>
      </c>
      <c r="C52" s="220" t="s">
        <v>57</v>
      </c>
      <c r="D52" s="220" t="s">
        <v>58</v>
      </c>
      <c r="E52" s="220" t="s">
        <v>59</v>
      </c>
      <c r="F52" s="220" t="s">
        <v>60</v>
      </c>
      <c r="G52" s="220" t="s">
        <v>61</v>
      </c>
      <c r="H52" s="206"/>
    </row>
    <row r="53" spans="1:8" ht="7" customHeight="1">
      <c r="A53" s="184"/>
      <c r="B53" s="213"/>
      <c r="C53" s="213"/>
      <c r="D53" s="213"/>
      <c r="E53" s="213"/>
      <c r="F53" s="213"/>
      <c r="G53" s="213"/>
      <c r="H53" s="184"/>
    </row>
    <row r="54" spans="1:8" ht="18" customHeight="1">
      <c r="A54" s="208" t="s">
        <v>137</v>
      </c>
      <c r="B54" s="209">
        <f>IF('Loan Payment Calculator'!B8="",0,'Loan Payment Calculator'!B8)</f>
        <v>26300</v>
      </c>
      <c r="C54" s="209">
        <f>IF('Loan Payment Calculator'!B21="",0,'Loan Payment Calculator'!B21)</f>
        <v>21633.54306717221</v>
      </c>
      <c r="D54" s="209">
        <f>IF('Loan Payment Calculator'!B33="",0,'Loan Payment Calculator'!B33)</f>
        <v>16687.565364068028</v>
      </c>
      <c r="E54" s="209">
        <f>IF('Loan Payment Calculator'!B45="",0,'Loan Payment Calculator'!B45)</f>
        <v>11445.323596547903</v>
      </c>
      <c r="F54" s="209">
        <f>IF('Loan Payment Calculator'!B57="",0,'Loan Payment Calculator'!B57)</f>
        <v>5889.0715471533185</v>
      </c>
      <c r="G54" s="209">
        <f>IF('Loan Payment Calculator'!B69="",0,'Loan Payment Calculator'!B69)</f>
        <v>0</v>
      </c>
      <c r="H54" s="184"/>
    </row>
    <row r="55" spans="1:8" ht="18" customHeight="1">
      <c r="A55" s="208" t="s">
        <v>138</v>
      </c>
      <c r="B55" s="215"/>
      <c r="C55" s="215"/>
      <c r="D55" s="215"/>
      <c r="E55" s="215"/>
      <c r="F55" s="215"/>
      <c r="G55" s="215"/>
      <c r="H55" s="184"/>
    </row>
    <row r="56" spans="1:8" ht="7" customHeight="1">
      <c r="A56" s="184"/>
      <c r="B56" s="213"/>
      <c r="C56" s="213"/>
      <c r="D56" s="213"/>
      <c r="E56" s="213"/>
      <c r="F56" s="213"/>
      <c r="G56" s="213"/>
      <c r="H56" s="184"/>
    </row>
    <row r="57" spans="1:8" ht="18" customHeight="1">
      <c r="A57" s="41" t="s">
        <v>139</v>
      </c>
      <c r="B57" s="210">
        <f>B50+B54+B55</f>
        <v>26300</v>
      </c>
      <c r="C57" s="210">
        <f>C50+C54+C55</f>
        <v>21820.815067172211</v>
      </c>
      <c r="D57" s="210">
        <f>D50+D54+D55</f>
        <v>16896.653364068028</v>
      </c>
      <c r="E57" s="210">
        <f t="shared" ref="E57:G57" si="11">E50+E54+E55</f>
        <v>11689.259596547903</v>
      </c>
      <c r="F57" s="210">
        <f t="shared" si="11"/>
        <v>6167.8555471533182</v>
      </c>
      <c r="G57" s="210">
        <f t="shared" si="11"/>
        <v>313.63200000000001</v>
      </c>
      <c r="H57" s="206"/>
    </row>
    <row r="58" spans="1:8" ht="18" customHeight="1">
      <c r="A58" s="80"/>
      <c r="B58" s="211"/>
      <c r="C58" s="211"/>
      <c r="D58" s="211"/>
      <c r="E58" s="211"/>
      <c r="F58" s="211"/>
      <c r="G58" s="211"/>
      <c r="H58" s="80"/>
    </row>
    <row r="59" spans="1:8" ht="18" customHeight="1">
      <c r="A59" s="41" t="s">
        <v>140</v>
      </c>
      <c r="B59" s="212" t="s">
        <v>104</v>
      </c>
      <c r="C59" s="220" t="s">
        <v>57</v>
      </c>
      <c r="D59" s="220" t="s">
        <v>58</v>
      </c>
      <c r="E59" s="220" t="s">
        <v>59</v>
      </c>
      <c r="F59" s="220" t="s">
        <v>60</v>
      </c>
      <c r="G59" s="220" t="s">
        <v>61</v>
      </c>
      <c r="H59" s="206"/>
    </row>
    <row r="60" spans="1:8" ht="7" customHeight="1">
      <c r="A60" s="184"/>
      <c r="B60" s="213"/>
      <c r="C60" s="213"/>
      <c r="D60" s="213"/>
      <c r="E60" s="213"/>
      <c r="F60" s="213"/>
      <c r="G60" s="213"/>
      <c r="H60" s="184"/>
    </row>
    <row r="61" spans="1:8" ht="18" customHeight="1">
      <c r="A61" s="208" t="s">
        <v>141</v>
      </c>
      <c r="B61" s="215">
        <v>0</v>
      </c>
      <c r="C61" s="209">
        <f t="shared" ref="C61:G61" si="12">B61</f>
        <v>0</v>
      </c>
      <c r="D61" s="209">
        <f t="shared" si="12"/>
        <v>0</v>
      </c>
      <c r="E61" s="209">
        <f t="shared" si="12"/>
        <v>0</v>
      </c>
      <c r="F61" s="209">
        <f t="shared" si="12"/>
        <v>0</v>
      </c>
      <c r="G61" s="209">
        <f t="shared" si="12"/>
        <v>0</v>
      </c>
      <c r="H61" s="184"/>
    </row>
    <row r="62" spans="1:8" ht="18" customHeight="1">
      <c r="A62" s="208" t="s">
        <v>141</v>
      </c>
      <c r="B62" s="215">
        <v>0</v>
      </c>
      <c r="C62" s="209">
        <f>B62</f>
        <v>0</v>
      </c>
      <c r="D62" s="209">
        <f>C62</f>
        <v>0</v>
      </c>
      <c r="E62" s="209">
        <f>D62</f>
        <v>0</v>
      </c>
      <c r="F62" s="209">
        <f>E62</f>
        <v>0</v>
      </c>
      <c r="G62" s="209">
        <f>F62</f>
        <v>0</v>
      </c>
      <c r="H62" s="184"/>
    </row>
    <row r="63" spans="1:8" ht="7" customHeight="1">
      <c r="A63" s="184"/>
      <c r="B63" s="213"/>
      <c r="C63" s="213"/>
      <c r="D63" s="213"/>
      <c r="E63" s="213"/>
      <c r="F63" s="213"/>
      <c r="G63" s="213"/>
      <c r="H63" s="184"/>
    </row>
    <row r="64" spans="1:8" ht="18" customHeight="1">
      <c r="A64" s="41" t="s">
        <v>142</v>
      </c>
      <c r="B64" s="210">
        <f t="shared" ref="B64:G64" si="13">SUM(B61:B62)</f>
        <v>0</v>
      </c>
      <c r="C64" s="210">
        <f t="shared" si="13"/>
        <v>0</v>
      </c>
      <c r="D64" s="210">
        <f t="shared" si="13"/>
        <v>0</v>
      </c>
      <c r="E64" s="210">
        <f t="shared" si="13"/>
        <v>0</v>
      </c>
      <c r="F64" s="210">
        <f t="shared" si="13"/>
        <v>0</v>
      </c>
      <c r="G64" s="210">
        <f t="shared" si="13"/>
        <v>0</v>
      </c>
      <c r="H64" s="206"/>
    </row>
    <row r="65" spans="1:13" ht="18" customHeight="1" thickBot="1">
      <c r="A65" s="80"/>
      <c r="B65" s="211"/>
      <c r="C65" s="211"/>
      <c r="D65" s="211"/>
      <c r="E65" s="211"/>
      <c r="F65" s="211"/>
      <c r="G65" s="211"/>
      <c r="H65" s="80"/>
      <c r="I65" s="80"/>
      <c r="J65" s="80"/>
      <c r="K65" s="80"/>
      <c r="L65" s="80"/>
      <c r="M65" s="80"/>
    </row>
    <row r="66" spans="1:13" ht="20" customHeight="1" thickTop="1">
      <c r="A66" s="38" t="s">
        <v>143</v>
      </c>
      <c r="B66" s="216">
        <f t="shared" ref="B66:G66" si="14">B50+B54+B64</f>
        <v>26300</v>
      </c>
      <c r="C66" s="216">
        <f>C50+C54+C64</f>
        <v>21820.815067172211</v>
      </c>
      <c r="D66" s="216">
        <f t="shared" si="14"/>
        <v>16896.653364068028</v>
      </c>
      <c r="E66" s="216">
        <f t="shared" si="14"/>
        <v>11689.259596547903</v>
      </c>
      <c r="F66" s="216">
        <f t="shared" si="14"/>
        <v>6167.8555471533182</v>
      </c>
      <c r="G66" s="216">
        <f t="shared" si="14"/>
        <v>313.63200000000001</v>
      </c>
      <c r="H66" s="217"/>
      <c r="I66" s="80"/>
      <c r="J66" s="80"/>
      <c r="K66" s="80"/>
      <c r="L66" s="80"/>
      <c r="M66" s="80"/>
    </row>
    <row r="67" spans="1:13" ht="18" customHeight="1">
      <c r="A67" s="80"/>
      <c r="B67" s="222"/>
      <c r="C67" s="222"/>
      <c r="D67" s="222"/>
      <c r="E67" s="222"/>
      <c r="F67" s="222"/>
      <c r="G67" s="222"/>
      <c r="H67" s="80"/>
      <c r="I67" s="80"/>
      <c r="J67" s="80"/>
      <c r="K67" s="80"/>
      <c r="L67" s="80"/>
      <c r="M67" s="80"/>
    </row>
    <row r="68" spans="1:13" ht="20" customHeight="1">
      <c r="A68" s="13" t="s">
        <v>144</v>
      </c>
      <c r="B68" s="36"/>
      <c r="C68" s="48"/>
      <c r="D68" s="48"/>
      <c r="E68" s="48"/>
      <c r="F68" s="48"/>
      <c r="G68" s="48"/>
      <c r="H68" s="223"/>
      <c r="I68" s="80"/>
      <c r="J68" s="80"/>
      <c r="K68" s="80"/>
      <c r="L68" s="80"/>
      <c r="M68" s="80"/>
    </row>
    <row r="69" spans="1:13" ht="7" customHeight="1">
      <c r="A69" s="50"/>
      <c r="B69" s="51"/>
      <c r="C69" s="52"/>
      <c r="D69" s="52"/>
      <c r="E69" s="52"/>
      <c r="F69" s="52"/>
      <c r="G69" s="52"/>
      <c r="H69" s="184"/>
      <c r="I69" s="80"/>
      <c r="J69" s="80"/>
      <c r="K69" s="80"/>
      <c r="L69" s="80"/>
      <c r="M69" s="80"/>
    </row>
    <row r="70" spans="1:13" ht="18" customHeight="1">
      <c r="A70" s="184"/>
      <c r="B70" s="213" t="s">
        <v>104</v>
      </c>
      <c r="C70" s="224" t="s">
        <v>57</v>
      </c>
      <c r="D70" s="224" t="s">
        <v>58</v>
      </c>
      <c r="E70" s="224" t="s">
        <v>59</v>
      </c>
      <c r="F70" s="224" t="s">
        <v>60</v>
      </c>
      <c r="G70" s="224" t="s">
        <v>61</v>
      </c>
      <c r="H70" s="184"/>
      <c r="I70" s="80"/>
      <c r="J70" s="80"/>
      <c r="K70" s="80"/>
      <c r="L70" s="80"/>
      <c r="M70" s="80"/>
    </row>
    <row r="71" spans="1:13" ht="18" customHeight="1">
      <c r="A71" s="208" t="s">
        <v>145</v>
      </c>
      <c r="B71" s="215">
        <f>30000</f>
        <v>30000</v>
      </c>
      <c r="C71" s="209">
        <f>B71</f>
        <v>30000</v>
      </c>
      <c r="D71" s="209">
        <f t="shared" ref="D71:G71" si="15">C71</f>
        <v>30000</v>
      </c>
      <c r="E71" s="209">
        <f t="shared" si="15"/>
        <v>30000</v>
      </c>
      <c r="F71" s="209">
        <f t="shared" si="15"/>
        <v>30000</v>
      </c>
      <c r="G71" s="209">
        <f t="shared" si="15"/>
        <v>30000</v>
      </c>
      <c r="H71" s="184"/>
      <c r="I71" s="80"/>
      <c r="J71" s="80"/>
      <c r="K71" s="80"/>
      <c r="L71" s="80"/>
      <c r="M71" s="80"/>
    </row>
    <row r="72" spans="1:13" ht="18" customHeight="1">
      <c r="A72" s="208" t="s">
        <v>146</v>
      </c>
      <c r="B72" s="215"/>
      <c r="C72" s="209">
        <f t="shared" ref="C72:G72" si="16">B72</f>
        <v>0</v>
      </c>
      <c r="D72" s="209">
        <f t="shared" si="16"/>
        <v>0</v>
      </c>
      <c r="E72" s="209">
        <f t="shared" si="16"/>
        <v>0</v>
      </c>
      <c r="F72" s="209">
        <f t="shared" si="16"/>
        <v>0</v>
      </c>
      <c r="G72" s="209">
        <f t="shared" si="16"/>
        <v>0</v>
      </c>
      <c r="H72" s="184"/>
      <c r="I72" s="80"/>
      <c r="J72" s="80"/>
      <c r="K72" s="80"/>
      <c r="L72" s="80"/>
      <c r="M72" s="80"/>
    </row>
    <row r="73" spans="1:13" ht="18" customHeight="1">
      <c r="A73" s="208" t="s">
        <v>147</v>
      </c>
      <c r="B73" s="215">
        <v>0</v>
      </c>
      <c r="C73" s="209"/>
      <c r="D73" s="209"/>
      <c r="E73" s="209"/>
      <c r="F73" s="209"/>
      <c r="G73" s="209"/>
      <c r="H73" s="184"/>
      <c r="I73" s="80"/>
      <c r="J73" s="80"/>
      <c r="K73" s="80"/>
      <c r="L73" s="80"/>
      <c r="M73" s="80"/>
    </row>
    <row r="74" spans="1:13" ht="18" customHeight="1">
      <c r="A74" s="208" t="s">
        <v>148</v>
      </c>
      <c r="B74" s="215">
        <v>0</v>
      </c>
      <c r="C74" s="209">
        <f>'Profit and Loss'!B75+'Cash Flow'!B31</f>
        <v>33542.101264117242</v>
      </c>
      <c r="D74" s="209">
        <f>C74+'Profit and Loss'!C75+'Cash Flow'!C31</f>
        <v>72053.886199739078</v>
      </c>
      <c r="E74" s="209">
        <f>D74+'Profit and Loss'!D75+'Cash Flow'!D31</f>
        <v>78838.000291587421</v>
      </c>
      <c r="F74" s="209">
        <f>E74+'Profit and Loss'!E75+'Cash Flow'!E31</f>
        <v>88428.52545035824</v>
      </c>
      <c r="G74" s="209">
        <f>F74+'Profit and Loss'!F75+'Cash Flow'!F31</f>
        <v>102148.60498309869</v>
      </c>
      <c r="H74" s="184"/>
      <c r="I74" s="80"/>
      <c r="J74" s="80"/>
      <c r="K74" s="80"/>
      <c r="L74" s="80"/>
      <c r="M74" s="80"/>
    </row>
    <row r="75" spans="1:13" ht="7" customHeight="1" thickBot="1">
      <c r="A75" s="184"/>
      <c r="B75" s="213"/>
      <c r="C75" s="213"/>
      <c r="D75" s="213"/>
      <c r="E75" s="213"/>
      <c r="F75" s="213"/>
      <c r="G75" s="213"/>
      <c r="H75" s="184"/>
      <c r="I75" s="80"/>
      <c r="J75" s="80"/>
      <c r="K75" s="80"/>
      <c r="L75" s="80"/>
      <c r="M75" s="80"/>
    </row>
    <row r="76" spans="1:13" ht="20" customHeight="1" thickTop="1">
      <c r="A76" s="38" t="s">
        <v>149</v>
      </c>
      <c r="B76" s="216">
        <f t="shared" ref="B76:G76" si="17">SUM(B71:B74)</f>
        <v>30000</v>
      </c>
      <c r="C76" s="216">
        <f>SUM(C71:C74)</f>
        <v>63542.101264117242</v>
      </c>
      <c r="D76" s="216">
        <f t="shared" si="17"/>
        <v>102053.88619973908</v>
      </c>
      <c r="E76" s="216">
        <f t="shared" si="17"/>
        <v>108838.00029158742</v>
      </c>
      <c r="F76" s="216">
        <f t="shared" si="17"/>
        <v>118428.52545035824</v>
      </c>
      <c r="G76" s="216">
        <f t="shared" si="17"/>
        <v>132148.60498309869</v>
      </c>
      <c r="H76" s="217"/>
      <c r="I76" s="80"/>
      <c r="J76" s="80"/>
      <c r="K76" s="80"/>
      <c r="L76" s="80"/>
      <c r="M76" s="80"/>
    </row>
    <row r="77" spans="1:13" ht="18" customHeight="1" thickBot="1">
      <c r="A77" s="80"/>
      <c r="B77" s="211"/>
      <c r="C77" s="211"/>
      <c r="D77" s="211"/>
      <c r="E77" s="211"/>
      <c r="F77" s="211"/>
      <c r="G77" s="211"/>
      <c r="H77" s="80"/>
      <c r="I77" s="80"/>
      <c r="J77" s="80"/>
      <c r="K77" s="80"/>
      <c r="L77" s="80"/>
      <c r="M77" s="80"/>
    </row>
    <row r="78" spans="1:13" ht="20" customHeight="1" thickTop="1" thickBot="1">
      <c r="A78" s="53" t="s">
        <v>150</v>
      </c>
      <c r="B78" s="225">
        <f>B76+B66</f>
        <v>56300</v>
      </c>
      <c r="C78" s="225">
        <f>C76+C66</f>
        <v>85362.916331289453</v>
      </c>
      <c r="D78" s="225">
        <f t="shared" ref="D78:G78" si="18">D76+D66</f>
        <v>118950.53956380711</v>
      </c>
      <c r="E78" s="225">
        <f t="shared" si="18"/>
        <v>120527.25988813532</v>
      </c>
      <c r="F78" s="225">
        <f t="shared" si="18"/>
        <v>124596.38099751156</v>
      </c>
      <c r="G78" s="225">
        <f t="shared" si="18"/>
        <v>132462.2369830987</v>
      </c>
      <c r="H78" s="226"/>
      <c r="I78" s="80"/>
      <c r="J78" s="80"/>
      <c r="K78" s="80"/>
      <c r="L78" s="80"/>
      <c r="M78" s="80"/>
    </row>
    <row r="79" spans="1:13" ht="18" customHeight="1" thickTop="1">
      <c r="A79" s="80" t="s">
        <v>24</v>
      </c>
      <c r="B79" s="227">
        <f>B38-B78</f>
        <v>0</v>
      </c>
      <c r="C79" s="227">
        <f>C38-C78</f>
        <v>0</v>
      </c>
      <c r="D79" s="227">
        <f t="shared" ref="D79:G79" si="19">D38-D78</f>
        <v>0</v>
      </c>
      <c r="E79" s="227">
        <f t="shared" si="19"/>
        <v>0</v>
      </c>
      <c r="F79" s="227">
        <f t="shared" si="19"/>
        <v>0</v>
      </c>
      <c r="G79" s="227">
        <f t="shared" si="19"/>
        <v>0</v>
      </c>
      <c r="H79" s="227"/>
      <c r="I79" s="80"/>
      <c r="J79" s="80"/>
      <c r="K79" s="80"/>
      <c r="L79" s="80"/>
      <c r="M79" s="80"/>
    </row>
  </sheetData>
  <mergeCells count="1">
    <mergeCell ref="A3:B3"/>
  </mergeCells>
  <phoneticPr fontId="7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</sheetPr>
  <dimension ref="A1:I41"/>
  <sheetViews>
    <sheetView showGridLines="0" topLeftCell="A29" zoomScale="140" workbookViewId="0">
      <selection activeCell="C43" sqref="C43"/>
    </sheetView>
  </sheetViews>
  <sheetFormatPr baseColWidth="10" defaultColWidth="9.1640625" defaultRowHeight="18" customHeight="1"/>
  <cols>
    <col min="1" max="1" width="37" style="8" customWidth="1"/>
    <col min="2" max="7" width="11.6640625" style="8" customWidth="1"/>
    <col min="8" max="8" width="4.6640625" style="8" customWidth="1"/>
    <col min="9" max="16384" width="9.1640625" style="8"/>
  </cols>
  <sheetData>
    <row r="1" spans="1:9" ht="35" customHeight="1" thickBot="1">
      <c r="A1" s="61" t="s">
        <v>151</v>
      </c>
      <c r="B1" s="61"/>
      <c r="C1" s="61"/>
      <c r="D1" s="61"/>
      <c r="E1" s="61"/>
      <c r="F1" s="61"/>
      <c r="G1" s="61"/>
      <c r="H1" s="61"/>
      <c r="I1" s="80"/>
    </row>
    <row r="2" spans="1:9" ht="18" customHeight="1" thickTop="1">
      <c r="A2" s="33"/>
      <c r="B2" s="33"/>
      <c r="C2" s="33"/>
      <c r="D2" s="33"/>
      <c r="E2" s="33"/>
      <c r="F2" s="33"/>
      <c r="G2" s="33"/>
      <c r="H2" s="33"/>
      <c r="I2" s="80"/>
    </row>
    <row r="3" spans="1:9" ht="18" customHeight="1">
      <c r="A3" s="239" t="s">
        <v>1</v>
      </c>
      <c r="B3" s="240"/>
      <c r="C3" s="80"/>
      <c r="D3" s="80"/>
      <c r="E3" s="80"/>
      <c r="F3" s="80"/>
      <c r="G3" s="80"/>
      <c r="H3" s="80"/>
      <c r="I3" s="80"/>
    </row>
    <row r="5" spans="1:9" ht="18" customHeight="1">
      <c r="A5" s="41" t="s">
        <v>152</v>
      </c>
      <c r="B5" s="228" t="s">
        <v>57</v>
      </c>
      <c r="C5" s="228" t="s">
        <v>58</v>
      </c>
      <c r="D5" s="228" t="s">
        <v>59</v>
      </c>
      <c r="E5" s="228" t="s">
        <v>60</v>
      </c>
      <c r="F5" s="228" t="s">
        <v>61</v>
      </c>
      <c r="G5" s="229" t="s">
        <v>153</v>
      </c>
      <c r="H5" s="206"/>
      <c r="I5" s="80"/>
    </row>
    <row r="6" spans="1:9" ht="7" customHeight="1">
      <c r="A6" s="184"/>
      <c r="B6" s="230"/>
      <c r="C6" s="230"/>
      <c r="D6" s="230"/>
      <c r="E6" s="230"/>
      <c r="F6" s="230"/>
      <c r="G6" s="230"/>
      <c r="H6" s="184"/>
      <c r="I6" s="80"/>
    </row>
    <row r="7" spans="1:9" ht="18" customHeight="1">
      <c r="A7" s="208" t="s">
        <v>154</v>
      </c>
      <c r="B7" s="209">
        <f>'Profit and Loss'!B75</f>
        <v>33542.101264117242</v>
      </c>
      <c r="C7" s="209">
        <f>'Profit and Loss'!C75</f>
        <v>48139.731169527295</v>
      </c>
      <c r="D7" s="209">
        <f>'Profit and Loss'!D75</f>
        <v>67841.140918483419</v>
      </c>
      <c r="E7" s="209">
        <f>'Profit and Loss'!E75</f>
        <v>95905.251587708015</v>
      </c>
      <c r="F7" s="209">
        <f>'Profit and Loss'!F75</f>
        <v>137200.79532740463</v>
      </c>
      <c r="G7" s="209">
        <f t="shared" ref="G7:G12" si="0">SUM(B7:F7)</f>
        <v>382629.02026724059</v>
      </c>
      <c r="H7" s="184"/>
      <c r="I7" s="80"/>
    </row>
    <row r="8" spans="1:9" ht="18" customHeight="1">
      <c r="A8" s="208" t="s">
        <v>80</v>
      </c>
      <c r="B8" s="209">
        <f>'Profit and Loss'!B49</f>
        <v>7824</v>
      </c>
      <c r="C8" s="209">
        <f>'Profit and Loss'!C49</f>
        <v>8224</v>
      </c>
      <c r="D8" s="209">
        <f>'Profit and Loss'!D49</f>
        <v>8624</v>
      </c>
      <c r="E8" s="209">
        <f>'Profit and Loss'!E49</f>
        <v>9024</v>
      </c>
      <c r="F8" s="209">
        <f>'Profit and Loss'!F49</f>
        <v>9424</v>
      </c>
      <c r="G8" s="209">
        <f t="shared" si="0"/>
        <v>43120</v>
      </c>
      <c r="H8" s="184"/>
      <c r="I8" s="80"/>
    </row>
    <row r="9" spans="1:9" ht="18" customHeight="1">
      <c r="A9" s="208" t="s">
        <v>106</v>
      </c>
      <c r="B9" s="209">
        <f>'Balance Sheet'!B10-'Balance Sheet'!C10</f>
        <v>0</v>
      </c>
      <c r="C9" s="209">
        <f>'Balance Sheet'!C10-'Balance Sheet'!D10</f>
        <v>0</v>
      </c>
      <c r="D9" s="209">
        <f>'Balance Sheet'!D10-'Balance Sheet'!E10</f>
        <v>0</v>
      </c>
      <c r="E9" s="209">
        <f>'Balance Sheet'!E10-'Balance Sheet'!F10</f>
        <v>0</v>
      </c>
      <c r="F9" s="209">
        <f>'Balance Sheet'!F10-'Balance Sheet'!G10</f>
        <v>0</v>
      </c>
      <c r="G9" s="209">
        <f t="shared" si="0"/>
        <v>0</v>
      </c>
      <c r="H9" s="184"/>
      <c r="I9" s="80"/>
    </row>
    <row r="10" spans="1:9" ht="18" customHeight="1">
      <c r="A10" s="208" t="s">
        <v>155</v>
      </c>
      <c r="B10" s="209">
        <f>'Balance Sheet'!B11-'Balance Sheet'!C11</f>
        <v>0</v>
      </c>
      <c r="C10" s="209">
        <f>'Balance Sheet'!C11-'Balance Sheet'!D11</f>
        <v>-20.610000000000014</v>
      </c>
      <c r="D10" s="209">
        <f>'Balance Sheet'!D11-'Balance Sheet'!E11</f>
        <v>-20.61</v>
      </c>
      <c r="E10" s="209">
        <f>'Balance Sheet'!E11-'Balance Sheet'!F11</f>
        <v>-20.609999999999985</v>
      </c>
      <c r="F10" s="209">
        <f>'Balance Sheet'!F11-'Balance Sheet'!G11</f>
        <v>-20.609999999999985</v>
      </c>
      <c r="G10" s="209">
        <f t="shared" si="0"/>
        <v>-82.439999999999984</v>
      </c>
      <c r="H10" s="184"/>
      <c r="I10" s="80" t="s">
        <v>156</v>
      </c>
    </row>
    <row r="11" spans="1:9" ht="18" customHeight="1">
      <c r="A11" s="208" t="s">
        <v>130</v>
      </c>
      <c r="B11" s="209">
        <f>-'Balance Sheet'!B44+'Balance Sheet'!C44</f>
        <v>187.27200000000002</v>
      </c>
      <c r="C11" s="209">
        <f>-'Balance Sheet'!C44+'Balance Sheet'!D44</f>
        <v>21.815999999999974</v>
      </c>
      <c r="D11" s="209">
        <f>-'Balance Sheet'!D44+'Balance Sheet'!E44</f>
        <v>34.847999999999985</v>
      </c>
      <c r="E11" s="209">
        <f>-'Balance Sheet'!E44+'Balance Sheet'!F44</f>
        <v>34.848000000000013</v>
      </c>
      <c r="F11" s="209">
        <f>-'Balance Sheet'!F44+'Balance Sheet'!G44</f>
        <v>34.848000000000013</v>
      </c>
      <c r="G11" s="209">
        <f t="shared" si="0"/>
        <v>313.63200000000001</v>
      </c>
      <c r="H11" s="184"/>
      <c r="I11" s="80" t="s">
        <v>157</v>
      </c>
    </row>
    <row r="12" spans="1:9" ht="18" customHeight="1">
      <c r="A12" s="208" t="s">
        <v>158</v>
      </c>
      <c r="B12" s="215">
        <v>0</v>
      </c>
      <c r="C12" s="209">
        <f t="shared" ref="C12:F14" si="1">B12</f>
        <v>0</v>
      </c>
      <c r="D12" s="209">
        <f t="shared" si="1"/>
        <v>0</v>
      </c>
      <c r="E12" s="209">
        <f t="shared" si="1"/>
        <v>0</v>
      </c>
      <c r="F12" s="209">
        <f t="shared" si="1"/>
        <v>0</v>
      </c>
      <c r="G12" s="209">
        <f t="shared" si="0"/>
        <v>0</v>
      </c>
      <c r="H12" s="184"/>
      <c r="I12" s="80"/>
    </row>
    <row r="13" spans="1:9" ht="18" customHeight="1">
      <c r="A13" s="208" t="s">
        <v>159</v>
      </c>
      <c r="B13" s="215">
        <v>0</v>
      </c>
      <c r="C13" s="209">
        <f t="shared" si="1"/>
        <v>0</v>
      </c>
      <c r="D13" s="209">
        <f t="shared" si="1"/>
        <v>0</v>
      </c>
      <c r="E13" s="209">
        <f t="shared" si="1"/>
        <v>0</v>
      </c>
      <c r="F13" s="209">
        <f t="shared" si="1"/>
        <v>0</v>
      </c>
      <c r="G13" s="209">
        <f>SUM(B13:F13)</f>
        <v>0</v>
      </c>
      <c r="H13" s="184"/>
      <c r="I13" s="80"/>
    </row>
    <row r="14" spans="1:9" ht="18" customHeight="1">
      <c r="A14" s="208" t="s">
        <v>160</v>
      </c>
      <c r="B14" s="215">
        <v>0</v>
      </c>
      <c r="C14" s="209">
        <f t="shared" si="1"/>
        <v>0</v>
      </c>
      <c r="D14" s="209">
        <f t="shared" si="1"/>
        <v>0</v>
      </c>
      <c r="E14" s="209">
        <f t="shared" si="1"/>
        <v>0</v>
      </c>
      <c r="F14" s="209">
        <f t="shared" si="1"/>
        <v>0</v>
      </c>
      <c r="G14" s="209">
        <f>SUM(B14:F14)</f>
        <v>0</v>
      </c>
      <c r="H14" s="184"/>
      <c r="I14" s="80"/>
    </row>
    <row r="15" spans="1:9" ht="7" customHeight="1">
      <c r="A15" s="184"/>
      <c r="B15" s="209"/>
      <c r="C15" s="209"/>
      <c r="D15" s="209"/>
      <c r="E15" s="209"/>
      <c r="F15" s="209"/>
      <c r="G15" s="209"/>
      <c r="H15" s="184"/>
      <c r="I15" s="80"/>
    </row>
    <row r="16" spans="1:9" ht="18" customHeight="1">
      <c r="A16" s="41" t="s">
        <v>161</v>
      </c>
      <c r="B16" s="210">
        <f>SUM(B7:B14)</f>
        <v>41553.373264117239</v>
      </c>
      <c r="C16" s="210">
        <f>SUM(C7:C14)</f>
        <v>56364.937169527293</v>
      </c>
      <c r="D16" s="210">
        <f>SUM(D7:D14)</f>
        <v>76479.378918483417</v>
      </c>
      <c r="E16" s="210">
        <f>SUM(E7:E14)</f>
        <v>104943.48958770801</v>
      </c>
      <c r="F16" s="210">
        <f>SUM(F7:F14)</f>
        <v>146639.03332740464</v>
      </c>
      <c r="G16" s="210">
        <f>SUM(B16:F16)</f>
        <v>425980.21226724063</v>
      </c>
      <c r="H16" s="206"/>
      <c r="I16" s="80"/>
    </row>
    <row r="17" spans="1:8" ht="18" customHeight="1">
      <c r="A17" s="80"/>
      <c r="B17" s="231"/>
      <c r="C17" s="231"/>
      <c r="D17" s="231"/>
      <c r="E17" s="231"/>
      <c r="F17" s="231"/>
      <c r="G17" s="231"/>
      <c r="H17" s="80"/>
    </row>
    <row r="18" spans="1:8" ht="18" customHeight="1">
      <c r="A18" s="41" t="s">
        <v>162</v>
      </c>
      <c r="B18" s="228" t="s">
        <v>57</v>
      </c>
      <c r="C18" s="228" t="s">
        <v>58</v>
      </c>
      <c r="D18" s="228" t="s">
        <v>59</v>
      </c>
      <c r="E18" s="228" t="s">
        <v>60</v>
      </c>
      <c r="F18" s="228" t="s">
        <v>61</v>
      </c>
      <c r="G18" s="229" t="s">
        <v>153</v>
      </c>
      <c r="H18" s="206"/>
    </row>
    <row r="19" spans="1:8" ht="7" customHeight="1">
      <c r="A19" s="184"/>
      <c r="B19" s="209"/>
      <c r="C19" s="209"/>
      <c r="D19" s="209"/>
      <c r="E19" s="209"/>
      <c r="F19" s="209"/>
      <c r="G19" s="209"/>
      <c r="H19" s="184"/>
    </row>
    <row r="20" spans="1:8" ht="18" customHeight="1">
      <c r="A20" s="208" t="s">
        <v>163</v>
      </c>
      <c r="B20" s="209">
        <f>-1*MAX(0,SUM('Balance Sheet'!C20:C23)-SUM('Balance Sheet'!B20:B23))</f>
        <v>-2000</v>
      </c>
      <c r="C20" s="209">
        <f>-1 * MAX(0,SUM('Balance Sheet'!D20:D23)-SUM('Balance Sheet'!C20:C23))</f>
        <v>-2000</v>
      </c>
      <c r="D20" s="209">
        <f>-1 * MAX(0,SUM('Balance Sheet'!E20:E23)-SUM('Balance Sheet'!D20:D23))</f>
        <v>-2000</v>
      </c>
      <c r="E20" s="209">
        <f>-1 * MAX(0,SUM('Balance Sheet'!F20:F23)-SUM('Balance Sheet'!E20:E23))</f>
        <v>-2000</v>
      </c>
      <c r="F20" s="209">
        <f>-1 * MAX(0,SUM('Balance Sheet'!G20:G23)-SUM('Balance Sheet'!F20:F23))</f>
        <v>-2000</v>
      </c>
      <c r="G20" s="209">
        <f>SUM(B20:F20)</f>
        <v>-10000</v>
      </c>
      <c r="H20" s="184"/>
    </row>
    <row r="21" spans="1:8" ht="18" customHeight="1">
      <c r="A21" s="208" t="s">
        <v>164</v>
      </c>
      <c r="B21" s="215">
        <v>0</v>
      </c>
      <c r="C21" s="215">
        <v>0</v>
      </c>
      <c r="D21" s="215"/>
      <c r="E21" s="215">
        <v>0</v>
      </c>
      <c r="F21" s="215">
        <v>0</v>
      </c>
      <c r="G21" s="209">
        <f>SUM(B21:F21)</f>
        <v>0</v>
      </c>
      <c r="H21" s="184"/>
    </row>
    <row r="22" spans="1:8" ht="18" customHeight="1">
      <c r="A22" s="208" t="s">
        <v>165</v>
      </c>
      <c r="B22" s="209"/>
      <c r="C22" s="209">
        <f>(-1*MIN(0,SUM('Balance Sheet'!D20:D23)-SUM('Balance Sheet'!C20:C23))-'Profit and Loss'!C37)</f>
        <v>0</v>
      </c>
      <c r="D22" s="209">
        <f>(-1*MIN(0,SUM('Balance Sheet'!E20:E23)-SUM('Balance Sheet'!D20:D23))-'Profit and Loss'!D37)</f>
        <v>0</v>
      </c>
      <c r="E22" s="209">
        <f>(-1*MIN(0,SUM('Balance Sheet'!F20:F23)-SUM('Balance Sheet'!E20:E23))-'Profit and Loss'!E37)</f>
        <v>0</v>
      </c>
      <c r="F22" s="209">
        <f>(-1*MIN(0,SUM('Balance Sheet'!G20:G23)-SUM('Balance Sheet'!F20:F23))-'Profit and Loss'!F37)</f>
        <v>0</v>
      </c>
      <c r="G22" s="209">
        <f>SUM(B22:F22)</f>
        <v>0</v>
      </c>
      <c r="H22" s="184"/>
    </row>
    <row r="23" spans="1:8" ht="18" customHeight="1">
      <c r="A23" s="208" t="s">
        <v>166</v>
      </c>
      <c r="B23" s="215">
        <v>0</v>
      </c>
      <c r="C23" s="215">
        <v>0</v>
      </c>
      <c r="D23" s="215">
        <v>0</v>
      </c>
      <c r="E23" s="215">
        <v>0</v>
      </c>
      <c r="F23" s="215">
        <v>0</v>
      </c>
      <c r="G23" s="209">
        <f>SUM(B23:F23)</f>
        <v>0</v>
      </c>
      <c r="H23" s="184"/>
    </row>
    <row r="24" spans="1:8" ht="7" customHeight="1">
      <c r="A24" s="184"/>
      <c r="B24" s="209"/>
      <c r="C24" s="209"/>
      <c r="D24" s="209"/>
      <c r="E24" s="209"/>
      <c r="F24" s="209"/>
      <c r="G24" s="209"/>
      <c r="H24" s="184"/>
    </row>
    <row r="25" spans="1:8" ht="18" customHeight="1">
      <c r="A25" s="41" t="s">
        <v>167</v>
      </c>
      <c r="B25" s="210">
        <f>SUM(B20:B23)</f>
        <v>-2000</v>
      </c>
      <c r="C25" s="210">
        <f>SUM(C20:C23)</f>
        <v>-2000</v>
      </c>
      <c r="D25" s="210">
        <f>SUM(D20:D23)</f>
        <v>-2000</v>
      </c>
      <c r="E25" s="210">
        <f>SUM(E20:E23)</f>
        <v>-2000</v>
      </c>
      <c r="F25" s="210">
        <f>SUM(F20:F23)</f>
        <v>-2000</v>
      </c>
      <c r="G25" s="210">
        <f>SUM(B25:F25)</f>
        <v>-10000</v>
      </c>
      <c r="H25" s="206"/>
    </row>
    <row r="26" spans="1:8" ht="18" customHeight="1">
      <c r="A26" s="80"/>
      <c r="B26" s="231"/>
      <c r="C26" s="231"/>
      <c r="D26" s="231"/>
      <c r="E26" s="231"/>
      <c r="F26" s="231"/>
      <c r="G26" s="231"/>
      <c r="H26" s="80"/>
    </row>
    <row r="27" spans="1:8" ht="18" customHeight="1">
      <c r="A27" s="41" t="s">
        <v>168</v>
      </c>
      <c r="B27" s="228" t="s">
        <v>57</v>
      </c>
      <c r="C27" s="228" t="s">
        <v>58</v>
      </c>
      <c r="D27" s="228" t="s">
        <v>59</v>
      </c>
      <c r="E27" s="228" t="s">
        <v>60</v>
      </c>
      <c r="F27" s="228" t="s">
        <v>61</v>
      </c>
      <c r="G27" s="229" t="s">
        <v>153</v>
      </c>
      <c r="H27" s="206"/>
    </row>
    <row r="28" spans="1:8" ht="7" customHeight="1">
      <c r="A28" s="184"/>
      <c r="B28" s="209"/>
      <c r="C28" s="209"/>
      <c r="D28" s="209"/>
      <c r="E28" s="209"/>
      <c r="F28" s="209"/>
      <c r="G28" s="209"/>
      <c r="H28" s="184"/>
    </row>
    <row r="29" spans="1:8" ht="18" customHeight="1">
      <c r="A29" s="208" t="s">
        <v>169</v>
      </c>
      <c r="B29" s="209">
        <f>SUM('Balance Sheet'!C54:C55)-SUM('Balance Sheet'!B54:B55)</f>
        <v>-4666.4569328277903</v>
      </c>
      <c r="C29" s="209">
        <f>SUM('Balance Sheet'!D54:D55)-SUM('Balance Sheet'!C54:C55)</f>
        <v>-4945.9777031041813</v>
      </c>
      <c r="D29" s="209">
        <f>SUM('Balance Sheet'!E54:E55)-SUM('Balance Sheet'!D54:D55)</f>
        <v>-5242.241767520125</v>
      </c>
      <c r="E29" s="209">
        <f>SUM('Balance Sheet'!F54:F55)-SUM('Balance Sheet'!E54:E55)</f>
        <v>-5556.2520493945849</v>
      </c>
      <c r="F29" s="209">
        <f>SUM('Balance Sheet'!G54:G55)-SUM('Balance Sheet'!F54:F55)</f>
        <v>-5889.0715471533185</v>
      </c>
      <c r="G29" s="209">
        <f>SUM(B29:F29)</f>
        <v>-26300</v>
      </c>
      <c r="H29" s="184"/>
    </row>
    <row r="30" spans="1:8" ht="18" customHeight="1">
      <c r="A30" s="208" t="s">
        <v>170</v>
      </c>
      <c r="B30" s="215">
        <v>0</v>
      </c>
      <c r="C30" s="209">
        <f t="shared" ref="C30:F33" si="2">B30</f>
        <v>0</v>
      </c>
      <c r="D30" s="209">
        <f t="shared" si="2"/>
        <v>0</v>
      </c>
      <c r="E30" s="209">
        <f t="shared" si="2"/>
        <v>0</v>
      </c>
      <c r="F30" s="209">
        <f t="shared" si="2"/>
        <v>0</v>
      </c>
      <c r="G30" s="209">
        <f t="shared" ref="G30:G35" si="3">SUM(B30:F30)</f>
        <v>0</v>
      </c>
      <c r="H30" s="184"/>
    </row>
    <row r="31" spans="1:8" ht="18" customHeight="1">
      <c r="A31" s="208" t="s">
        <v>171</v>
      </c>
      <c r="B31" s="215"/>
      <c r="C31" s="209">
        <f>-20%*C7</f>
        <v>-9627.9462339054589</v>
      </c>
      <c r="D31" s="209">
        <f>-90%*D7</f>
        <v>-61057.026826635076</v>
      </c>
      <c r="E31" s="209">
        <f>-90%*E7</f>
        <v>-86314.726428937211</v>
      </c>
      <c r="F31" s="209">
        <f>-90%*F7</f>
        <v>-123480.71579466417</v>
      </c>
      <c r="G31" s="209">
        <f>SUM(B31:F31)</f>
        <v>-280480.4152841419</v>
      </c>
      <c r="H31" s="184"/>
    </row>
    <row r="32" spans="1:8" ht="18" customHeight="1">
      <c r="A32" s="208" t="s">
        <v>172</v>
      </c>
      <c r="B32" s="215">
        <v>0</v>
      </c>
      <c r="C32" s="209">
        <f t="shared" si="2"/>
        <v>0</v>
      </c>
      <c r="D32" s="209">
        <f t="shared" si="2"/>
        <v>0</v>
      </c>
      <c r="E32" s="209">
        <f t="shared" si="2"/>
        <v>0</v>
      </c>
      <c r="F32" s="209">
        <f t="shared" si="2"/>
        <v>0</v>
      </c>
      <c r="G32" s="209">
        <f t="shared" si="3"/>
        <v>0</v>
      </c>
      <c r="H32" s="184"/>
    </row>
    <row r="33" spans="1:8" ht="18" customHeight="1">
      <c r="A33" s="208" t="s">
        <v>173</v>
      </c>
      <c r="B33" s="215">
        <v>0</v>
      </c>
      <c r="C33" s="209">
        <f t="shared" si="2"/>
        <v>0</v>
      </c>
      <c r="D33" s="209">
        <f t="shared" si="2"/>
        <v>0</v>
      </c>
      <c r="E33" s="209">
        <f t="shared" si="2"/>
        <v>0</v>
      </c>
      <c r="F33" s="209">
        <f t="shared" si="2"/>
        <v>0</v>
      </c>
      <c r="G33" s="209">
        <f t="shared" si="3"/>
        <v>0</v>
      </c>
      <c r="H33" s="184"/>
    </row>
    <row r="34" spans="1:8" ht="7" customHeight="1">
      <c r="A34" s="184"/>
      <c r="B34" s="209"/>
      <c r="C34" s="209"/>
      <c r="D34" s="209"/>
      <c r="E34" s="209"/>
      <c r="F34" s="209"/>
      <c r="G34" s="209"/>
      <c r="H34" s="184"/>
    </row>
    <row r="35" spans="1:8" ht="18" customHeight="1">
      <c r="A35" s="41" t="s">
        <v>174</v>
      </c>
      <c r="B35" s="210">
        <f>SUM(B29:B33)</f>
        <v>-4666.4569328277903</v>
      </c>
      <c r="C35" s="210">
        <f>SUM(C29:C33)</f>
        <v>-14573.92393700964</v>
      </c>
      <c r="D35" s="210">
        <f>SUM(D29:D33)</f>
        <v>-66299.268594155204</v>
      </c>
      <c r="E35" s="210">
        <f>SUM(E29:E33)</f>
        <v>-91870.978478331788</v>
      </c>
      <c r="F35" s="210">
        <f>SUM(F29:F33)</f>
        <v>-129369.78734181749</v>
      </c>
      <c r="G35" s="210">
        <f t="shared" si="3"/>
        <v>-306780.4152841419</v>
      </c>
      <c r="H35" s="206"/>
    </row>
    <row r="36" spans="1:8" ht="18" customHeight="1">
      <c r="A36" s="80"/>
      <c r="B36" s="231"/>
      <c r="C36" s="231"/>
      <c r="D36" s="231"/>
      <c r="E36" s="231"/>
      <c r="F36" s="231"/>
      <c r="G36" s="231"/>
      <c r="H36" s="80"/>
    </row>
    <row r="37" spans="1:8" ht="18" customHeight="1">
      <c r="A37" s="41" t="s">
        <v>175</v>
      </c>
      <c r="B37" s="210">
        <f>B35+B25+B16</f>
        <v>34886.916331289453</v>
      </c>
      <c r="C37" s="210">
        <f>C35+C25+C16</f>
        <v>39791.013232517653</v>
      </c>
      <c r="D37" s="210">
        <f>D35+D25+D16</f>
        <v>8180.1103243282123</v>
      </c>
      <c r="E37" s="210">
        <f>E35+E25+E16</f>
        <v>11072.511109376224</v>
      </c>
      <c r="F37" s="210">
        <f>F35+F25+F16</f>
        <v>15269.245985587157</v>
      </c>
      <c r="G37" s="210">
        <f>SUM(B37:F37)</f>
        <v>109199.7969830987</v>
      </c>
      <c r="H37" s="206"/>
    </row>
    <row r="38" spans="1:8" ht="18" customHeight="1">
      <c r="A38" s="80"/>
      <c r="B38" s="231"/>
      <c r="C38" s="231"/>
      <c r="D38" s="231"/>
      <c r="E38" s="231"/>
      <c r="F38" s="231"/>
      <c r="G38" s="231"/>
      <c r="H38" s="80"/>
    </row>
    <row r="39" spans="1:8" ht="18" customHeight="1">
      <c r="A39" s="41" t="s">
        <v>176</v>
      </c>
      <c r="B39" s="210">
        <f>'Balance Sheet'!B9</f>
        <v>8853.260000000002</v>
      </c>
      <c r="C39" s="210">
        <f>B41</f>
        <v>43740.176331289455</v>
      </c>
      <c r="D39" s="210">
        <f>C41</f>
        <v>83531.1895638071</v>
      </c>
      <c r="E39" s="210">
        <f>D41</f>
        <v>91711.299888135312</v>
      </c>
      <c r="F39" s="210">
        <f>E41</f>
        <v>102783.81099751154</v>
      </c>
      <c r="G39" s="210"/>
      <c r="H39" s="206"/>
    </row>
    <row r="40" spans="1:8" ht="18" customHeight="1">
      <c r="A40" s="80"/>
      <c r="B40" s="231"/>
      <c r="C40" s="231"/>
      <c r="D40" s="231"/>
      <c r="E40" s="231"/>
      <c r="F40" s="231"/>
      <c r="G40" s="231"/>
      <c r="H40" s="80"/>
    </row>
    <row r="41" spans="1:8" ht="18" customHeight="1">
      <c r="A41" s="41" t="s">
        <v>177</v>
      </c>
      <c r="B41" s="210">
        <f>B39+B37</f>
        <v>43740.176331289455</v>
      </c>
      <c r="C41" s="210">
        <f>C39+C37</f>
        <v>83531.1895638071</v>
      </c>
      <c r="D41" s="210">
        <f>D39+D37</f>
        <v>91711.299888135312</v>
      </c>
      <c r="E41" s="210">
        <f>E39+E37</f>
        <v>102783.81099751154</v>
      </c>
      <c r="F41" s="210">
        <f>F39+F37</f>
        <v>118053.05698309869</v>
      </c>
      <c r="G41" s="210"/>
      <c r="H41" s="206"/>
    </row>
  </sheetData>
  <mergeCells count="1">
    <mergeCell ref="A3:B3"/>
  </mergeCells>
  <phoneticPr fontId="7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8"/>
  <sheetViews>
    <sheetView showGridLines="0" zoomScale="112" workbookViewId="0">
      <selection activeCell="B8" sqref="B8"/>
    </sheetView>
  </sheetViews>
  <sheetFormatPr baseColWidth="10" defaultColWidth="9.1640625" defaultRowHeight="18" customHeight="1"/>
  <cols>
    <col min="1" max="1" width="11.83203125" style="34" customWidth="1"/>
    <col min="2" max="5" width="21.6640625" style="49" customWidth="1"/>
    <col min="6" max="6" width="3.6640625" style="8" customWidth="1"/>
    <col min="7" max="16384" width="9.1640625" style="8"/>
  </cols>
  <sheetData>
    <row r="1" spans="1:8" ht="35" customHeight="1" thickBot="1">
      <c r="A1" s="58" t="s">
        <v>178</v>
      </c>
      <c r="B1" s="59"/>
      <c r="C1" s="59"/>
      <c r="D1" s="59"/>
      <c r="E1" s="59"/>
      <c r="F1" s="60"/>
      <c r="G1" s="80"/>
      <c r="H1" s="80"/>
    </row>
    <row r="2" spans="1:8" ht="18" customHeight="1" thickTop="1">
      <c r="A2" s="232"/>
      <c r="B2" s="219"/>
      <c r="C2" s="219"/>
      <c r="D2" s="219"/>
      <c r="E2" s="219"/>
      <c r="F2" s="80"/>
      <c r="G2" s="80"/>
      <c r="H2" s="80"/>
    </row>
    <row r="3" spans="1:8" ht="18" customHeight="1">
      <c r="A3" s="239" t="s">
        <v>1</v>
      </c>
      <c r="B3" s="241"/>
      <c r="C3" s="240"/>
      <c r="D3" s="219"/>
      <c r="E3" s="219"/>
      <c r="F3" s="80"/>
      <c r="G3" s="80"/>
      <c r="H3" s="80"/>
    </row>
    <row r="5" spans="1:8" ht="18" customHeight="1">
      <c r="A5" s="105" t="s">
        <v>179</v>
      </c>
      <c r="B5" s="219"/>
      <c r="C5" s="219"/>
      <c r="D5" s="219"/>
      <c r="E5" s="219"/>
      <c r="F5" s="80"/>
      <c r="G5" s="80"/>
      <c r="H5" s="80"/>
    </row>
    <row r="7" spans="1:8" ht="20" customHeight="1">
      <c r="A7" s="54" t="s">
        <v>180</v>
      </c>
      <c r="B7" s="55" t="s">
        <v>181</v>
      </c>
      <c r="C7" s="55" t="s">
        <v>182</v>
      </c>
      <c r="D7" s="55" t="s">
        <v>183</v>
      </c>
      <c r="E7" s="55" t="s">
        <v>184</v>
      </c>
      <c r="F7" s="56"/>
      <c r="G7" s="80"/>
      <c r="H7" s="80"/>
    </row>
    <row r="8" spans="1:8" ht="13">
      <c r="A8" s="76"/>
      <c r="B8" s="77">
        <f>'Model Inputs'!$B$50</f>
        <v>26300</v>
      </c>
      <c r="C8" s="77"/>
      <c r="D8" s="77"/>
      <c r="E8" s="77"/>
      <c r="F8" s="78"/>
      <c r="G8" s="80"/>
      <c r="H8" s="80"/>
    </row>
    <row r="9" spans="1:8" ht="18" customHeight="1">
      <c r="A9" s="232">
        <f>IF(A8&gt;='Model Inputs'!$B$52,"",A8+1)</f>
        <v>1</v>
      </c>
      <c r="B9" s="219">
        <f>IF(A9="","",B8-D8)</f>
        <v>26300</v>
      </c>
      <c r="C9" s="231">
        <f>IF(A9="","",-PMT('Model Inputs'!$B$53,'Model Inputs'!$B$52,'Model Inputs'!$B$50))</f>
        <v>506.39559702103969</v>
      </c>
      <c r="D9" s="231">
        <f>IF(A9="","",C9-E9)</f>
        <v>378.58679356265412</v>
      </c>
      <c r="E9" s="233">
        <f>IF(A9="","",'Model Inputs'!$B$53*B9)</f>
        <v>127.80880345838558</v>
      </c>
      <c r="F9" s="80"/>
      <c r="G9" s="80"/>
      <c r="H9" s="80"/>
    </row>
    <row r="10" spans="1:8" ht="18" customHeight="1">
      <c r="A10" s="232">
        <f>IF(A9&gt;='Model Inputs'!$B$52,"",A9+1)</f>
        <v>2</v>
      </c>
      <c r="B10" s="219">
        <f t="shared" ref="B10:B73" si="0">IF(A10="","",B9-D9)</f>
        <v>25921.413206437344</v>
      </c>
      <c r="C10" s="231">
        <f>IF(A10="","",-PMT('Model Inputs'!$B$53,'Model Inputs'!$B$52,'Model Inputs'!$B$50))</f>
        <v>506.39559702103969</v>
      </c>
      <c r="D10" s="231">
        <f t="shared" ref="D10:D73" si="1">IF(A10="","",C10-E10)</f>
        <v>380.42659299574876</v>
      </c>
      <c r="E10" s="233">
        <f>IF(A10="","",'Model Inputs'!$B$53*B10)</f>
        <v>125.96900402529091</v>
      </c>
      <c r="F10" s="80"/>
      <c r="G10" s="80"/>
      <c r="H10" s="80"/>
    </row>
    <row r="11" spans="1:8" ht="18" customHeight="1">
      <c r="A11" s="232">
        <f>IF(A10&gt;='Model Inputs'!$B$52,"",A10+1)</f>
        <v>3</v>
      </c>
      <c r="B11" s="219">
        <f t="shared" si="0"/>
        <v>25540.986613441597</v>
      </c>
      <c r="C11" s="231">
        <f>IF(A11="","",-PMT('Model Inputs'!$B$53,'Model Inputs'!$B$52,'Model Inputs'!$B$50))</f>
        <v>506.39559702103969</v>
      </c>
      <c r="D11" s="231">
        <f t="shared" si="1"/>
        <v>382.2753332107502</v>
      </c>
      <c r="E11" s="233">
        <f>IF(A11="","",'Model Inputs'!$B$53*B11)</f>
        <v>124.12026381028952</v>
      </c>
      <c r="F11" s="80"/>
      <c r="G11" s="80"/>
      <c r="H11" s="234"/>
    </row>
    <row r="12" spans="1:8" ht="18" customHeight="1">
      <c r="A12" s="232">
        <f>IF(A11&gt;='Model Inputs'!$B$52,"",A11+1)</f>
        <v>4</v>
      </c>
      <c r="B12" s="219">
        <f t="shared" si="0"/>
        <v>25158.711280230847</v>
      </c>
      <c r="C12" s="231">
        <f>IF(A12="","",-PMT('Model Inputs'!$B$53,'Model Inputs'!$B$52,'Model Inputs'!$B$50))</f>
        <v>506.39559702103969</v>
      </c>
      <c r="D12" s="231">
        <f t="shared" si="1"/>
        <v>384.13305765673198</v>
      </c>
      <c r="E12" s="233">
        <f>IF(A12="","",'Model Inputs'!$B$53*B12)</f>
        <v>122.26253936430771</v>
      </c>
      <c r="F12" s="80"/>
      <c r="G12" s="80"/>
      <c r="H12" s="80"/>
    </row>
    <row r="13" spans="1:8" ht="18" customHeight="1">
      <c r="A13" s="232">
        <f>IF(A12&gt;='Model Inputs'!$B$52,"",A12+1)</f>
        <v>5</v>
      </c>
      <c r="B13" s="219">
        <f t="shared" si="0"/>
        <v>24774.578222574117</v>
      </c>
      <c r="C13" s="231">
        <f>IF(A13="","",-PMT('Model Inputs'!$B$53,'Model Inputs'!$B$52,'Model Inputs'!$B$50))</f>
        <v>506.39559702103969</v>
      </c>
      <c r="D13" s="231">
        <f t="shared" si="1"/>
        <v>385.99980999391516</v>
      </c>
      <c r="E13" s="233">
        <f>IF(A13="","",'Model Inputs'!$B$53*B13)</f>
        <v>120.39578702712453</v>
      </c>
      <c r="F13" s="80"/>
      <c r="G13" s="80"/>
      <c r="H13" s="80"/>
    </row>
    <row r="14" spans="1:8" ht="18" customHeight="1">
      <c r="A14" s="232">
        <f>IF(A13&gt;='Model Inputs'!$B$52,"",A13+1)</f>
        <v>6</v>
      </c>
      <c r="B14" s="219">
        <f t="shared" si="0"/>
        <v>24388.578412580202</v>
      </c>
      <c r="C14" s="231">
        <f>IF(A14="","",-PMT('Model Inputs'!$B$53,'Model Inputs'!$B$52,'Model Inputs'!$B$50))</f>
        <v>506.39559702103969</v>
      </c>
      <c r="D14" s="231">
        <f t="shared" si="1"/>
        <v>387.87563409469414</v>
      </c>
      <c r="E14" s="233">
        <f>IF(A14="","",'Model Inputs'!$B$53*B14)</f>
        <v>118.51996292634557</v>
      </c>
      <c r="F14" s="80"/>
      <c r="G14" s="80"/>
      <c r="H14" s="80"/>
    </row>
    <row r="15" spans="1:8" ht="18" customHeight="1">
      <c r="A15" s="232">
        <f>IF(A14&gt;='Model Inputs'!$B$52,"",A14+1)</f>
        <v>7</v>
      </c>
      <c r="B15" s="219">
        <f t="shared" si="0"/>
        <v>24000.702778485509</v>
      </c>
      <c r="C15" s="231">
        <f>IF(A15="","",-PMT('Model Inputs'!$B$53,'Model Inputs'!$B$52,'Model Inputs'!$B$50))</f>
        <v>506.39559702103969</v>
      </c>
      <c r="D15" s="231">
        <f t="shared" si="1"/>
        <v>389.76057404466769</v>
      </c>
      <c r="E15" s="233">
        <f>IF(A15="","",'Model Inputs'!$B$53*B15)</f>
        <v>116.63502297637199</v>
      </c>
      <c r="F15" s="80"/>
      <c r="G15" s="80"/>
      <c r="H15" s="80"/>
    </row>
    <row r="16" spans="1:8" ht="18" customHeight="1">
      <c r="A16" s="232">
        <f>IF(A15&gt;='Model Inputs'!$B$52,"",A15+1)</f>
        <v>8</v>
      </c>
      <c r="B16" s="219">
        <f t="shared" si="0"/>
        <v>23610.942204440842</v>
      </c>
      <c r="C16" s="231">
        <f>IF(A16="","",-PMT('Model Inputs'!$B$53,'Model Inputs'!$B$52,'Model Inputs'!$B$50))</f>
        <v>506.39559702103969</v>
      </c>
      <c r="D16" s="231">
        <f t="shared" si="1"/>
        <v>391.65467414367538</v>
      </c>
      <c r="E16" s="233">
        <f>IF(A16="","",'Model Inputs'!$B$53*B16)</f>
        <v>114.7409228773643</v>
      </c>
      <c r="F16" s="80"/>
      <c r="G16" s="80"/>
      <c r="H16" s="80"/>
    </row>
    <row r="17" spans="1:5" ht="18" customHeight="1">
      <c r="A17" s="232">
        <f>IF(A16&gt;='Model Inputs'!$B$52,"",A16+1)</f>
        <v>9</v>
      </c>
      <c r="B17" s="219">
        <f t="shared" si="0"/>
        <v>23219.287530297166</v>
      </c>
      <c r="C17" s="231">
        <f>IF(A17="","",-PMT('Model Inputs'!$B$53,'Model Inputs'!$B$52,'Model Inputs'!$B$50))</f>
        <v>506.39559702103969</v>
      </c>
      <c r="D17" s="231">
        <f t="shared" si="1"/>
        <v>393.5579789068384</v>
      </c>
      <c r="E17" s="233">
        <f>IF(A17="","",'Model Inputs'!$B$53*B17)</f>
        <v>112.83761811420129</v>
      </c>
    </row>
    <row r="18" spans="1:5" ht="18" customHeight="1">
      <c r="A18" s="232">
        <f>IF(A17&gt;='Model Inputs'!$B$52,"",A17+1)</f>
        <v>10</v>
      </c>
      <c r="B18" s="219">
        <f t="shared" si="0"/>
        <v>22825.729551390326</v>
      </c>
      <c r="C18" s="231">
        <f>IF(A18="","",-PMT('Model Inputs'!$B$53,'Model Inputs'!$B$52,'Model Inputs'!$B$50))</f>
        <v>506.39559702103969</v>
      </c>
      <c r="D18" s="231">
        <f t="shared" si="1"/>
        <v>395.47053306560588</v>
      </c>
      <c r="E18" s="233">
        <f>IF(A18="","",'Model Inputs'!$B$53*B18)</f>
        <v>110.92506395543384</v>
      </c>
    </row>
    <row r="19" spans="1:5" ht="18" customHeight="1">
      <c r="A19" s="232">
        <f>IF(A18&gt;='Model Inputs'!$B$52,"",A18+1)</f>
        <v>11</v>
      </c>
      <c r="B19" s="219">
        <f t="shared" si="0"/>
        <v>22430.259018324719</v>
      </c>
      <c r="C19" s="231">
        <f>IF(A19="","",-PMT('Model Inputs'!$B$53,'Model Inputs'!$B$52,'Model Inputs'!$B$50))</f>
        <v>506.39559702103969</v>
      </c>
      <c r="D19" s="231">
        <f t="shared" si="1"/>
        <v>397.39238156880606</v>
      </c>
      <c r="E19" s="233">
        <f>IF(A19="","",'Model Inputs'!$B$53*B19)</f>
        <v>109.00321545223365</v>
      </c>
    </row>
    <row r="20" spans="1:5" ht="18" customHeight="1">
      <c r="A20" s="232">
        <f>IF(A19&gt;='Model Inputs'!$B$52,"",A19+1)</f>
        <v>12</v>
      </c>
      <c r="B20" s="219">
        <f t="shared" si="0"/>
        <v>22032.866636755913</v>
      </c>
      <c r="C20" s="231">
        <f>IF(A20="","",-PMT('Model Inputs'!$B$53,'Model Inputs'!$B$52,'Model Inputs'!$B$50))</f>
        <v>506.39559702103969</v>
      </c>
      <c r="D20" s="231">
        <f t="shared" si="1"/>
        <v>399.32356958370292</v>
      </c>
      <c r="E20" s="233">
        <f>IF(A20="","",'Model Inputs'!$B$53*B20)</f>
        <v>107.07202743733679</v>
      </c>
    </row>
    <row r="21" spans="1:5" ht="18" customHeight="1">
      <c r="A21" s="232">
        <f>IF(A20&gt;='Model Inputs'!$B$52,"",A20+1)</f>
        <v>13</v>
      </c>
      <c r="B21" s="219">
        <f t="shared" si="0"/>
        <v>21633.54306717221</v>
      </c>
      <c r="C21" s="231">
        <f>IF(A21="","",-PMT('Model Inputs'!$B$53,'Model Inputs'!$B$52,'Model Inputs'!$B$50))</f>
        <v>506.39559702103969</v>
      </c>
      <c r="D21" s="231">
        <f t="shared" si="1"/>
        <v>401.26414249705743</v>
      </c>
      <c r="E21" s="233">
        <f>IF(A21="","",'Model Inputs'!$B$53*B21)</f>
        <v>105.13145452398224</v>
      </c>
    </row>
    <row r="22" spans="1:5" ht="18" customHeight="1">
      <c r="A22" s="232">
        <f>IF(A21&gt;='Model Inputs'!$B$52,"",A21+1)</f>
        <v>14</v>
      </c>
      <c r="B22" s="219">
        <f t="shared" si="0"/>
        <v>21232.278924675153</v>
      </c>
      <c r="C22" s="231">
        <f>IF(A22="","",-PMT('Model Inputs'!$B$53,'Model Inputs'!$B$52,'Model Inputs'!$B$50))</f>
        <v>506.39559702103969</v>
      </c>
      <c r="D22" s="231">
        <f t="shared" si="1"/>
        <v>403.21414591619447</v>
      </c>
      <c r="E22" s="233">
        <f>IF(A22="","",'Model Inputs'!$B$53*B22)</f>
        <v>103.18145110484521</v>
      </c>
    </row>
    <row r="23" spans="1:5" ht="18" customHeight="1">
      <c r="A23" s="232">
        <f>IF(A22&gt;='Model Inputs'!$B$52,"",A22+1)</f>
        <v>15</v>
      </c>
      <c r="B23" s="219">
        <f t="shared" si="0"/>
        <v>20829.064778758959</v>
      </c>
      <c r="C23" s="231">
        <f>IF(A23="","",-PMT('Model Inputs'!$B$53,'Model Inputs'!$B$52,'Model Inputs'!$B$50))</f>
        <v>506.39559702103969</v>
      </c>
      <c r="D23" s="231">
        <f t="shared" si="1"/>
        <v>405.17362567007444</v>
      </c>
      <c r="E23" s="233">
        <f>IF(A23="","",'Model Inputs'!$B$53*B23)</f>
        <v>101.22197135096523</v>
      </c>
    </row>
    <row r="24" spans="1:5" ht="18" customHeight="1">
      <c r="A24" s="232">
        <f>IF(A23&gt;='Model Inputs'!$B$52,"",A23+1)</f>
        <v>16</v>
      </c>
      <c r="B24" s="219">
        <f t="shared" si="0"/>
        <v>20423.891153088884</v>
      </c>
      <c r="C24" s="231">
        <f>IF(A24="","",-PMT('Model Inputs'!$B$53,'Model Inputs'!$B$52,'Model Inputs'!$B$50))</f>
        <v>506.39559702103969</v>
      </c>
      <c r="D24" s="231">
        <f t="shared" si="1"/>
        <v>407.14262781037058</v>
      </c>
      <c r="E24" s="233">
        <f>IF(A24="","",'Model Inputs'!$B$53*B24)</f>
        <v>99.252969210669107</v>
      </c>
    </row>
    <row r="25" spans="1:5" ht="18" customHeight="1">
      <c r="A25" s="232">
        <f>IF(A24&gt;='Model Inputs'!$B$52,"",A24+1)</f>
        <v>17</v>
      </c>
      <c r="B25" s="219">
        <f t="shared" si="0"/>
        <v>20016.748525278512</v>
      </c>
      <c r="C25" s="231">
        <f>IF(A25="","",-PMT('Model Inputs'!$B$53,'Model Inputs'!$B$52,'Model Inputs'!$B$50))</f>
        <v>506.39559702103969</v>
      </c>
      <c r="D25" s="231">
        <f t="shared" si="1"/>
        <v>409.1211986125511</v>
      </c>
      <c r="E25" s="233">
        <f>IF(A25="","",'Model Inputs'!$B$53*B25)</f>
        <v>97.274398408488622</v>
      </c>
    </row>
    <row r="26" spans="1:5" ht="18" customHeight="1">
      <c r="A26" s="232">
        <f>IF(A25&gt;='Model Inputs'!$B$52,"",A25+1)</f>
        <v>18</v>
      </c>
      <c r="B26" s="219">
        <f t="shared" si="0"/>
        <v>19607.627326665959</v>
      </c>
      <c r="C26" s="231">
        <f>IF(A26="","",-PMT('Model Inputs'!$B$53,'Model Inputs'!$B$52,'Model Inputs'!$B$50))</f>
        <v>506.39559702103969</v>
      </c>
      <c r="D26" s="231">
        <f t="shared" si="1"/>
        <v>411.1093845769667</v>
      </c>
      <c r="E26" s="233">
        <f>IF(A26="","",'Model Inputs'!$B$53*B26)</f>
        <v>95.286212444073001</v>
      </c>
    </row>
    <row r="27" spans="1:5" ht="18" customHeight="1">
      <c r="A27" s="232">
        <f>IF(A26&gt;='Model Inputs'!$B$52,"",A26+1)</f>
        <v>19</v>
      </c>
      <c r="B27" s="219">
        <f t="shared" si="0"/>
        <v>19196.517942088991</v>
      </c>
      <c r="C27" s="231">
        <f>IF(A27="","",-PMT('Model Inputs'!$B$53,'Model Inputs'!$B$52,'Model Inputs'!$B$50))</f>
        <v>506.39559702103969</v>
      </c>
      <c r="D27" s="231">
        <f t="shared" si="1"/>
        <v>413.10723242994368</v>
      </c>
      <c r="E27" s="233">
        <f>IF(A27="","",'Model Inputs'!$B$53*B27)</f>
        <v>93.288364591095984</v>
      </c>
    </row>
    <row r="28" spans="1:5" ht="18" customHeight="1">
      <c r="A28" s="232">
        <f>IF(A27&gt;='Model Inputs'!$B$52,"",A27+1)</f>
        <v>20</v>
      </c>
      <c r="B28" s="219">
        <f t="shared" si="0"/>
        <v>18783.410709659049</v>
      </c>
      <c r="C28" s="231">
        <f>IF(A28="","",-PMT('Model Inputs'!$B$53,'Model Inputs'!$B$52,'Model Inputs'!$B$50))</f>
        <v>506.39559702103969</v>
      </c>
      <c r="D28" s="231">
        <f t="shared" si="1"/>
        <v>415.11478912488195</v>
      </c>
      <c r="E28" s="233">
        <f>IF(A28="","",'Model Inputs'!$B$53*B28)</f>
        <v>91.280807896157725</v>
      </c>
    </row>
    <row r="29" spans="1:5" ht="18" customHeight="1">
      <c r="A29" s="232">
        <f>IF(A28&gt;='Model Inputs'!$B$52,"",A28+1)</f>
        <v>21</v>
      </c>
      <c r="B29" s="219">
        <f t="shared" si="0"/>
        <v>18368.295920534169</v>
      </c>
      <c r="C29" s="231">
        <f>IF(A29="","",-PMT('Model Inputs'!$B$53,'Model Inputs'!$B$52,'Model Inputs'!$B$50))</f>
        <v>506.39559702103969</v>
      </c>
      <c r="D29" s="231">
        <f t="shared" si="1"/>
        <v>417.13210184335844</v>
      </c>
      <c r="E29" s="233">
        <f>IF(A29="","",'Model Inputs'!$B$53*B29)</f>
        <v>89.263495177681264</v>
      </c>
    </row>
    <row r="30" spans="1:5" ht="18" customHeight="1">
      <c r="A30" s="232">
        <f>IF(A29&gt;='Model Inputs'!$B$52,"",A29+1)</f>
        <v>22</v>
      </c>
      <c r="B30" s="219">
        <f t="shared" si="0"/>
        <v>17951.163818690809</v>
      </c>
      <c r="C30" s="231">
        <f>IF(A30="","",-PMT('Model Inputs'!$B$53,'Model Inputs'!$B$52,'Model Inputs'!$B$50))</f>
        <v>506.39559702103969</v>
      </c>
      <c r="D30" s="231">
        <f t="shared" si="1"/>
        <v>419.15921799623607</v>
      </c>
      <c r="E30" s="233">
        <f>IF(A30="","",'Model Inputs'!$B$53*B30)</f>
        <v>87.236379024803654</v>
      </c>
    </row>
    <row r="31" spans="1:5" ht="18" customHeight="1">
      <c r="A31" s="232">
        <f>IF(A30&gt;='Model Inputs'!$B$52,"",A30+1)</f>
        <v>23</v>
      </c>
      <c r="B31" s="219">
        <f t="shared" si="0"/>
        <v>17532.004600694574</v>
      </c>
      <c r="C31" s="231">
        <f>IF(A31="","",-PMT('Model Inputs'!$B$53,'Model Inputs'!$B$52,'Model Inputs'!$B$50))</f>
        <v>506.39559702103969</v>
      </c>
      <c r="D31" s="231">
        <f t="shared" si="1"/>
        <v>421.19618522477793</v>
      </c>
      <c r="E31" s="233">
        <f>IF(A31="","",'Model Inputs'!$B$53*B31)</f>
        <v>85.199411796261771</v>
      </c>
    </row>
    <row r="32" spans="1:5" ht="18" customHeight="1">
      <c r="A32" s="232">
        <f>IF(A31&gt;='Model Inputs'!$B$52,"",A31+1)</f>
        <v>24</v>
      </c>
      <c r="B32" s="219">
        <f t="shared" si="0"/>
        <v>17110.808415469797</v>
      </c>
      <c r="C32" s="231">
        <f>IF(A32="","",-PMT('Model Inputs'!$B$53,'Model Inputs'!$B$52,'Model Inputs'!$B$50))</f>
        <v>506.39559702103969</v>
      </c>
      <c r="D32" s="231">
        <f t="shared" si="1"/>
        <v>423.2430514017671</v>
      </c>
      <c r="E32" s="233">
        <f>IF(A32="","",'Model Inputs'!$B$53*B32)</f>
        <v>83.152545619272601</v>
      </c>
    </row>
    <row r="33" spans="1:5" ht="18" customHeight="1">
      <c r="A33" s="232">
        <f>IF(A32&gt;='Model Inputs'!$B$52,"",A32+1)</f>
        <v>25</v>
      </c>
      <c r="B33" s="219">
        <f t="shared" si="0"/>
        <v>16687.565364068028</v>
      </c>
      <c r="C33" s="231">
        <f>IF(A33="","",-PMT('Model Inputs'!$B$53,'Model Inputs'!$B$52,'Model Inputs'!$B$50))</f>
        <v>506.39559702103969</v>
      </c>
      <c r="D33" s="231">
        <f t="shared" si="1"/>
        <v>425.29986463263157</v>
      </c>
      <c r="E33" s="233">
        <f>IF(A33="","",'Model Inputs'!$B$53*B33)</f>
        <v>81.095732388408109</v>
      </c>
    </row>
    <row r="34" spans="1:5" ht="18" customHeight="1">
      <c r="A34" s="232">
        <f>IF(A33&gt;='Model Inputs'!$B$52,"",A33+1)</f>
        <v>26</v>
      </c>
      <c r="B34" s="219">
        <f t="shared" si="0"/>
        <v>16262.265499435396</v>
      </c>
      <c r="C34" s="231">
        <f>IF(A34="","",-PMT('Model Inputs'!$B$53,'Model Inputs'!$B$52,'Model Inputs'!$B$50))</f>
        <v>506.39559702103969</v>
      </c>
      <c r="D34" s="231">
        <f t="shared" si="1"/>
        <v>427.36667325657493</v>
      </c>
      <c r="E34" s="233">
        <f>IF(A34="","",'Model Inputs'!$B$53*B34)</f>
        <v>79.028923764464764</v>
      </c>
    </row>
    <row r="35" spans="1:5" ht="18" customHeight="1">
      <c r="A35" s="232">
        <f>IF(A34&gt;='Model Inputs'!$B$52,"",A34+1)</f>
        <v>27</v>
      </c>
      <c r="B35" s="219">
        <f t="shared" si="0"/>
        <v>15834.898826178822</v>
      </c>
      <c r="C35" s="231">
        <f>IF(A35="","",-PMT('Model Inputs'!$B$53,'Model Inputs'!$B$52,'Model Inputs'!$B$50))</f>
        <v>506.39559702103969</v>
      </c>
      <c r="D35" s="231">
        <f t="shared" si="1"/>
        <v>429.44352584771229</v>
      </c>
      <c r="E35" s="233">
        <f>IF(A35="","",'Model Inputs'!$B$53*B35)</f>
        <v>76.952071173327369</v>
      </c>
    </row>
    <row r="36" spans="1:5" ht="18" customHeight="1">
      <c r="A36" s="232">
        <f>IF(A35&gt;='Model Inputs'!$B$52,"",A35+1)</f>
        <v>28</v>
      </c>
      <c r="B36" s="219">
        <f t="shared" si="0"/>
        <v>15405.45530033111</v>
      </c>
      <c r="C36" s="231">
        <f>IF(A36="","",-PMT('Model Inputs'!$B$53,'Model Inputs'!$B$52,'Model Inputs'!$B$50))</f>
        <v>506.39559702103969</v>
      </c>
      <c r="D36" s="231">
        <f t="shared" si="1"/>
        <v>431.53047121621216</v>
      </c>
      <c r="E36" s="233">
        <f>IF(A36="","",'Model Inputs'!$B$53*B36)</f>
        <v>74.8651258048275</v>
      </c>
    </row>
    <row r="37" spans="1:5" ht="18" customHeight="1">
      <c r="A37" s="232">
        <f>IF(A36&gt;='Model Inputs'!$B$52,"",A36+1)</f>
        <v>29</v>
      </c>
      <c r="B37" s="219">
        <f t="shared" si="0"/>
        <v>14973.924829114898</v>
      </c>
      <c r="C37" s="231">
        <f>IF(A37="","",-PMT('Model Inputs'!$B$53,'Model Inputs'!$B$52,'Model Inputs'!$B$50))</f>
        <v>506.39559702103969</v>
      </c>
      <c r="D37" s="231">
        <f t="shared" si="1"/>
        <v>433.62755840944328</v>
      </c>
      <c r="E37" s="233">
        <f>IF(A37="","",'Model Inputs'!$B$53*B37)</f>
        <v>72.768038611596424</v>
      </c>
    </row>
    <row r="38" spans="1:5" ht="18" customHeight="1">
      <c r="A38" s="232">
        <f>IF(A37&gt;='Model Inputs'!$B$52,"",A37+1)</f>
        <v>30</v>
      </c>
      <c r="B38" s="219">
        <f t="shared" si="0"/>
        <v>14540.297270705454</v>
      </c>
      <c r="C38" s="231">
        <f>IF(A38="","",-PMT('Model Inputs'!$B$53,'Model Inputs'!$B$52,'Model Inputs'!$B$50))</f>
        <v>506.39559702103969</v>
      </c>
      <c r="D38" s="231">
        <f t="shared" si="1"/>
        <v>435.73483671312738</v>
      </c>
      <c r="E38" s="233">
        <f>IF(A38="","",'Model Inputs'!$B$53*B38)</f>
        <v>70.660760307912312</v>
      </c>
    </row>
    <row r="39" spans="1:5" ht="18" customHeight="1">
      <c r="A39" s="232">
        <f>IF(A38&gt;='Model Inputs'!$B$52,"",A38+1)</f>
        <v>31</v>
      </c>
      <c r="B39" s="219">
        <f t="shared" si="0"/>
        <v>14104.562433992327</v>
      </c>
      <c r="C39" s="231">
        <f>IF(A39="","",-PMT('Model Inputs'!$B$53,'Model Inputs'!$B$52,'Model Inputs'!$B$50))</f>
        <v>506.39559702103969</v>
      </c>
      <c r="D39" s="231">
        <f t="shared" si="1"/>
        <v>437.85235565249775</v>
      </c>
      <c r="E39" s="233">
        <f>IF(A39="","",'Model Inputs'!$B$53*B39)</f>
        <v>68.54324136854197</v>
      </c>
    </row>
    <row r="40" spans="1:5" ht="18" customHeight="1">
      <c r="A40" s="232">
        <f>IF(A39&gt;='Model Inputs'!$B$52,"",A39+1)</f>
        <v>32</v>
      </c>
      <c r="B40" s="219">
        <f t="shared" si="0"/>
        <v>13666.710078339829</v>
      </c>
      <c r="C40" s="231">
        <f>IF(A40="","",-PMT('Model Inputs'!$B$53,'Model Inputs'!$B$52,'Model Inputs'!$B$50))</f>
        <v>506.39559702103969</v>
      </c>
      <c r="D40" s="231">
        <f t="shared" si="1"/>
        <v>439.98016499346278</v>
      </c>
      <c r="E40" s="233">
        <f>IF(A40="","",'Model Inputs'!$B$53*B40)</f>
        <v>66.415432027576912</v>
      </c>
    </row>
    <row r="41" spans="1:5" ht="18" customHeight="1">
      <c r="A41" s="232">
        <f>IF(A40&gt;='Model Inputs'!$B$52,"",A40+1)</f>
        <v>33</v>
      </c>
      <c r="B41" s="219">
        <f t="shared" si="0"/>
        <v>13226.729913346366</v>
      </c>
      <c r="C41" s="231">
        <f>IF(A41="","",-PMT('Model Inputs'!$B$53,'Model Inputs'!$B$52,'Model Inputs'!$B$50))</f>
        <v>506.39559702103969</v>
      </c>
      <c r="D41" s="231">
        <f t="shared" si="1"/>
        <v>442.11831474377601</v>
      </c>
      <c r="E41" s="233">
        <f>IF(A41="","",'Model Inputs'!$B$53*B41)</f>
        <v>64.277282277263694</v>
      </c>
    </row>
    <row r="42" spans="1:5" ht="18" customHeight="1">
      <c r="A42" s="232">
        <f>IF(A41&gt;='Model Inputs'!$B$52,"",A41+1)</f>
        <v>34</v>
      </c>
      <c r="B42" s="219">
        <f t="shared" si="0"/>
        <v>12784.611598602589</v>
      </c>
      <c r="C42" s="231">
        <f>IF(A42="","",-PMT('Model Inputs'!$B$53,'Model Inputs'!$B$52,'Model Inputs'!$B$50))</f>
        <v>506.39559702103969</v>
      </c>
      <c r="D42" s="231">
        <f t="shared" si="1"/>
        <v>444.26685515421099</v>
      </c>
      <c r="E42" s="233">
        <f>IF(A42="","",'Model Inputs'!$B$53*B42)</f>
        <v>62.128741866828712</v>
      </c>
    </row>
    <row r="43" spans="1:5" ht="18" customHeight="1">
      <c r="A43" s="232">
        <f>IF(A42&gt;='Model Inputs'!$B$52,"",A42+1)</f>
        <v>35</v>
      </c>
      <c r="B43" s="219">
        <f t="shared" si="0"/>
        <v>12340.344743448379</v>
      </c>
      <c r="C43" s="231">
        <f>IF(A43="","",-PMT('Model Inputs'!$B$53,'Model Inputs'!$B$52,'Model Inputs'!$B$50))</f>
        <v>506.39559702103969</v>
      </c>
      <c r="D43" s="231">
        <f t="shared" si="1"/>
        <v>446.42583671974251</v>
      </c>
      <c r="E43" s="233">
        <f>IF(A43="","",'Model Inputs'!$B$53*B43)</f>
        <v>59.969760301297171</v>
      </c>
    </row>
    <row r="44" spans="1:5" ht="18" customHeight="1">
      <c r="A44" s="232">
        <f>IF(A43&gt;='Model Inputs'!$B$52,"",A43+1)</f>
        <v>36</v>
      </c>
      <c r="B44" s="219">
        <f t="shared" si="0"/>
        <v>11893.918906728637</v>
      </c>
      <c r="C44" s="231">
        <f>IF(A44="","",-PMT('Model Inputs'!$B$53,'Model Inputs'!$B$52,'Model Inputs'!$B$50))</f>
        <v>506.39559702103969</v>
      </c>
      <c r="D44" s="231">
        <f t="shared" si="1"/>
        <v>448.59531018073335</v>
      </c>
      <c r="E44" s="233">
        <f>IF(A44="","",'Model Inputs'!$B$53*B44)</f>
        <v>57.800286840306342</v>
      </c>
    </row>
    <row r="45" spans="1:5" ht="18" customHeight="1">
      <c r="A45" s="232">
        <f>IF(A44&gt;='Model Inputs'!$B$52,"",A44+1)</f>
        <v>37</v>
      </c>
      <c r="B45" s="219">
        <f t="shared" si="0"/>
        <v>11445.323596547903</v>
      </c>
      <c r="C45" s="231">
        <f>IF(A45="","",-PMT('Model Inputs'!$B$53,'Model Inputs'!$B$52,'Model Inputs'!$B$50))</f>
        <v>506.39559702103969</v>
      </c>
      <c r="D45" s="231">
        <f t="shared" si="1"/>
        <v>450.77532652412663</v>
      </c>
      <c r="E45" s="233">
        <f>IF(A45="","",'Model Inputs'!$B$53*B45)</f>
        <v>55.620270496913072</v>
      </c>
    </row>
    <row r="46" spans="1:5" ht="18" customHeight="1">
      <c r="A46" s="232">
        <f>IF(A45&gt;='Model Inputs'!$B$52,"",A45+1)</f>
        <v>38</v>
      </c>
      <c r="B46" s="219">
        <f t="shared" si="0"/>
        <v>10994.548270023777</v>
      </c>
      <c r="C46" s="231">
        <f>IF(A46="","",-PMT('Model Inputs'!$B$53,'Model Inputs'!$B$52,'Model Inputs'!$B$50))</f>
        <v>506.39559702103969</v>
      </c>
      <c r="D46" s="231">
        <f t="shared" si="1"/>
        <v>452.96593698464415</v>
      </c>
      <c r="E46" s="233">
        <f>IF(A46="","",'Model Inputs'!$B$53*B46)</f>
        <v>53.429660036395525</v>
      </c>
    </row>
    <row r="47" spans="1:5" ht="18" customHeight="1">
      <c r="A47" s="232">
        <f>IF(A46&gt;='Model Inputs'!$B$52,"",A46+1)</f>
        <v>39</v>
      </c>
      <c r="B47" s="219">
        <f t="shared" si="0"/>
        <v>10541.582333039132</v>
      </c>
      <c r="C47" s="231">
        <f>IF(A47="","",-PMT('Model Inputs'!$B$53,'Model Inputs'!$B$52,'Model Inputs'!$B$50))</f>
        <v>506.39559702103969</v>
      </c>
      <c r="D47" s="231">
        <f t="shared" si="1"/>
        <v>455.1671930459907</v>
      </c>
      <c r="E47" s="233">
        <f>IF(A47="","",'Model Inputs'!$B$53*B47)</f>
        <v>51.228403975048984</v>
      </c>
    </row>
    <row r="48" spans="1:5" ht="18" customHeight="1">
      <c r="A48" s="232">
        <f>IF(A47&gt;='Model Inputs'!$B$52,"",A47+1)</f>
        <v>40</v>
      </c>
      <c r="B48" s="219">
        <f t="shared" si="0"/>
        <v>10086.415139993142</v>
      </c>
      <c r="C48" s="231">
        <f>IF(A48="","",-PMT('Model Inputs'!$B$53,'Model Inputs'!$B$52,'Model Inputs'!$B$50))</f>
        <v>506.39559702103969</v>
      </c>
      <c r="D48" s="231">
        <f t="shared" si="1"/>
        <v>457.3791464420637</v>
      </c>
      <c r="E48" s="233">
        <f>IF(A48="","",'Model Inputs'!$B$53*B48)</f>
        <v>49.016450578975977</v>
      </c>
    </row>
    <row r="49" spans="1:5" ht="18" customHeight="1">
      <c r="A49" s="232">
        <f>IF(A48&gt;='Model Inputs'!$B$52,"",A48+1)</f>
        <v>41</v>
      </c>
      <c r="B49" s="219">
        <f t="shared" si="0"/>
        <v>9629.0359935510787</v>
      </c>
      <c r="C49" s="231">
        <f>IF(A49="","",-PMT('Model Inputs'!$B$53,'Model Inputs'!$B$52,'Model Inputs'!$B$50))</f>
        <v>506.39559702103969</v>
      </c>
      <c r="D49" s="231">
        <f t="shared" si="1"/>
        <v>459.60184915816933</v>
      </c>
      <c r="E49" s="233">
        <f>IF(A49="","",'Model Inputs'!$B$53*B49)</f>
        <v>46.793747862870362</v>
      </c>
    </row>
    <row r="50" spans="1:5" ht="18" customHeight="1">
      <c r="A50" s="232">
        <f>IF(A49&gt;='Model Inputs'!$B$52,"",A49+1)</f>
        <v>42</v>
      </c>
      <c r="B50" s="219">
        <f t="shared" si="0"/>
        <v>9169.4341443929097</v>
      </c>
      <c r="C50" s="231">
        <f>IF(A50="","",-PMT('Model Inputs'!$B$53,'Model Inputs'!$B$52,'Model Inputs'!$B$50))</f>
        <v>506.39559702103969</v>
      </c>
      <c r="D50" s="231">
        <f t="shared" si="1"/>
        <v>461.83535343224412</v>
      </c>
      <c r="E50" s="233">
        <f>IF(A50="","",'Model Inputs'!$B$53*B50)</f>
        <v>44.560243588795565</v>
      </c>
    </row>
    <row r="51" spans="1:5" ht="18" customHeight="1">
      <c r="A51" s="232">
        <f>IF(A50&gt;='Model Inputs'!$B$52,"",A50+1)</f>
        <v>43</v>
      </c>
      <c r="B51" s="219">
        <f t="shared" si="0"/>
        <v>8707.5987909606665</v>
      </c>
      <c r="C51" s="231">
        <f>IF(A51="","",-PMT('Model Inputs'!$B$53,'Model Inputs'!$B$52,'Model Inputs'!$B$50))</f>
        <v>506.39559702103969</v>
      </c>
      <c r="D51" s="231">
        <f t="shared" si="1"/>
        <v>464.07971175608276</v>
      </c>
      <c r="E51" s="233">
        <f>IF(A51="","",'Model Inputs'!$B$53*B51)</f>
        <v>42.315885264956954</v>
      </c>
    </row>
    <row r="52" spans="1:5" ht="18" customHeight="1">
      <c r="A52" s="232">
        <f>IF(A51&gt;='Model Inputs'!$B$52,"",A51+1)</f>
        <v>44</v>
      </c>
      <c r="B52" s="219">
        <f t="shared" si="0"/>
        <v>8243.5190792045832</v>
      </c>
      <c r="C52" s="231">
        <f>IF(A52="","",-PMT('Model Inputs'!$B$53,'Model Inputs'!$B$52,'Model Inputs'!$B$50))</f>
        <v>506.39559702103969</v>
      </c>
      <c r="D52" s="231">
        <f t="shared" si="1"/>
        <v>466.3349768765716</v>
      </c>
      <c r="E52" s="233">
        <f>IF(A52="","",'Model Inputs'!$B$53*B52)</f>
        <v>40.060620144468075</v>
      </c>
    </row>
    <row r="53" spans="1:5" ht="18" customHeight="1">
      <c r="A53" s="232">
        <f>IF(A52&gt;='Model Inputs'!$B$52,"",A52+1)</f>
        <v>45</v>
      </c>
      <c r="B53" s="219">
        <f t="shared" si="0"/>
        <v>7777.1841023280112</v>
      </c>
      <c r="C53" s="231">
        <f>IF(A53="","",-PMT('Model Inputs'!$B$53,'Model Inputs'!$B$52,'Model Inputs'!$B$50))</f>
        <v>506.39559702103969</v>
      </c>
      <c r="D53" s="231">
        <f t="shared" si="1"/>
        <v>468.60120179692859</v>
      </c>
      <c r="E53" s="233">
        <f>IF(A53="","",'Model Inputs'!$B$53*B53)</f>
        <v>37.794395224111092</v>
      </c>
    </row>
    <row r="54" spans="1:5" ht="18" customHeight="1">
      <c r="A54" s="232">
        <f>IF(A53&gt;='Model Inputs'!$B$52,"",A53+1)</f>
        <v>46</v>
      </c>
      <c r="B54" s="219">
        <f t="shared" si="0"/>
        <v>7308.5829005310825</v>
      </c>
      <c r="C54" s="231">
        <f>IF(A54="","",-PMT('Model Inputs'!$B$53,'Model Inputs'!$B$52,'Model Inputs'!$B$50))</f>
        <v>506.39559702103969</v>
      </c>
      <c r="D54" s="231">
        <f t="shared" si="1"/>
        <v>470.87843977794864</v>
      </c>
      <c r="E54" s="233">
        <f>IF(A54="","",'Model Inputs'!$B$53*B54)</f>
        <v>35.517157243091056</v>
      </c>
    </row>
    <row r="55" spans="1:5" ht="18" customHeight="1">
      <c r="A55" s="232">
        <f>IF(A54&gt;='Model Inputs'!$B$52,"",A54+1)</f>
        <v>47</v>
      </c>
      <c r="B55" s="219">
        <f t="shared" si="0"/>
        <v>6837.7044607531334</v>
      </c>
      <c r="C55" s="231">
        <f>IF(A55="","",-PMT('Model Inputs'!$B$53,'Model Inputs'!$B$52,'Model Inputs'!$B$50))</f>
        <v>506.39559702103969</v>
      </c>
      <c r="D55" s="231">
        <f t="shared" si="1"/>
        <v>473.1667443392555</v>
      </c>
      <c r="E55" s="233">
        <f>IF(A55="","",'Model Inputs'!$B$53*B55)</f>
        <v>33.228852681784169</v>
      </c>
    </row>
    <row r="56" spans="1:5" ht="18" customHeight="1">
      <c r="A56" s="232">
        <f>IF(A55&gt;='Model Inputs'!$B$52,"",A55+1)</f>
        <v>48</v>
      </c>
      <c r="B56" s="219">
        <f t="shared" si="0"/>
        <v>6364.5377164138781</v>
      </c>
      <c r="C56" s="231">
        <f>IF(A56="","",-PMT('Model Inputs'!$B$53,'Model Inputs'!$B$52,'Model Inputs'!$B$50))</f>
        <v>506.39559702103969</v>
      </c>
      <c r="D56" s="231">
        <f t="shared" si="1"/>
        <v>475.4661692605597</v>
      </c>
      <c r="E56" s="233">
        <f>IF(A56="","",'Model Inputs'!$B$53*B56)</f>
        <v>30.929427760479985</v>
      </c>
    </row>
    <row r="57" spans="1:5" ht="18" customHeight="1">
      <c r="A57" s="232">
        <f>IF(A56&gt;='Model Inputs'!$B$52,"",A56+1)</f>
        <v>49</v>
      </c>
      <c r="B57" s="219">
        <f t="shared" si="0"/>
        <v>5889.0715471533185</v>
      </c>
      <c r="C57" s="231">
        <f>IF(A57="","",-PMT('Model Inputs'!$B$53,'Model Inputs'!$B$52,'Model Inputs'!$B$50))</f>
        <v>506.39559702103969</v>
      </c>
      <c r="D57" s="231">
        <f t="shared" si="1"/>
        <v>477.77676858292222</v>
      </c>
      <c r="E57" s="233">
        <f>IF(A57="","",'Model Inputs'!$B$53*B57)</f>
        <v>28.618828438117461</v>
      </c>
    </row>
    <row r="58" spans="1:5" ht="18" customHeight="1">
      <c r="A58" s="232">
        <f>IF(A57&gt;='Model Inputs'!$B$52,"",A57+1)</f>
        <v>50</v>
      </c>
      <c r="B58" s="219">
        <f t="shared" si="0"/>
        <v>5411.2947785703964</v>
      </c>
      <c r="C58" s="231">
        <f>IF(A58="","",-PMT('Model Inputs'!$B$53,'Model Inputs'!$B$52,'Model Inputs'!$B$50))</f>
        <v>506.39559702103969</v>
      </c>
      <c r="D58" s="231">
        <f t="shared" si="1"/>
        <v>480.0985966100248</v>
      </c>
      <c r="E58" s="233">
        <f>IF(A58="","",'Model Inputs'!$B$53*B58)</f>
        <v>26.297000411014903</v>
      </c>
    </row>
    <row r="59" spans="1:5" ht="18" customHeight="1">
      <c r="A59" s="232">
        <f>IF(A58&gt;='Model Inputs'!$B$52,"",A58+1)</f>
        <v>51</v>
      </c>
      <c r="B59" s="219">
        <f t="shared" si="0"/>
        <v>4931.1961819603712</v>
      </c>
      <c r="C59" s="231">
        <f>IF(A59="","",-PMT('Model Inputs'!$B$53,'Model Inputs'!$B$52,'Model Inputs'!$B$50))</f>
        <v>506.39559702103969</v>
      </c>
      <c r="D59" s="231">
        <f t="shared" si="1"/>
        <v>482.431707909446</v>
      </c>
      <c r="E59" s="233">
        <f>IF(A59="","",'Model Inputs'!$B$53*B59)</f>
        <v>23.963889111593708</v>
      </c>
    </row>
    <row r="60" spans="1:5" ht="18" customHeight="1">
      <c r="A60" s="232">
        <f>IF(A59&gt;='Model Inputs'!$B$52,"",A59+1)</f>
        <v>52</v>
      </c>
      <c r="B60" s="219">
        <f t="shared" si="0"/>
        <v>4448.7644740509249</v>
      </c>
      <c r="C60" s="231">
        <f>IF(A60="","",-PMT('Model Inputs'!$B$53,'Model Inputs'!$B$52,'Model Inputs'!$B$50))</f>
        <v>506.39559702103969</v>
      </c>
      <c r="D60" s="231">
        <f t="shared" si="1"/>
        <v>484.77615731394377</v>
      </c>
      <c r="E60" s="233">
        <f>IF(A60="","",'Model Inputs'!$B$53*B60)</f>
        <v>21.619439707095925</v>
      </c>
    </row>
    <row r="61" spans="1:5" ht="18" customHeight="1">
      <c r="A61" s="232">
        <f>IF(A60&gt;='Model Inputs'!$B$52,"",A60+1)</f>
        <v>53</v>
      </c>
      <c r="B61" s="219">
        <f t="shared" si="0"/>
        <v>3963.9883167369812</v>
      </c>
      <c r="C61" s="231">
        <f>IF(A61="","",-PMT('Model Inputs'!$B$53,'Model Inputs'!$B$52,'Model Inputs'!$B$50))</f>
        <v>506.39559702103969</v>
      </c>
      <c r="D61" s="231">
        <f t="shared" si="1"/>
        <v>487.13199992274411</v>
      </c>
      <c r="E61" s="233">
        <f>IF(A61="","",'Model Inputs'!$B$53*B61)</f>
        <v>19.263597098295573</v>
      </c>
    </row>
    <row r="62" spans="1:5" ht="18" customHeight="1">
      <c r="A62" s="232">
        <f>IF(A61&gt;='Model Inputs'!$B$52,"",A61+1)</f>
        <v>54</v>
      </c>
      <c r="B62" s="219">
        <f t="shared" si="0"/>
        <v>3476.8563168142373</v>
      </c>
      <c r="C62" s="231">
        <f>IF(A62="","",-PMT('Model Inputs'!$B$53,'Model Inputs'!$B$52,'Model Inputs'!$B$50))</f>
        <v>506.39559702103969</v>
      </c>
      <c r="D62" s="231">
        <f t="shared" si="1"/>
        <v>489.49929110283597</v>
      </c>
      <c r="E62" s="233">
        <f>IF(A62="","",'Model Inputs'!$B$53*B62)</f>
        <v>16.896305918203698</v>
      </c>
    </row>
    <row r="63" spans="1:5" ht="18" customHeight="1">
      <c r="A63" s="232">
        <f>IF(A62&gt;='Model Inputs'!$B$52,"",A62+1)</f>
        <v>55</v>
      </c>
      <c r="B63" s="219">
        <f t="shared" si="0"/>
        <v>2987.3570257114015</v>
      </c>
      <c r="C63" s="231">
        <f>IF(A63="","",-PMT('Model Inputs'!$B$53,'Model Inputs'!$B$52,'Model Inputs'!$B$50))</f>
        <v>506.39559702103969</v>
      </c>
      <c r="D63" s="231">
        <f t="shared" si="1"/>
        <v>491.87808649027255</v>
      </c>
      <c r="E63" s="233">
        <f>IF(A63="","",'Model Inputs'!$B$53*B63)</f>
        <v>14.517510530767144</v>
      </c>
    </row>
    <row r="64" spans="1:5" ht="18" customHeight="1">
      <c r="A64" s="232">
        <f>IF(A63&gt;='Model Inputs'!$B$52,"",A63+1)</f>
        <v>56</v>
      </c>
      <c r="B64" s="219">
        <f t="shared" si="0"/>
        <v>2495.4789392211292</v>
      </c>
      <c r="C64" s="231">
        <f>IF(A64="","",-PMT('Model Inputs'!$B$53,'Model Inputs'!$B$52,'Model Inputs'!$B$50))</f>
        <v>506.39559702103969</v>
      </c>
      <c r="D64" s="231">
        <f t="shared" si="1"/>
        <v>494.26844199147871</v>
      </c>
      <c r="E64" s="233">
        <f>IF(A64="","",'Model Inputs'!$B$53*B64)</f>
        <v>12.127155029560983</v>
      </c>
    </row>
    <row r="65" spans="1:5" ht="18" customHeight="1">
      <c r="A65" s="232">
        <f>IF(A64&gt;='Model Inputs'!$B$52,"",A64+1)</f>
        <v>57</v>
      </c>
      <c r="B65" s="219">
        <f t="shared" si="0"/>
        <v>2001.2104972296504</v>
      </c>
      <c r="C65" s="231">
        <f>IF(A65="","",-PMT('Model Inputs'!$B$53,'Model Inputs'!$B$52,'Model Inputs'!$B$50))</f>
        <v>506.39559702103969</v>
      </c>
      <c r="D65" s="231">
        <f t="shared" si="1"/>
        <v>496.67041378456508</v>
      </c>
      <c r="E65" s="233">
        <f>IF(A65="","",'Model Inputs'!$B$53*B65)</f>
        <v>9.7251832364746189</v>
      </c>
    </row>
    <row r="66" spans="1:5" ht="18" customHeight="1">
      <c r="A66" s="232">
        <f>IF(A65&gt;='Model Inputs'!$B$52,"",A65+1)</f>
        <v>58</v>
      </c>
      <c r="B66" s="219">
        <f t="shared" si="0"/>
        <v>1504.5400834450852</v>
      </c>
      <c r="C66" s="231">
        <f>IF(A66="","",-PMT('Model Inputs'!$B$53,'Model Inputs'!$B$52,'Model Inputs'!$B$50))</f>
        <v>506.39559702103969</v>
      </c>
      <c r="D66" s="231">
        <f t="shared" si="1"/>
        <v>499.08405832064818</v>
      </c>
      <c r="E66" s="233">
        <f>IF(A66="","",'Model Inputs'!$B$53*B66)</f>
        <v>7.3115387003914813</v>
      </c>
    </row>
    <row r="67" spans="1:5" ht="18" customHeight="1">
      <c r="A67" s="232">
        <f>IF(A66&gt;='Model Inputs'!$B$52,"",A66+1)</f>
        <v>59</v>
      </c>
      <c r="B67" s="219">
        <f t="shared" si="0"/>
        <v>1005.456025124437</v>
      </c>
      <c r="C67" s="231">
        <f>IF(A67="","",-PMT('Model Inputs'!$B$53,'Model Inputs'!$B$52,'Model Inputs'!$B$50))</f>
        <v>506.39559702103969</v>
      </c>
      <c r="D67" s="231">
        <f t="shared" si="1"/>
        <v>501.50943232517739</v>
      </c>
      <c r="E67" s="233">
        <f>IF(A67="","",'Model Inputs'!$B$53*B67)</f>
        <v>4.8861646958623108</v>
      </c>
    </row>
    <row r="68" spans="1:5" ht="18" customHeight="1">
      <c r="A68" s="232">
        <f>IF(A67&gt;='Model Inputs'!$B$52,"",A67+1)</f>
        <v>60</v>
      </c>
      <c r="B68" s="219">
        <f t="shared" si="0"/>
        <v>503.94659279925963</v>
      </c>
      <c r="C68" s="231">
        <f>IF(A68="","",-PMT('Model Inputs'!$B$53,'Model Inputs'!$B$52,'Model Inputs'!$B$50))</f>
        <v>506.39559702103969</v>
      </c>
      <c r="D68" s="231">
        <f t="shared" si="1"/>
        <v>503.94659279926771</v>
      </c>
      <c r="E68" s="233">
        <f>IF(A68="","",'Model Inputs'!$B$53*B68)</f>
        <v>2.4490042217720021</v>
      </c>
    </row>
    <row r="69" spans="1:5" ht="18" customHeight="1">
      <c r="A69" s="232" t="str">
        <f>IF(A68&gt;='Model Inputs'!$B$52,"",A68+1)</f>
        <v/>
      </c>
      <c r="B69" s="219" t="str">
        <f t="shared" si="0"/>
        <v/>
      </c>
      <c r="C69" s="231" t="str">
        <f>IF(A69="","",-PMT('Model Inputs'!$B$53,'Model Inputs'!$B$52,'Model Inputs'!$B$50))</f>
        <v/>
      </c>
      <c r="D69" s="231" t="str">
        <f t="shared" si="1"/>
        <v/>
      </c>
      <c r="E69" s="233" t="str">
        <f>IF(A69="","",'Model Inputs'!$B$53*B69)</f>
        <v/>
      </c>
    </row>
    <row r="70" spans="1:5" ht="18" customHeight="1">
      <c r="A70" s="232" t="str">
        <f>IF(A69&gt;='Model Inputs'!$B$52,"",A69+1)</f>
        <v/>
      </c>
      <c r="B70" s="219" t="str">
        <f t="shared" si="0"/>
        <v/>
      </c>
      <c r="C70" s="231" t="str">
        <f>IF(A70="","",-PMT('Model Inputs'!$B$53,'Model Inputs'!$B$52,'Model Inputs'!$B$50))</f>
        <v/>
      </c>
      <c r="D70" s="231" t="str">
        <f t="shared" si="1"/>
        <v/>
      </c>
      <c r="E70" s="233" t="str">
        <f>IF(A70="","",'Model Inputs'!$B$53*B70)</f>
        <v/>
      </c>
    </row>
    <row r="71" spans="1:5" ht="18" customHeight="1">
      <c r="A71" s="232" t="str">
        <f>IF(A70&gt;='Model Inputs'!$B$52,"",A70+1)</f>
        <v/>
      </c>
      <c r="B71" s="219" t="str">
        <f t="shared" si="0"/>
        <v/>
      </c>
      <c r="C71" s="231" t="str">
        <f>IF(A71="","",-PMT('Model Inputs'!$B$53,'Model Inputs'!$B$52,'Model Inputs'!$B$50))</f>
        <v/>
      </c>
      <c r="D71" s="231" t="str">
        <f t="shared" si="1"/>
        <v/>
      </c>
      <c r="E71" s="233" t="str">
        <f>IF(A71="","",'Model Inputs'!$B$53*B71)</f>
        <v/>
      </c>
    </row>
    <row r="72" spans="1:5" ht="18" customHeight="1">
      <c r="A72" s="232" t="str">
        <f>IF(A71&gt;='Model Inputs'!$B$52,"",A71+1)</f>
        <v/>
      </c>
      <c r="B72" s="219" t="str">
        <f t="shared" si="0"/>
        <v/>
      </c>
      <c r="C72" s="231" t="str">
        <f>IF(A72="","",-PMT('Model Inputs'!$B$53,'Model Inputs'!$B$52,'Model Inputs'!$B$50))</f>
        <v/>
      </c>
      <c r="D72" s="231" t="str">
        <f t="shared" si="1"/>
        <v/>
      </c>
      <c r="E72" s="233" t="str">
        <f>IF(A72="","",'Model Inputs'!$B$53*B72)</f>
        <v/>
      </c>
    </row>
    <row r="73" spans="1:5" ht="18" customHeight="1">
      <c r="A73" s="232" t="str">
        <f>IF(A72&gt;='Model Inputs'!$B$52,"",A72+1)</f>
        <v/>
      </c>
      <c r="B73" s="219" t="str">
        <f t="shared" si="0"/>
        <v/>
      </c>
      <c r="C73" s="231" t="str">
        <f>IF(A73="","",-PMT('Model Inputs'!$B$53,'Model Inputs'!$B$52,'Model Inputs'!$B$50))</f>
        <v/>
      </c>
      <c r="D73" s="231" t="str">
        <f t="shared" si="1"/>
        <v/>
      </c>
      <c r="E73" s="233" t="str">
        <f>IF(A73="","",'Model Inputs'!$B$53*B73)</f>
        <v/>
      </c>
    </row>
    <row r="74" spans="1:5" ht="18" customHeight="1">
      <c r="A74" s="232" t="str">
        <f>IF(A73&gt;='Model Inputs'!$B$52,"",A73+1)</f>
        <v/>
      </c>
      <c r="B74" s="219" t="str">
        <f t="shared" ref="B74:B137" si="2">IF(A74="","",B73-D73)</f>
        <v/>
      </c>
      <c r="C74" s="231" t="str">
        <f>IF(A74="","",-PMT('Model Inputs'!$B$53,'Model Inputs'!$B$52,'Model Inputs'!$B$50))</f>
        <v/>
      </c>
      <c r="D74" s="231" t="str">
        <f t="shared" ref="D74:D137" si="3">IF(A74="","",C74-E74)</f>
        <v/>
      </c>
      <c r="E74" s="233" t="str">
        <f>IF(A74="","",'Model Inputs'!$B$53*B74)</f>
        <v/>
      </c>
    </row>
    <row r="75" spans="1:5" ht="18" customHeight="1">
      <c r="A75" s="232" t="str">
        <f>IF(A74&gt;='Model Inputs'!$B$52,"",A74+1)</f>
        <v/>
      </c>
      <c r="B75" s="219" t="str">
        <f t="shared" si="2"/>
        <v/>
      </c>
      <c r="C75" s="231" t="str">
        <f>IF(A75="","",-PMT('Model Inputs'!$B$53,'Model Inputs'!$B$52,'Model Inputs'!$B$50))</f>
        <v/>
      </c>
      <c r="D75" s="231" t="str">
        <f t="shared" si="3"/>
        <v/>
      </c>
      <c r="E75" s="233" t="str">
        <f>IF(A75="","",'Model Inputs'!$B$53*B75)</f>
        <v/>
      </c>
    </row>
    <row r="76" spans="1:5" ht="18" customHeight="1">
      <c r="A76" s="232" t="str">
        <f>IF(A75&gt;='Model Inputs'!$B$52,"",A75+1)</f>
        <v/>
      </c>
      <c r="B76" s="219" t="str">
        <f t="shared" si="2"/>
        <v/>
      </c>
      <c r="C76" s="231" t="str">
        <f>IF(A76="","",-PMT('Model Inputs'!$B$53,'Model Inputs'!$B$52,'Model Inputs'!$B$50))</f>
        <v/>
      </c>
      <c r="D76" s="231" t="str">
        <f t="shared" si="3"/>
        <v/>
      </c>
      <c r="E76" s="233" t="str">
        <f>IF(A76="","",'Model Inputs'!$B$53*B76)</f>
        <v/>
      </c>
    </row>
    <row r="77" spans="1:5" ht="18" customHeight="1">
      <c r="A77" s="232" t="str">
        <f>IF(A76&gt;='Model Inputs'!$B$52,"",A76+1)</f>
        <v/>
      </c>
      <c r="B77" s="219" t="str">
        <f t="shared" si="2"/>
        <v/>
      </c>
      <c r="C77" s="231" t="str">
        <f>IF(A77="","",-PMT('Model Inputs'!$B$53,'Model Inputs'!$B$52,'Model Inputs'!$B$50))</f>
        <v/>
      </c>
      <c r="D77" s="231" t="str">
        <f t="shared" si="3"/>
        <v/>
      </c>
      <c r="E77" s="233" t="str">
        <f>IF(A77="","",'Model Inputs'!$B$53*B77)</f>
        <v/>
      </c>
    </row>
    <row r="78" spans="1:5" ht="18" customHeight="1">
      <c r="A78" s="232" t="str">
        <f>IF(A77&gt;='Model Inputs'!$B$52,"",A77+1)</f>
        <v/>
      </c>
      <c r="B78" s="219" t="str">
        <f t="shared" si="2"/>
        <v/>
      </c>
      <c r="C78" s="231" t="str">
        <f>IF(A78="","",-PMT('Model Inputs'!$B$53,'Model Inputs'!$B$52,'Model Inputs'!$B$50))</f>
        <v/>
      </c>
      <c r="D78" s="231" t="str">
        <f t="shared" si="3"/>
        <v/>
      </c>
      <c r="E78" s="233" t="str">
        <f>IF(A78="","",'Model Inputs'!$B$53*B78)</f>
        <v/>
      </c>
    </row>
    <row r="79" spans="1:5" ht="18" customHeight="1">
      <c r="A79" s="232" t="str">
        <f>IF(A78&gt;='Model Inputs'!$B$52,"",A78+1)</f>
        <v/>
      </c>
      <c r="B79" s="219" t="str">
        <f t="shared" si="2"/>
        <v/>
      </c>
      <c r="C79" s="231" t="str">
        <f>IF(A79="","",-PMT('Model Inputs'!$B$53,'Model Inputs'!$B$52,'Model Inputs'!$B$50))</f>
        <v/>
      </c>
      <c r="D79" s="231" t="str">
        <f t="shared" si="3"/>
        <v/>
      </c>
      <c r="E79" s="233" t="str">
        <f>IF(A79="","",'Model Inputs'!$B$53*B79)</f>
        <v/>
      </c>
    </row>
    <row r="80" spans="1:5" ht="18" customHeight="1">
      <c r="A80" s="232" t="str">
        <f>IF(A79&gt;='Model Inputs'!$B$52,"",A79+1)</f>
        <v/>
      </c>
      <c r="B80" s="219" t="str">
        <f t="shared" si="2"/>
        <v/>
      </c>
      <c r="C80" s="231" t="str">
        <f>IF(A80="","",-PMT('Model Inputs'!$B$53,'Model Inputs'!$B$52,'Model Inputs'!$B$50))</f>
        <v/>
      </c>
      <c r="D80" s="231" t="str">
        <f t="shared" si="3"/>
        <v/>
      </c>
      <c r="E80" s="233" t="str">
        <f>IF(A80="","",'Model Inputs'!$B$53*B80)</f>
        <v/>
      </c>
    </row>
    <row r="81" spans="1:5" ht="18" customHeight="1">
      <c r="A81" s="232" t="str">
        <f>IF(A80&gt;='Model Inputs'!$B$52,"",A80+1)</f>
        <v/>
      </c>
      <c r="B81" s="219" t="str">
        <f t="shared" si="2"/>
        <v/>
      </c>
      <c r="C81" s="231" t="str">
        <f>IF(A81="","",-PMT('Model Inputs'!$B$53,'Model Inputs'!$B$52,'Model Inputs'!$B$50))</f>
        <v/>
      </c>
      <c r="D81" s="231" t="str">
        <f t="shared" si="3"/>
        <v/>
      </c>
      <c r="E81" s="233" t="str">
        <f>IF(A81="","",'Model Inputs'!$B$53*B81)</f>
        <v/>
      </c>
    </row>
    <row r="82" spans="1:5" ht="18" customHeight="1">
      <c r="A82" s="232" t="str">
        <f>IF(A81&gt;='Model Inputs'!$B$52,"",A81+1)</f>
        <v/>
      </c>
      <c r="B82" s="219" t="str">
        <f t="shared" si="2"/>
        <v/>
      </c>
      <c r="C82" s="231" t="str">
        <f>IF(A82="","",-PMT('Model Inputs'!$B$53,'Model Inputs'!$B$52,'Model Inputs'!$B$50))</f>
        <v/>
      </c>
      <c r="D82" s="231" t="str">
        <f t="shared" si="3"/>
        <v/>
      </c>
      <c r="E82" s="233" t="str">
        <f>IF(A82="","",'Model Inputs'!$B$53*B82)</f>
        <v/>
      </c>
    </row>
    <row r="83" spans="1:5" ht="18" customHeight="1">
      <c r="A83" s="232" t="str">
        <f>IF(A82&gt;='Model Inputs'!$B$52,"",A82+1)</f>
        <v/>
      </c>
      <c r="B83" s="219" t="str">
        <f t="shared" si="2"/>
        <v/>
      </c>
      <c r="C83" s="231" t="str">
        <f>IF(A83="","",-PMT('Model Inputs'!$B$53,'Model Inputs'!$B$52,'Model Inputs'!$B$50))</f>
        <v/>
      </c>
      <c r="D83" s="231" t="str">
        <f t="shared" si="3"/>
        <v/>
      </c>
      <c r="E83" s="233" t="str">
        <f>IF(A83="","",'Model Inputs'!$B$53*B83)</f>
        <v/>
      </c>
    </row>
    <row r="84" spans="1:5" ht="18" customHeight="1">
      <c r="A84" s="232" t="str">
        <f>IF(A83&gt;='Model Inputs'!$B$52,"",A83+1)</f>
        <v/>
      </c>
      <c r="B84" s="219" t="str">
        <f t="shared" si="2"/>
        <v/>
      </c>
      <c r="C84" s="231" t="str">
        <f>IF(A84="","",-PMT('Model Inputs'!$B$53,'Model Inputs'!$B$52,'Model Inputs'!$B$50))</f>
        <v/>
      </c>
      <c r="D84" s="231" t="str">
        <f t="shared" si="3"/>
        <v/>
      </c>
      <c r="E84" s="233" t="str">
        <f>IF(A84="","",'Model Inputs'!$B$53*B84)</f>
        <v/>
      </c>
    </row>
    <row r="85" spans="1:5" ht="18" customHeight="1">
      <c r="A85" s="232" t="str">
        <f>IF(A84&gt;='Model Inputs'!$B$52,"",A84+1)</f>
        <v/>
      </c>
      <c r="B85" s="219" t="str">
        <f t="shared" si="2"/>
        <v/>
      </c>
      <c r="C85" s="231" t="str">
        <f>IF(A85="","",-PMT('Model Inputs'!$B$53,'Model Inputs'!$B$52,'Model Inputs'!$B$50))</f>
        <v/>
      </c>
      <c r="D85" s="231" t="str">
        <f t="shared" si="3"/>
        <v/>
      </c>
      <c r="E85" s="233" t="str">
        <f>IF(A85="","",'Model Inputs'!$B$53*B85)</f>
        <v/>
      </c>
    </row>
    <row r="86" spans="1:5" ht="18" customHeight="1">
      <c r="A86" s="232" t="str">
        <f>IF(A85&gt;='Model Inputs'!$B$52,"",A85+1)</f>
        <v/>
      </c>
      <c r="B86" s="219" t="str">
        <f t="shared" si="2"/>
        <v/>
      </c>
      <c r="C86" s="231" t="str">
        <f>IF(A86="","",-PMT('Model Inputs'!$B$53,'Model Inputs'!$B$52,'Model Inputs'!$B$50))</f>
        <v/>
      </c>
      <c r="D86" s="231" t="str">
        <f t="shared" si="3"/>
        <v/>
      </c>
      <c r="E86" s="233" t="str">
        <f>IF(A86="","",'Model Inputs'!$B$53*B86)</f>
        <v/>
      </c>
    </row>
    <row r="87" spans="1:5" ht="18" customHeight="1">
      <c r="A87" s="232" t="str">
        <f>IF(A86&gt;='Model Inputs'!$B$52,"",A86+1)</f>
        <v/>
      </c>
      <c r="B87" s="219" t="str">
        <f t="shared" si="2"/>
        <v/>
      </c>
      <c r="C87" s="231" t="str">
        <f>IF(A87="","",-PMT('Model Inputs'!$B$53,'Model Inputs'!$B$52,'Model Inputs'!$B$50))</f>
        <v/>
      </c>
      <c r="D87" s="231" t="str">
        <f t="shared" si="3"/>
        <v/>
      </c>
      <c r="E87" s="233" t="str">
        <f>IF(A87="","",'Model Inputs'!$B$53*B87)</f>
        <v/>
      </c>
    </row>
    <row r="88" spans="1:5" ht="18" customHeight="1">
      <c r="A88" s="232" t="str">
        <f>IF(A87&gt;='Model Inputs'!$B$52,"",A87+1)</f>
        <v/>
      </c>
      <c r="B88" s="219" t="str">
        <f t="shared" si="2"/>
        <v/>
      </c>
      <c r="C88" s="231" t="str">
        <f>IF(A88="","",-PMT('Model Inputs'!$B$53,'Model Inputs'!$B$52,'Model Inputs'!$B$50))</f>
        <v/>
      </c>
      <c r="D88" s="231" t="str">
        <f t="shared" si="3"/>
        <v/>
      </c>
      <c r="E88" s="233" t="str">
        <f>IF(A88="","",'Model Inputs'!$B$53*B88)</f>
        <v/>
      </c>
    </row>
    <row r="89" spans="1:5" ht="18" customHeight="1">
      <c r="A89" s="232" t="str">
        <f>IF(A88&gt;='Model Inputs'!$B$52,"",A88+1)</f>
        <v/>
      </c>
      <c r="B89" s="219" t="str">
        <f t="shared" si="2"/>
        <v/>
      </c>
      <c r="C89" s="231" t="str">
        <f>IF(A89="","",-PMT('Model Inputs'!$B$53,'Model Inputs'!$B$52,'Model Inputs'!$B$50))</f>
        <v/>
      </c>
      <c r="D89" s="231" t="str">
        <f t="shared" si="3"/>
        <v/>
      </c>
      <c r="E89" s="233" t="str">
        <f>IF(A89="","",'Model Inputs'!$B$53*B89)</f>
        <v/>
      </c>
    </row>
    <row r="90" spans="1:5" ht="18" customHeight="1">
      <c r="A90" s="232" t="str">
        <f>IF(A89&gt;='Model Inputs'!$B$52,"",A89+1)</f>
        <v/>
      </c>
      <c r="B90" s="219" t="str">
        <f t="shared" si="2"/>
        <v/>
      </c>
      <c r="C90" s="231" t="str">
        <f>IF(A90="","",-PMT('Model Inputs'!$B$53,'Model Inputs'!$B$52,'Model Inputs'!$B$50))</f>
        <v/>
      </c>
      <c r="D90" s="231" t="str">
        <f t="shared" si="3"/>
        <v/>
      </c>
      <c r="E90" s="233" t="str">
        <f>IF(A90="","",'Model Inputs'!$B$53*B90)</f>
        <v/>
      </c>
    </row>
    <row r="91" spans="1:5" ht="18" customHeight="1">
      <c r="A91" s="232" t="str">
        <f>IF(A90&gt;='Model Inputs'!$B$52,"",A90+1)</f>
        <v/>
      </c>
      <c r="B91" s="219" t="str">
        <f t="shared" si="2"/>
        <v/>
      </c>
      <c r="C91" s="231" t="str">
        <f>IF(A91="","",-PMT('Model Inputs'!$B$53,'Model Inputs'!$B$52,'Model Inputs'!$B$50))</f>
        <v/>
      </c>
      <c r="D91" s="231" t="str">
        <f t="shared" si="3"/>
        <v/>
      </c>
      <c r="E91" s="233" t="str">
        <f>IF(A91="","",'Model Inputs'!$B$53*B91)</f>
        <v/>
      </c>
    </row>
    <row r="92" spans="1:5" ht="18" customHeight="1">
      <c r="A92" s="232" t="str">
        <f>IF(A91&gt;='Model Inputs'!$B$52,"",A91+1)</f>
        <v/>
      </c>
      <c r="B92" s="219" t="str">
        <f t="shared" si="2"/>
        <v/>
      </c>
      <c r="C92" s="231" t="str">
        <f>IF(A92="","",-PMT('Model Inputs'!$B$53,'Model Inputs'!$B$52,'Model Inputs'!$B$50))</f>
        <v/>
      </c>
      <c r="D92" s="231" t="str">
        <f t="shared" si="3"/>
        <v/>
      </c>
      <c r="E92" s="233" t="str">
        <f>IF(A92="","",'Model Inputs'!$B$53*B92)</f>
        <v/>
      </c>
    </row>
    <row r="93" spans="1:5" ht="18" customHeight="1">
      <c r="A93" s="232" t="str">
        <f>IF(A92&gt;='Model Inputs'!$B$52,"",A92+1)</f>
        <v/>
      </c>
      <c r="B93" s="219" t="str">
        <f t="shared" si="2"/>
        <v/>
      </c>
      <c r="C93" s="231" t="str">
        <f>IF(A93="","",-PMT('Model Inputs'!$B$53,'Model Inputs'!$B$52,'Model Inputs'!$B$50))</f>
        <v/>
      </c>
      <c r="D93" s="231" t="str">
        <f t="shared" si="3"/>
        <v/>
      </c>
      <c r="E93" s="233" t="str">
        <f>IF(A93="","",'Model Inputs'!$B$53*B93)</f>
        <v/>
      </c>
    </row>
    <row r="94" spans="1:5" ht="18" customHeight="1">
      <c r="A94" s="232" t="str">
        <f>IF(A93&gt;='Model Inputs'!$B$52,"",A93+1)</f>
        <v/>
      </c>
      <c r="B94" s="219" t="str">
        <f t="shared" si="2"/>
        <v/>
      </c>
      <c r="C94" s="231" t="str">
        <f>IF(A94="","",-PMT('Model Inputs'!$B$53,'Model Inputs'!$B$52,'Model Inputs'!$B$50))</f>
        <v/>
      </c>
      <c r="D94" s="231" t="str">
        <f t="shared" si="3"/>
        <v/>
      </c>
      <c r="E94" s="233" t="str">
        <f>IF(A94="","",'Model Inputs'!$B$53*B94)</f>
        <v/>
      </c>
    </row>
    <row r="95" spans="1:5" ht="18" customHeight="1">
      <c r="A95" s="232" t="str">
        <f>IF(A94&gt;='Model Inputs'!$B$52,"",A94+1)</f>
        <v/>
      </c>
      <c r="B95" s="219" t="str">
        <f t="shared" si="2"/>
        <v/>
      </c>
      <c r="C95" s="231" t="str">
        <f>IF(A95="","",-PMT('Model Inputs'!$B$53,'Model Inputs'!$B$52,'Model Inputs'!$B$50))</f>
        <v/>
      </c>
      <c r="D95" s="231" t="str">
        <f t="shared" si="3"/>
        <v/>
      </c>
      <c r="E95" s="233" t="str">
        <f>IF(A95="","",'Model Inputs'!$B$53*B95)</f>
        <v/>
      </c>
    </row>
    <row r="96" spans="1:5" ht="18" customHeight="1">
      <c r="A96" s="232" t="str">
        <f>IF(A95&gt;='Model Inputs'!$B$52,"",A95+1)</f>
        <v/>
      </c>
      <c r="B96" s="219" t="str">
        <f t="shared" si="2"/>
        <v/>
      </c>
      <c r="C96" s="231" t="str">
        <f>IF(A96="","",-PMT('Model Inputs'!$B$53,'Model Inputs'!$B$52,'Model Inputs'!$B$50))</f>
        <v/>
      </c>
      <c r="D96" s="231" t="str">
        <f t="shared" si="3"/>
        <v/>
      </c>
      <c r="E96" s="233" t="str">
        <f>IF(A96="","",'Model Inputs'!$B$53*B96)</f>
        <v/>
      </c>
    </row>
    <row r="97" spans="1:5" ht="18" customHeight="1">
      <c r="A97" s="232" t="str">
        <f>IF(A96&gt;='Model Inputs'!$B$52,"",A96+1)</f>
        <v/>
      </c>
      <c r="B97" s="219" t="str">
        <f t="shared" si="2"/>
        <v/>
      </c>
      <c r="C97" s="231" t="str">
        <f>IF(A97="","",-PMT('Model Inputs'!$B$53,'Model Inputs'!$B$52,'Model Inputs'!$B$50))</f>
        <v/>
      </c>
      <c r="D97" s="231" t="str">
        <f t="shared" si="3"/>
        <v/>
      </c>
      <c r="E97" s="233" t="str">
        <f>IF(A97="","",'Model Inputs'!$B$53*B97)</f>
        <v/>
      </c>
    </row>
    <row r="98" spans="1:5" ht="18" customHeight="1">
      <c r="A98" s="232" t="str">
        <f>IF(A97&gt;='Model Inputs'!$B$52,"",A97+1)</f>
        <v/>
      </c>
      <c r="B98" s="219" t="str">
        <f t="shared" si="2"/>
        <v/>
      </c>
      <c r="C98" s="231" t="str">
        <f>IF(A98="","",-PMT('Model Inputs'!$B$53,'Model Inputs'!$B$52,'Model Inputs'!$B$50))</f>
        <v/>
      </c>
      <c r="D98" s="231" t="str">
        <f t="shared" si="3"/>
        <v/>
      </c>
      <c r="E98" s="233" t="str">
        <f>IF(A98="","",'Model Inputs'!$B$53*B98)</f>
        <v/>
      </c>
    </row>
    <row r="99" spans="1:5" ht="18" customHeight="1">
      <c r="A99" s="232" t="str">
        <f>IF(A98&gt;='Model Inputs'!$B$52,"",A98+1)</f>
        <v/>
      </c>
      <c r="B99" s="219" t="str">
        <f t="shared" si="2"/>
        <v/>
      </c>
      <c r="C99" s="231" t="str">
        <f>IF(A99="","",-PMT('Model Inputs'!$B$53,'Model Inputs'!$B$52,'Model Inputs'!$B$50))</f>
        <v/>
      </c>
      <c r="D99" s="231" t="str">
        <f t="shared" si="3"/>
        <v/>
      </c>
      <c r="E99" s="233" t="str">
        <f>IF(A99="","",'Model Inputs'!$B$53*B99)</f>
        <v/>
      </c>
    </row>
    <row r="100" spans="1:5" ht="18" customHeight="1">
      <c r="A100" s="232" t="str">
        <f>IF(A99&gt;='Model Inputs'!$B$52,"",A99+1)</f>
        <v/>
      </c>
      <c r="B100" s="219" t="str">
        <f t="shared" si="2"/>
        <v/>
      </c>
      <c r="C100" s="231" t="str">
        <f>IF(A100="","",-PMT('Model Inputs'!$B$53,'Model Inputs'!$B$52,'Model Inputs'!$B$50))</f>
        <v/>
      </c>
      <c r="D100" s="231" t="str">
        <f t="shared" si="3"/>
        <v/>
      </c>
      <c r="E100" s="233" t="str">
        <f>IF(A100="","",'Model Inputs'!$B$53*B100)</f>
        <v/>
      </c>
    </row>
    <row r="101" spans="1:5" ht="18" customHeight="1">
      <c r="A101" s="232" t="str">
        <f>IF(A100&gt;='Model Inputs'!$B$52,"",A100+1)</f>
        <v/>
      </c>
      <c r="B101" s="219" t="str">
        <f t="shared" si="2"/>
        <v/>
      </c>
      <c r="C101" s="231" t="str">
        <f>IF(A101="","",-PMT('Model Inputs'!$B$53,'Model Inputs'!$B$52,'Model Inputs'!$B$50))</f>
        <v/>
      </c>
      <c r="D101" s="231" t="str">
        <f t="shared" si="3"/>
        <v/>
      </c>
      <c r="E101" s="233" t="str">
        <f>IF(A101="","",'Model Inputs'!$B$53*B101)</f>
        <v/>
      </c>
    </row>
    <row r="102" spans="1:5" ht="18" customHeight="1">
      <c r="A102" s="232" t="str">
        <f>IF(A101&gt;='Model Inputs'!$B$52,"",A101+1)</f>
        <v/>
      </c>
      <c r="B102" s="219" t="str">
        <f t="shared" si="2"/>
        <v/>
      </c>
      <c r="C102" s="231" t="str">
        <f>IF(A102="","",-PMT('Model Inputs'!$B$53,'Model Inputs'!$B$52,'Model Inputs'!$B$50))</f>
        <v/>
      </c>
      <c r="D102" s="231" t="str">
        <f t="shared" si="3"/>
        <v/>
      </c>
      <c r="E102" s="233" t="str">
        <f>IF(A102="","",'Model Inputs'!$B$53*B102)</f>
        <v/>
      </c>
    </row>
    <row r="103" spans="1:5" ht="18" customHeight="1">
      <c r="A103" s="232" t="str">
        <f>IF(A102&gt;='Model Inputs'!$B$52,"",A102+1)</f>
        <v/>
      </c>
      <c r="B103" s="219" t="str">
        <f t="shared" si="2"/>
        <v/>
      </c>
      <c r="C103" s="231" t="str">
        <f>IF(A103="","",-PMT('Model Inputs'!$B$53,'Model Inputs'!$B$52,'Model Inputs'!$B$50))</f>
        <v/>
      </c>
      <c r="D103" s="231" t="str">
        <f t="shared" si="3"/>
        <v/>
      </c>
      <c r="E103" s="233" t="str">
        <f>IF(A103="","",'Model Inputs'!$B$53*B103)</f>
        <v/>
      </c>
    </row>
    <row r="104" spans="1:5" ht="18" customHeight="1">
      <c r="A104" s="232" t="str">
        <f>IF(A103&gt;='Model Inputs'!$B$52,"",A103+1)</f>
        <v/>
      </c>
      <c r="B104" s="219" t="str">
        <f t="shared" si="2"/>
        <v/>
      </c>
      <c r="C104" s="231" t="str">
        <f>IF(A104="","",-PMT('Model Inputs'!$B$53,'Model Inputs'!$B$52,'Model Inputs'!$B$50))</f>
        <v/>
      </c>
      <c r="D104" s="231" t="str">
        <f t="shared" si="3"/>
        <v/>
      </c>
      <c r="E104" s="233" t="str">
        <f>IF(A104="","",'Model Inputs'!$B$53*B104)</f>
        <v/>
      </c>
    </row>
    <row r="105" spans="1:5" ht="18" customHeight="1">
      <c r="A105" s="232" t="str">
        <f>IF(A104&gt;='Model Inputs'!$B$52,"",A104+1)</f>
        <v/>
      </c>
      <c r="B105" s="219" t="str">
        <f t="shared" si="2"/>
        <v/>
      </c>
      <c r="C105" s="231" t="str">
        <f>IF(A105="","",-PMT('Model Inputs'!$B$53,'Model Inputs'!$B$52,'Model Inputs'!$B$50))</f>
        <v/>
      </c>
      <c r="D105" s="231" t="str">
        <f t="shared" si="3"/>
        <v/>
      </c>
      <c r="E105" s="233" t="str">
        <f>IF(A105="","",'Model Inputs'!$B$53*B105)</f>
        <v/>
      </c>
    </row>
    <row r="106" spans="1:5" ht="18" customHeight="1">
      <c r="A106" s="232" t="str">
        <f>IF(A105&gt;='Model Inputs'!$B$52,"",A105+1)</f>
        <v/>
      </c>
      <c r="B106" s="219" t="str">
        <f t="shared" si="2"/>
        <v/>
      </c>
      <c r="C106" s="231" t="str">
        <f>IF(A106="","",-PMT('Model Inputs'!$B$53,'Model Inputs'!$B$52,'Model Inputs'!$B$50))</f>
        <v/>
      </c>
      <c r="D106" s="231" t="str">
        <f t="shared" si="3"/>
        <v/>
      </c>
      <c r="E106" s="233" t="str">
        <f>IF(A106="","",'Model Inputs'!$B$53*B106)</f>
        <v/>
      </c>
    </row>
    <row r="107" spans="1:5" ht="18" customHeight="1">
      <c r="A107" s="232" t="str">
        <f>IF(A106&gt;='Model Inputs'!$B$52,"",A106+1)</f>
        <v/>
      </c>
      <c r="B107" s="219" t="str">
        <f t="shared" si="2"/>
        <v/>
      </c>
      <c r="C107" s="231" t="str">
        <f>IF(A107="","",-PMT('Model Inputs'!$B$53,'Model Inputs'!$B$52,'Model Inputs'!$B$50))</f>
        <v/>
      </c>
      <c r="D107" s="231" t="str">
        <f t="shared" si="3"/>
        <v/>
      </c>
      <c r="E107" s="233" t="str">
        <f>IF(A107="","",'Model Inputs'!$B$53*B107)</f>
        <v/>
      </c>
    </row>
    <row r="108" spans="1:5" ht="18" customHeight="1">
      <c r="A108" s="232" t="str">
        <f>IF(A107&gt;='Model Inputs'!$B$52,"",A107+1)</f>
        <v/>
      </c>
      <c r="B108" s="219" t="str">
        <f t="shared" si="2"/>
        <v/>
      </c>
      <c r="C108" s="231" t="str">
        <f>IF(A108="","",-PMT('Model Inputs'!$B$53,'Model Inputs'!$B$52,'Model Inputs'!$B$50))</f>
        <v/>
      </c>
      <c r="D108" s="231" t="str">
        <f t="shared" si="3"/>
        <v/>
      </c>
      <c r="E108" s="233" t="str">
        <f>IF(A108="","",'Model Inputs'!$B$53*B108)</f>
        <v/>
      </c>
    </row>
    <row r="109" spans="1:5" ht="18" customHeight="1">
      <c r="A109" s="232" t="str">
        <f>IF(A108&gt;='Model Inputs'!$B$52,"",A108+1)</f>
        <v/>
      </c>
      <c r="B109" s="219" t="str">
        <f t="shared" si="2"/>
        <v/>
      </c>
      <c r="C109" s="231" t="str">
        <f>IF(A109="","",-PMT('Model Inputs'!$B$53,'Model Inputs'!$B$52,'Model Inputs'!$B$50))</f>
        <v/>
      </c>
      <c r="D109" s="231" t="str">
        <f t="shared" si="3"/>
        <v/>
      </c>
      <c r="E109" s="233" t="str">
        <f>IF(A109="","",'Model Inputs'!$B$53*B109)</f>
        <v/>
      </c>
    </row>
    <row r="110" spans="1:5" ht="18" customHeight="1">
      <c r="A110" s="232" t="str">
        <f>IF(A109&gt;='Model Inputs'!$B$52,"",A109+1)</f>
        <v/>
      </c>
      <c r="B110" s="219" t="str">
        <f t="shared" si="2"/>
        <v/>
      </c>
      <c r="C110" s="231" t="str">
        <f>IF(A110="","",-PMT('Model Inputs'!$B$53,'Model Inputs'!$B$52,'Model Inputs'!$B$50))</f>
        <v/>
      </c>
      <c r="D110" s="231" t="str">
        <f t="shared" si="3"/>
        <v/>
      </c>
      <c r="E110" s="233" t="str">
        <f>IF(A110="","",'Model Inputs'!$B$53*B110)</f>
        <v/>
      </c>
    </row>
    <row r="111" spans="1:5" ht="18" customHeight="1">
      <c r="A111" s="232" t="str">
        <f>IF(A110&gt;='Model Inputs'!$B$52,"",A110+1)</f>
        <v/>
      </c>
      <c r="B111" s="219" t="str">
        <f t="shared" si="2"/>
        <v/>
      </c>
      <c r="C111" s="231" t="str">
        <f>IF(A111="","",-PMT('Model Inputs'!$B$53,'Model Inputs'!$B$52,'Model Inputs'!$B$50))</f>
        <v/>
      </c>
      <c r="D111" s="231" t="str">
        <f t="shared" si="3"/>
        <v/>
      </c>
      <c r="E111" s="233" t="str">
        <f>IF(A111="","",'Model Inputs'!$B$53*B111)</f>
        <v/>
      </c>
    </row>
    <row r="112" spans="1:5" ht="18" customHeight="1">
      <c r="A112" s="232" t="str">
        <f>IF(A111&gt;='Model Inputs'!$B$52,"",A111+1)</f>
        <v/>
      </c>
      <c r="B112" s="219" t="str">
        <f t="shared" si="2"/>
        <v/>
      </c>
      <c r="C112" s="231" t="str">
        <f>IF(A112="","",-PMT('Model Inputs'!$B$53,'Model Inputs'!$B$52,'Model Inputs'!$B$50))</f>
        <v/>
      </c>
      <c r="D112" s="231" t="str">
        <f t="shared" si="3"/>
        <v/>
      </c>
      <c r="E112" s="233" t="str">
        <f>IF(A112="","",'Model Inputs'!$B$53*B112)</f>
        <v/>
      </c>
    </row>
    <row r="113" spans="1:5" ht="18" customHeight="1">
      <c r="A113" s="232" t="str">
        <f>IF(A112&gt;='Model Inputs'!$B$52,"",A112+1)</f>
        <v/>
      </c>
      <c r="B113" s="219" t="str">
        <f t="shared" si="2"/>
        <v/>
      </c>
      <c r="C113" s="231" t="str">
        <f>IF(A113="","",-PMT('Model Inputs'!$B$53,'Model Inputs'!$B$52,'Model Inputs'!$B$50))</f>
        <v/>
      </c>
      <c r="D113" s="231" t="str">
        <f t="shared" si="3"/>
        <v/>
      </c>
      <c r="E113" s="233" t="str">
        <f>IF(A113="","",'Model Inputs'!$B$53*B113)</f>
        <v/>
      </c>
    </row>
    <row r="114" spans="1:5" ht="18" customHeight="1">
      <c r="A114" s="232" t="str">
        <f>IF(A113&gt;='Model Inputs'!$B$52,"",A113+1)</f>
        <v/>
      </c>
      <c r="B114" s="219" t="str">
        <f t="shared" si="2"/>
        <v/>
      </c>
      <c r="C114" s="231" t="str">
        <f>IF(A114="","",-PMT('Model Inputs'!$B$53,'Model Inputs'!$B$52,'Model Inputs'!$B$50))</f>
        <v/>
      </c>
      <c r="D114" s="231" t="str">
        <f t="shared" si="3"/>
        <v/>
      </c>
      <c r="E114" s="233" t="str">
        <f>IF(A114="","",'Model Inputs'!$B$53*B114)</f>
        <v/>
      </c>
    </row>
    <row r="115" spans="1:5" ht="18" customHeight="1">
      <c r="A115" s="232" t="str">
        <f>IF(A114&gt;='Model Inputs'!$B$52,"",A114+1)</f>
        <v/>
      </c>
      <c r="B115" s="219" t="str">
        <f t="shared" si="2"/>
        <v/>
      </c>
      <c r="C115" s="231" t="str">
        <f>IF(A115="","",-PMT('Model Inputs'!$B$53,'Model Inputs'!$B$52,'Model Inputs'!$B$50))</f>
        <v/>
      </c>
      <c r="D115" s="231" t="str">
        <f t="shared" si="3"/>
        <v/>
      </c>
      <c r="E115" s="233" t="str">
        <f>IF(A115="","",'Model Inputs'!$B$53*B115)</f>
        <v/>
      </c>
    </row>
    <row r="116" spans="1:5" ht="18" customHeight="1">
      <c r="A116" s="232" t="str">
        <f>IF(A115&gt;='Model Inputs'!$B$52,"",A115+1)</f>
        <v/>
      </c>
      <c r="B116" s="219" t="str">
        <f t="shared" si="2"/>
        <v/>
      </c>
      <c r="C116" s="231" t="str">
        <f>IF(A116="","",-PMT('Model Inputs'!$B$53,'Model Inputs'!$B$52,'Model Inputs'!$B$50))</f>
        <v/>
      </c>
      <c r="D116" s="231" t="str">
        <f t="shared" si="3"/>
        <v/>
      </c>
      <c r="E116" s="233" t="str">
        <f>IF(A116="","",'Model Inputs'!$B$53*B116)</f>
        <v/>
      </c>
    </row>
    <row r="117" spans="1:5" ht="18" customHeight="1">
      <c r="A117" s="232" t="str">
        <f>IF(A116&gt;='Model Inputs'!$B$52,"",A116+1)</f>
        <v/>
      </c>
      <c r="B117" s="219" t="str">
        <f t="shared" si="2"/>
        <v/>
      </c>
      <c r="C117" s="231" t="str">
        <f>IF(A117="","",-PMT('Model Inputs'!$B$53,'Model Inputs'!$B$52,'Model Inputs'!$B$50))</f>
        <v/>
      </c>
      <c r="D117" s="231" t="str">
        <f t="shared" si="3"/>
        <v/>
      </c>
      <c r="E117" s="233" t="str">
        <f>IF(A117="","",'Model Inputs'!$B$53*B117)</f>
        <v/>
      </c>
    </row>
    <row r="118" spans="1:5" ht="18" customHeight="1">
      <c r="A118" s="232" t="str">
        <f>IF(A117&gt;='Model Inputs'!$B$52,"",A117+1)</f>
        <v/>
      </c>
      <c r="B118" s="219" t="str">
        <f t="shared" si="2"/>
        <v/>
      </c>
      <c r="C118" s="231" t="str">
        <f>IF(A118="","",-PMT('Model Inputs'!$B$53,'Model Inputs'!$B$52,'Model Inputs'!$B$50))</f>
        <v/>
      </c>
      <c r="D118" s="231" t="str">
        <f t="shared" si="3"/>
        <v/>
      </c>
      <c r="E118" s="233" t="str">
        <f>IF(A118="","",'Model Inputs'!$B$53*B118)</f>
        <v/>
      </c>
    </row>
    <row r="119" spans="1:5" ht="18" customHeight="1">
      <c r="A119" s="232" t="str">
        <f>IF(A118&gt;='Model Inputs'!$B$52,"",A118+1)</f>
        <v/>
      </c>
      <c r="B119" s="219" t="str">
        <f t="shared" si="2"/>
        <v/>
      </c>
      <c r="C119" s="231" t="str">
        <f>IF(A119="","",-PMT('Model Inputs'!$B$53,'Model Inputs'!$B$52,'Model Inputs'!$B$50))</f>
        <v/>
      </c>
      <c r="D119" s="231" t="str">
        <f t="shared" si="3"/>
        <v/>
      </c>
      <c r="E119" s="233" t="str">
        <f>IF(A119="","",'Model Inputs'!$B$53*B119)</f>
        <v/>
      </c>
    </row>
    <row r="120" spans="1:5" ht="18" customHeight="1">
      <c r="A120" s="232" t="str">
        <f>IF(A119&gt;='Model Inputs'!$B$52,"",A119+1)</f>
        <v/>
      </c>
      <c r="B120" s="219" t="str">
        <f t="shared" si="2"/>
        <v/>
      </c>
      <c r="C120" s="231" t="str">
        <f>IF(A120="","",-PMT('Model Inputs'!$B$53,'Model Inputs'!$B$52,'Model Inputs'!$B$50))</f>
        <v/>
      </c>
      <c r="D120" s="231" t="str">
        <f t="shared" si="3"/>
        <v/>
      </c>
      <c r="E120" s="233" t="str">
        <f>IF(A120="","",'Model Inputs'!$B$53*B120)</f>
        <v/>
      </c>
    </row>
    <row r="121" spans="1:5" ht="18" customHeight="1">
      <c r="A121" s="232" t="str">
        <f>IF(A120&gt;='Model Inputs'!$B$52,"",A120+1)</f>
        <v/>
      </c>
      <c r="B121" s="219" t="str">
        <f t="shared" si="2"/>
        <v/>
      </c>
      <c r="C121" s="231" t="str">
        <f>IF(A121="","",-PMT('Model Inputs'!$B$53,'Model Inputs'!$B$52,'Model Inputs'!$B$50))</f>
        <v/>
      </c>
      <c r="D121" s="231" t="str">
        <f t="shared" si="3"/>
        <v/>
      </c>
      <c r="E121" s="233" t="str">
        <f>IF(A121="","",'Model Inputs'!$B$53*B121)</f>
        <v/>
      </c>
    </row>
    <row r="122" spans="1:5" ht="18" customHeight="1">
      <c r="A122" s="232" t="str">
        <f>IF(A121&gt;='Model Inputs'!$B$52,"",A121+1)</f>
        <v/>
      </c>
      <c r="B122" s="219" t="str">
        <f t="shared" si="2"/>
        <v/>
      </c>
      <c r="C122" s="231" t="str">
        <f>IF(A122="","",-PMT('Model Inputs'!$B$53,'Model Inputs'!$B$52,'Model Inputs'!$B$50))</f>
        <v/>
      </c>
      <c r="D122" s="231" t="str">
        <f t="shared" si="3"/>
        <v/>
      </c>
      <c r="E122" s="233" t="str">
        <f>IF(A122="","",'Model Inputs'!$B$53*B122)</f>
        <v/>
      </c>
    </row>
    <row r="123" spans="1:5" ht="18" customHeight="1">
      <c r="A123" s="232" t="str">
        <f>IF(A122&gt;='Model Inputs'!$B$52,"",A122+1)</f>
        <v/>
      </c>
      <c r="B123" s="219" t="str">
        <f t="shared" si="2"/>
        <v/>
      </c>
      <c r="C123" s="231" t="str">
        <f>IF(A123="","",-PMT('Model Inputs'!$B$53,'Model Inputs'!$B$52,'Model Inputs'!$B$50))</f>
        <v/>
      </c>
      <c r="D123" s="231" t="str">
        <f t="shared" si="3"/>
        <v/>
      </c>
      <c r="E123" s="233" t="str">
        <f>IF(A123="","",'Model Inputs'!$B$53*B123)</f>
        <v/>
      </c>
    </row>
    <row r="124" spans="1:5" ht="18" customHeight="1">
      <c r="A124" s="232" t="str">
        <f>IF(A123&gt;='Model Inputs'!$B$52,"",A123+1)</f>
        <v/>
      </c>
      <c r="B124" s="219" t="str">
        <f t="shared" si="2"/>
        <v/>
      </c>
      <c r="C124" s="231" t="str">
        <f>IF(A124="","",-PMT('Model Inputs'!$B$53,'Model Inputs'!$B$52,'Model Inputs'!$B$50))</f>
        <v/>
      </c>
      <c r="D124" s="231" t="str">
        <f t="shared" si="3"/>
        <v/>
      </c>
      <c r="E124" s="233" t="str">
        <f>IF(A124="","",'Model Inputs'!$B$53*B124)</f>
        <v/>
      </c>
    </row>
    <row r="125" spans="1:5" ht="18" customHeight="1">
      <c r="A125" s="232" t="str">
        <f>IF(A124&gt;='Model Inputs'!$B$52,"",A124+1)</f>
        <v/>
      </c>
      <c r="B125" s="219" t="str">
        <f t="shared" si="2"/>
        <v/>
      </c>
      <c r="C125" s="231" t="str">
        <f>IF(A125="","",-PMT('Model Inputs'!$B$53,'Model Inputs'!$B$52,'Model Inputs'!$B$50))</f>
        <v/>
      </c>
      <c r="D125" s="231" t="str">
        <f t="shared" si="3"/>
        <v/>
      </c>
      <c r="E125" s="233" t="str">
        <f>IF(A125="","",'Model Inputs'!$B$53*B125)</f>
        <v/>
      </c>
    </row>
    <row r="126" spans="1:5" ht="18" customHeight="1">
      <c r="A126" s="232" t="str">
        <f>IF(A125&gt;='Model Inputs'!$B$52,"",A125+1)</f>
        <v/>
      </c>
      <c r="B126" s="219" t="str">
        <f t="shared" si="2"/>
        <v/>
      </c>
      <c r="C126" s="231" t="str">
        <f>IF(A126="","",-PMT('Model Inputs'!$B$53,'Model Inputs'!$B$52,'Model Inputs'!$B$50))</f>
        <v/>
      </c>
      <c r="D126" s="231" t="str">
        <f t="shared" si="3"/>
        <v/>
      </c>
      <c r="E126" s="233" t="str">
        <f>IF(A126="","",'Model Inputs'!$B$53*B126)</f>
        <v/>
      </c>
    </row>
    <row r="127" spans="1:5" ht="18" customHeight="1">
      <c r="A127" s="232" t="str">
        <f>IF(A126&gt;='Model Inputs'!$B$52,"",A126+1)</f>
        <v/>
      </c>
      <c r="B127" s="219" t="str">
        <f t="shared" si="2"/>
        <v/>
      </c>
      <c r="C127" s="231" t="str">
        <f>IF(A127="","",-PMT('Model Inputs'!$B$53,'Model Inputs'!$B$52,'Model Inputs'!$B$50))</f>
        <v/>
      </c>
      <c r="D127" s="231" t="str">
        <f t="shared" si="3"/>
        <v/>
      </c>
      <c r="E127" s="233" t="str">
        <f>IF(A127="","",'Model Inputs'!$B$53*B127)</f>
        <v/>
      </c>
    </row>
    <row r="128" spans="1:5" ht="18" customHeight="1">
      <c r="A128" s="232" t="str">
        <f>IF(A127&gt;='Model Inputs'!$B$52,"",A127+1)</f>
        <v/>
      </c>
      <c r="B128" s="219" t="str">
        <f t="shared" si="2"/>
        <v/>
      </c>
      <c r="C128" s="231" t="str">
        <f>IF(A128="","",-PMT('Model Inputs'!$B$53,'Model Inputs'!$B$52,'Model Inputs'!$B$50))</f>
        <v/>
      </c>
      <c r="D128" s="231" t="str">
        <f t="shared" si="3"/>
        <v/>
      </c>
      <c r="E128" s="233" t="str">
        <f>IF(A128="","",'Model Inputs'!$B$53*B128)</f>
        <v/>
      </c>
    </row>
    <row r="129" spans="1:5" ht="18" customHeight="1">
      <c r="A129" s="232" t="str">
        <f>IF(A128&gt;='Model Inputs'!$B$52,"",A128+1)</f>
        <v/>
      </c>
      <c r="B129" s="219" t="str">
        <f t="shared" si="2"/>
        <v/>
      </c>
      <c r="C129" s="231" t="str">
        <f>IF(A129="","",-PMT('Model Inputs'!$B$53,'Model Inputs'!$B$52,'Model Inputs'!$B$50))</f>
        <v/>
      </c>
      <c r="D129" s="231" t="str">
        <f t="shared" si="3"/>
        <v/>
      </c>
      <c r="E129" s="233" t="str">
        <f>IF(A129="","",'Model Inputs'!$B$53*B129)</f>
        <v/>
      </c>
    </row>
    <row r="130" spans="1:5" ht="18" customHeight="1">
      <c r="A130" s="232" t="str">
        <f>IF(A129&gt;='Model Inputs'!$B$52,"",A129+1)</f>
        <v/>
      </c>
      <c r="B130" s="219" t="str">
        <f t="shared" si="2"/>
        <v/>
      </c>
      <c r="C130" s="231" t="str">
        <f>IF(A130="","",-PMT('Model Inputs'!$B$53,'Model Inputs'!$B$52,'Model Inputs'!$B$50))</f>
        <v/>
      </c>
      <c r="D130" s="231" t="str">
        <f t="shared" si="3"/>
        <v/>
      </c>
      <c r="E130" s="233" t="str">
        <f>IF(A130="","",'Model Inputs'!$B$53*B130)</f>
        <v/>
      </c>
    </row>
    <row r="131" spans="1:5" ht="18" customHeight="1">
      <c r="A131" s="232" t="str">
        <f>IF(A130&gt;='Model Inputs'!$B$52,"",A130+1)</f>
        <v/>
      </c>
      <c r="B131" s="219" t="str">
        <f t="shared" si="2"/>
        <v/>
      </c>
      <c r="C131" s="231" t="str">
        <f>IF(A131="","",-PMT('Model Inputs'!$B$53,'Model Inputs'!$B$52,'Model Inputs'!$B$50))</f>
        <v/>
      </c>
      <c r="D131" s="231" t="str">
        <f t="shared" si="3"/>
        <v/>
      </c>
      <c r="E131" s="233" t="str">
        <f>IF(A131="","",'Model Inputs'!$B$53*B131)</f>
        <v/>
      </c>
    </row>
    <row r="132" spans="1:5" ht="18" customHeight="1">
      <c r="A132" s="232" t="str">
        <f>IF(A131&gt;='Model Inputs'!$B$52,"",A131+1)</f>
        <v/>
      </c>
      <c r="B132" s="219" t="str">
        <f t="shared" si="2"/>
        <v/>
      </c>
      <c r="C132" s="231" t="str">
        <f>IF(A132="","",-PMT('Model Inputs'!$B$53,'Model Inputs'!$B$52,'Model Inputs'!$B$50))</f>
        <v/>
      </c>
      <c r="D132" s="231" t="str">
        <f t="shared" si="3"/>
        <v/>
      </c>
      <c r="E132" s="233" t="str">
        <f>IF(A132="","",'Model Inputs'!$B$53*B132)</f>
        <v/>
      </c>
    </row>
    <row r="133" spans="1:5" ht="18" customHeight="1">
      <c r="A133" s="232" t="str">
        <f>IF(A132&gt;='Model Inputs'!$B$52,"",A132+1)</f>
        <v/>
      </c>
      <c r="B133" s="219" t="str">
        <f t="shared" si="2"/>
        <v/>
      </c>
      <c r="C133" s="231" t="str">
        <f>IF(A133="","",-PMT('Model Inputs'!$B$53,'Model Inputs'!$B$52,'Model Inputs'!$B$50))</f>
        <v/>
      </c>
      <c r="D133" s="231" t="str">
        <f t="shared" si="3"/>
        <v/>
      </c>
      <c r="E133" s="233" t="str">
        <f>IF(A133="","",'Model Inputs'!$B$53*B133)</f>
        <v/>
      </c>
    </row>
    <row r="134" spans="1:5" ht="18" customHeight="1">
      <c r="A134" s="232" t="str">
        <f>IF(A133&gt;='Model Inputs'!$B$52,"",A133+1)</f>
        <v/>
      </c>
      <c r="B134" s="219" t="str">
        <f t="shared" si="2"/>
        <v/>
      </c>
      <c r="C134" s="231" t="str">
        <f>IF(A134="","",-PMT('Model Inputs'!$B$53,'Model Inputs'!$B$52,'Model Inputs'!$B$50))</f>
        <v/>
      </c>
      <c r="D134" s="231" t="str">
        <f t="shared" si="3"/>
        <v/>
      </c>
      <c r="E134" s="233" t="str">
        <f>IF(A134="","",'Model Inputs'!$B$53*B134)</f>
        <v/>
      </c>
    </row>
    <row r="135" spans="1:5" ht="18" customHeight="1">
      <c r="A135" s="232" t="str">
        <f>IF(A134&gt;='Model Inputs'!$B$52,"",A134+1)</f>
        <v/>
      </c>
      <c r="B135" s="219" t="str">
        <f t="shared" si="2"/>
        <v/>
      </c>
      <c r="C135" s="231" t="str">
        <f>IF(A135="","",-PMT('Model Inputs'!$B$53,'Model Inputs'!$B$52,'Model Inputs'!$B$50))</f>
        <v/>
      </c>
      <c r="D135" s="231" t="str">
        <f t="shared" si="3"/>
        <v/>
      </c>
      <c r="E135" s="233" t="str">
        <f>IF(A135="","",'Model Inputs'!$B$53*B135)</f>
        <v/>
      </c>
    </row>
    <row r="136" spans="1:5" ht="18" customHeight="1">
      <c r="A136" s="232" t="str">
        <f>IF(A135&gt;='Model Inputs'!$B$52,"",A135+1)</f>
        <v/>
      </c>
      <c r="B136" s="219" t="str">
        <f t="shared" si="2"/>
        <v/>
      </c>
      <c r="C136" s="231" t="str">
        <f>IF(A136="","",-PMT('Model Inputs'!$B$53,'Model Inputs'!$B$52,'Model Inputs'!$B$50))</f>
        <v/>
      </c>
      <c r="D136" s="231" t="str">
        <f t="shared" si="3"/>
        <v/>
      </c>
      <c r="E136" s="233" t="str">
        <f>IF(A136="","",'Model Inputs'!$B$53*B136)</f>
        <v/>
      </c>
    </row>
    <row r="137" spans="1:5" ht="18" customHeight="1">
      <c r="A137" s="232" t="str">
        <f>IF(A136&gt;='Model Inputs'!$B$52,"",A136+1)</f>
        <v/>
      </c>
      <c r="B137" s="219" t="str">
        <f t="shared" si="2"/>
        <v/>
      </c>
      <c r="C137" s="231" t="str">
        <f>IF(A137="","",-PMT('Model Inputs'!$B$53,'Model Inputs'!$B$52,'Model Inputs'!$B$50))</f>
        <v/>
      </c>
      <c r="D137" s="231" t="str">
        <f t="shared" si="3"/>
        <v/>
      </c>
      <c r="E137" s="233" t="str">
        <f>IF(A137="","",'Model Inputs'!$B$53*B137)</f>
        <v/>
      </c>
    </row>
    <row r="138" spans="1:5" ht="18" customHeight="1">
      <c r="A138" s="232" t="str">
        <f>IF(A137&gt;='Model Inputs'!$B$52,"",A137+1)</f>
        <v/>
      </c>
      <c r="B138" s="219" t="str">
        <f t="shared" ref="B138:B201" si="4">IF(A138="","",B137-D137)</f>
        <v/>
      </c>
      <c r="C138" s="231" t="str">
        <f>IF(A138="","",-PMT('Model Inputs'!$B$53,'Model Inputs'!$B$52,'Model Inputs'!$B$50))</f>
        <v/>
      </c>
      <c r="D138" s="231" t="str">
        <f t="shared" ref="D138:D201" si="5">IF(A138="","",C138-E138)</f>
        <v/>
      </c>
      <c r="E138" s="233" t="str">
        <f>IF(A138="","",'Model Inputs'!$B$53*B138)</f>
        <v/>
      </c>
    </row>
    <row r="139" spans="1:5" ht="18" customHeight="1">
      <c r="A139" s="232" t="str">
        <f>IF(A138&gt;='Model Inputs'!$B$52,"",A138+1)</f>
        <v/>
      </c>
      <c r="B139" s="219" t="str">
        <f t="shared" si="4"/>
        <v/>
      </c>
      <c r="C139" s="231" t="str">
        <f>IF(A139="","",-PMT('Model Inputs'!$B$53,'Model Inputs'!$B$52,'Model Inputs'!$B$50))</f>
        <v/>
      </c>
      <c r="D139" s="231" t="str">
        <f t="shared" si="5"/>
        <v/>
      </c>
      <c r="E139" s="233" t="str">
        <f>IF(A139="","",'Model Inputs'!$B$53*B139)</f>
        <v/>
      </c>
    </row>
    <row r="140" spans="1:5" ht="18" customHeight="1">
      <c r="A140" s="232" t="str">
        <f>IF(A139&gt;='Model Inputs'!$B$52,"",A139+1)</f>
        <v/>
      </c>
      <c r="B140" s="219" t="str">
        <f t="shared" si="4"/>
        <v/>
      </c>
      <c r="C140" s="231" t="str">
        <f>IF(A140="","",-PMT('Model Inputs'!$B$53,'Model Inputs'!$B$52,'Model Inputs'!$B$50))</f>
        <v/>
      </c>
      <c r="D140" s="231" t="str">
        <f t="shared" si="5"/>
        <v/>
      </c>
      <c r="E140" s="233" t="str">
        <f>IF(A140="","",'Model Inputs'!$B$53*B140)</f>
        <v/>
      </c>
    </row>
    <row r="141" spans="1:5" ht="18" customHeight="1">
      <c r="A141" s="232" t="str">
        <f>IF(A140&gt;='Model Inputs'!$B$52,"",A140+1)</f>
        <v/>
      </c>
      <c r="B141" s="219" t="str">
        <f t="shared" si="4"/>
        <v/>
      </c>
      <c r="C141" s="231" t="str">
        <f>IF(A141="","",-PMT('Model Inputs'!$B$53,'Model Inputs'!$B$52,'Model Inputs'!$B$50))</f>
        <v/>
      </c>
      <c r="D141" s="231" t="str">
        <f t="shared" si="5"/>
        <v/>
      </c>
      <c r="E141" s="233" t="str">
        <f>IF(A141="","",'Model Inputs'!$B$53*B141)</f>
        <v/>
      </c>
    </row>
    <row r="142" spans="1:5" ht="18" customHeight="1">
      <c r="A142" s="232" t="str">
        <f>IF(A141&gt;='Model Inputs'!$B$52,"",A141+1)</f>
        <v/>
      </c>
      <c r="B142" s="219" t="str">
        <f t="shared" si="4"/>
        <v/>
      </c>
      <c r="C142" s="231" t="str">
        <f>IF(A142="","",-PMT('Model Inputs'!$B$53,'Model Inputs'!$B$52,'Model Inputs'!$B$50))</f>
        <v/>
      </c>
      <c r="D142" s="231" t="str">
        <f t="shared" si="5"/>
        <v/>
      </c>
      <c r="E142" s="233" t="str">
        <f>IF(A142="","",'Model Inputs'!$B$53*B142)</f>
        <v/>
      </c>
    </row>
    <row r="143" spans="1:5" ht="18" customHeight="1">
      <c r="A143" s="232" t="str">
        <f>IF(A142&gt;='Model Inputs'!$B$52,"",A142+1)</f>
        <v/>
      </c>
      <c r="B143" s="219" t="str">
        <f t="shared" si="4"/>
        <v/>
      </c>
      <c r="C143" s="231" t="str">
        <f>IF(A143="","",-PMT('Model Inputs'!$B$53,'Model Inputs'!$B$52,'Model Inputs'!$B$50))</f>
        <v/>
      </c>
      <c r="D143" s="231" t="str">
        <f t="shared" si="5"/>
        <v/>
      </c>
      <c r="E143" s="233" t="str">
        <f>IF(A143="","",'Model Inputs'!$B$53*B143)</f>
        <v/>
      </c>
    </row>
    <row r="144" spans="1:5" ht="18" customHeight="1">
      <c r="A144" s="232" t="str">
        <f>IF(A143&gt;='Model Inputs'!$B$52,"",A143+1)</f>
        <v/>
      </c>
      <c r="B144" s="219" t="str">
        <f t="shared" si="4"/>
        <v/>
      </c>
      <c r="C144" s="231" t="str">
        <f>IF(A144="","",-PMT('Model Inputs'!$B$53,'Model Inputs'!$B$52,'Model Inputs'!$B$50))</f>
        <v/>
      </c>
      <c r="D144" s="231" t="str">
        <f t="shared" si="5"/>
        <v/>
      </c>
      <c r="E144" s="233" t="str">
        <f>IF(A144="","",'Model Inputs'!$B$53*B144)</f>
        <v/>
      </c>
    </row>
    <row r="145" spans="1:5" ht="18" customHeight="1">
      <c r="A145" s="232" t="str">
        <f>IF(A144&gt;='Model Inputs'!$B$52,"",A144+1)</f>
        <v/>
      </c>
      <c r="B145" s="219" t="str">
        <f t="shared" si="4"/>
        <v/>
      </c>
      <c r="C145" s="231" t="str">
        <f>IF(A145="","",-PMT('Model Inputs'!$B$53,'Model Inputs'!$B$52,'Model Inputs'!$B$50))</f>
        <v/>
      </c>
      <c r="D145" s="231" t="str">
        <f t="shared" si="5"/>
        <v/>
      </c>
      <c r="E145" s="233" t="str">
        <f>IF(A145="","",'Model Inputs'!$B$53*B145)</f>
        <v/>
      </c>
    </row>
    <row r="146" spans="1:5" ht="18" customHeight="1">
      <c r="A146" s="232" t="str">
        <f>IF(A145&gt;='Model Inputs'!$B$52,"",A145+1)</f>
        <v/>
      </c>
      <c r="B146" s="219" t="str">
        <f t="shared" si="4"/>
        <v/>
      </c>
      <c r="C146" s="231" t="str">
        <f>IF(A146="","",-PMT('Model Inputs'!$B$53,'Model Inputs'!$B$52,'Model Inputs'!$B$50))</f>
        <v/>
      </c>
      <c r="D146" s="231" t="str">
        <f t="shared" si="5"/>
        <v/>
      </c>
      <c r="E146" s="233" t="str">
        <f>IF(A146="","",'Model Inputs'!$B$53*B146)</f>
        <v/>
      </c>
    </row>
    <row r="147" spans="1:5" ht="18" customHeight="1">
      <c r="A147" s="232" t="str">
        <f>IF(A146&gt;='Model Inputs'!$B$52,"",A146+1)</f>
        <v/>
      </c>
      <c r="B147" s="219" t="str">
        <f t="shared" si="4"/>
        <v/>
      </c>
      <c r="C147" s="231" t="str">
        <f>IF(A147="","",-PMT('Model Inputs'!$B$53,'Model Inputs'!$B$52,'Model Inputs'!$B$50))</f>
        <v/>
      </c>
      <c r="D147" s="231" t="str">
        <f t="shared" si="5"/>
        <v/>
      </c>
      <c r="E147" s="233" t="str">
        <f>IF(A147="","",'Model Inputs'!$B$53*B147)</f>
        <v/>
      </c>
    </row>
    <row r="148" spans="1:5" ht="18" customHeight="1">
      <c r="A148" s="232" t="str">
        <f>IF(A147&gt;='Model Inputs'!$B$52,"",A147+1)</f>
        <v/>
      </c>
      <c r="B148" s="219" t="str">
        <f t="shared" si="4"/>
        <v/>
      </c>
      <c r="C148" s="231" t="str">
        <f>IF(A148="","",-PMT('Model Inputs'!$B$53,'Model Inputs'!$B$52,'Model Inputs'!$B$50))</f>
        <v/>
      </c>
      <c r="D148" s="231" t="str">
        <f t="shared" si="5"/>
        <v/>
      </c>
      <c r="E148" s="233" t="str">
        <f>IF(A148="","",'Model Inputs'!$B$53*B148)</f>
        <v/>
      </c>
    </row>
    <row r="149" spans="1:5" ht="18" customHeight="1">
      <c r="A149" s="232" t="str">
        <f>IF(A148&gt;='Model Inputs'!$B$52,"",A148+1)</f>
        <v/>
      </c>
      <c r="B149" s="219" t="str">
        <f t="shared" si="4"/>
        <v/>
      </c>
      <c r="C149" s="231" t="str">
        <f>IF(A149="","",-PMT('Model Inputs'!$B$53,'Model Inputs'!$B$52,'Model Inputs'!$B$50))</f>
        <v/>
      </c>
      <c r="D149" s="231" t="str">
        <f t="shared" si="5"/>
        <v/>
      </c>
      <c r="E149" s="233" t="str">
        <f>IF(A149="","",'Model Inputs'!$B$53*B149)</f>
        <v/>
      </c>
    </row>
    <row r="150" spans="1:5" ht="18" customHeight="1">
      <c r="A150" s="232" t="str">
        <f>IF(A149&gt;='Model Inputs'!$B$52,"",A149+1)</f>
        <v/>
      </c>
      <c r="B150" s="219" t="str">
        <f t="shared" si="4"/>
        <v/>
      </c>
      <c r="C150" s="231" t="str">
        <f>IF(A150="","",-PMT('Model Inputs'!$B$53,'Model Inputs'!$B$52,'Model Inputs'!$B$50))</f>
        <v/>
      </c>
      <c r="D150" s="231" t="str">
        <f t="shared" si="5"/>
        <v/>
      </c>
      <c r="E150" s="233" t="str">
        <f>IF(A150="","",'Model Inputs'!$B$53*B150)</f>
        <v/>
      </c>
    </row>
    <row r="151" spans="1:5" ht="18" customHeight="1">
      <c r="A151" s="232" t="str">
        <f>IF(A150&gt;='Model Inputs'!$B$52,"",A150+1)</f>
        <v/>
      </c>
      <c r="B151" s="219" t="str">
        <f t="shared" si="4"/>
        <v/>
      </c>
      <c r="C151" s="231" t="str">
        <f>IF(A151="","",-PMT('Model Inputs'!$B$53,'Model Inputs'!$B$52,'Model Inputs'!$B$50))</f>
        <v/>
      </c>
      <c r="D151" s="231" t="str">
        <f t="shared" si="5"/>
        <v/>
      </c>
      <c r="E151" s="233" t="str">
        <f>IF(A151="","",'Model Inputs'!$B$53*B151)</f>
        <v/>
      </c>
    </row>
    <row r="152" spans="1:5" ht="18" customHeight="1">
      <c r="A152" s="232" t="str">
        <f>IF(A151&gt;='Model Inputs'!$B$52,"",A151+1)</f>
        <v/>
      </c>
      <c r="B152" s="219" t="str">
        <f t="shared" si="4"/>
        <v/>
      </c>
      <c r="C152" s="231" t="str">
        <f>IF(A152="","",-PMT('Model Inputs'!$B$53,'Model Inputs'!$B$52,'Model Inputs'!$B$50))</f>
        <v/>
      </c>
      <c r="D152" s="231" t="str">
        <f t="shared" si="5"/>
        <v/>
      </c>
      <c r="E152" s="233" t="str">
        <f>IF(A152="","",'Model Inputs'!$B$53*B152)</f>
        <v/>
      </c>
    </row>
    <row r="153" spans="1:5" ht="18" customHeight="1">
      <c r="A153" s="232" t="str">
        <f>IF(A152&gt;='Model Inputs'!$B$52,"",A152+1)</f>
        <v/>
      </c>
      <c r="B153" s="219" t="str">
        <f t="shared" si="4"/>
        <v/>
      </c>
      <c r="C153" s="231" t="str">
        <f>IF(A153="","",-PMT('Model Inputs'!$B$53,'Model Inputs'!$B$52,'Model Inputs'!$B$50))</f>
        <v/>
      </c>
      <c r="D153" s="231" t="str">
        <f t="shared" si="5"/>
        <v/>
      </c>
      <c r="E153" s="233" t="str">
        <f>IF(A153="","",'Model Inputs'!$B$53*B153)</f>
        <v/>
      </c>
    </row>
    <row r="154" spans="1:5" ht="18" customHeight="1">
      <c r="A154" s="232" t="str">
        <f>IF(A153&gt;='Model Inputs'!$B$52,"",A153+1)</f>
        <v/>
      </c>
      <c r="B154" s="219" t="str">
        <f t="shared" si="4"/>
        <v/>
      </c>
      <c r="C154" s="231" t="str">
        <f>IF(A154="","",-PMT('Model Inputs'!$B$53,'Model Inputs'!$B$52,'Model Inputs'!$B$50))</f>
        <v/>
      </c>
      <c r="D154" s="231" t="str">
        <f t="shared" si="5"/>
        <v/>
      </c>
      <c r="E154" s="233" t="str">
        <f>IF(A154="","",'Model Inputs'!$B$53*B154)</f>
        <v/>
      </c>
    </row>
    <row r="155" spans="1:5" ht="18" customHeight="1">
      <c r="A155" s="232" t="str">
        <f>IF(A154&gt;='Model Inputs'!$B$52,"",A154+1)</f>
        <v/>
      </c>
      <c r="B155" s="219" t="str">
        <f t="shared" si="4"/>
        <v/>
      </c>
      <c r="C155" s="231" t="str">
        <f>IF(A155="","",-PMT('Model Inputs'!$B$53,'Model Inputs'!$B$52,'Model Inputs'!$B$50))</f>
        <v/>
      </c>
      <c r="D155" s="231" t="str">
        <f t="shared" si="5"/>
        <v/>
      </c>
      <c r="E155" s="233" t="str">
        <f>IF(A155="","",'Model Inputs'!$B$53*B155)</f>
        <v/>
      </c>
    </row>
    <row r="156" spans="1:5" ht="18" customHeight="1">
      <c r="A156" s="232" t="str">
        <f>IF(A155&gt;='Model Inputs'!$B$52,"",A155+1)</f>
        <v/>
      </c>
      <c r="B156" s="219" t="str">
        <f t="shared" si="4"/>
        <v/>
      </c>
      <c r="C156" s="231" t="str">
        <f>IF(A156="","",-PMT('Model Inputs'!$B$53,'Model Inputs'!$B$52,'Model Inputs'!$B$50))</f>
        <v/>
      </c>
      <c r="D156" s="231" t="str">
        <f t="shared" si="5"/>
        <v/>
      </c>
      <c r="E156" s="233" t="str">
        <f>IF(A156="","",'Model Inputs'!$B$53*B156)</f>
        <v/>
      </c>
    </row>
    <row r="157" spans="1:5" ht="18" customHeight="1">
      <c r="A157" s="232" t="str">
        <f>IF(A156&gt;='Model Inputs'!$B$52,"",A156+1)</f>
        <v/>
      </c>
      <c r="B157" s="219" t="str">
        <f t="shared" si="4"/>
        <v/>
      </c>
      <c r="C157" s="231" t="str">
        <f>IF(A157="","",-PMT('Model Inputs'!$B$53,'Model Inputs'!$B$52,'Model Inputs'!$B$50))</f>
        <v/>
      </c>
      <c r="D157" s="231" t="str">
        <f t="shared" si="5"/>
        <v/>
      </c>
      <c r="E157" s="233" t="str">
        <f>IF(A157="","",'Model Inputs'!$B$53*B157)</f>
        <v/>
      </c>
    </row>
    <row r="158" spans="1:5" ht="18" customHeight="1">
      <c r="A158" s="232" t="str">
        <f>IF(A157&gt;='Model Inputs'!$B$52,"",A157+1)</f>
        <v/>
      </c>
      <c r="B158" s="219" t="str">
        <f t="shared" si="4"/>
        <v/>
      </c>
      <c r="C158" s="231" t="str">
        <f>IF(A158="","",-PMT('Model Inputs'!$B$53,'Model Inputs'!$B$52,'Model Inputs'!$B$50))</f>
        <v/>
      </c>
      <c r="D158" s="231" t="str">
        <f t="shared" si="5"/>
        <v/>
      </c>
      <c r="E158" s="233" t="str">
        <f>IF(A158="","",'Model Inputs'!$B$53*B158)</f>
        <v/>
      </c>
    </row>
    <row r="159" spans="1:5" ht="18" customHeight="1">
      <c r="A159" s="232" t="str">
        <f>IF(A158&gt;='Model Inputs'!$B$52,"",A158+1)</f>
        <v/>
      </c>
      <c r="B159" s="219" t="str">
        <f t="shared" si="4"/>
        <v/>
      </c>
      <c r="C159" s="231" t="str">
        <f>IF(A159="","",-PMT('Model Inputs'!$B$53,'Model Inputs'!$B$52,'Model Inputs'!$B$50))</f>
        <v/>
      </c>
      <c r="D159" s="231" t="str">
        <f t="shared" si="5"/>
        <v/>
      </c>
      <c r="E159" s="233" t="str">
        <f>IF(A159="","",'Model Inputs'!$B$53*B159)</f>
        <v/>
      </c>
    </row>
    <row r="160" spans="1:5" ht="18" customHeight="1">
      <c r="A160" s="232" t="str">
        <f>IF(A159&gt;='Model Inputs'!$B$52,"",A159+1)</f>
        <v/>
      </c>
      <c r="B160" s="219" t="str">
        <f t="shared" si="4"/>
        <v/>
      </c>
      <c r="C160" s="231" t="str">
        <f>IF(A160="","",-PMT('Model Inputs'!$B$53,'Model Inputs'!$B$52,'Model Inputs'!$B$50))</f>
        <v/>
      </c>
      <c r="D160" s="231" t="str">
        <f t="shared" si="5"/>
        <v/>
      </c>
      <c r="E160" s="233" t="str">
        <f>IF(A160="","",'Model Inputs'!$B$53*B160)</f>
        <v/>
      </c>
    </row>
    <row r="161" spans="1:5" ht="18" customHeight="1">
      <c r="A161" s="232" t="str">
        <f>IF(A160&gt;='Model Inputs'!$B$52,"",A160+1)</f>
        <v/>
      </c>
      <c r="B161" s="219" t="str">
        <f t="shared" si="4"/>
        <v/>
      </c>
      <c r="C161" s="231" t="str">
        <f>IF(A161="","",-PMT('Model Inputs'!$B$53,'Model Inputs'!$B$52,'Model Inputs'!$B$50))</f>
        <v/>
      </c>
      <c r="D161" s="231" t="str">
        <f t="shared" si="5"/>
        <v/>
      </c>
      <c r="E161" s="233" t="str">
        <f>IF(A161="","",'Model Inputs'!$B$53*B161)</f>
        <v/>
      </c>
    </row>
    <row r="162" spans="1:5" ht="18" customHeight="1">
      <c r="A162" s="232" t="str">
        <f>IF(A161&gt;='Model Inputs'!$B$52,"",A161+1)</f>
        <v/>
      </c>
      <c r="B162" s="219" t="str">
        <f t="shared" si="4"/>
        <v/>
      </c>
      <c r="C162" s="231" t="str">
        <f>IF(A162="","",-PMT('Model Inputs'!$B$53,'Model Inputs'!$B$52,'Model Inputs'!$B$50))</f>
        <v/>
      </c>
      <c r="D162" s="231" t="str">
        <f t="shared" si="5"/>
        <v/>
      </c>
      <c r="E162" s="233" t="str">
        <f>IF(A162="","",'Model Inputs'!$B$53*B162)</f>
        <v/>
      </c>
    </row>
    <row r="163" spans="1:5" ht="18" customHeight="1">
      <c r="A163" s="232" t="str">
        <f>IF(A162&gt;='Model Inputs'!$B$52,"",A162+1)</f>
        <v/>
      </c>
      <c r="B163" s="219" t="str">
        <f t="shared" si="4"/>
        <v/>
      </c>
      <c r="C163" s="231" t="str">
        <f>IF(A163="","",-PMT('Model Inputs'!$B$53,'Model Inputs'!$B$52,'Model Inputs'!$B$50))</f>
        <v/>
      </c>
      <c r="D163" s="231" t="str">
        <f t="shared" si="5"/>
        <v/>
      </c>
      <c r="E163" s="233" t="str">
        <f>IF(A163="","",'Model Inputs'!$B$53*B163)</f>
        <v/>
      </c>
    </row>
    <row r="164" spans="1:5" ht="18" customHeight="1">
      <c r="A164" s="232" t="str">
        <f>IF(A163&gt;='Model Inputs'!$B$52,"",A163+1)</f>
        <v/>
      </c>
      <c r="B164" s="219" t="str">
        <f t="shared" si="4"/>
        <v/>
      </c>
      <c r="C164" s="231" t="str">
        <f>IF(A164="","",-PMT('Model Inputs'!$B$53,'Model Inputs'!$B$52,'Model Inputs'!$B$50))</f>
        <v/>
      </c>
      <c r="D164" s="231" t="str">
        <f t="shared" si="5"/>
        <v/>
      </c>
      <c r="E164" s="233" t="str">
        <f>IF(A164="","",'Model Inputs'!$B$53*B164)</f>
        <v/>
      </c>
    </row>
    <row r="165" spans="1:5" ht="18" customHeight="1">
      <c r="A165" s="232" t="str">
        <f>IF(A164&gt;='Model Inputs'!$B$52,"",A164+1)</f>
        <v/>
      </c>
      <c r="B165" s="219" t="str">
        <f t="shared" si="4"/>
        <v/>
      </c>
      <c r="C165" s="231" t="str">
        <f>IF(A165="","",-PMT('Model Inputs'!$B$53,'Model Inputs'!$B$52,'Model Inputs'!$B$50))</f>
        <v/>
      </c>
      <c r="D165" s="231" t="str">
        <f t="shared" si="5"/>
        <v/>
      </c>
      <c r="E165" s="233" t="str">
        <f>IF(A165="","",'Model Inputs'!$B$53*B165)</f>
        <v/>
      </c>
    </row>
    <row r="166" spans="1:5" ht="18" customHeight="1">
      <c r="A166" s="232" t="str">
        <f>IF(A165&gt;='Model Inputs'!$B$52,"",A165+1)</f>
        <v/>
      </c>
      <c r="B166" s="219" t="str">
        <f t="shared" si="4"/>
        <v/>
      </c>
      <c r="C166" s="231" t="str">
        <f>IF(A166="","",-PMT('Model Inputs'!$B$53,'Model Inputs'!$B$52,'Model Inputs'!$B$50))</f>
        <v/>
      </c>
      <c r="D166" s="231" t="str">
        <f t="shared" si="5"/>
        <v/>
      </c>
      <c r="E166" s="233" t="str">
        <f>IF(A166="","",'Model Inputs'!$B$53*B166)</f>
        <v/>
      </c>
    </row>
    <row r="167" spans="1:5" ht="18" customHeight="1">
      <c r="A167" s="232" t="str">
        <f>IF(A166&gt;='Model Inputs'!$B$52,"",A166+1)</f>
        <v/>
      </c>
      <c r="B167" s="219" t="str">
        <f t="shared" si="4"/>
        <v/>
      </c>
      <c r="C167" s="231" t="str">
        <f>IF(A167="","",-PMT('Model Inputs'!$B$53,'Model Inputs'!$B$52,'Model Inputs'!$B$50))</f>
        <v/>
      </c>
      <c r="D167" s="231" t="str">
        <f t="shared" si="5"/>
        <v/>
      </c>
      <c r="E167" s="233" t="str">
        <f>IF(A167="","",'Model Inputs'!$B$53*B167)</f>
        <v/>
      </c>
    </row>
    <row r="168" spans="1:5" ht="18" customHeight="1">
      <c r="A168" s="232" t="str">
        <f>IF(A167&gt;='Model Inputs'!$B$52,"",A167+1)</f>
        <v/>
      </c>
      <c r="B168" s="219" t="str">
        <f t="shared" si="4"/>
        <v/>
      </c>
      <c r="C168" s="231" t="str">
        <f>IF(A168="","",-PMT('Model Inputs'!$B$53,'Model Inputs'!$B$52,'Model Inputs'!$B$50))</f>
        <v/>
      </c>
      <c r="D168" s="231" t="str">
        <f t="shared" si="5"/>
        <v/>
      </c>
      <c r="E168" s="233" t="str">
        <f>IF(A168="","",'Model Inputs'!$B$53*B168)</f>
        <v/>
      </c>
    </row>
    <row r="169" spans="1:5" ht="18" customHeight="1">
      <c r="A169" s="232" t="str">
        <f>IF(A168&gt;='Model Inputs'!$B$52,"",A168+1)</f>
        <v/>
      </c>
      <c r="B169" s="219" t="str">
        <f t="shared" si="4"/>
        <v/>
      </c>
      <c r="C169" s="231" t="str">
        <f>IF(A169="","",-PMT('Model Inputs'!$B$53,'Model Inputs'!$B$52,'Model Inputs'!$B$50))</f>
        <v/>
      </c>
      <c r="D169" s="231" t="str">
        <f t="shared" si="5"/>
        <v/>
      </c>
      <c r="E169" s="233" t="str">
        <f>IF(A169="","",'Model Inputs'!$B$53*B169)</f>
        <v/>
      </c>
    </row>
    <row r="170" spans="1:5" ht="18" customHeight="1">
      <c r="A170" s="232" t="str">
        <f>IF(A169&gt;='Model Inputs'!$B$52,"",A169+1)</f>
        <v/>
      </c>
      <c r="B170" s="219" t="str">
        <f t="shared" si="4"/>
        <v/>
      </c>
      <c r="C170" s="231" t="str">
        <f>IF(A170="","",-PMT('Model Inputs'!$B$53,'Model Inputs'!$B$52,'Model Inputs'!$B$50))</f>
        <v/>
      </c>
      <c r="D170" s="231" t="str">
        <f t="shared" si="5"/>
        <v/>
      </c>
      <c r="E170" s="233" t="str">
        <f>IF(A170="","",'Model Inputs'!$B$53*B170)</f>
        <v/>
      </c>
    </row>
    <row r="171" spans="1:5" ht="18" customHeight="1">
      <c r="A171" s="232" t="str">
        <f>IF(A170&gt;='Model Inputs'!$B$52,"",A170+1)</f>
        <v/>
      </c>
      <c r="B171" s="219" t="str">
        <f t="shared" si="4"/>
        <v/>
      </c>
      <c r="C171" s="231" t="str">
        <f>IF(A171="","",-PMT('Model Inputs'!$B$53,'Model Inputs'!$B$52,'Model Inputs'!$B$50))</f>
        <v/>
      </c>
      <c r="D171" s="231" t="str">
        <f t="shared" si="5"/>
        <v/>
      </c>
      <c r="E171" s="233" t="str">
        <f>IF(A171="","",'Model Inputs'!$B$53*B171)</f>
        <v/>
      </c>
    </row>
    <row r="172" spans="1:5" ht="18" customHeight="1">
      <c r="A172" s="232" t="str">
        <f>IF(A171&gt;='Model Inputs'!$B$52,"",A171+1)</f>
        <v/>
      </c>
      <c r="B172" s="219" t="str">
        <f t="shared" si="4"/>
        <v/>
      </c>
      <c r="C172" s="231" t="str">
        <f>IF(A172="","",-PMT('Model Inputs'!$B$53,'Model Inputs'!$B$52,'Model Inputs'!$B$50))</f>
        <v/>
      </c>
      <c r="D172" s="231" t="str">
        <f t="shared" si="5"/>
        <v/>
      </c>
      <c r="E172" s="233" t="str">
        <f>IF(A172="","",'Model Inputs'!$B$53*B172)</f>
        <v/>
      </c>
    </row>
    <row r="173" spans="1:5" ht="18" customHeight="1">
      <c r="A173" s="232" t="str">
        <f>IF(A172&gt;='Model Inputs'!$B$52,"",A172+1)</f>
        <v/>
      </c>
      <c r="B173" s="219" t="str">
        <f t="shared" si="4"/>
        <v/>
      </c>
      <c r="C173" s="231" t="str">
        <f>IF(A173="","",-PMT('Model Inputs'!$B$53,'Model Inputs'!$B$52,'Model Inputs'!$B$50))</f>
        <v/>
      </c>
      <c r="D173" s="231" t="str">
        <f t="shared" si="5"/>
        <v/>
      </c>
      <c r="E173" s="233" t="str">
        <f>IF(A173="","",'Model Inputs'!$B$53*B173)</f>
        <v/>
      </c>
    </row>
    <row r="174" spans="1:5" ht="18" customHeight="1">
      <c r="A174" s="232" t="str">
        <f>IF(A173&gt;='Model Inputs'!$B$52,"",A173+1)</f>
        <v/>
      </c>
      <c r="B174" s="219" t="str">
        <f t="shared" si="4"/>
        <v/>
      </c>
      <c r="C174" s="231" t="str">
        <f>IF(A174="","",-PMT('Model Inputs'!$B$53,'Model Inputs'!$B$52,'Model Inputs'!$B$50))</f>
        <v/>
      </c>
      <c r="D174" s="231" t="str">
        <f t="shared" si="5"/>
        <v/>
      </c>
      <c r="E174" s="233" t="str">
        <f>IF(A174="","",'Model Inputs'!$B$53*B174)</f>
        <v/>
      </c>
    </row>
    <row r="175" spans="1:5" ht="18" customHeight="1">
      <c r="A175" s="232" t="str">
        <f>IF(A174&gt;='Model Inputs'!$B$52,"",A174+1)</f>
        <v/>
      </c>
      <c r="B175" s="219" t="str">
        <f t="shared" si="4"/>
        <v/>
      </c>
      <c r="C175" s="231" t="str">
        <f>IF(A175="","",-PMT('Model Inputs'!$B$53,'Model Inputs'!$B$52,'Model Inputs'!$B$50))</f>
        <v/>
      </c>
      <c r="D175" s="231" t="str">
        <f t="shared" si="5"/>
        <v/>
      </c>
      <c r="E175" s="233" t="str">
        <f>IF(A175="","",'Model Inputs'!$B$53*B175)</f>
        <v/>
      </c>
    </row>
    <row r="176" spans="1:5" ht="18" customHeight="1">
      <c r="A176" s="232" t="str">
        <f>IF(A175&gt;='Model Inputs'!$B$52,"",A175+1)</f>
        <v/>
      </c>
      <c r="B176" s="219" t="str">
        <f t="shared" si="4"/>
        <v/>
      </c>
      <c r="C176" s="231" t="str">
        <f>IF(A176="","",-PMT('Model Inputs'!$B$53,'Model Inputs'!$B$52,'Model Inputs'!$B$50))</f>
        <v/>
      </c>
      <c r="D176" s="231" t="str">
        <f t="shared" si="5"/>
        <v/>
      </c>
      <c r="E176" s="233" t="str">
        <f>IF(A176="","",'Model Inputs'!$B$53*B176)</f>
        <v/>
      </c>
    </row>
    <row r="177" spans="1:5" ht="18" customHeight="1">
      <c r="A177" s="232" t="str">
        <f>IF(A176&gt;='Model Inputs'!$B$52,"",A176+1)</f>
        <v/>
      </c>
      <c r="B177" s="219" t="str">
        <f t="shared" si="4"/>
        <v/>
      </c>
      <c r="C177" s="231" t="str">
        <f>IF(A177="","",-PMT('Model Inputs'!$B$53,'Model Inputs'!$B$52,'Model Inputs'!$B$50))</f>
        <v/>
      </c>
      <c r="D177" s="231" t="str">
        <f t="shared" si="5"/>
        <v/>
      </c>
      <c r="E177" s="233" t="str">
        <f>IF(A177="","",'Model Inputs'!$B$53*B177)</f>
        <v/>
      </c>
    </row>
    <row r="178" spans="1:5" ht="18" customHeight="1">
      <c r="A178" s="232" t="str">
        <f>IF(A177&gt;='Model Inputs'!$B$52,"",A177+1)</f>
        <v/>
      </c>
      <c r="B178" s="219" t="str">
        <f t="shared" si="4"/>
        <v/>
      </c>
      <c r="C178" s="231" t="str">
        <f>IF(A178="","",-PMT('Model Inputs'!$B$53,'Model Inputs'!$B$52,'Model Inputs'!$B$50))</f>
        <v/>
      </c>
      <c r="D178" s="231" t="str">
        <f t="shared" si="5"/>
        <v/>
      </c>
      <c r="E178" s="233" t="str">
        <f>IF(A178="","",'Model Inputs'!$B$53*B178)</f>
        <v/>
      </c>
    </row>
    <row r="179" spans="1:5" ht="18" customHeight="1">
      <c r="A179" s="232" t="str">
        <f>IF(A178&gt;='Model Inputs'!$B$52,"",A178+1)</f>
        <v/>
      </c>
      <c r="B179" s="219" t="str">
        <f t="shared" si="4"/>
        <v/>
      </c>
      <c r="C179" s="231" t="str">
        <f>IF(A179="","",-PMT('Model Inputs'!$B$53,'Model Inputs'!$B$52,'Model Inputs'!$B$50))</f>
        <v/>
      </c>
      <c r="D179" s="231" t="str">
        <f t="shared" si="5"/>
        <v/>
      </c>
      <c r="E179" s="233" t="str">
        <f>IF(A179="","",'Model Inputs'!$B$53*B179)</f>
        <v/>
      </c>
    </row>
    <row r="180" spans="1:5" ht="18" customHeight="1">
      <c r="A180" s="232" t="str">
        <f>IF(A179&gt;='Model Inputs'!$B$52,"",A179+1)</f>
        <v/>
      </c>
      <c r="B180" s="219" t="str">
        <f t="shared" si="4"/>
        <v/>
      </c>
      <c r="C180" s="231" t="str">
        <f>IF(A180="","",-PMT('Model Inputs'!$B$53,'Model Inputs'!$B$52,'Model Inputs'!$B$50))</f>
        <v/>
      </c>
      <c r="D180" s="231" t="str">
        <f t="shared" si="5"/>
        <v/>
      </c>
      <c r="E180" s="233" t="str">
        <f>IF(A180="","",'Model Inputs'!$B$53*B180)</f>
        <v/>
      </c>
    </row>
    <row r="181" spans="1:5" ht="18" customHeight="1">
      <c r="A181" s="232" t="str">
        <f>IF(A180&gt;='Model Inputs'!$B$52,"",A180+1)</f>
        <v/>
      </c>
      <c r="B181" s="219" t="str">
        <f t="shared" si="4"/>
        <v/>
      </c>
      <c r="C181" s="231" t="str">
        <f>IF(A181="","",-PMT('Model Inputs'!$B$53,'Model Inputs'!$B$52,'Model Inputs'!$B$50))</f>
        <v/>
      </c>
      <c r="D181" s="231" t="str">
        <f t="shared" si="5"/>
        <v/>
      </c>
      <c r="E181" s="233" t="str">
        <f>IF(A181="","",'Model Inputs'!$B$53*B181)</f>
        <v/>
      </c>
    </row>
    <row r="182" spans="1:5" ht="18" customHeight="1">
      <c r="A182" s="232" t="str">
        <f>IF(A181&gt;='Model Inputs'!$B$52,"",A181+1)</f>
        <v/>
      </c>
      <c r="B182" s="219" t="str">
        <f t="shared" si="4"/>
        <v/>
      </c>
      <c r="C182" s="231" t="str">
        <f>IF(A182="","",-PMT('Model Inputs'!$B$53,'Model Inputs'!$B$52,'Model Inputs'!$B$50))</f>
        <v/>
      </c>
      <c r="D182" s="231" t="str">
        <f t="shared" si="5"/>
        <v/>
      </c>
      <c r="E182" s="233" t="str">
        <f>IF(A182="","",'Model Inputs'!$B$53*B182)</f>
        <v/>
      </c>
    </row>
    <row r="183" spans="1:5" ht="18" customHeight="1">
      <c r="A183" s="232" t="str">
        <f>IF(A182&gt;='Model Inputs'!$B$52,"",A182+1)</f>
        <v/>
      </c>
      <c r="B183" s="219" t="str">
        <f t="shared" si="4"/>
        <v/>
      </c>
      <c r="C183" s="231" t="str">
        <f>IF(A183="","",-PMT('Model Inputs'!$B$53,'Model Inputs'!$B$52,'Model Inputs'!$B$50))</f>
        <v/>
      </c>
      <c r="D183" s="231" t="str">
        <f t="shared" si="5"/>
        <v/>
      </c>
      <c r="E183" s="233" t="str">
        <f>IF(A183="","",'Model Inputs'!$B$53*B183)</f>
        <v/>
      </c>
    </row>
    <row r="184" spans="1:5" ht="18" customHeight="1">
      <c r="A184" s="232" t="str">
        <f>IF(A183&gt;='Model Inputs'!$B$52,"",A183+1)</f>
        <v/>
      </c>
      <c r="B184" s="219" t="str">
        <f t="shared" si="4"/>
        <v/>
      </c>
      <c r="C184" s="231" t="str">
        <f>IF(A184="","",-PMT('Model Inputs'!$B$53,'Model Inputs'!$B$52,'Model Inputs'!$B$50))</f>
        <v/>
      </c>
      <c r="D184" s="231" t="str">
        <f t="shared" si="5"/>
        <v/>
      </c>
      <c r="E184" s="233" t="str">
        <f>IF(A184="","",'Model Inputs'!$B$53*B184)</f>
        <v/>
      </c>
    </row>
    <row r="185" spans="1:5" ht="18" customHeight="1">
      <c r="A185" s="232" t="str">
        <f>IF(A184&gt;='Model Inputs'!$B$52,"",A184+1)</f>
        <v/>
      </c>
      <c r="B185" s="219" t="str">
        <f t="shared" si="4"/>
        <v/>
      </c>
      <c r="C185" s="231" t="str">
        <f>IF(A185="","",-PMT('Model Inputs'!$B$53,'Model Inputs'!$B$52,'Model Inputs'!$B$50))</f>
        <v/>
      </c>
      <c r="D185" s="231" t="str">
        <f t="shared" si="5"/>
        <v/>
      </c>
      <c r="E185" s="233" t="str">
        <f>IF(A185="","",'Model Inputs'!$B$53*B185)</f>
        <v/>
      </c>
    </row>
    <row r="186" spans="1:5" ht="18" customHeight="1">
      <c r="A186" s="232" t="str">
        <f>IF(A185&gt;='Model Inputs'!$B$52,"",A185+1)</f>
        <v/>
      </c>
      <c r="B186" s="219" t="str">
        <f t="shared" si="4"/>
        <v/>
      </c>
      <c r="C186" s="231" t="str">
        <f>IF(A186="","",-PMT('Model Inputs'!$B$53,'Model Inputs'!$B$52,'Model Inputs'!$B$50))</f>
        <v/>
      </c>
      <c r="D186" s="231" t="str">
        <f t="shared" si="5"/>
        <v/>
      </c>
      <c r="E186" s="233" t="str">
        <f>IF(A186="","",'Model Inputs'!$B$53*B186)</f>
        <v/>
      </c>
    </row>
    <row r="187" spans="1:5" ht="18" customHeight="1">
      <c r="A187" s="232" t="str">
        <f>IF(A186&gt;='Model Inputs'!$B$52,"",A186+1)</f>
        <v/>
      </c>
      <c r="B187" s="219" t="str">
        <f t="shared" si="4"/>
        <v/>
      </c>
      <c r="C187" s="231" t="str">
        <f>IF(A187="","",-PMT('Model Inputs'!$B$53,'Model Inputs'!$B$52,'Model Inputs'!$B$50))</f>
        <v/>
      </c>
      <c r="D187" s="231" t="str">
        <f t="shared" si="5"/>
        <v/>
      </c>
      <c r="E187" s="233" t="str">
        <f>IF(A187="","",'Model Inputs'!$B$53*B187)</f>
        <v/>
      </c>
    </row>
    <row r="188" spans="1:5" ht="18" customHeight="1">
      <c r="A188" s="232" t="str">
        <f>IF(A187&gt;='Model Inputs'!$B$52,"",A187+1)</f>
        <v/>
      </c>
      <c r="B188" s="219" t="str">
        <f t="shared" si="4"/>
        <v/>
      </c>
      <c r="C188" s="231" t="str">
        <f>IF(A188="","",-PMT('Model Inputs'!$B$53,'Model Inputs'!$B$52,'Model Inputs'!$B$50))</f>
        <v/>
      </c>
      <c r="D188" s="231" t="str">
        <f t="shared" si="5"/>
        <v/>
      </c>
      <c r="E188" s="233" t="str">
        <f>IF(A188="","",'Model Inputs'!$B$53*B188)</f>
        <v/>
      </c>
    </row>
    <row r="189" spans="1:5" ht="18" customHeight="1">
      <c r="A189" s="232" t="str">
        <f>IF(A188&gt;='Model Inputs'!$B$52,"",A188+1)</f>
        <v/>
      </c>
      <c r="B189" s="219" t="str">
        <f t="shared" si="4"/>
        <v/>
      </c>
      <c r="C189" s="231" t="str">
        <f>IF(A189="","",-PMT('Model Inputs'!$B$53,'Model Inputs'!$B$52,'Model Inputs'!$B$50))</f>
        <v/>
      </c>
      <c r="D189" s="231" t="str">
        <f t="shared" si="5"/>
        <v/>
      </c>
      <c r="E189" s="233" t="str">
        <f>IF(A189="","",'Model Inputs'!$B$53*B189)</f>
        <v/>
      </c>
    </row>
    <row r="190" spans="1:5" ht="18" customHeight="1">
      <c r="A190" s="232" t="str">
        <f>IF(A189&gt;='Model Inputs'!$B$52,"",A189+1)</f>
        <v/>
      </c>
      <c r="B190" s="219" t="str">
        <f t="shared" si="4"/>
        <v/>
      </c>
      <c r="C190" s="231" t="str">
        <f>IF(A190="","",-PMT('Model Inputs'!$B$53,'Model Inputs'!$B$52,'Model Inputs'!$B$50))</f>
        <v/>
      </c>
      <c r="D190" s="231" t="str">
        <f t="shared" si="5"/>
        <v/>
      </c>
      <c r="E190" s="233" t="str">
        <f>IF(A190="","",'Model Inputs'!$B$53*B190)</f>
        <v/>
      </c>
    </row>
    <row r="191" spans="1:5" ht="18" customHeight="1">
      <c r="A191" s="232" t="str">
        <f>IF(A190&gt;='Model Inputs'!$B$52,"",A190+1)</f>
        <v/>
      </c>
      <c r="B191" s="219" t="str">
        <f t="shared" si="4"/>
        <v/>
      </c>
      <c r="C191" s="231" t="str">
        <f>IF(A191="","",-PMT('Model Inputs'!$B$53,'Model Inputs'!$B$52,'Model Inputs'!$B$50))</f>
        <v/>
      </c>
      <c r="D191" s="231" t="str">
        <f t="shared" si="5"/>
        <v/>
      </c>
      <c r="E191" s="233" t="str">
        <f>IF(A191="","",'Model Inputs'!$B$53*B191)</f>
        <v/>
      </c>
    </row>
    <row r="192" spans="1:5" ht="18" customHeight="1">
      <c r="A192" s="232" t="str">
        <f>IF(A191&gt;='Model Inputs'!$B$52,"",A191+1)</f>
        <v/>
      </c>
      <c r="B192" s="219" t="str">
        <f t="shared" si="4"/>
        <v/>
      </c>
      <c r="C192" s="231" t="str">
        <f>IF(A192="","",-PMT('Model Inputs'!$B$53,'Model Inputs'!$B$52,'Model Inputs'!$B$50))</f>
        <v/>
      </c>
      <c r="D192" s="231" t="str">
        <f t="shared" si="5"/>
        <v/>
      </c>
      <c r="E192" s="233" t="str">
        <f>IF(A192="","",'Model Inputs'!$B$53*B192)</f>
        <v/>
      </c>
    </row>
    <row r="193" spans="1:5" ht="18" customHeight="1">
      <c r="A193" s="232" t="str">
        <f>IF(A192&gt;='Model Inputs'!$B$52,"",A192+1)</f>
        <v/>
      </c>
      <c r="B193" s="219" t="str">
        <f t="shared" si="4"/>
        <v/>
      </c>
      <c r="C193" s="231" t="str">
        <f>IF(A193="","",-PMT('Model Inputs'!$B$53,'Model Inputs'!$B$52,'Model Inputs'!$B$50))</f>
        <v/>
      </c>
      <c r="D193" s="231" t="str">
        <f t="shared" si="5"/>
        <v/>
      </c>
      <c r="E193" s="233" t="str">
        <f>IF(A193="","",'Model Inputs'!$B$53*B193)</f>
        <v/>
      </c>
    </row>
    <row r="194" spans="1:5" ht="18" customHeight="1">
      <c r="A194" s="232" t="str">
        <f>IF(A193&gt;='Model Inputs'!$B$52,"",A193+1)</f>
        <v/>
      </c>
      <c r="B194" s="219" t="str">
        <f t="shared" si="4"/>
        <v/>
      </c>
      <c r="C194" s="231" t="str">
        <f>IF(A194="","",-PMT('Model Inputs'!$B$53,'Model Inputs'!$B$52,'Model Inputs'!$B$50))</f>
        <v/>
      </c>
      <c r="D194" s="231" t="str">
        <f t="shared" si="5"/>
        <v/>
      </c>
      <c r="E194" s="233" t="str">
        <f>IF(A194="","",'Model Inputs'!$B$53*B194)</f>
        <v/>
      </c>
    </row>
    <row r="195" spans="1:5" ht="18" customHeight="1">
      <c r="A195" s="232" t="str">
        <f>IF(A194&gt;='Model Inputs'!$B$52,"",A194+1)</f>
        <v/>
      </c>
      <c r="B195" s="219" t="str">
        <f t="shared" si="4"/>
        <v/>
      </c>
      <c r="C195" s="231" t="str">
        <f>IF(A195="","",-PMT('Model Inputs'!$B$53,'Model Inputs'!$B$52,'Model Inputs'!$B$50))</f>
        <v/>
      </c>
      <c r="D195" s="231" t="str">
        <f t="shared" si="5"/>
        <v/>
      </c>
      <c r="E195" s="233" t="str">
        <f>IF(A195="","",'Model Inputs'!$B$53*B195)</f>
        <v/>
      </c>
    </row>
    <row r="196" spans="1:5" ht="18" customHeight="1">
      <c r="A196" s="232" t="str">
        <f>IF(A195&gt;='Model Inputs'!$B$52,"",A195+1)</f>
        <v/>
      </c>
      <c r="B196" s="219" t="str">
        <f t="shared" si="4"/>
        <v/>
      </c>
      <c r="C196" s="231" t="str">
        <f>IF(A196="","",-PMT('Model Inputs'!$B$53,'Model Inputs'!$B$52,'Model Inputs'!$B$50))</f>
        <v/>
      </c>
      <c r="D196" s="231" t="str">
        <f t="shared" si="5"/>
        <v/>
      </c>
      <c r="E196" s="233" t="str">
        <f>IF(A196="","",'Model Inputs'!$B$53*B196)</f>
        <v/>
      </c>
    </row>
    <row r="197" spans="1:5" ht="18" customHeight="1">
      <c r="A197" s="232" t="str">
        <f>IF(A196&gt;='Model Inputs'!$B$52,"",A196+1)</f>
        <v/>
      </c>
      <c r="B197" s="219" t="str">
        <f t="shared" si="4"/>
        <v/>
      </c>
      <c r="C197" s="231" t="str">
        <f>IF(A197="","",-PMT('Model Inputs'!$B$53,'Model Inputs'!$B$52,'Model Inputs'!$B$50))</f>
        <v/>
      </c>
      <c r="D197" s="231" t="str">
        <f t="shared" si="5"/>
        <v/>
      </c>
      <c r="E197" s="233" t="str">
        <f>IF(A197="","",'Model Inputs'!$B$53*B197)</f>
        <v/>
      </c>
    </row>
    <row r="198" spans="1:5" ht="18" customHeight="1">
      <c r="A198" s="232" t="str">
        <f>IF(A197&gt;='Model Inputs'!$B$52,"",A197+1)</f>
        <v/>
      </c>
      <c r="B198" s="219" t="str">
        <f t="shared" si="4"/>
        <v/>
      </c>
      <c r="C198" s="231" t="str">
        <f>IF(A198="","",-PMT('Model Inputs'!$B$53,'Model Inputs'!$B$52,'Model Inputs'!$B$50))</f>
        <v/>
      </c>
      <c r="D198" s="231" t="str">
        <f t="shared" si="5"/>
        <v/>
      </c>
      <c r="E198" s="233" t="str">
        <f>IF(A198="","",'Model Inputs'!$B$53*B198)</f>
        <v/>
      </c>
    </row>
    <row r="199" spans="1:5" ht="18" customHeight="1">
      <c r="A199" s="232" t="str">
        <f>IF(A198&gt;='Model Inputs'!$B$52,"",A198+1)</f>
        <v/>
      </c>
      <c r="B199" s="219" t="str">
        <f t="shared" si="4"/>
        <v/>
      </c>
      <c r="C199" s="231" t="str">
        <f>IF(A199="","",-PMT('Model Inputs'!$B$53,'Model Inputs'!$B$52,'Model Inputs'!$B$50))</f>
        <v/>
      </c>
      <c r="D199" s="231" t="str">
        <f t="shared" si="5"/>
        <v/>
      </c>
      <c r="E199" s="233" t="str">
        <f>IF(A199="","",'Model Inputs'!$B$53*B199)</f>
        <v/>
      </c>
    </row>
    <row r="200" spans="1:5" ht="18" customHeight="1">
      <c r="A200" s="232" t="str">
        <f>IF(A199&gt;='Model Inputs'!$B$52,"",A199+1)</f>
        <v/>
      </c>
      <c r="B200" s="219" t="str">
        <f t="shared" si="4"/>
        <v/>
      </c>
      <c r="C200" s="231" t="str">
        <f>IF(A200="","",-PMT('Model Inputs'!$B$53,'Model Inputs'!$B$52,'Model Inputs'!$B$50))</f>
        <v/>
      </c>
      <c r="D200" s="231" t="str">
        <f t="shared" si="5"/>
        <v/>
      </c>
      <c r="E200" s="233" t="str">
        <f>IF(A200="","",'Model Inputs'!$B$53*B200)</f>
        <v/>
      </c>
    </row>
    <row r="201" spans="1:5" ht="18" customHeight="1">
      <c r="A201" s="232" t="str">
        <f>IF(A200&gt;='Model Inputs'!$B$52,"",A200+1)</f>
        <v/>
      </c>
      <c r="B201" s="219" t="str">
        <f t="shared" si="4"/>
        <v/>
      </c>
      <c r="C201" s="231" t="str">
        <f>IF(A201="","",-PMT('Model Inputs'!$B$53,'Model Inputs'!$B$52,'Model Inputs'!$B$50))</f>
        <v/>
      </c>
      <c r="D201" s="231" t="str">
        <f t="shared" si="5"/>
        <v/>
      </c>
      <c r="E201" s="233" t="str">
        <f>IF(A201="","",'Model Inputs'!$B$53*B201)</f>
        <v/>
      </c>
    </row>
    <row r="202" spans="1:5" ht="18" customHeight="1">
      <c r="A202" s="232" t="str">
        <f>IF(A201&gt;='Model Inputs'!$B$52,"",A201+1)</f>
        <v/>
      </c>
      <c r="B202" s="219" t="str">
        <f t="shared" ref="B202:B265" si="6">IF(A202="","",B201-D201)</f>
        <v/>
      </c>
      <c r="C202" s="231" t="str">
        <f>IF(A202="","",-PMT('Model Inputs'!$B$53,'Model Inputs'!$B$52,'Model Inputs'!$B$50))</f>
        <v/>
      </c>
      <c r="D202" s="231" t="str">
        <f t="shared" ref="D202:D265" si="7">IF(A202="","",C202-E202)</f>
        <v/>
      </c>
      <c r="E202" s="233" t="str">
        <f>IF(A202="","",'Model Inputs'!$B$53*B202)</f>
        <v/>
      </c>
    </row>
    <row r="203" spans="1:5" ht="18" customHeight="1">
      <c r="A203" s="232" t="str">
        <f>IF(A202&gt;='Model Inputs'!$B$52,"",A202+1)</f>
        <v/>
      </c>
      <c r="B203" s="219" t="str">
        <f t="shared" si="6"/>
        <v/>
      </c>
      <c r="C203" s="231" t="str">
        <f>IF(A203="","",-PMT('Model Inputs'!$B$53,'Model Inputs'!$B$52,'Model Inputs'!$B$50))</f>
        <v/>
      </c>
      <c r="D203" s="231" t="str">
        <f t="shared" si="7"/>
        <v/>
      </c>
      <c r="E203" s="233" t="str">
        <f>IF(A203="","",'Model Inputs'!$B$53*B203)</f>
        <v/>
      </c>
    </row>
    <row r="204" spans="1:5" ht="18" customHeight="1">
      <c r="A204" s="232" t="str">
        <f>IF(A203&gt;='Model Inputs'!$B$52,"",A203+1)</f>
        <v/>
      </c>
      <c r="B204" s="219" t="str">
        <f t="shared" si="6"/>
        <v/>
      </c>
      <c r="C204" s="231" t="str">
        <f>IF(A204="","",-PMT('Model Inputs'!$B$53,'Model Inputs'!$B$52,'Model Inputs'!$B$50))</f>
        <v/>
      </c>
      <c r="D204" s="231" t="str">
        <f t="shared" si="7"/>
        <v/>
      </c>
      <c r="E204" s="233" t="str">
        <f>IF(A204="","",'Model Inputs'!$B$53*B204)</f>
        <v/>
      </c>
    </row>
    <row r="205" spans="1:5" ht="18" customHeight="1">
      <c r="A205" s="232" t="str">
        <f>IF(A204&gt;='Model Inputs'!$B$52,"",A204+1)</f>
        <v/>
      </c>
      <c r="B205" s="219" t="str">
        <f t="shared" si="6"/>
        <v/>
      </c>
      <c r="C205" s="231" t="str">
        <f>IF(A205="","",-PMT('Model Inputs'!$B$53,'Model Inputs'!$B$52,'Model Inputs'!$B$50))</f>
        <v/>
      </c>
      <c r="D205" s="231" t="str">
        <f t="shared" si="7"/>
        <v/>
      </c>
      <c r="E205" s="233" t="str">
        <f>IF(A205="","",'Model Inputs'!$B$53*B205)</f>
        <v/>
      </c>
    </row>
    <row r="206" spans="1:5" ht="18" customHeight="1">
      <c r="A206" s="232" t="str">
        <f>IF(A205&gt;='Model Inputs'!$B$52,"",A205+1)</f>
        <v/>
      </c>
      <c r="B206" s="219" t="str">
        <f t="shared" si="6"/>
        <v/>
      </c>
      <c r="C206" s="231" t="str">
        <f>IF(A206="","",-PMT('Model Inputs'!$B$53,'Model Inputs'!$B$52,'Model Inputs'!$B$50))</f>
        <v/>
      </c>
      <c r="D206" s="231" t="str">
        <f t="shared" si="7"/>
        <v/>
      </c>
      <c r="E206" s="233" t="str">
        <f>IF(A206="","",'Model Inputs'!$B$53*B206)</f>
        <v/>
      </c>
    </row>
    <row r="207" spans="1:5" ht="18" customHeight="1">
      <c r="A207" s="232" t="str">
        <f>IF(A206&gt;='Model Inputs'!$B$52,"",A206+1)</f>
        <v/>
      </c>
      <c r="B207" s="219" t="str">
        <f t="shared" si="6"/>
        <v/>
      </c>
      <c r="C207" s="231" t="str">
        <f>IF(A207="","",-PMT('Model Inputs'!$B$53,'Model Inputs'!$B$52,'Model Inputs'!$B$50))</f>
        <v/>
      </c>
      <c r="D207" s="231" t="str">
        <f t="shared" si="7"/>
        <v/>
      </c>
      <c r="E207" s="233" t="str">
        <f>IF(A207="","",'Model Inputs'!$B$53*B207)</f>
        <v/>
      </c>
    </row>
    <row r="208" spans="1:5" ht="18" customHeight="1">
      <c r="A208" s="232" t="str">
        <f>IF(A207&gt;='Model Inputs'!$B$52,"",A207+1)</f>
        <v/>
      </c>
      <c r="B208" s="219" t="str">
        <f t="shared" si="6"/>
        <v/>
      </c>
      <c r="C208" s="231" t="str">
        <f>IF(A208="","",-PMT('Model Inputs'!$B$53,'Model Inputs'!$B$52,'Model Inputs'!$B$50))</f>
        <v/>
      </c>
      <c r="D208" s="231" t="str">
        <f t="shared" si="7"/>
        <v/>
      </c>
      <c r="E208" s="233" t="str">
        <f>IF(A208="","",'Model Inputs'!$B$53*B208)</f>
        <v/>
      </c>
    </row>
    <row r="209" spans="1:5" ht="18" customHeight="1">
      <c r="A209" s="232" t="str">
        <f>IF(A208&gt;='Model Inputs'!$B$52,"",A208+1)</f>
        <v/>
      </c>
      <c r="B209" s="219" t="str">
        <f t="shared" si="6"/>
        <v/>
      </c>
      <c r="C209" s="231" t="str">
        <f>IF(A209="","",-PMT('Model Inputs'!$B$53,'Model Inputs'!$B$52,'Model Inputs'!$B$50))</f>
        <v/>
      </c>
      <c r="D209" s="231" t="str">
        <f t="shared" si="7"/>
        <v/>
      </c>
      <c r="E209" s="233" t="str">
        <f>IF(A209="","",'Model Inputs'!$B$53*B209)</f>
        <v/>
      </c>
    </row>
    <row r="210" spans="1:5" ht="18" customHeight="1">
      <c r="A210" s="232" t="str">
        <f>IF(A209&gt;='Model Inputs'!$B$52,"",A209+1)</f>
        <v/>
      </c>
      <c r="B210" s="219" t="str">
        <f t="shared" si="6"/>
        <v/>
      </c>
      <c r="C210" s="231" t="str">
        <f>IF(A210="","",-PMT('Model Inputs'!$B$53,'Model Inputs'!$B$52,'Model Inputs'!$B$50))</f>
        <v/>
      </c>
      <c r="D210" s="231" t="str">
        <f t="shared" si="7"/>
        <v/>
      </c>
      <c r="E210" s="233" t="str">
        <f>IF(A210="","",'Model Inputs'!$B$53*B210)</f>
        <v/>
      </c>
    </row>
    <row r="211" spans="1:5" ht="18" customHeight="1">
      <c r="A211" s="232" t="str">
        <f>IF(A210&gt;='Model Inputs'!$B$52,"",A210+1)</f>
        <v/>
      </c>
      <c r="B211" s="219" t="str">
        <f t="shared" si="6"/>
        <v/>
      </c>
      <c r="C211" s="231" t="str">
        <f>IF(A211="","",-PMT('Model Inputs'!$B$53,'Model Inputs'!$B$52,'Model Inputs'!$B$50))</f>
        <v/>
      </c>
      <c r="D211" s="231" t="str">
        <f t="shared" si="7"/>
        <v/>
      </c>
      <c r="E211" s="233" t="str">
        <f>IF(A211="","",'Model Inputs'!$B$53*B211)</f>
        <v/>
      </c>
    </row>
    <row r="212" spans="1:5" ht="18" customHeight="1">
      <c r="A212" s="232" t="str">
        <f>IF(A211&gt;='Model Inputs'!$B$52,"",A211+1)</f>
        <v/>
      </c>
      <c r="B212" s="219" t="str">
        <f t="shared" si="6"/>
        <v/>
      </c>
      <c r="C212" s="231" t="str">
        <f>IF(A212="","",-PMT('Model Inputs'!$B$53,'Model Inputs'!$B$52,'Model Inputs'!$B$50))</f>
        <v/>
      </c>
      <c r="D212" s="231" t="str">
        <f t="shared" si="7"/>
        <v/>
      </c>
      <c r="E212" s="233" t="str">
        <f>IF(A212="","",'Model Inputs'!$B$53*B212)</f>
        <v/>
      </c>
    </row>
    <row r="213" spans="1:5" ht="18" customHeight="1">
      <c r="A213" s="232" t="str">
        <f>IF(A212&gt;='Model Inputs'!$B$52,"",A212+1)</f>
        <v/>
      </c>
      <c r="B213" s="219" t="str">
        <f t="shared" si="6"/>
        <v/>
      </c>
      <c r="C213" s="231" t="str">
        <f>IF(A213="","",-PMT('Model Inputs'!$B$53,'Model Inputs'!$B$52,'Model Inputs'!$B$50))</f>
        <v/>
      </c>
      <c r="D213" s="231" t="str">
        <f t="shared" si="7"/>
        <v/>
      </c>
      <c r="E213" s="233" t="str">
        <f>IF(A213="","",'Model Inputs'!$B$53*B213)</f>
        <v/>
      </c>
    </row>
    <row r="214" spans="1:5" ht="18" customHeight="1">
      <c r="A214" s="232" t="str">
        <f>IF(A213&gt;='Model Inputs'!$B$52,"",A213+1)</f>
        <v/>
      </c>
      <c r="B214" s="219" t="str">
        <f t="shared" si="6"/>
        <v/>
      </c>
      <c r="C214" s="231" t="str">
        <f>IF(A214="","",-PMT('Model Inputs'!$B$53,'Model Inputs'!$B$52,'Model Inputs'!$B$50))</f>
        <v/>
      </c>
      <c r="D214" s="231" t="str">
        <f t="shared" si="7"/>
        <v/>
      </c>
      <c r="E214" s="233" t="str">
        <f>IF(A214="","",'Model Inputs'!$B$53*B214)</f>
        <v/>
      </c>
    </row>
    <row r="215" spans="1:5" ht="18" customHeight="1">
      <c r="A215" s="232" t="str">
        <f>IF(A214&gt;='Model Inputs'!$B$52,"",A214+1)</f>
        <v/>
      </c>
      <c r="B215" s="219" t="str">
        <f t="shared" si="6"/>
        <v/>
      </c>
      <c r="C215" s="231" t="str">
        <f>IF(A215="","",-PMT('Model Inputs'!$B$53,'Model Inputs'!$B$52,'Model Inputs'!$B$50))</f>
        <v/>
      </c>
      <c r="D215" s="231" t="str">
        <f t="shared" si="7"/>
        <v/>
      </c>
      <c r="E215" s="233" t="str">
        <f>IF(A215="","",'Model Inputs'!$B$53*B215)</f>
        <v/>
      </c>
    </row>
    <row r="216" spans="1:5" ht="18" customHeight="1">
      <c r="A216" s="232" t="str">
        <f>IF(A215&gt;='Model Inputs'!$B$52,"",A215+1)</f>
        <v/>
      </c>
      <c r="B216" s="219" t="str">
        <f t="shared" si="6"/>
        <v/>
      </c>
      <c r="C216" s="231" t="str">
        <f>IF(A216="","",-PMT('Model Inputs'!$B$53,'Model Inputs'!$B$52,'Model Inputs'!$B$50))</f>
        <v/>
      </c>
      <c r="D216" s="231" t="str">
        <f t="shared" si="7"/>
        <v/>
      </c>
      <c r="E216" s="233" t="str">
        <f>IF(A216="","",'Model Inputs'!$B$53*B216)</f>
        <v/>
      </c>
    </row>
    <row r="217" spans="1:5" ht="18" customHeight="1">
      <c r="A217" s="232" t="str">
        <f>IF(A216&gt;='Model Inputs'!$B$52,"",A216+1)</f>
        <v/>
      </c>
      <c r="B217" s="219" t="str">
        <f t="shared" si="6"/>
        <v/>
      </c>
      <c r="C217" s="231" t="str">
        <f>IF(A217="","",-PMT('Model Inputs'!$B$53,'Model Inputs'!$B$52,'Model Inputs'!$B$50))</f>
        <v/>
      </c>
      <c r="D217" s="231" t="str">
        <f t="shared" si="7"/>
        <v/>
      </c>
      <c r="E217" s="233" t="str">
        <f>IF(A217="","",'Model Inputs'!$B$53*B217)</f>
        <v/>
      </c>
    </row>
    <row r="218" spans="1:5" ht="18" customHeight="1">
      <c r="A218" s="232" t="str">
        <f>IF(A217&gt;='Model Inputs'!$B$52,"",A217+1)</f>
        <v/>
      </c>
      <c r="B218" s="219" t="str">
        <f t="shared" si="6"/>
        <v/>
      </c>
      <c r="C218" s="231" t="str">
        <f>IF(A218="","",-PMT('Model Inputs'!$B$53,'Model Inputs'!$B$52,'Model Inputs'!$B$50))</f>
        <v/>
      </c>
      <c r="D218" s="231" t="str">
        <f t="shared" si="7"/>
        <v/>
      </c>
      <c r="E218" s="233" t="str">
        <f>IF(A218="","",'Model Inputs'!$B$53*B218)</f>
        <v/>
      </c>
    </row>
    <row r="219" spans="1:5" ht="18" customHeight="1">
      <c r="A219" s="232" t="str">
        <f>IF(A218&gt;='Model Inputs'!$B$52,"",A218+1)</f>
        <v/>
      </c>
      <c r="B219" s="219" t="str">
        <f t="shared" si="6"/>
        <v/>
      </c>
      <c r="C219" s="231" t="str">
        <f>IF(A219="","",-PMT('Model Inputs'!$B$53,'Model Inputs'!$B$52,'Model Inputs'!$B$50))</f>
        <v/>
      </c>
      <c r="D219" s="231" t="str">
        <f t="shared" si="7"/>
        <v/>
      </c>
      <c r="E219" s="233" t="str">
        <f>IF(A219="","",'Model Inputs'!$B$53*B219)</f>
        <v/>
      </c>
    </row>
    <row r="220" spans="1:5" ht="18" customHeight="1">
      <c r="A220" s="232" t="str">
        <f>IF(A219&gt;='Model Inputs'!$B$52,"",A219+1)</f>
        <v/>
      </c>
      <c r="B220" s="219" t="str">
        <f t="shared" si="6"/>
        <v/>
      </c>
      <c r="C220" s="231" t="str">
        <f>IF(A220="","",-PMT('Model Inputs'!$B$53,'Model Inputs'!$B$52,'Model Inputs'!$B$50))</f>
        <v/>
      </c>
      <c r="D220" s="231" t="str">
        <f t="shared" si="7"/>
        <v/>
      </c>
      <c r="E220" s="233" t="str">
        <f>IF(A220="","",'Model Inputs'!$B$53*B220)</f>
        <v/>
      </c>
    </row>
    <row r="221" spans="1:5" ht="18" customHeight="1">
      <c r="A221" s="232" t="str">
        <f>IF(A220&gt;='Model Inputs'!$B$52,"",A220+1)</f>
        <v/>
      </c>
      <c r="B221" s="219" t="str">
        <f t="shared" si="6"/>
        <v/>
      </c>
      <c r="C221" s="231" t="str">
        <f>IF(A221="","",-PMT('Model Inputs'!$B$53,'Model Inputs'!$B$52,'Model Inputs'!$B$50))</f>
        <v/>
      </c>
      <c r="D221" s="231" t="str">
        <f t="shared" si="7"/>
        <v/>
      </c>
      <c r="E221" s="233" t="str">
        <f>IF(A221="","",'Model Inputs'!$B$53*B221)</f>
        <v/>
      </c>
    </row>
    <row r="222" spans="1:5" ht="18" customHeight="1">
      <c r="A222" s="232" t="str">
        <f>IF(A221&gt;='Model Inputs'!$B$52,"",A221+1)</f>
        <v/>
      </c>
      <c r="B222" s="219" t="str">
        <f t="shared" si="6"/>
        <v/>
      </c>
      <c r="C222" s="231" t="str">
        <f>IF(A222="","",-PMT('Model Inputs'!$B$53,'Model Inputs'!$B$52,'Model Inputs'!$B$50))</f>
        <v/>
      </c>
      <c r="D222" s="231" t="str">
        <f t="shared" si="7"/>
        <v/>
      </c>
      <c r="E222" s="233" t="str">
        <f>IF(A222="","",'Model Inputs'!$B$53*B222)</f>
        <v/>
      </c>
    </row>
    <row r="223" spans="1:5" ht="18" customHeight="1">
      <c r="A223" s="232" t="str">
        <f>IF(A222&gt;='Model Inputs'!$B$52,"",A222+1)</f>
        <v/>
      </c>
      <c r="B223" s="219" t="str">
        <f t="shared" si="6"/>
        <v/>
      </c>
      <c r="C223" s="231" t="str">
        <f>IF(A223="","",-PMT('Model Inputs'!$B$53,'Model Inputs'!$B$52,'Model Inputs'!$B$50))</f>
        <v/>
      </c>
      <c r="D223" s="231" t="str">
        <f t="shared" si="7"/>
        <v/>
      </c>
      <c r="E223" s="233" t="str">
        <f>IF(A223="","",'Model Inputs'!$B$53*B223)</f>
        <v/>
      </c>
    </row>
    <row r="224" spans="1:5" ht="18" customHeight="1">
      <c r="A224" s="232" t="str">
        <f>IF(A223&gt;='Model Inputs'!$B$52,"",A223+1)</f>
        <v/>
      </c>
      <c r="B224" s="219" t="str">
        <f t="shared" si="6"/>
        <v/>
      </c>
      <c r="C224" s="231" t="str">
        <f>IF(A224="","",-PMT('Model Inputs'!$B$53,'Model Inputs'!$B$52,'Model Inputs'!$B$50))</f>
        <v/>
      </c>
      <c r="D224" s="231" t="str">
        <f t="shared" si="7"/>
        <v/>
      </c>
      <c r="E224" s="233" t="str">
        <f>IF(A224="","",'Model Inputs'!$B$53*B224)</f>
        <v/>
      </c>
    </row>
    <row r="225" spans="1:5" ht="18" customHeight="1">
      <c r="A225" s="232" t="str">
        <f>IF(A224&gt;='Model Inputs'!$B$52,"",A224+1)</f>
        <v/>
      </c>
      <c r="B225" s="219" t="str">
        <f t="shared" si="6"/>
        <v/>
      </c>
      <c r="C225" s="231" t="str">
        <f>IF(A225="","",-PMT('Model Inputs'!$B$53,'Model Inputs'!$B$52,'Model Inputs'!$B$50))</f>
        <v/>
      </c>
      <c r="D225" s="231" t="str">
        <f t="shared" si="7"/>
        <v/>
      </c>
      <c r="E225" s="233" t="str">
        <f>IF(A225="","",'Model Inputs'!$B$53*B225)</f>
        <v/>
      </c>
    </row>
    <row r="226" spans="1:5" ht="18" customHeight="1">
      <c r="A226" s="232" t="str">
        <f>IF(A225&gt;='Model Inputs'!$B$52,"",A225+1)</f>
        <v/>
      </c>
      <c r="B226" s="219" t="str">
        <f t="shared" si="6"/>
        <v/>
      </c>
      <c r="C226" s="231" t="str">
        <f>IF(A226="","",-PMT('Model Inputs'!$B$53,'Model Inputs'!$B$52,'Model Inputs'!$B$50))</f>
        <v/>
      </c>
      <c r="D226" s="231" t="str">
        <f t="shared" si="7"/>
        <v/>
      </c>
      <c r="E226" s="233" t="str">
        <f>IF(A226="","",'Model Inputs'!$B$53*B226)</f>
        <v/>
      </c>
    </row>
    <row r="227" spans="1:5" ht="18" customHeight="1">
      <c r="A227" s="232" t="str">
        <f>IF(A226&gt;='Model Inputs'!$B$52,"",A226+1)</f>
        <v/>
      </c>
      <c r="B227" s="219" t="str">
        <f t="shared" si="6"/>
        <v/>
      </c>
      <c r="C227" s="231" t="str">
        <f>IF(A227="","",-PMT('Model Inputs'!$B$53,'Model Inputs'!$B$52,'Model Inputs'!$B$50))</f>
        <v/>
      </c>
      <c r="D227" s="231" t="str">
        <f t="shared" si="7"/>
        <v/>
      </c>
      <c r="E227" s="233" t="str">
        <f>IF(A227="","",'Model Inputs'!$B$53*B227)</f>
        <v/>
      </c>
    </row>
    <row r="228" spans="1:5" ht="18" customHeight="1">
      <c r="A228" s="232" t="str">
        <f>IF(A227&gt;='Model Inputs'!$B$52,"",A227+1)</f>
        <v/>
      </c>
      <c r="B228" s="219" t="str">
        <f t="shared" si="6"/>
        <v/>
      </c>
      <c r="C228" s="231" t="str">
        <f>IF(A228="","",-PMT('Model Inputs'!$B$53,'Model Inputs'!$B$52,'Model Inputs'!$B$50))</f>
        <v/>
      </c>
      <c r="D228" s="231" t="str">
        <f t="shared" si="7"/>
        <v/>
      </c>
      <c r="E228" s="233" t="str">
        <f>IF(A228="","",'Model Inputs'!$B$53*B228)</f>
        <v/>
      </c>
    </row>
    <row r="229" spans="1:5" ht="18" customHeight="1">
      <c r="A229" s="232" t="str">
        <f>IF(A228&gt;='Model Inputs'!$B$52,"",A228+1)</f>
        <v/>
      </c>
      <c r="B229" s="219" t="str">
        <f t="shared" si="6"/>
        <v/>
      </c>
      <c r="C229" s="231" t="str">
        <f>IF(A229="","",-PMT('Model Inputs'!$B$53,'Model Inputs'!$B$52,'Model Inputs'!$B$50))</f>
        <v/>
      </c>
      <c r="D229" s="231" t="str">
        <f t="shared" si="7"/>
        <v/>
      </c>
      <c r="E229" s="233" t="str">
        <f>IF(A229="","",'Model Inputs'!$B$53*B229)</f>
        <v/>
      </c>
    </row>
    <row r="230" spans="1:5" ht="18" customHeight="1">
      <c r="A230" s="232" t="str">
        <f>IF(A229&gt;='Model Inputs'!$B$52,"",A229+1)</f>
        <v/>
      </c>
      <c r="B230" s="219" t="str">
        <f t="shared" si="6"/>
        <v/>
      </c>
      <c r="C230" s="231" t="str">
        <f>IF(A230="","",-PMT('Model Inputs'!$B$53,'Model Inputs'!$B$52,'Model Inputs'!$B$50))</f>
        <v/>
      </c>
      <c r="D230" s="231" t="str">
        <f t="shared" si="7"/>
        <v/>
      </c>
      <c r="E230" s="233" t="str">
        <f>IF(A230="","",'Model Inputs'!$B$53*B230)</f>
        <v/>
      </c>
    </row>
    <row r="231" spans="1:5" ht="18" customHeight="1">
      <c r="A231" s="232" t="str">
        <f>IF(A230&gt;='Model Inputs'!$B$52,"",A230+1)</f>
        <v/>
      </c>
      <c r="B231" s="219" t="str">
        <f t="shared" si="6"/>
        <v/>
      </c>
      <c r="C231" s="231" t="str">
        <f>IF(A231="","",-PMT('Model Inputs'!$B$53,'Model Inputs'!$B$52,'Model Inputs'!$B$50))</f>
        <v/>
      </c>
      <c r="D231" s="231" t="str">
        <f t="shared" si="7"/>
        <v/>
      </c>
      <c r="E231" s="233" t="str">
        <f>IF(A231="","",'Model Inputs'!$B$53*B231)</f>
        <v/>
      </c>
    </row>
    <row r="232" spans="1:5" ht="18" customHeight="1">
      <c r="A232" s="232" t="str">
        <f>IF(A231&gt;='Model Inputs'!$B$52,"",A231+1)</f>
        <v/>
      </c>
      <c r="B232" s="219" t="str">
        <f t="shared" si="6"/>
        <v/>
      </c>
      <c r="C232" s="231" t="str">
        <f>IF(A232="","",-PMT('Model Inputs'!$B$53,'Model Inputs'!$B$52,'Model Inputs'!$B$50))</f>
        <v/>
      </c>
      <c r="D232" s="231" t="str">
        <f t="shared" si="7"/>
        <v/>
      </c>
      <c r="E232" s="233" t="str">
        <f>IF(A232="","",'Model Inputs'!$B$53*B232)</f>
        <v/>
      </c>
    </row>
    <row r="233" spans="1:5" ht="18" customHeight="1">
      <c r="A233" s="232" t="str">
        <f>IF(A232&gt;='Model Inputs'!$B$52,"",A232+1)</f>
        <v/>
      </c>
      <c r="B233" s="219" t="str">
        <f t="shared" si="6"/>
        <v/>
      </c>
      <c r="C233" s="231" t="str">
        <f>IF(A233="","",-PMT('Model Inputs'!$B$53,'Model Inputs'!$B$52,'Model Inputs'!$B$50))</f>
        <v/>
      </c>
      <c r="D233" s="231" t="str">
        <f t="shared" si="7"/>
        <v/>
      </c>
      <c r="E233" s="233" t="str">
        <f>IF(A233="","",'Model Inputs'!$B$53*B233)</f>
        <v/>
      </c>
    </row>
    <row r="234" spans="1:5" ht="18" customHeight="1">
      <c r="A234" s="232" t="str">
        <f>IF(A233&gt;='Model Inputs'!$B$52,"",A233+1)</f>
        <v/>
      </c>
      <c r="B234" s="219" t="str">
        <f t="shared" si="6"/>
        <v/>
      </c>
      <c r="C234" s="231" t="str">
        <f>IF(A234="","",-PMT('Model Inputs'!$B$53,'Model Inputs'!$B$52,'Model Inputs'!$B$50))</f>
        <v/>
      </c>
      <c r="D234" s="231" t="str">
        <f t="shared" si="7"/>
        <v/>
      </c>
      <c r="E234" s="233" t="str">
        <f>IF(A234="","",'Model Inputs'!$B$53*B234)</f>
        <v/>
      </c>
    </row>
    <row r="235" spans="1:5" ht="18" customHeight="1">
      <c r="A235" s="232" t="str">
        <f>IF(A234&gt;='Model Inputs'!$B$52,"",A234+1)</f>
        <v/>
      </c>
      <c r="B235" s="219" t="str">
        <f t="shared" si="6"/>
        <v/>
      </c>
      <c r="C235" s="231" t="str">
        <f>IF(A235="","",-PMT('Model Inputs'!$B$53,'Model Inputs'!$B$52,'Model Inputs'!$B$50))</f>
        <v/>
      </c>
      <c r="D235" s="231" t="str">
        <f t="shared" si="7"/>
        <v/>
      </c>
      <c r="E235" s="233" t="str">
        <f>IF(A235="","",'Model Inputs'!$B$53*B235)</f>
        <v/>
      </c>
    </row>
    <row r="236" spans="1:5" ht="18" customHeight="1">
      <c r="A236" s="232" t="str">
        <f>IF(A235&gt;='Model Inputs'!$B$52,"",A235+1)</f>
        <v/>
      </c>
      <c r="B236" s="219" t="str">
        <f t="shared" si="6"/>
        <v/>
      </c>
      <c r="C236" s="231" t="str">
        <f>IF(A236="","",-PMT('Model Inputs'!$B$53,'Model Inputs'!$B$52,'Model Inputs'!$B$50))</f>
        <v/>
      </c>
      <c r="D236" s="231" t="str">
        <f t="shared" si="7"/>
        <v/>
      </c>
      <c r="E236" s="233" t="str">
        <f>IF(A236="","",'Model Inputs'!$B$53*B236)</f>
        <v/>
      </c>
    </row>
    <row r="237" spans="1:5" ht="18" customHeight="1">
      <c r="A237" s="232" t="str">
        <f>IF(A236&gt;='Model Inputs'!$B$52,"",A236+1)</f>
        <v/>
      </c>
      <c r="B237" s="219" t="str">
        <f t="shared" si="6"/>
        <v/>
      </c>
      <c r="C237" s="231" t="str">
        <f>IF(A237="","",-PMT('Model Inputs'!$B$53,'Model Inputs'!$B$52,'Model Inputs'!$B$50))</f>
        <v/>
      </c>
      <c r="D237" s="231" t="str">
        <f t="shared" si="7"/>
        <v/>
      </c>
      <c r="E237" s="233" t="str">
        <f>IF(A237="","",'Model Inputs'!$B$53*B237)</f>
        <v/>
      </c>
    </row>
    <row r="238" spans="1:5" ht="18" customHeight="1">
      <c r="A238" s="232" t="str">
        <f>IF(A237&gt;='Model Inputs'!$B$52,"",A237+1)</f>
        <v/>
      </c>
      <c r="B238" s="219" t="str">
        <f t="shared" si="6"/>
        <v/>
      </c>
      <c r="C238" s="231" t="str">
        <f>IF(A238="","",-PMT('Model Inputs'!$B$53,'Model Inputs'!$B$52,'Model Inputs'!$B$50))</f>
        <v/>
      </c>
      <c r="D238" s="231" t="str">
        <f t="shared" si="7"/>
        <v/>
      </c>
      <c r="E238" s="233" t="str">
        <f>IF(A238="","",'Model Inputs'!$B$53*B238)</f>
        <v/>
      </c>
    </row>
    <row r="239" spans="1:5" ht="18" customHeight="1">
      <c r="A239" s="232" t="str">
        <f>IF(A238&gt;='Model Inputs'!$B$52,"",A238+1)</f>
        <v/>
      </c>
      <c r="B239" s="219" t="str">
        <f t="shared" si="6"/>
        <v/>
      </c>
      <c r="C239" s="231" t="str">
        <f>IF(A239="","",-PMT('Model Inputs'!$B$53,'Model Inputs'!$B$52,'Model Inputs'!$B$50))</f>
        <v/>
      </c>
      <c r="D239" s="231" t="str">
        <f t="shared" si="7"/>
        <v/>
      </c>
      <c r="E239" s="233" t="str">
        <f>IF(A239="","",'Model Inputs'!$B$53*B239)</f>
        <v/>
      </c>
    </row>
    <row r="240" spans="1:5" ht="18" customHeight="1">
      <c r="A240" s="232" t="str">
        <f>IF(A239&gt;='Model Inputs'!$B$52,"",A239+1)</f>
        <v/>
      </c>
      <c r="B240" s="219" t="str">
        <f t="shared" si="6"/>
        <v/>
      </c>
      <c r="C240" s="231" t="str">
        <f>IF(A240="","",-PMT('Model Inputs'!$B$53,'Model Inputs'!$B$52,'Model Inputs'!$B$50))</f>
        <v/>
      </c>
      <c r="D240" s="231" t="str">
        <f t="shared" si="7"/>
        <v/>
      </c>
      <c r="E240" s="233" t="str">
        <f>IF(A240="","",'Model Inputs'!$B$53*B240)</f>
        <v/>
      </c>
    </row>
    <row r="241" spans="1:5" ht="18" customHeight="1">
      <c r="A241" s="232" t="str">
        <f>IF(A240&gt;='Model Inputs'!$B$52,"",A240+1)</f>
        <v/>
      </c>
      <c r="B241" s="219" t="str">
        <f t="shared" si="6"/>
        <v/>
      </c>
      <c r="C241" s="231" t="str">
        <f>IF(A241="","",-PMT('Model Inputs'!$B$53,'Model Inputs'!$B$52,'Model Inputs'!$B$50))</f>
        <v/>
      </c>
      <c r="D241" s="231" t="str">
        <f t="shared" si="7"/>
        <v/>
      </c>
      <c r="E241" s="233" t="str">
        <f>IF(A241="","",'Model Inputs'!$B$53*B241)</f>
        <v/>
      </c>
    </row>
    <row r="242" spans="1:5" ht="18" customHeight="1">
      <c r="A242" s="232" t="str">
        <f>IF(A241&gt;='Model Inputs'!$B$52,"",A241+1)</f>
        <v/>
      </c>
      <c r="B242" s="219" t="str">
        <f t="shared" si="6"/>
        <v/>
      </c>
      <c r="C242" s="231" t="str">
        <f>IF(A242="","",-PMT('Model Inputs'!$B$53,'Model Inputs'!$B$52,'Model Inputs'!$B$50))</f>
        <v/>
      </c>
      <c r="D242" s="231" t="str">
        <f t="shared" si="7"/>
        <v/>
      </c>
      <c r="E242" s="233" t="str">
        <f>IF(A242="","",'Model Inputs'!$B$53*B242)</f>
        <v/>
      </c>
    </row>
    <row r="243" spans="1:5" ht="18" customHeight="1">
      <c r="A243" s="232" t="str">
        <f>IF(A242&gt;='Model Inputs'!$B$52,"",A242+1)</f>
        <v/>
      </c>
      <c r="B243" s="219" t="str">
        <f t="shared" si="6"/>
        <v/>
      </c>
      <c r="C243" s="231" t="str">
        <f>IF(A243="","",-PMT('Model Inputs'!$B$53,'Model Inputs'!$B$52,'Model Inputs'!$B$50))</f>
        <v/>
      </c>
      <c r="D243" s="231" t="str">
        <f t="shared" si="7"/>
        <v/>
      </c>
      <c r="E243" s="233" t="str">
        <f>IF(A243="","",'Model Inputs'!$B$53*B243)</f>
        <v/>
      </c>
    </row>
    <row r="244" spans="1:5" ht="18" customHeight="1">
      <c r="A244" s="232" t="str">
        <f>IF(A243&gt;='Model Inputs'!$B$52,"",A243+1)</f>
        <v/>
      </c>
      <c r="B244" s="219" t="str">
        <f t="shared" si="6"/>
        <v/>
      </c>
      <c r="C244" s="231" t="str">
        <f>IF(A244="","",-PMT('Model Inputs'!$B$53,'Model Inputs'!$B$52,'Model Inputs'!$B$50))</f>
        <v/>
      </c>
      <c r="D244" s="231" t="str">
        <f t="shared" si="7"/>
        <v/>
      </c>
      <c r="E244" s="233" t="str">
        <f>IF(A244="","",'Model Inputs'!$B$53*B244)</f>
        <v/>
      </c>
    </row>
    <row r="245" spans="1:5" ht="18" customHeight="1">
      <c r="A245" s="232" t="str">
        <f>IF(A244&gt;='Model Inputs'!$B$52,"",A244+1)</f>
        <v/>
      </c>
      <c r="B245" s="219" t="str">
        <f t="shared" si="6"/>
        <v/>
      </c>
      <c r="C245" s="231" t="str">
        <f>IF(A245="","",-PMT('Model Inputs'!$B$53,'Model Inputs'!$B$52,'Model Inputs'!$B$50))</f>
        <v/>
      </c>
      <c r="D245" s="231" t="str">
        <f t="shared" si="7"/>
        <v/>
      </c>
      <c r="E245" s="233" t="str">
        <f>IF(A245="","",'Model Inputs'!$B$53*B245)</f>
        <v/>
      </c>
    </row>
    <row r="246" spans="1:5" ht="18" customHeight="1">
      <c r="A246" s="232" t="str">
        <f>IF(A245&gt;='Model Inputs'!$B$52,"",A245+1)</f>
        <v/>
      </c>
      <c r="B246" s="219" t="str">
        <f t="shared" si="6"/>
        <v/>
      </c>
      <c r="C246" s="231" t="str">
        <f>IF(A246="","",-PMT('Model Inputs'!$B$53,'Model Inputs'!$B$52,'Model Inputs'!$B$50))</f>
        <v/>
      </c>
      <c r="D246" s="231" t="str">
        <f t="shared" si="7"/>
        <v/>
      </c>
      <c r="E246" s="233" t="str">
        <f>IF(A246="","",'Model Inputs'!$B$53*B246)</f>
        <v/>
      </c>
    </row>
    <row r="247" spans="1:5" ht="18" customHeight="1">
      <c r="A247" s="232" t="str">
        <f>IF(A246&gt;='Model Inputs'!$B$52,"",A246+1)</f>
        <v/>
      </c>
      <c r="B247" s="219" t="str">
        <f t="shared" si="6"/>
        <v/>
      </c>
      <c r="C247" s="231" t="str">
        <f>IF(A247="","",-PMT('Model Inputs'!$B$53,'Model Inputs'!$B$52,'Model Inputs'!$B$50))</f>
        <v/>
      </c>
      <c r="D247" s="231" t="str">
        <f t="shared" si="7"/>
        <v/>
      </c>
      <c r="E247" s="233" t="str">
        <f>IF(A247="","",'Model Inputs'!$B$53*B247)</f>
        <v/>
      </c>
    </row>
    <row r="248" spans="1:5" ht="18" customHeight="1">
      <c r="A248" s="232" t="str">
        <f>IF(A247&gt;='Model Inputs'!$B$52,"",A247+1)</f>
        <v/>
      </c>
      <c r="B248" s="219" t="str">
        <f t="shared" si="6"/>
        <v/>
      </c>
      <c r="C248" s="231" t="str">
        <f>IF(A248="","",-PMT('Model Inputs'!$B$53,'Model Inputs'!$B$52,'Model Inputs'!$B$50))</f>
        <v/>
      </c>
      <c r="D248" s="231" t="str">
        <f t="shared" si="7"/>
        <v/>
      </c>
      <c r="E248" s="233" t="str">
        <f>IF(A248="","",'Model Inputs'!$B$53*B248)</f>
        <v/>
      </c>
    </row>
    <row r="249" spans="1:5" ht="18" customHeight="1">
      <c r="A249" s="232" t="str">
        <f>IF(A248&gt;='Model Inputs'!$B$52,"",A248+1)</f>
        <v/>
      </c>
      <c r="B249" s="219" t="str">
        <f t="shared" si="6"/>
        <v/>
      </c>
      <c r="C249" s="231" t="str">
        <f>IF(A249="","",-PMT('Model Inputs'!$B$53,'Model Inputs'!$B$52,'Model Inputs'!$B$50))</f>
        <v/>
      </c>
      <c r="D249" s="231" t="str">
        <f t="shared" si="7"/>
        <v/>
      </c>
      <c r="E249" s="233" t="str">
        <f>IF(A249="","",'Model Inputs'!$B$53*B249)</f>
        <v/>
      </c>
    </row>
    <row r="250" spans="1:5" ht="18" customHeight="1">
      <c r="A250" s="232" t="str">
        <f>IF(A249&gt;='Model Inputs'!$B$52,"",A249+1)</f>
        <v/>
      </c>
      <c r="B250" s="219" t="str">
        <f t="shared" si="6"/>
        <v/>
      </c>
      <c r="C250" s="231" t="str">
        <f>IF(A250="","",-PMT('Model Inputs'!$B$53,'Model Inputs'!$B$52,'Model Inputs'!$B$50))</f>
        <v/>
      </c>
      <c r="D250" s="231" t="str">
        <f t="shared" si="7"/>
        <v/>
      </c>
      <c r="E250" s="233" t="str">
        <f>IF(A250="","",'Model Inputs'!$B$53*B250)</f>
        <v/>
      </c>
    </row>
    <row r="251" spans="1:5" ht="18" customHeight="1">
      <c r="A251" s="232" t="str">
        <f>IF(A250&gt;='Model Inputs'!$B$52,"",A250+1)</f>
        <v/>
      </c>
      <c r="B251" s="219" t="str">
        <f t="shared" si="6"/>
        <v/>
      </c>
      <c r="C251" s="231" t="str">
        <f>IF(A251="","",-PMT('Model Inputs'!$B$53,'Model Inputs'!$B$52,'Model Inputs'!$B$50))</f>
        <v/>
      </c>
      <c r="D251" s="231" t="str">
        <f t="shared" si="7"/>
        <v/>
      </c>
      <c r="E251" s="233" t="str">
        <f>IF(A251="","",'Model Inputs'!$B$53*B251)</f>
        <v/>
      </c>
    </row>
    <row r="252" spans="1:5" ht="18" customHeight="1">
      <c r="A252" s="232" t="str">
        <f>IF(A251&gt;='Model Inputs'!$B$52,"",A251+1)</f>
        <v/>
      </c>
      <c r="B252" s="219" t="str">
        <f t="shared" si="6"/>
        <v/>
      </c>
      <c r="C252" s="231" t="str">
        <f>IF(A252="","",-PMT('Model Inputs'!$B$53,'Model Inputs'!$B$52,'Model Inputs'!$B$50))</f>
        <v/>
      </c>
      <c r="D252" s="231" t="str">
        <f t="shared" si="7"/>
        <v/>
      </c>
      <c r="E252" s="233" t="str">
        <f>IF(A252="","",'Model Inputs'!$B$53*B252)</f>
        <v/>
      </c>
    </row>
    <row r="253" spans="1:5" ht="18" customHeight="1">
      <c r="A253" s="232" t="str">
        <f>IF(A252&gt;='Model Inputs'!$B$52,"",A252+1)</f>
        <v/>
      </c>
      <c r="B253" s="219" t="str">
        <f t="shared" si="6"/>
        <v/>
      </c>
      <c r="C253" s="231" t="str">
        <f>IF(A253="","",-PMT('Model Inputs'!$B$53,'Model Inputs'!$B$52,'Model Inputs'!$B$50))</f>
        <v/>
      </c>
      <c r="D253" s="231" t="str">
        <f t="shared" si="7"/>
        <v/>
      </c>
      <c r="E253" s="233" t="str">
        <f>IF(A253="","",'Model Inputs'!$B$53*B253)</f>
        <v/>
      </c>
    </row>
    <row r="254" spans="1:5" ht="18" customHeight="1">
      <c r="A254" s="232" t="str">
        <f>IF(A253&gt;='Model Inputs'!$B$52,"",A253+1)</f>
        <v/>
      </c>
      <c r="B254" s="219" t="str">
        <f t="shared" si="6"/>
        <v/>
      </c>
      <c r="C254" s="231" t="str">
        <f>IF(A254="","",-PMT('Model Inputs'!$B$53,'Model Inputs'!$B$52,'Model Inputs'!$B$50))</f>
        <v/>
      </c>
      <c r="D254" s="231" t="str">
        <f t="shared" si="7"/>
        <v/>
      </c>
      <c r="E254" s="233" t="str">
        <f>IF(A254="","",'Model Inputs'!$B$53*B254)</f>
        <v/>
      </c>
    </row>
    <row r="255" spans="1:5" ht="18" customHeight="1">
      <c r="A255" s="232" t="str">
        <f>IF(A254&gt;='Model Inputs'!$B$52,"",A254+1)</f>
        <v/>
      </c>
      <c r="B255" s="219" t="str">
        <f t="shared" si="6"/>
        <v/>
      </c>
      <c r="C255" s="231" t="str">
        <f>IF(A255="","",-PMT('Model Inputs'!$B$53,'Model Inputs'!$B$52,'Model Inputs'!$B$50))</f>
        <v/>
      </c>
      <c r="D255" s="231" t="str">
        <f t="shared" si="7"/>
        <v/>
      </c>
      <c r="E255" s="233" t="str">
        <f>IF(A255="","",'Model Inputs'!$B$53*B255)</f>
        <v/>
      </c>
    </row>
    <row r="256" spans="1:5" ht="18" customHeight="1">
      <c r="A256" s="232" t="str">
        <f>IF(A255&gt;='Model Inputs'!$B$52,"",A255+1)</f>
        <v/>
      </c>
      <c r="B256" s="219" t="str">
        <f t="shared" si="6"/>
        <v/>
      </c>
      <c r="C256" s="231" t="str">
        <f>IF(A256="","",-PMT('Model Inputs'!$B$53,'Model Inputs'!$B$52,'Model Inputs'!$B$50))</f>
        <v/>
      </c>
      <c r="D256" s="231" t="str">
        <f t="shared" si="7"/>
        <v/>
      </c>
      <c r="E256" s="233" t="str">
        <f>IF(A256="","",'Model Inputs'!$B$53*B256)</f>
        <v/>
      </c>
    </row>
    <row r="257" spans="1:5" ht="18" customHeight="1">
      <c r="A257" s="232" t="str">
        <f>IF(A256&gt;='Model Inputs'!$B$52,"",A256+1)</f>
        <v/>
      </c>
      <c r="B257" s="219" t="str">
        <f t="shared" si="6"/>
        <v/>
      </c>
      <c r="C257" s="231" t="str">
        <f>IF(A257="","",-PMT('Model Inputs'!$B$53,'Model Inputs'!$B$52,'Model Inputs'!$B$50))</f>
        <v/>
      </c>
      <c r="D257" s="231" t="str">
        <f t="shared" si="7"/>
        <v/>
      </c>
      <c r="E257" s="233" t="str">
        <f>IF(A257="","",'Model Inputs'!$B$53*B257)</f>
        <v/>
      </c>
    </row>
    <row r="258" spans="1:5" ht="18" customHeight="1">
      <c r="A258" s="232" t="str">
        <f>IF(A257&gt;='Model Inputs'!$B$52,"",A257+1)</f>
        <v/>
      </c>
      <c r="B258" s="219" t="str">
        <f t="shared" si="6"/>
        <v/>
      </c>
      <c r="C258" s="231" t="str">
        <f>IF(A258="","",-PMT('Model Inputs'!$B$53,'Model Inputs'!$B$52,'Model Inputs'!$B$50))</f>
        <v/>
      </c>
      <c r="D258" s="231" t="str">
        <f t="shared" si="7"/>
        <v/>
      </c>
      <c r="E258" s="233" t="str">
        <f>IF(A258="","",'Model Inputs'!$B$53*B258)</f>
        <v/>
      </c>
    </row>
    <row r="259" spans="1:5" ht="18" customHeight="1">
      <c r="A259" s="232" t="str">
        <f>IF(A258&gt;='Model Inputs'!$B$52,"",A258+1)</f>
        <v/>
      </c>
      <c r="B259" s="219" t="str">
        <f t="shared" si="6"/>
        <v/>
      </c>
      <c r="C259" s="231" t="str">
        <f>IF(A259="","",-PMT('Model Inputs'!$B$53,'Model Inputs'!$B$52,'Model Inputs'!$B$50))</f>
        <v/>
      </c>
      <c r="D259" s="231" t="str">
        <f t="shared" si="7"/>
        <v/>
      </c>
      <c r="E259" s="233" t="str">
        <f>IF(A259="","",'Model Inputs'!$B$53*B259)</f>
        <v/>
      </c>
    </row>
    <row r="260" spans="1:5" ht="18" customHeight="1">
      <c r="A260" s="232" t="str">
        <f>IF(A259&gt;='Model Inputs'!$B$52,"",A259+1)</f>
        <v/>
      </c>
      <c r="B260" s="219" t="str">
        <f t="shared" si="6"/>
        <v/>
      </c>
      <c r="C260" s="231" t="str">
        <f>IF(A260="","",-PMT('Model Inputs'!$B$53,'Model Inputs'!$B$52,'Model Inputs'!$B$50))</f>
        <v/>
      </c>
      <c r="D260" s="231" t="str">
        <f t="shared" si="7"/>
        <v/>
      </c>
      <c r="E260" s="233" t="str">
        <f>IF(A260="","",'Model Inputs'!$B$53*B260)</f>
        <v/>
      </c>
    </row>
    <row r="261" spans="1:5" ht="18" customHeight="1">
      <c r="A261" s="232" t="str">
        <f>IF(A260&gt;='Model Inputs'!$B$52,"",A260+1)</f>
        <v/>
      </c>
      <c r="B261" s="219" t="str">
        <f t="shared" si="6"/>
        <v/>
      </c>
      <c r="C261" s="231" t="str">
        <f>IF(A261="","",-PMT('Model Inputs'!$B$53,'Model Inputs'!$B$52,'Model Inputs'!$B$50))</f>
        <v/>
      </c>
      <c r="D261" s="231" t="str">
        <f t="shared" si="7"/>
        <v/>
      </c>
      <c r="E261" s="233" t="str">
        <f>IF(A261="","",'Model Inputs'!$B$53*B261)</f>
        <v/>
      </c>
    </row>
    <row r="262" spans="1:5" ht="18" customHeight="1">
      <c r="A262" s="232" t="str">
        <f>IF(A261&gt;='Model Inputs'!$B$52,"",A261+1)</f>
        <v/>
      </c>
      <c r="B262" s="219" t="str">
        <f t="shared" si="6"/>
        <v/>
      </c>
      <c r="C262" s="231" t="str">
        <f>IF(A262="","",-PMT('Model Inputs'!$B$53,'Model Inputs'!$B$52,'Model Inputs'!$B$50))</f>
        <v/>
      </c>
      <c r="D262" s="231" t="str">
        <f t="shared" si="7"/>
        <v/>
      </c>
      <c r="E262" s="233" t="str">
        <f>IF(A262="","",'Model Inputs'!$B$53*B262)</f>
        <v/>
      </c>
    </row>
    <row r="263" spans="1:5" ht="18" customHeight="1">
      <c r="A263" s="232" t="str">
        <f>IF(A262&gt;='Model Inputs'!$B$52,"",A262+1)</f>
        <v/>
      </c>
      <c r="B263" s="219" t="str">
        <f t="shared" si="6"/>
        <v/>
      </c>
      <c r="C263" s="231" t="str">
        <f>IF(A263="","",-PMT('Model Inputs'!$B$53,'Model Inputs'!$B$52,'Model Inputs'!$B$50))</f>
        <v/>
      </c>
      <c r="D263" s="231" t="str">
        <f t="shared" si="7"/>
        <v/>
      </c>
      <c r="E263" s="233" t="str">
        <f>IF(A263="","",'Model Inputs'!$B$53*B263)</f>
        <v/>
      </c>
    </row>
    <row r="264" spans="1:5" ht="18" customHeight="1">
      <c r="A264" s="232" t="str">
        <f>IF(A263&gt;='Model Inputs'!$B$52,"",A263+1)</f>
        <v/>
      </c>
      <c r="B264" s="219" t="str">
        <f t="shared" si="6"/>
        <v/>
      </c>
      <c r="C264" s="231" t="str">
        <f>IF(A264="","",-PMT('Model Inputs'!$B$53,'Model Inputs'!$B$52,'Model Inputs'!$B$50))</f>
        <v/>
      </c>
      <c r="D264" s="231" t="str">
        <f t="shared" si="7"/>
        <v/>
      </c>
      <c r="E264" s="233" t="str">
        <f>IF(A264="","",'Model Inputs'!$B$53*B264)</f>
        <v/>
      </c>
    </row>
    <row r="265" spans="1:5" ht="18" customHeight="1">
      <c r="A265" s="232" t="str">
        <f>IF(A264&gt;='Model Inputs'!$B$52,"",A264+1)</f>
        <v/>
      </c>
      <c r="B265" s="219" t="str">
        <f t="shared" si="6"/>
        <v/>
      </c>
      <c r="C265" s="231" t="str">
        <f>IF(A265="","",-PMT('Model Inputs'!$B$53,'Model Inputs'!$B$52,'Model Inputs'!$B$50))</f>
        <v/>
      </c>
      <c r="D265" s="231" t="str">
        <f t="shared" si="7"/>
        <v/>
      </c>
      <c r="E265" s="233" t="str">
        <f>IF(A265="","",'Model Inputs'!$B$53*B265)</f>
        <v/>
      </c>
    </row>
    <row r="266" spans="1:5" ht="18" customHeight="1">
      <c r="A266" s="232" t="str">
        <f>IF(A265&gt;='Model Inputs'!$B$52,"",A265+1)</f>
        <v/>
      </c>
      <c r="B266" s="219" t="str">
        <f t="shared" ref="B266:B329" si="8">IF(A266="","",B265-D265)</f>
        <v/>
      </c>
      <c r="C266" s="231" t="str">
        <f>IF(A266="","",-PMT('Model Inputs'!$B$53,'Model Inputs'!$B$52,'Model Inputs'!$B$50))</f>
        <v/>
      </c>
      <c r="D266" s="231" t="str">
        <f t="shared" ref="D266:D329" si="9">IF(A266="","",C266-E266)</f>
        <v/>
      </c>
      <c r="E266" s="233" t="str">
        <f>IF(A266="","",'Model Inputs'!$B$53*B266)</f>
        <v/>
      </c>
    </row>
    <row r="267" spans="1:5" ht="18" customHeight="1">
      <c r="A267" s="232" t="str">
        <f>IF(A266&gt;='Model Inputs'!$B$52,"",A266+1)</f>
        <v/>
      </c>
      <c r="B267" s="219" t="str">
        <f t="shared" si="8"/>
        <v/>
      </c>
      <c r="C267" s="231" t="str">
        <f>IF(A267="","",-PMT('Model Inputs'!$B$53,'Model Inputs'!$B$52,'Model Inputs'!$B$50))</f>
        <v/>
      </c>
      <c r="D267" s="231" t="str">
        <f t="shared" si="9"/>
        <v/>
      </c>
      <c r="E267" s="233" t="str">
        <f>IF(A267="","",'Model Inputs'!$B$53*B267)</f>
        <v/>
      </c>
    </row>
    <row r="268" spans="1:5" ht="18" customHeight="1">
      <c r="A268" s="232" t="str">
        <f>IF(A267&gt;='Model Inputs'!$B$52,"",A267+1)</f>
        <v/>
      </c>
      <c r="B268" s="219" t="str">
        <f t="shared" si="8"/>
        <v/>
      </c>
      <c r="C268" s="231" t="str">
        <f>IF(A268="","",-PMT('Model Inputs'!$B$53,'Model Inputs'!$B$52,'Model Inputs'!$B$50))</f>
        <v/>
      </c>
      <c r="D268" s="231" t="str">
        <f t="shared" si="9"/>
        <v/>
      </c>
      <c r="E268" s="233" t="str">
        <f>IF(A268="","",'Model Inputs'!$B$53*B268)</f>
        <v/>
      </c>
    </row>
    <row r="269" spans="1:5" ht="18" customHeight="1">
      <c r="A269" s="232" t="str">
        <f>IF(A268&gt;='Model Inputs'!$B$52,"",A268+1)</f>
        <v/>
      </c>
      <c r="B269" s="219" t="str">
        <f t="shared" si="8"/>
        <v/>
      </c>
      <c r="C269" s="231" t="str">
        <f>IF(A269="","",-PMT('Model Inputs'!$B$53,'Model Inputs'!$B$52,'Model Inputs'!$B$50))</f>
        <v/>
      </c>
      <c r="D269" s="231" t="str">
        <f t="shared" si="9"/>
        <v/>
      </c>
      <c r="E269" s="233" t="str">
        <f>IF(A269="","",'Model Inputs'!$B$53*B269)</f>
        <v/>
      </c>
    </row>
    <row r="270" spans="1:5" ht="18" customHeight="1">
      <c r="A270" s="232" t="str">
        <f>IF(A269&gt;='Model Inputs'!$B$52,"",A269+1)</f>
        <v/>
      </c>
      <c r="B270" s="219" t="str">
        <f t="shared" si="8"/>
        <v/>
      </c>
      <c r="C270" s="231" t="str">
        <f>IF(A270="","",-PMT('Model Inputs'!$B$53,'Model Inputs'!$B$52,'Model Inputs'!$B$50))</f>
        <v/>
      </c>
      <c r="D270" s="231" t="str">
        <f t="shared" si="9"/>
        <v/>
      </c>
      <c r="E270" s="233" t="str">
        <f>IF(A270="","",'Model Inputs'!$B$53*B270)</f>
        <v/>
      </c>
    </row>
    <row r="271" spans="1:5" ht="18" customHeight="1">
      <c r="A271" s="232" t="str">
        <f>IF(A270&gt;='Model Inputs'!$B$52,"",A270+1)</f>
        <v/>
      </c>
      <c r="B271" s="219" t="str">
        <f t="shared" si="8"/>
        <v/>
      </c>
      <c r="C271" s="231" t="str">
        <f>IF(A271="","",-PMT('Model Inputs'!$B$53,'Model Inputs'!$B$52,'Model Inputs'!$B$50))</f>
        <v/>
      </c>
      <c r="D271" s="231" t="str">
        <f t="shared" si="9"/>
        <v/>
      </c>
      <c r="E271" s="233" t="str">
        <f>IF(A271="","",'Model Inputs'!$B$53*B271)</f>
        <v/>
      </c>
    </row>
    <row r="272" spans="1:5" ht="18" customHeight="1">
      <c r="A272" s="232" t="str">
        <f>IF(A271&gt;='Model Inputs'!$B$52,"",A271+1)</f>
        <v/>
      </c>
      <c r="B272" s="219" t="str">
        <f t="shared" si="8"/>
        <v/>
      </c>
      <c r="C272" s="231" t="str">
        <f>IF(A272="","",-PMT('Model Inputs'!$B$53,'Model Inputs'!$B$52,'Model Inputs'!$B$50))</f>
        <v/>
      </c>
      <c r="D272" s="231" t="str">
        <f t="shared" si="9"/>
        <v/>
      </c>
      <c r="E272" s="233" t="str">
        <f>IF(A272="","",'Model Inputs'!$B$53*B272)</f>
        <v/>
      </c>
    </row>
    <row r="273" spans="1:5" ht="18" customHeight="1">
      <c r="A273" s="232" t="str">
        <f>IF(A272&gt;='Model Inputs'!$B$52,"",A272+1)</f>
        <v/>
      </c>
      <c r="B273" s="219" t="str">
        <f t="shared" si="8"/>
        <v/>
      </c>
      <c r="C273" s="231" t="str">
        <f>IF(A273="","",-PMT('Model Inputs'!$B$53,'Model Inputs'!$B$52,'Model Inputs'!$B$50))</f>
        <v/>
      </c>
      <c r="D273" s="231" t="str">
        <f t="shared" si="9"/>
        <v/>
      </c>
      <c r="E273" s="233" t="str">
        <f>IF(A273="","",'Model Inputs'!$B$53*B273)</f>
        <v/>
      </c>
    </row>
    <row r="274" spans="1:5" ht="18" customHeight="1">
      <c r="A274" s="232" t="str">
        <f>IF(A273&gt;='Model Inputs'!$B$52,"",A273+1)</f>
        <v/>
      </c>
      <c r="B274" s="219" t="str">
        <f t="shared" si="8"/>
        <v/>
      </c>
      <c r="C274" s="231" t="str">
        <f>IF(A274="","",-PMT('Model Inputs'!$B$53,'Model Inputs'!$B$52,'Model Inputs'!$B$50))</f>
        <v/>
      </c>
      <c r="D274" s="231" t="str">
        <f t="shared" si="9"/>
        <v/>
      </c>
      <c r="E274" s="233" t="str">
        <f>IF(A274="","",'Model Inputs'!$B$53*B274)</f>
        <v/>
      </c>
    </row>
    <row r="275" spans="1:5" ht="18" customHeight="1">
      <c r="A275" s="232" t="str">
        <f>IF(A274&gt;='Model Inputs'!$B$52,"",A274+1)</f>
        <v/>
      </c>
      <c r="B275" s="219" t="str">
        <f t="shared" si="8"/>
        <v/>
      </c>
      <c r="C275" s="231" t="str">
        <f>IF(A275="","",-PMT('Model Inputs'!$B$53,'Model Inputs'!$B$52,'Model Inputs'!$B$50))</f>
        <v/>
      </c>
      <c r="D275" s="231" t="str">
        <f t="shared" si="9"/>
        <v/>
      </c>
      <c r="E275" s="233" t="str">
        <f>IF(A275="","",'Model Inputs'!$B$53*B275)</f>
        <v/>
      </c>
    </row>
    <row r="276" spans="1:5" ht="18" customHeight="1">
      <c r="A276" s="232" t="str">
        <f>IF(A275&gt;='Model Inputs'!$B$52,"",A275+1)</f>
        <v/>
      </c>
      <c r="B276" s="219" t="str">
        <f t="shared" si="8"/>
        <v/>
      </c>
      <c r="C276" s="231" t="str">
        <f>IF(A276="","",-PMT('Model Inputs'!$B$53,'Model Inputs'!$B$52,'Model Inputs'!$B$50))</f>
        <v/>
      </c>
      <c r="D276" s="231" t="str">
        <f t="shared" si="9"/>
        <v/>
      </c>
      <c r="E276" s="233" t="str">
        <f>IF(A276="","",'Model Inputs'!$B$53*B276)</f>
        <v/>
      </c>
    </row>
    <row r="277" spans="1:5" ht="18" customHeight="1">
      <c r="A277" s="232" t="str">
        <f>IF(A276&gt;='Model Inputs'!$B$52,"",A276+1)</f>
        <v/>
      </c>
      <c r="B277" s="219" t="str">
        <f t="shared" si="8"/>
        <v/>
      </c>
      <c r="C277" s="231" t="str">
        <f>IF(A277="","",-PMT('Model Inputs'!$B$53,'Model Inputs'!$B$52,'Model Inputs'!$B$50))</f>
        <v/>
      </c>
      <c r="D277" s="231" t="str">
        <f t="shared" si="9"/>
        <v/>
      </c>
      <c r="E277" s="233" t="str">
        <f>IF(A277="","",'Model Inputs'!$B$53*B277)</f>
        <v/>
      </c>
    </row>
    <row r="278" spans="1:5" ht="18" customHeight="1">
      <c r="A278" s="232" t="str">
        <f>IF(A277&gt;='Model Inputs'!$B$52,"",A277+1)</f>
        <v/>
      </c>
      <c r="B278" s="219" t="str">
        <f t="shared" si="8"/>
        <v/>
      </c>
      <c r="C278" s="231" t="str">
        <f>IF(A278="","",-PMT('Model Inputs'!$B$53,'Model Inputs'!$B$52,'Model Inputs'!$B$50))</f>
        <v/>
      </c>
      <c r="D278" s="231" t="str">
        <f t="shared" si="9"/>
        <v/>
      </c>
      <c r="E278" s="233" t="str">
        <f>IF(A278="","",'Model Inputs'!$B$53*B278)</f>
        <v/>
      </c>
    </row>
    <row r="279" spans="1:5" ht="18" customHeight="1">
      <c r="A279" s="232" t="str">
        <f>IF(A278&gt;='Model Inputs'!$B$52,"",A278+1)</f>
        <v/>
      </c>
      <c r="B279" s="219" t="str">
        <f t="shared" si="8"/>
        <v/>
      </c>
      <c r="C279" s="231" t="str">
        <f>IF(A279="","",-PMT('Model Inputs'!$B$53,'Model Inputs'!$B$52,'Model Inputs'!$B$50))</f>
        <v/>
      </c>
      <c r="D279" s="231" t="str">
        <f t="shared" si="9"/>
        <v/>
      </c>
      <c r="E279" s="233" t="str">
        <f>IF(A279="","",'Model Inputs'!$B$53*B279)</f>
        <v/>
      </c>
    </row>
    <row r="280" spans="1:5" ht="18" customHeight="1">
      <c r="A280" s="232" t="str">
        <f>IF(A279&gt;='Model Inputs'!$B$52,"",A279+1)</f>
        <v/>
      </c>
      <c r="B280" s="219" t="str">
        <f t="shared" si="8"/>
        <v/>
      </c>
      <c r="C280" s="231" t="str">
        <f>IF(A280="","",-PMT('Model Inputs'!$B$53,'Model Inputs'!$B$52,'Model Inputs'!$B$50))</f>
        <v/>
      </c>
      <c r="D280" s="231" t="str">
        <f t="shared" si="9"/>
        <v/>
      </c>
      <c r="E280" s="233" t="str">
        <f>IF(A280="","",'Model Inputs'!$B$53*B280)</f>
        <v/>
      </c>
    </row>
    <row r="281" spans="1:5" ht="18" customHeight="1">
      <c r="A281" s="232" t="str">
        <f>IF(A280&gt;='Model Inputs'!$B$52,"",A280+1)</f>
        <v/>
      </c>
      <c r="B281" s="219" t="str">
        <f t="shared" si="8"/>
        <v/>
      </c>
      <c r="C281" s="231" t="str">
        <f>IF(A281="","",-PMT('Model Inputs'!$B$53,'Model Inputs'!$B$52,'Model Inputs'!$B$50))</f>
        <v/>
      </c>
      <c r="D281" s="231" t="str">
        <f t="shared" si="9"/>
        <v/>
      </c>
      <c r="E281" s="233" t="str">
        <f>IF(A281="","",'Model Inputs'!$B$53*B281)</f>
        <v/>
      </c>
    </row>
    <row r="282" spans="1:5" ht="18" customHeight="1">
      <c r="A282" s="232" t="str">
        <f>IF(A281&gt;='Model Inputs'!$B$52,"",A281+1)</f>
        <v/>
      </c>
      <c r="B282" s="219" t="str">
        <f t="shared" si="8"/>
        <v/>
      </c>
      <c r="C282" s="231" t="str">
        <f>IF(A282="","",-PMT('Model Inputs'!$B$53,'Model Inputs'!$B$52,'Model Inputs'!$B$50))</f>
        <v/>
      </c>
      <c r="D282" s="231" t="str">
        <f t="shared" si="9"/>
        <v/>
      </c>
      <c r="E282" s="233" t="str">
        <f>IF(A282="","",'Model Inputs'!$B$53*B282)</f>
        <v/>
      </c>
    </row>
    <row r="283" spans="1:5" ht="18" customHeight="1">
      <c r="A283" s="232" t="str">
        <f>IF(A282&gt;='Model Inputs'!$B$52,"",A282+1)</f>
        <v/>
      </c>
      <c r="B283" s="219" t="str">
        <f t="shared" si="8"/>
        <v/>
      </c>
      <c r="C283" s="231" t="str">
        <f>IF(A283="","",-PMT('Model Inputs'!$B$53,'Model Inputs'!$B$52,'Model Inputs'!$B$50))</f>
        <v/>
      </c>
      <c r="D283" s="231" t="str">
        <f t="shared" si="9"/>
        <v/>
      </c>
      <c r="E283" s="233" t="str">
        <f>IF(A283="","",'Model Inputs'!$B$53*B283)</f>
        <v/>
      </c>
    </row>
    <row r="284" spans="1:5" ht="18" customHeight="1">
      <c r="A284" s="232" t="str">
        <f>IF(A283&gt;='Model Inputs'!$B$52,"",A283+1)</f>
        <v/>
      </c>
      <c r="B284" s="219" t="str">
        <f t="shared" si="8"/>
        <v/>
      </c>
      <c r="C284" s="231" t="str">
        <f>IF(A284="","",-PMT('Model Inputs'!$B$53,'Model Inputs'!$B$52,'Model Inputs'!$B$50))</f>
        <v/>
      </c>
      <c r="D284" s="231" t="str">
        <f t="shared" si="9"/>
        <v/>
      </c>
      <c r="E284" s="233" t="str">
        <f>IF(A284="","",'Model Inputs'!$B$53*B284)</f>
        <v/>
      </c>
    </row>
    <row r="285" spans="1:5" ht="18" customHeight="1">
      <c r="A285" s="232" t="str">
        <f>IF(A284&gt;='Model Inputs'!$B$52,"",A284+1)</f>
        <v/>
      </c>
      <c r="B285" s="219" t="str">
        <f t="shared" si="8"/>
        <v/>
      </c>
      <c r="C285" s="231" t="str">
        <f>IF(A285="","",-PMT('Model Inputs'!$B$53,'Model Inputs'!$B$52,'Model Inputs'!$B$50))</f>
        <v/>
      </c>
      <c r="D285" s="231" t="str">
        <f t="shared" si="9"/>
        <v/>
      </c>
      <c r="E285" s="233" t="str">
        <f>IF(A285="","",'Model Inputs'!$B$53*B285)</f>
        <v/>
      </c>
    </row>
    <row r="286" spans="1:5" ht="18" customHeight="1">
      <c r="A286" s="232" t="str">
        <f>IF(A285&gt;='Model Inputs'!$B$52,"",A285+1)</f>
        <v/>
      </c>
      <c r="B286" s="219" t="str">
        <f t="shared" si="8"/>
        <v/>
      </c>
      <c r="C286" s="231" t="str">
        <f>IF(A286="","",-PMT('Model Inputs'!$B$53,'Model Inputs'!$B$52,'Model Inputs'!$B$50))</f>
        <v/>
      </c>
      <c r="D286" s="231" t="str">
        <f t="shared" si="9"/>
        <v/>
      </c>
      <c r="E286" s="233" t="str">
        <f>IF(A286="","",'Model Inputs'!$B$53*B286)</f>
        <v/>
      </c>
    </row>
    <row r="287" spans="1:5" ht="18" customHeight="1">
      <c r="A287" s="232" t="str">
        <f>IF(A286&gt;='Model Inputs'!$B$52,"",A286+1)</f>
        <v/>
      </c>
      <c r="B287" s="219" t="str">
        <f t="shared" si="8"/>
        <v/>
      </c>
      <c r="C287" s="231" t="str">
        <f>IF(A287="","",-PMT('Model Inputs'!$B$53,'Model Inputs'!$B$52,'Model Inputs'!$B$50))</f>
        <v/>
      </c>
      <c r="D287" s="231" t="str">
        <f t="shared" si="9"/>
        <v/>
      </c>
      <c r="E287" s="233" t="str">
        <f>IF(A287="","",'Model Inputs'!$B$53*B287)</f>
        <v/>
      </c>
    </row>
    <row r="288" spans="1:5" ht="18" customHeight="1">
      <c r="A288" s="232" t="str">
        <f>IF(A287&gt;='Model Inputs'!$B$52,"",A287+1)</f>
        <v/>
      </c>
      <c r="B288" s="219" t="str">
        <f t="shared" si="8"/>
        <v/>
      </c>
      <c r="C288" s="231" t="str">
        <f>IF(A288="","",-PMT('Model Inputs'!$B$53,'Model Inputs'!$B$52,'Model Inputs'!$B$50))</f>
        <v/>
      </c>
      <c r="D288" s="231" t="str">
        <f t="shared" si="9"/>
        <v/>
      </c>
      <c r="E288" s="233" t="str">
        <f>IF(A288="","",'Model Inputs'!$B$53*B288)</f>
        <v/>
      </c>
    </row>
    <row r="289" spans="1:5" ht="18" customHeight="1">
      <c r="A289" s="232" t="str">
        <f>IF(A288&gt;='Model Inputs'!$B$52,"",A288+1)</f>
        <v/>
      </c>
      <c r="B289" s="219" t="str">
        <f t="shared" si="8"/>
        <v/>
      </c>
      <c r="C289" s="231" t="str">
        <f>IF(A289="","",-PMT('Model Inputs'!$B$53,'Model Inputs'!$B$52,'Model Inputs'!$B$50))</f>
        <v/>
      </c>
      <c r="D289" s="231" t="str">
        <f t="shared" si="9"/>
        <v/>
      </c>
      <c r="E289" s="233" t="str">
        <f>IF(A289="","",'Model Inputs'!$B$53*B289)</f>
        <v/>
      </c>
    </row>
    <row r="290" spans="1:5" ht="18" customHeight="1">
      <c r="A290" s="232" t="str">
        <f>IF(A289&gt;='Model Inputs'!$B$52,"",A289+1)</f>
        <v/>
      </c>
      <c r="B290" s="219" t="str">
        <f t="shared" si="8"/>
        <v/>
      </c>
      <c r="C290" s="231" t="str">
        <f>IF(A290="","",-PMT('Model Inputs'!$B$53,'Model Inputs'!$B$52,'Model Inputs'!$B$50))</f>
        <v/>
      </c>
      <c r="D290" s="231" t="str">
        <f t="shared" si="9"/>
        <v/>
      </c>
      <c r="E290" s="233" t="str">
        <f>IF(A290="","",'Model Inputs'!$B$53*B290)</f>
        <v/>
      </c>
    </row>
    <row r="291" spans="1:5" ht="18" customHeight="1">
      <c r="A291" s="232" t="str">
        <f>IF(A290&gt;='Model Inputs'!$B$52,"",A290+1)</f>
        <v/>
      </c>
      <c r="B291" s="219" t="str">
        <f t="shared" si="8"/>
        <v/>
      </c>
      <c r="C291" s="231" t="str">
        <f>IF(A291="","",-PMT('Model Inputs'!$B$53,'Model Inputs'!$B$52,'Model Inputs'!$B$50))</f>
        <v/>
      </c>
      <c r="D291" s="231" t="str">
        <f t="shared" si="9"/>
        <v/>
      </c>
      <c r="E291" s="233" t="str">
        <f>IF(A291="","",'Model Inputs'!$B$53*B291)</f>
        <v/>
      </c>
    </row>
    <row r="292" spans="1:5" ht="18" customHeight="1">
      <c r="A292" s="232" t="str">
        <f>IF(A291&gt;='Model Inputs'!$B$52,"",A291+1)</f>
        <v/>
      </c>
      <c r="B292" s="219" t="str">
        <f t="shared" si="8"/>
        <v/>
      </c>
      <c r="C292" s="231" t="str">
        <f>IF(A292="","",-PMT('Model Inputs'!$B$53,'Model Inputs'!$B$52,'Model Inputs'!$B$50))</f>
        <v/>
      </c>
      <c r="D292" s="231" t="str">
        <f t="shared" si="9"/>
        <v/>
      </c>
      <c r="E292" s="233" t="str">
        <f>IF(A292="","",'Model Inputs'!$B$53*B292)</f>
        <v/>
      </c>
    </row>
    <row r="293" spans="1:5" ht="18" customHeight="1">
      <c r="A293" s="232" t="str">
        <f>IF(A292&gt;='Model Inputs'!$B$52,"",A292+1)</f>
        <v/>
      </c>
      <c r="B293" s="219" t="str">
        <f t="shared" si="8"/>
        <v/>
      </c>
      <c r="C293" s="231" t="str">
        <f>IF(A293="","",-PMT('Model Inputs'!$B$53,'Model Inputs'!$B$52,'Model Inputs'!$B$50))</f>
        <v/>
      </c>
      <c r="D293" s="231" t="str">
        <f t="shared" si="9"/>
        <v/>
      </c>
      <c r="E293" s="233" t="str">
        <f>IF(A293="","",'Model Inputs'!$B$53*B293)</f>
        <v/>
      </c>
    </row>
    <row r="294" spans="1:5" ht="18" customHeight="1">
      <c r="A294" s="232" t="str">
        <f>IF(A293&gt;='Model Inputs'!$B$52,"",A293+1)</f>
        <v/>
      </c>
      <c r="B294" s="219" t="str">
        <f t="shared" si="8"/>
        <v/>
      </c>
      <c r="C294" s="231" t="str">
        <f>IF(A294="","",-PMT('Model Inputs'!$B$53,'Model Inputs'!$B$52,'Model Inputs'!$B$50))</f>
        <v/>
      </c>
      <c r="D294" s="231" t="str">
        <f t="shared" si="9"/>
        <v/>
      </c>
      <c r="E294" s="233" t="str">
        <f>IF(A294="","",'Model Inputs'!$B$53*B294)</f>
        <v/>
      </c>
    </row>
    <row r="295" spans="1:5" ht="18" customHeight="1">
      <c r="A295" s="232" t="str">
        <f>IF(A294&gt;='Model Inputs'!$B$52,"",A294+1)</f>
        <v/>
      </c>
      <c r="B295" s="219" t="str">
        <f t="shared" si="8"/>
        <v/>
      </c>
      <c r="C295" s="231" t="str">
        <f>IF(A295="","",-PMT('Model Inputs'!$B$53,'Model Inputs'!$B$52,'Model Inputs'!$B$50))</f>
        <v/>
      </c>
      <c r="D295" s="231" t="str">
        <f t="shared" si="9"/>
        <v/>
      </c>
      <c r="E295" s="233" t="str">
        <f>IF(A295="","",'Model Inputs'!$B$53*B295)</f>
        <v/>
      </c>
    </row>
    <row r="296" spans="1:5" ht="18" customHeight="1">
      <c r="A296" s="232" t="str">
        <f>IF(A295&gt;='Model Inputs'!$B$52,"",A295+1)</f>
        <v/>
      </c>
      <c r="B296" s="219" t="str">
        <f t="shared" si="8"/>
        <v/>
      </c>
      <c r="C296" s="231" t="str">
        <f>IF(A296="","",-PMT('Model Inputs'!$B$53,'Model Inputs'!$B$52,'Model Inputs'!$B$50))</f>
        <v/>
      </c>
      <c r="D296" s="231" t="str">
        <f t="shared" si="9"/>
        <v/>
      </c>
      <c r="E296" s="233" t="str">
        <f>IF(A296="","",'Model Inputs'!$B$53*B296)</f>
        <v/>
      </c>
    </row>
    <row r="297" spans="1:5" ht="18" customHeight="1">
      <c r="A297" s="232" t="str">
        <f>IF(A296&gt;='Model Inputs'!$B$52,"",A296+1)</f>
        <v/>
      </c>
      <c r="B297" s="219" t="str">
        <f t="shared" si="8"/>
        <v/>
      </c>
      <c r="C297" s="231" t="str">
        <f>IF(A297="","",-PMT('Model Inputs'!$B$53,'Model Inputs'!$B$52,'Model Inputs'!$B$50))</f>
        <v/>
      </c>
      <c r="D297" s="231" t="str">
        <f t="shared" si="9"/>
        <v/>
      </c>
      <c r="E297" s="233" t="str">
        <f>IF(A297="","",'Model Inputs'!$B$53*B297)</f>
        <v/>
      </c>
    </row>
    <row r="298" spans="1:5" ht="18" customHeight="1">
      <c r="A298" s="232" t="str">
        <f>IF(A297&gt;='Model Inputs'!$B$52,"",A297+1)</f>
        <v/>
      </c>
      <c r="B298" s="219" t="str">
        <f t="shared" si="8"/>
        <v/>
      </c>
      <c r="C298" s="231" t="str">
        <f>IF(A298="","",-PMT('Model Inputs'!$B$53,'Model Inputs'!$B$52,'Model Inputs'!$B$50))</f>
        <v/>
      </c>
      <c r="D298" s="231" t="str">
        <f t="shared" si="9"/>
        <v/>
      </c>
      <c r="E298" s="233" t="str">
        <f>IF(A298="","",'Model Inputs'!$B$53*B298)</f>
        <v/>
      </c>
    </row>
    <row r="299" spans="1:5" ht="18" customHeight="1">
      <c r="A299" s="232" t="str">
        <f>IF(A298&gt;='Model Inputs'!$B$52,"",A298+1)</f>
        <v/>
      </c>
      <c r="B299" s="219" t="str">
        <f t="shared" si="8"/>
        <v/>
      </c>
      <c r="C299" s="231" t="str">
        <f>IF(A299="","",-PMT('Model Inputs'!$B$53,'Model Inputs'!$B$52,'Model Inputs'!$B$50))</f>
        <v/>
      </c>
      <c r="D299" s="231" t="str">
        <f t="shared" si="9"/>
        <v/>
      </c>
      <c r="E299" s="233" t="str">
        <f>IF(A299="","",'Model Inputs'!$B$53*B299)</f>
        <v/>
      </c>
    </row>
    <row r="300" spans="1:5" ht="18" customHeight="1">
      <c r="A300" s="232" t="str">
        <f>IF(A299&gt;='Model Inputs'!$B$52,"",A299+1)</f>
        <v/>
      </c>
      <c r="B300" s="219" t="str">
        <f t="shared" si="8"/>
        <v/>
      </c>
      <c r="C300" s="231" t="str">
        <f>IF(A300="","",-PMT('Model Inputs'!$B$53,'Model Inputs'!$B$52,'Model Inputs'!$B$50))</f>
        <v/>
      </c>
      <c r="D300" s="231" t="str">
        <f t="shared" si="9"/>
        <v/>
      </c>
      <c r="E300" s="233" t="str">
        <f>IF(A300="","",'Model Inputs'!$B$53*B300)</f>
        <v/>
      </c>
    </row>
    <row r="301" spans="1:5" ht="18" customHeight="1">
      <c r="A301" s="232" t="str">
        <f>IF(A300&gt;='Model Inputs'!$B$52,"",A300+1)</f>
        <v/>
      </c>
      <c r="B301" s="219" t="str">
        <f t="shared" si="8"/>
        <v/>
      </c>
      <c r="C301" s="231" t="str">
        <f>IF(A301="","",-PMT('Model Inputs'!$B$53,'Model Inputs'!$B$52,'Model Inputs'!$B$50))</f>
        <v/>
      </c>
      <c r="D301" s="231" t="str">
        <f t="shared" si="9"/>
        <v/>
      </c>
      <c r="E301" s="233" t="str">
        <f>IF(A301="","",'Model Inputs'!$B$53*B301)</f>
        <v/>
      </c>
    </row>
    <row r="302" spans="1:5" ht="18" customHeight="1">
      <c r="A302" s="232" t="str">
        <f>IF(A301&gt;='Model Inputs'!$B$52,"",A301+1)</f>
        <v/>
      </c>
      <c r="B302" s="219" t="str">
        <f t="shared" si="8"/>
        <v/>
      </c>
      <c r="C302" s="231" t="str">
        <f>IF(A302="","",-PMT('Model Inputs'!$B$53,'Model Inputs'!$B$52,'Model Inputs'!$B$50))</f>
        <v/>
      </c>
      <c r="D302" s="231" t="str">
        <f t="shared" si="9"/>
        <v/>
      </c>
      <c r="E302" s="233" t="str">
        <f>IF(A302="","",'Model Inputs'!$B$53*B302)</f>
        <v/>
      </c>
    </row>
    <row r="303" spans="1:5" ht="18" customHeight="1">
      <c r="A303" s="232" t="str">
        <f>IF(A302&gt;='Model Inputs'!$B$52,"",A302+1)</f>
        <v/>
      </c>
      <c r="B303" s="219" t="str">
        <f t="shared" si="8"/>
        <v/>
      </c>
      <c r="C303" s="231" t="str">
        <f>IF(A303="","",-PMT('Model Inputs'!$B$53,'Model Inputs'!$B$52,'Model Inputs'!$B$50))</f>
        <v/>
      </c>
      <c r="D303" s="231" t="str">
        <f t="shared" si="9"/>
        <v/>
      </c>
      <c r="E303" s="233" t="str">
        <f>IF(A303="","",'Model Inputs'!$B$53*B303)</f>
        <v/>
      </c>
    </row>
    <row r="304" spans="1:5" ht="18" customHeight="1">
      <c r="A304" s="232" t="str">
        <f>IF(A303&gt;='Model Inputs'!$B$52,"",A303+1)</f>
        <v/>
      </c>
      <c r="B304" s="219" t="str">
        <f t="shared" si="8"/>
        <v/>
      </c>
      <c r="C304" s="231" t="str">
        <f>IF(A304="","",-PMT('Model Inputs'!$B$53,'Model Inputs'!$B$52,'Model Inputs'!$B$50))</f>
        <v/>
      </c>
      <c r="D304" s="231" t="str">
        <f t="shared" si="9"/>
        <v/>
      </c>
      <c r="E304" s="233" t="str">
        <f>IF(A304="","",'Model Inputs'!$B$53*B304)</f>
        <v/>
      </c>
    </row>
    <row r="305" spans="1:5" ht="18" customHeight="1">
      <c r="A305" s="232" t="str">
        <f>IF(A304&gt;='Model Inputs'!$B$52,"",A304+1)</f>
        <v/>
      </c>
      <c r="B305" s="219" t="str">
        <f t="shared" si="8"/>
        <v/>
      </c>
      <c r="C305" s="231" t="str">
        <f>IF(A305="","",-PMT('Model Inputs'!$B$53,'Model Inputs'!$B$52,'Model Inputs'!$B$50))</f>
        <v/>
      </c>
      <c r="D305" s="231" t="str">
        <f t="shared" si="9"/>
        <v/>
      </c>
      <c r="E305" s="233" t="str">
        <f>IF(A305="","",'Model Inputs'!$B$53*B305)</f>
        <v/>
      </c>
    </row>
    <row r="306" spans="1:5" ht="18" customHeight="1">
      <c r="A306" s="232" t="str">
        <f>IF(A305&gt;='Model Inputs'!$B$52,"",A305+1)</f>
        <v/>
      </c>
      <c r="B306" s="219" t="str">
        <f t="shared" si="8"/>
        <v/>
      </c>
      <c r="C306" s="231" t="str">
        <f>IF(A306="","",-PMT('Model Inputs'!$B$53,'Model Inputs'!$B$52,'Model Inputs'!$B$50))</f>
        <v/>
      </c>
      <c r="D306" s="231" t="str">
        <f t="shared" si="9"/>
        <v/>
      </c>
      <c r="E306" s="233" t="str">
        <f>IF(A306="","",'Model Inputs'!$B$53*B306)</f>
        <v/>
      </c>
    </row>
    <row r="307" spans="1:5" ht="18" customHeight="1">
      <c r="A307" s="232" t="str">
        <f>IF(A306&gt;='Model Inputs'!$B$52,"",A306+1)</f>
        <v/>
      </c>
      <c r="B307" s="219" t="str">
        <f t="shared" si="8"/>
        <v/>
      </c>
      <c r="C307" s="231" t="str">
        <f>IF(A307="","",-PMT('Model Inputs'!$B$53,'Model Inputs'!$B$52,'Model Inputs'!$B$50))</f>
        <v/>
      </c>
      <c r="D307" s="231" t="str">
        <f t="shared" si="9"/>
        <v/>
      </c>
      <c r="E307" s="233" t="str">
        <f>IF(A307="","",'Model Inputs'!$B$53*B307)</f>
        <v/>
      </c>
    </row>
    <row r="308" spans="1:5" ht="18" customHeight="1">
      <c r="A308" s="232" t="str">
        <f>IF(A307&gt;='Model Inputs'!$B$52,"",A307+1)</f>
        <v/>
      </c>
      <c r="B308" s="219" t="str">
        <f t="shared" si="8"/>
        <v/>
      </c>
      <c r="C308" s="231" t="str">
        <f>IF(A308="","",-PMT('Model Inputs'!$B$53,'Model Inputs'!$B$52,'Model Inputs'!$B$50))</f>
        <v/>
      </c>
      <c r="D308" s="231" t="str">
        <f t="shared" si="9"/>
        <v/>
      </c>
      <c r="E308" s="233" t="str">
        <f>IF(A308="","",'Model Inputs'!$B$53*B308)</f>
        <v/>
      </c>
    </row>
    <row r="309" spans="1:5" ht="18" customHeight="1">
      <c r="A309" s="232" t="str">
        <f>IF(A308&gt;='Model Inputs'!$B$52,"",A308+1)</f>
        <v/>
      </c>
      <c r="B309" s="219" t="str">
        <f t="shared" si="8"/>
        <v/>
      </c>
      <c r="C309" s="231" t="str">
        <f>IF(A309="","",-PMT('Model Inputs'!$B$53,'Model Inputs'!$B$52,'Model Inputs'!$B$50))</f>
        <v/>
      </c>
      <c r="D309" s="231" t="str">
        <f t="shared" si="9"/>
        <v/>
      </c>
      <c r="E309" s="233" t="str">
        <f>IF(A309="","",'Model Inputs'!$B$53*B309)</f>
        <v/>
      </c>
    </row>
    <row r="310" spans="1:5" ht="18" customHeight="1">
      <c r="A310" s="232" t="str">
        <f>IF(A309&gt;='Model Inputs'!$B$52,"",A309+1)</f>
        <v/>
      </c>
      <c r="B310" s="219" t="str">
        <f t="shared" si="8"/>
        <v/>
      </c>
      <c r="C310" s="231" t="str">
        <f>IF(A310="","",-PMT('Model Inputs'!$B$53,'Model Inputs'!$B$52,'Model Inputs'!$B$50))</f>
        <v/>
      </c>
      <c r="D310" s="231" t="str">
        <f t="shared" si="9"/>
        <v/>
      </c>
      <c r="E310" s="233" t="str">
        <f>IF(A310="","",'Model Inputs'!$B$53*B310)</f>
        <v/>
      </c>
    </row>
    <row r="311" spans="1:5" ht="18" customHeight="1">
      <c r="A311" s="232" t="str">
        <f>IF(A310&gt;='Model Inputs'!$B$52,"",A310+1)</f>
        <v/>
      </c>
      <c r="B311" s="219" t="str">
        <f t="shared" si="8"/>
        <v/>
      </c>
      <c r="C311" s="231" t="str">
        <f>IF(A311="","",-PMT('Model Inputs'!$B$53,'Model Inputs'!$B$52,'Model Inputs'!$B$50))</f>
        <v/>
      </c>
      <c r="D311" s="231" t="str">
        <f t="shared" si="9"/>
        <v/>
      </c>
      <c r="E311" s="233" t="str">
        <f>IF(A311="","",'Model Inputs'!$B$53*B311)</f>
        <v/>
      </c>
    </row>
    <row r="312" spans="1:5" ht="18" customHeight="1">
      <c r="A312" s="232" t="str">
        <f>IF(A311&gt;='Model Inputs'!$B$52,"",A311+1)</f>
        <v/>
      </c>
      <c r="B312" s="219" t="str">
        <f t="shared" si="8"/>
        <v/>
      </c>
      <c r="C312" s="231" t="str">
        <f>IF(A312="","",-PMT('Model Inputs'!$B$53,'Model Inputs'!$B$52,'Model Inputs'!$B$50))</f>
        <v/>
      </c>
      <c r="D312" s="231" t="str">
        <f t="shared" si="9"/>
        <v/>
      </c>
      <c r="E312" s="233" t="str">
        <f>IF(A312="","",'Model Inputs'!$B$53*B312)</f>
        <v/>
      </c>
    </row>
    <row r="313" spans="1:5" ht="18" customHeight="1">
      <c r="A313" s="232" t="str">
        <f>IF(A312&gt;='Model Inputs'!$B$52,"",A312+1)</f>
        <v/>
      </c>
      <c r="B313" s="219" t="str">
        <f t="shared" si="8"/>
        <v/>
      </c>
      <c r="C313" s="231" t="str">
        <f>IF(A313="","",-PMT('Model Inputs'!$B$53,'Model Inputs'!$B$52,'Model Inputs'!$B$50))</f>
        <v/>
      </c>
      <c r="D313" s="231" t="str">
        <f t="shared" si="9"/>
        <v/>
      </c>
      <c r="E313" s="233" t="str">
        <f>IF(A313="","",'Model Inputs'!$B$53*B313)</f>
        <v/>
      </c>
    </row>
    <row r="314" spans="1:5" ht="18" customHeight="1">
      <c r="A314" s="232" t="str">
        <f>IF(A313&gt;='Model Inputs'!$B$52,"",A313+1)</f>
        <v/>
      </c>
      <c r="B314" s="219" t="str">
        <f t="shared" si="8"/>
        <v/>
      </c>
      <c r="C314" s="231" t="str">
        <f>IF(A314="","",-PMT('Model Inputs'!$B$53,'Model Inputs'!$B$52,'Model Inputs'!$B$50))</f>
        <v/>
      </c>
      <c r="D314" s="231" t="str">
        <f t="shared" si="9"/>
        <v/>
      </c>
      <c r="E314" s="233" t="str">
        <f>IF(A314="","",'Model Inputs'!$B$53*B314)</f>
        <v/>
      </c>
    </row>
    <row r="315" spans="1:5" ht="18" customHeight="1">
      <c r="A315" s="232" t="str">
        <f>IF(A314&gt;='Model Inputs'!$B$52,"",A314+1)</f>
        <v/>
      </c>
      <c r="B315" s="219" t="str">
        <f t="shared" si="8"/>
        <v/>
      </c>
      <c r="C315" s="231" t="str">
        <f>IF(A315="","",-PMT('Model Inputs'!$B$53,'Model Inputs'!$B$52,'Model Inputs'!$B$50))</f>
        <v/>
      </c>
      <c r="D315" s="231" t="str">
        <f t="shared" si="9"/>
        <v/>
      </c>
      <c r="E315" s="233" t="str">
        <f>IF(A315="","",'Model Inputs'!$B$53*B315)</f>
        <v/>
      </c>
    </row>
    <row r="316" spans="1:5" ht="18" customHeight="1">
      <c r="A316" s="232" t="str">
        <f>IF(A315&gt;='Model Inputs'!$B$52,"",A315+1)</f>
        <v/>
      </c>
      <c r="B316" s="219" t="str">
        <f t="shared" si="8"/>
        <v/>
      </c>
      <c r="C316" s="231" t="str">
        <f>IF(A316="","",-PMT('Model Inputs'!$B$53,'Model Inputs'!$B$52,'Model Inputs'!$B$50))</f>
        <v/>
      </c>
      <c r="D316" s="231" t="str">
        <f t="shared" si="9"/>
        <v/>
      </c>
      <c r="E316" s="233" t="str">
        <f>IF(A316="","",'Model Inputs'!$B$53*B316)</f>
        <v/>
      </c>
    </row>
    <row r="317" spans="1:5" ht="18" customHeight="1">
      <c r="A317" s="232" t="str">
        <f>IF(A316&gt;='Model Inputs'!$B$52,"",A316+1)</f>
        <v/>
      </c>
      <c r="B317" s="219" t="str">
        <f t="shared" si="8"/>
        <v/>
      </c>
      <c r="C317" s="231" t="str">
        <f>IF(A317="","",-PMT('Model Inputs'!$B$53,'Model Inputs'!$B$52,'Model Inputs'!$B$50))</f>
        <v/>
      </c>
      <c r="D317" s="231" t="str">
        <f t="shared" si="9"/>
        <v/>
      </c>
      <c r="E317" s="233" t="str">
        <f>IF(A317="","",'Model Inputs'!$B$53*B317)</f>
        <v/>
      </c>
    </row>
    <row r="318" spans="1:5" ht="18" customHeight="1">
      <c r="A318" s="232" t="str">
        <f>IF(A317&gt;='Model Inputs'!$B$52,"",A317+1)</f>
        <v/>
      </c>
      <c r="B318" s="219" t="str">
        <f t="shared" si="8"/>
        <v/>
      </c>
      <c r="C318" s="231" t="str">
        <f>IF(A318="","",-PMT('Model Inputs'!$B$53,'Model Inputs'!$B$52,'Model Inputs'!$B$50))</f>
        <v/>
      </c>
      <c r="D318" s="231" t="str">
        <f t="shared" si="9"/>
        <v/>
      </c>
      <c r="E318" s="233" t="str">
        <f>IF(A318="","",'Model Inputs'!$B$53*B318)</f>
        <v/>
      </c>
    </row>
    <row r="319" spans="1:5" ht="18" customHeight="1">
      <c r="A319" s="232" t="str">
        <f>IF(A318&gt;='Model Inputs'!$B$52,"",A318+1)</f>
        <v/>
      </c>
      <c r="B319" s="219" t="str">
        <f t="shared" si="8"/>
        <v/>
      </c>
      <c r="C319" s="231" t="str">
        <f>IF(A319="","",-PMT('Model Inputs'!$B$53,'Model Inputs'!$B$52,'Model Inputs'!$B$50))</f>
        <v/>
      </c>
      <c r="D319" s="231" t="str">
        <f t="shared" si="9"/>
        <v/>
      </c>
      <c r="E319" s="233" t="str">
        <f>IF(A319="","",'Model Inputs'!$B$53*B319)</f>
        <v/>
      </c>
    </row>
    <row r="320" spans="1:5" ht="18" customHeight="1">
      <c r="A320" s="232" t="str">
        <f>IF(A319&gt;='Model Inputs'!$B$52,"",A319+1)</f>
        <v/>
      </c>
      <c r="B320" s="219" t="str">
        <f t="shared" si="8"/>
        <v/>
      </c>
      <c r="C320" s="231" t="str">
        <f>IF(A320="","",-PMT('Model Inputs'!$B$53,'Model Inputs'!$B$52,'Model Inputs'!$B$50))</f>
        <v/>
      </c>
      <c r="D320" s="231" t="str">
        <f t="shared" si="9"/>
        <v/>
      </c>
      <c r="E320" s="233" t="str">
        <f>IF(A320="","",'Model Inputs'!$B$53*B320)</f>
        <v/>
      </c>
    </row>
    <row r="321" spans="1:5" ht="18" customHeight="1">
      <c r="A321" s="232" t="str">
        <f>IF(A320&gt;='Model Inputs'!$B$52,"",A320+1)</f>
        <v/>
      </c>
      <c r="B321" s="219" t="str">
        <f t="shared" si="8"/>
        <v/>
      </c>
      <c r="C321" s="231" t="str">
        <f>IF(A321="","",-PMT('Model Inputs'!$B$53,'Model Inputs'!$B$52,'Model Inputs'!$B$50))</f>
        <v/>
      </c>
      <c r="D321" s="231" t="str">
        <f t="shared" si="9"/>
        <v/>
      </c>
      <c r="E321" s="233" t="str">
        <f>IF(A321="","",'Model Inputs'!$B$53*B321)</f>
        <v/>
      </c>
    </row>
    <row r="322" spans="1:5" ht="18" customHeight="1">
      <c r="A322" s="232" t="str">
        <f>IF(A321&gt;='Model Inputs'!$B$52,"",A321+1)</f>
        <v/>
      </c>
      <c r="B322" s="219" t="str">
        <f t="shared" si="8"/>
        <v/>
      </c>
      <c r="C322" s="231" t="str">
        <f>IF(A322="","",-PMT('Model Inputs'!$B$53,'Model Inputs'!$B$52,'Model Inputs'!$B$50))</f>
        <v/>
      </c>
      <c r="D322" s="231" t="str">
        <f t="shared" si="9"/>
        <v/>
      </c>
      <c r="E322" s="233" t="str">
        <f>IF(A322="","",'Model Inputs'!$B$53*B322)</f>
        <v/>
      </c>
    </row>
    <row r="323" spans="1:5" ht="18" customHeight="1">
      <c r="A323" s="232" t="str">
        <f>IF(A322&gt;='Model Inputs'!$B$52,"",A322+1)</f>
        <v/>
      </c>
      <c r="B323" s="219" t="str">
        <f t="shared" si="8"/>
        <v/>
      </c>
      <c r="C323" s="231" t="str">
        <f>IF(A323="","",-PMT('Model Inputs'!$B$53,'Model Inputs'!$B$52,'Model Inputs'!$B$50))</f>
        <v/>
      </c>
      <c r="D323" s="231" t="str">
        <f t="shared" si="9"/>
        <v/>
      </c>
      <c r="E323" s="233" t="str">
        <f>IF(A323="","",'Model Inputs'!$B$53*B323)</f>
        <v/>
      </c>
    </row>
    <row r="324" spans="1:5" ht="18" customHeight="1">
      <c r="A324" s="232" t="str">
        <f>IF(A323&gt;='Model Inputs'!$B$52,"",A323+1)</f>
        <v/>
      </c>
      <c r="B324" s="219" t="str">
        <f t="shared" si="8"/>
        <v/>
      </c>
      <c r="C324" s="231" t="str">
        <f>IF(A324="","",-PMT('Model Inputs'!$B$53,'Model Inputs'!$B$52,'Model Inputs'!$B$50))</f>
        <v/>
      </c>
      <c r="D324" s="231" t="str">
        <f t="shared" si="9"/>
        <v/>
      </c>
      <c r="E324" s="233" t="str">
        <f>IF(A324="","",'Model Inputs'!$B$53*B324)</f>
        <v/>
      </c>
    </row>
    <row r="325" spans="1:5" ht="18" customHeight="1">
      <c r="A325" s="232" t="str">
        <f>IF(A324&gt;='Model Inputs'!$B$52,"",A324+1)</f>
        <v/>
      </c>
      <c r="B325" s="219" t="str">
        <f t="shared" si="8"/>
        <v/>
      </c>
      <c r="C325" s="231" t="str">
        <f>IF(A325="","",-PMT('Model Inputs'!$B$53,'Model Inputs'!$B$52,'Model Inputs'!$B$50))</f>
        <v/>
      </c>
      <c r="D325" s="231" t="str">
        <f t="shared" si="9"/>
        <v/>
      </c>
      <c r="E325" s="233" t="str">
        <f>IF(A325="","",'Model Inputs'!$B$53*B325)</f>
        <v/>
      </c>
    </row>
    <row r="326" spans="1:5" ht="18" customHeight="1">
      <c r="A326" s="232" t="str">
        <f>IF(A325&gt;='Model Inputs'!$B$52,"",A325+1)</f>
        <v/>
      </c>
      <c r="B326" s="219" t="str">
        <f t="shared" si="8"/>
        <v/>
      </c>
      <c r="C326" s="231" t="str">
        <f>IF(A326="","",-PMT('Model Inputs'!$B$53,'Model Inputs'!$B$52,'Model Inputs'!$B$50))</f>
        <v/>
      </c>
      <c r="D326" s="231" t="str">
        <f t="shared" si="9"/>
        <v/>
      </c>
      <c r="E326" s="233" t="str">
        <f>IF(A326="","",'Model Inputs'!$B$53*B326)</f>
        <v/>
      </c>
    </row>
    <row r="327" spans="1:5" ht="18" customHeight="1">
      <c r="A327" s="232" t="str">
        <f>IF(A326&gt;='Model Inputs'!$B$52,"",A326+1)</f>
        <v/>
      </c>
      <c r="B327" s="219" t="str">
        <f t="shared" si="8"/>
        <v/>
      </c>
      <c r="C327" s="231" t="str">
        <f>IF(A327="","",-PMT('Model Inputs'!$B$53,'Model Inputs'!$B$52,'Model Inputs'!$B$50))</f>
        <v/>
      </c>
      <c r="D327" s="231" t="str">
        <f t="shared" si="9"/>
        <v/>
      </c>
      <c r="E327" s="233" t="str">
        <f>IF(A327="","",'Model Inputs'!$B$53*B327)</f>
        <v/>
      </c>
    </row>
    <row r="328" spans="1:5" ht="18" customHeight="1">
      <c r="A328" s="232" t="str">
        <f>IF(A327&gt;='Model Inputs'!$B$52,"",A327+1)</f>
        <v/>
      </c>
      <c r="B328" s="219" t="str">
        <f t="shared" si="8"/>
        <v/>
      </c>
      <c r="C328" s="231" t="str">
        <f>IF(A328="","",-PMT('Model Inputs'!$B$53,'Model Inputs'!$B$52,'Model Inputs'!$B$50))</f>
        <v/>
      </c>
      <c r="D328" s="231" t="str">
        <f t="shared" si="9"/>
        <v/>
      </c>
      <c r="E328" s="233" t="str">
        <f>IF(A328="","",'Model Inputs'!$B$53*B328)</f>
        <v/>
      </c>
    </row>
    <row r="329" spans="1:5" ht="18" customHeight="1">
      <c r="A329" s="232" t="str">
        <f>IF(A328&gt;='Model Inputs'!$B$52,"",A328+1)</f>
        <v/>
      </c>
      <c r="B329" s="219" t="str">
        <f t="shared" si="8"/>
        <v/>
      </c>
      <c r="C329" s="231" t="str">
        <f>IF(A329="","",-PMT('Model Inputs'!$B$53,'Model Inputs'!$B$52,'Model Inputs'!$B$50))</f>
        <v/>
      </c>
      <c r="D329" s="231" t="str">
        <f t="shared" si="9"/>
        <v/>
      </c>
      <c r="E329" s="233" t="str">
        <f>IF(A329="","",'Model Inputs'!$B$53*B329)</f>
        <v/>
      </c>
    </row>
    <row r="330" spans="1:5" ht="18" customHeight="1">
      <c r="A330" s="232" t="str">
        <f>IF(A329&gt;='Model Inputs'!$B$52,"",A329+1)</f>
        <v/>
      </c>
      <c r="B330" s="219" t="str">
        <f t="shared" ref="B330:B368" si="10">IF(A330="","",B329-D329)</f>
        <v/>
      </c>
      <c r="C330" s="231" t="str">
        <f>IF(A330="","",-PMT('Model Inputs'!$B$53,'Model Inputs'!$B$52,'Model Inputs'!$B$50))</f>
        <v/>
      </c>
      <c r="D330" s="231" t="str">
        <f t="shared" ref="D330:D368" si="11">IF(A330="","",C330-E330)</f>
        <v/>
      </c>
      <c r="E330" s="233" t="str">
        <f>IF(A330="","",'Model Inputs'!$B$53*B330)</f>
        <v/>
      </c>
    </row>
    <row r="331" spans="1:5" ht="18" customHeight="1">
      <c r="A331" s="232" t="str">
        <f>IF(A330&gt;='Model Inputs'!$B$52,"",A330+1)</f>
        <v/>
      </c>
      <c r="B331" s="219" t="str">
        <f t="shared" si="10"/>
        <v/>
      </c>
      <c r="C331" s="231" t="str">
        <f>IF(A331="","",-PMT('Model Inputs'!$B$53,'Model Inputs'!$B$52,'Model Inputs'!$B$50))</f>
        <v/>
      </c>
      <c r="D331" s="231" t="str">
        <f t="shared" si="11"/>
        <v/>
      </c>
      <c r="E331" s="233" t="str">
        <f>IF(A331="","",'Model Inputs'!$B$53*B331)</f>
        <v/>
      </c>
    </row>
    <row r="332" spans="1:5" ht="18" customHeight="1">
      <c r="A332" s="232" t="str">
        <f>IF(A331&gt;='Model Inputs'!$B$52,"",A331+1)</f>
        <v/>
      </c>
      <c r="B332" s="219" t="str">
        <f t="shared" si="10"/>
        <v/>
      </c>
      <c r="C332" s="231" t="str">
        <f>IF(A332="","",-PMT('Model Inputs'!$B$53,'Model Inputs'!$B$52,'Model Inputs'!$B$50))</f>
        <v/>
      </c>
      <c r="D332" s="231" t="str">
        <f t="shared" si="11"/>
        <v/>
      </c>
      <c r="E332" s="233" t="str">
        <f>IF(A332="","",'Model Inputs'!$B$53*B332)</f>
        <v/>
      </c>
    </row>
    <row r="333" spans="1:5" ht="18" customHeight="1">
      <c r="A333" s="232" t="str">
        <f>IF(A332&gt;='Model Inputs'!$B$52,"",A332+1)</f>
        <v/>
      </c>
      <c r="B333" s="219" t="str">
        <f t="shared" si="10"/>
        <v/>
      </c>
      <c r="C333" s="231" t="str">
        <f>IF(A333="","",-PMT('Model Inputs'!$B$53,'Model Inputs'!$B$52,'Model Inputs'!$B$50))</f>
        <v/>
      </c>
      <c r="D333" s="231" t="str">
        <f t="shared" si="11"/>
        <v/>
      </c>
      <c r="E333" s="233" t="str">
        <f>IF(A333="","",'Model Inputs'!$B$53*B333)</f>
        <v/>
      </c>
    </row>
    <row r="334" spans="1:5" ht="18" customHeight="1">
      <c r="A334" s="232" t="str">
        <f>IF(A333&gt;='Model Inputs'!$B$52,"",A333+1)</f>
        <v/>
      </c>
      <c r="B334" s="219" t="str">
        <f t="shared" si="10"/>
        <v/>
      </c>
      <c r="C334" s="231" t="str">
        <f>IF(A334="","",-PMT('Model Inputs'!$B$53,'Model Inputs'!$B$52,'Model Inputs'!$B$50))</f>
        <v/>
      </c>
      <c r="D334" s="231" t="str">
        <f t="shared" si="11"/>
        <v/>
      </c>
      <c r="E334" s="233" t="str">
        <f>IF(A334="","",'Model Inputs'!$B$53*B334)</f>
        <v/>
      </c>
    </row>
    <row r="335" spans="1:5" ht="18" customHeight="1">
      <c r="A335" s="232" t="str">
        <f>IF(A334&gt;='Model Inputs'!$B$52,"",A334+1)</f>
        <v/>
      </c>
      <c r="B335" s="219" t="str">
        <f t="shared" si="10"/>
        <v/>
      </c>
      <c r="C335" s="231" t="str">
        <f>IF(A335="","",-PMT('Model Inputs'!$B$53,'Model Inputs'!$B$52,'Model Inputs'!$B$50))</f>
        <v/>
      </c>
      <c r="D335" s="231" t="str">
        <f t="shared" si="11"/>
        <v/>
      </c>
      <c r="E335" s="233" t="str">
        <f>IF(A335="","",'Model Inputs'!$B$53*B335)</f>
        <v/>
      </c>
    </row>
    <row r="336" spans="1:5" ht="18" customHeight="1">
      <c r="A336" s="232" t="str">
        <f>IF(A335&gt;='Model Inputs'!$B$52,"",A335+1)</f>
        <v/>
      </c>
      <c r="B336" s="219" t="str">
        <f t="shared" si="10"/>
        <v/>
      </c>
      <c r="C336" s="231" t="str">
        <f>IF(A336="","",-PMT('Model Inputs'!$B$53,'Model Inputs'!$B$52,'Model Inputs'!$B$50))</f>
        <v/>
      </c>
      <c r="D336" s="231" t="str">
        <f t="shared" si="11"/>
        <v/>
      </c>
      <c r="E336" s="233" t="str">
        <f>IF(A336="","",'Model Inputs'!$B$53*B336)</f>
        <v/>
      </c>
    </row>
    <row r="337" spans="1:5" ht="18" customHeight="1">
      <c r="A337" s="232" t="str">
        <f>IF(A336&gt;='Model Inputs'!$B$52,"",A336+1)</f>
        <v/>
      </c>
      <c r="B337" s="219" t="str">
        <f t="shared" si="10"/>
        <v/>
      </c>
      <c r="C337" s="231" t="str">
        <f>IF(A337="","",-PMT('Model Inputs'!$B$53,'Model Inputs'!$B$52,'Model Inputs'!$B$50))</f>
        <v/>
      </c>
      <c r="D337" s="231" t="str">
        <f t="shared" si="11"/>
        <v/>
      </c>
      <c r="E337" s="233" t="str">
        <f>IF(A337="","",'Model Inputs'!$B$53*B337)</f>
        <v/>
      </c>
    </row>
    <row r="338" spans="1:5" ht="18" customHeight="1">
      <c r="A338" s="232" t="str">
        <f>IF(A337&gt;='Model Inputs'!$B$52,"",A337+1)</f>
        <v/>
      </c>
      <c r="B338" s="219" t="str">
        <f t="shared" si="10"/>
        <v/>
      </c>
      <c r="C338" s="231" t="str">
        <f>IF(A338="","",-PMT('Model Inputs'!$B$53,'Model Inputs'!$B$52,'Model Inputs'!$B$50))</f>
        <v/>
      </c>
      <c r="D338" s="231" t="str">
        <f t="shared" si="11"/>
        <v/>
      </c>
      <c r="E338" s="233" t="str">
        <f>IF(A338="","",'Model Inputs'!$B$53*B338)</f>
        <v/>
      </c>
    </row>
    <row r="339" spans="1:5" ht="18" customHeight="1">
      <c r="A339" s="232" t="str">
        <f>IF(A338&gt;='Model Inputs'!$B$52,"",A338+1)</f>
        <v/>
      </c>
      <c r="B339" s="219" t="str">
        <f t="shared" si="10"/>
        <v/>
      </c>
      <c r="C339" s="231" t="str">
        <f>IF(A339="","",-PMT('Model Inputs'!$B$53,'Model Inputs'!$B$52,'Model Inputs'!$B$50))</f>
        <v/>
      </c>
      <c r="D339" s="231" t="str">
        <f t="shared" si="11"/>
        <v/>
      </c>
      <c r="E339" s="233" t="str">
        <f>IF(A339="","",'Model Inputs'!$B$53*B339)</f>
        <v/>
      </c>
    </row>
    <row r="340" spans="1:5" ht="18" customHeight="1">
      <c r="A340" s="232" t="str">
        <f>IF(A339&gt;='Model Inputs'!$B$52,"",A339+1)</f>
        <v/>
      </c>
      <c r="B340" s="219" t="str">
        <f t="shared" si="10"/>
        <v/>
      </c>
      <c r="C340" s="231" t="str">
        <f>IF(A340="","",-PMT('Model Inputs'!$B$53,'Model Inputs'!$B$52,'Model Inputs'!$B$50))</f>
        <v/>
      </c>
      <c r="D340" s="231" t="str">
        <f t="shared" si="11"/>
        <v/>
      </c>
      <c r="E340" s="233" t="str">
        <f>IF(A340="","",'Model Inputs'!$B$53*B340)</f>
        <v/>
      </c>
    </row>
    <row r="341" spans="1:5" ht="18" customHeight="1">
      <c r="A341" s="232" t="str">
        <f>IF(A340&gt;='Model Inputs'!$B$52,"",A340+1)</f>
        <v/>
      </c>
      <c r="B341" s="219" t="str">
        <f t="shared" si="10"/>
        <v/>
      </c>
      <c r="C341" s="231" t="str">
        <f>IF(A341="","",-PMT('Model Inputs'!$B$53,'Model Inputs'!$B$52,'Model Inputs'!$B$50))</f>
        <v/>
      </c>
      <c r="D341" s="231" t="str">
        <f t="shared" si="11"/>
        <v/>
      </c>
      <c r="E341" s="233" t="str">
        <f>IF(A341="","",'Model Inputs'!$B$53*B341)</f>
        <v/>
      </c>
    </row>
    <row r="342" spans="1:5" ht="18" customHeight="1">
      <c r="A342" s="232" t="str">
        <f>IF(A341&gt;='Model Inputs'!$B$52,"",A341+1)</f>
        <v/>
      </c>
      <c r="B342" s="219" t="str">
        <f t="shared" si="10"/>
        <v/>
      </c>
      <c r="C342" s="231" t="str">
        <f>IF(A342="","",-PMT('Model Inputs'!$B$53,'Model Inputs'!$B$52,'Model Inputs'!$B$50))</f>
        <v/>
      </c>
      <c r="D342" s="231" t="str">
        <f t="shared" si="11"/>
        <v/>
      </c>
      <c r="E342" s="233" t="str">
        <f>IF(A342="","",'Model Inputs'!$B$53*B342)</f>
        <v/>
      </c>
    </row>
    <row r="343" spans="1:5" ht="18" customHeight="1">
      <c r="A343" s="232" t="str">
        <f>IF(A342&gt;='Model Inputs'!$B$52,"",A342+1)</f>
        <v/>
      </c>
      <c r="B343" s="219" t="str">
        <f t="shared" si="10"/>
        <v/>
      </c>
      <c r="C343" s="231" t="str">
        <f>IF(A343="","",-PMT('Model Inputs'!$B$53,'Model Inputs'!$B$52,'Model Inputs'!$B$50))</f>
        <v/>
      </c>
      <c r="D343" s="231" t="str">
        <f t="shared" si="11"/>
        <v/>
      </c>
      <c r="E343" s="233" t="str">
        <f>IF(A343="","",'Model Inputs'!$B$53*B343)</f>
        <v/>
      </c>
    </row>
    <row r="344" spans="1:5" ht="18" customHeight="1">
      <c r="A344" s="232" t="str">
        <f>IF(A343&gt;='Model Inputs'!$B$52,"",A343+1)</f>
        <v/>
      </c>
      <c r="B344" s="219" t="str">
        <f t="shared" si="10"/>
        <v/>
      </c>
      <c r="C344" s="231" t="str">
        <f>IF(A344="","",-PMT('Model Inputs'!$B$53,'Model Inputs'!$B$52,'Model Inputs'!$B$50))</f>
        <v/>
      </c>
      <c r="D344" s="231" t="str">
        <f t="shared" si="11"/>
        <v/>
      </c>
      <c r="E344" s="233" t="str">
        <f>IF(A344="","",'Model Inputs'!$B$53*B344)</f>
        <v/>
      </c>
    </row>
    <row r="345" spans="1:5" ht="18" customHeight="1">
      <c r="A345" s="232" t="str">
        <f>IF(A344&gt;='Model Inputs'!$B$52,"",A344+1)</f>
        <v/>
      </c>
      <c r="B345" s="219" t="str">
        <f t="shared" si="10"/>
        <v/>
      </c>
      <c r="C345" s="231" t="str">
        <f>IF(A345="","",-PMT('Model Inputs'!$B$53,'Model Inputs'!$B$52,'Model Inputs'!$B$50))</f>
        <v/>
      </c>
      <c r="D345" s="231" t="str">
        <f t="shared" si="11"/>
        <v/>
      </c>
      <c r="E345" s="233" t="str">
        <f>IF(A345="","",'Model Inputs'!$B$53*B345)</f>
        <v/>
      </c>
    </row>
    <row r="346" spans="1:5" ht="18" customHeight="1">
      <c r="A346" s="232" t="str">
        <f>IF(A345&gt;='Model Inputs'!$B$52,"",A345+1)</f>
        <v/>
      </c>
      <c r="B346" s="219" t="str">
        <f t="shared" si="10"/>
        <v/>
      </c>
      <c r="C346" s="231" t="str">
        <f>IF(A346="","",-PMT('Model Inputs'!$B$53,'Model Inputs'!$B$52,'Model Inputs'!$B$50))</f>
        <v/>
      </c>
      <c r="D346" s="231" t="str">
        <f t="shared" si="11"/>
        <v/>
      </c>
      <c r="E346" s="233" t="str">
        <f>IF(A346="","",'Model Inputs'!$B$53*B346)</f>
        <v/>
      </c>
    </row>
    <row r="347" spans="1:5" ht="18" customHeight="1">
      <c r="A347" s="232" t="str">
        <f>IF(A346&gt;='Model Inputs'!$B$52,"",A346+1)</f>
        <v/>
      </c>
      <c r="B347" s="219" t="str">
        <f t="shared" si="10"/>
        <v/>
      </c>
      <c r="C347" s="231" t="str">
        <f>IF(A347="","",-PMT('Model Inputs'!$B$53,'Model Inputs'!$B$52,'Model Inputs'!$B$50))</f>
        <v/>
      </c>
      <c r="D347" s="231" t="str">
        <f t="shared" si="11"/>
        <v/>
      </c>
      <c r="E347" s="233" t="str">
        <f>IF(A347="","",'Model Inputs'!$B$53*B347)</f>
        <v/>
      </c>
    </row>
    <row r="348" spans="1:5" ht="18" customHeight="1">
      <c r="A348" s="232" t="str">
        <f>IF(A347&gt;='Model Inputs'!$B$52,"",A347+1)</f>
        <v/>
      </c>
      <c r="B348" s="219" t="str">
        <f t="shared" si="10"/>
        <v/>
      </c>
      <c r="C348" s="231" t="str">
        <f>IF(A348="","",-PMT('Model Inputs'!$B$53,'Model Inputs'!$B$52,'Model Inputs'!$B$50))</f>
        <v/>
      </c>
      <c r="D348" s="231" t="str">
        <f t="shared" si="11"/>
        <v/>
      </c>
      <c r="E348" s="233" t="str">
        <f>IF(A348="","",'Model Inputs'!$B$53*B348)</f>
        <v/>
      </c>
    </row>
    <row r="349" spans="1:5" ht="18" customHeight="1">
      <c r="A349" s="232" t="str">
        <f>IF(A348&gt;='Model Inputs'!$B$52,"",A348+1)</f>
        <v/>
      </c>
      <c r="B349" s="219" t="str">
        <f t="shared" si="10"/>
        <v/>
      </c>
      <c r="C349" s="231" t="str">
        <f>IF(A349="","",-PMT('Model Inputs'!$B$53,'Model Inputs'!$B$52,'Model Inputs'!$B$50))</f>
        <v/>
      </c>
      <c r="D349" s="231" t="str">
        <f t="shared" si="11"/>
        <v/>
      </c>
      <c r="E349" s="233" t="str">
        <f>IF(A349="","",'Model Inputs'!$B$53*B349)</f>
        <v/>
      </c>
    </row>
    <row r="350" spans="1:5" ht="18" customHeight="1">
      <c r="A350" s="232" t="str">
        <f>IF(A349&gt;='Model Inputs'!$B$52,"",A349+1)</f>
        <v/>
      </c>
      <c r="B350" s="219" t="str">
        <f t="shared" si="10"/>
        <v/>
      </c>
      <c r="C350" s="231" t="str">
        <f>IF(A350="","",-PMT('Model Inputs'!$B$53,'Model Inputs'!$B$52,'Model Inputs'!$B$50))</f>
        <v/>
      </c>
      <c r="D350" s="231" t="str">
        <f t="shared" si="11"/>
        <v/>
      </c>
      <c r="E350" s="233" t="str">
        <f>IF(A350="","",'Model Inputs'!$B$53*B350)</f>
        <v/>
      </c>
    </row>
    <row r="351" spans="1:5" ht="18" customHeight="1">
      <c r="A351" s="232" t="str">
        <f>IF(A350&gt;='Model Inputs'!$B$52,"",A350+1)</f>
        <v/>
      </c>
      <c r="B351" s="219" t="str">
        <f t="shared" si="10"/>
        <v/>
      </c>
      <c r="C351" s="231" t="str">
        <f>IF(A351="","",-PMT('Model Inputs'!$B$53,'Model Inputs'!$B$52,'Model Inputs'!$B$50))</f>
        <v/>
      </c>
      <c r="D351" s="231" t="str">
        <f t="shared" si="11"/>
        <v/>
      </c>
      <c r="E351" s="233" t="str">
        <f>IF(A351="","",'Model Inputs'!$B$53*B351)</f>
        <v/>
      </c>
    </row>
    <row r="352" spans="1:5" ht="18" customHeight="1">
      <c r="A352" s="232" t="str">
        <f>IF(A351&gt;='Model Inputs'!$B$52,"",A351+1)</f>
        <v/>
      </c>
      <c r="B352" s="219" t="str">
        <f t="shared" si="10"/>
        <v/>
      </c>
      <c r="C352" s="231" t="str">
        <f>IF(A352="","",-PMT('Model Inputs'!$B$53,'Model Inputs'!$B$52,'Model Inputs'!$B$50))</f>
        <v/>
      </c>
      <c r="D352" s="231" t="str">
        <f t="shared" si="11"/>
        <v/>
      </c>
      <c r="E352" s="233" t="str">
        <f>IF(A352="","",'Model Inputs'!$B$53*B352)</f>
        <v/>
      </c>
    </row>
    <row r="353" spans="1:5" ht="18" customHeight="1">
      <c r="A353" s="232" t="str">
        <f>IF(A352&gt;='Model Inputs'!$B$52,"",A352+1)</f>
        <v/>
      </c>
      <c r="B353" s="219" t="str">
        <f t="shared" si="10"/>
        <v/>
      </c>
      <c r="C353" s="231" t="str">
        <f>IF(A353="","",-PMT('Model Inputs'!$B$53,'Model Inputs'!$B$52,'Model Inputs'!$B$50))</f>
        <v/>
      </c>
      <c r="D353" s="231" t="str">
        <f t="shared" si="11"/>
        <v/>
      </c>
      <c r="E353" s="233" t="str">
        <f>IF(A353="","",'Model Inputs'!$B$53*B353)</f>
        <v/>
      </c>
    </row>
    <row r="354" spans="1:5" ht="18" customHeight="1">
      <c r="A354" s="232" t="str">
        <f>IF(A353&gt;='Model Inputs'!$B$52,"",A353+1)</f>
        <v/>
      </c>
      <c r="B354" s="219" t="str">
        <f t="shared" si="10"/>
        <v/>
      </c>
      <c r="C354" s="231" t="str">
        <f>IF(A354="","",-PMT('Model Inputs'!$B$53,'Model Inputs'!$B$52,'Model Inputs'!$B$50))</f>
        <v/>
      </c>
      <c r="D354" s="231" t="str">
        <f t="shared" si="11"/>
        <v/>
      </c>
      <c r="E354" s="233" t="str">
        <f>IF(A354="","",'Model Inputs'!$B$53*B354)</f>
        <v/>
      </c>
    </row>
    <row r="355" spans="1:5" ht="18" customHeight="1">
      <c r="A355" s="232" t="str">
        <f>IF(A354&gt;='Model Inputs'!$B$52,"",A354+1)</f>
        <v/>
      </c>
      <c r="B355" s="219" t="str">
        <f t="shared" si="10"/>
        <v/>
      </c>
      <c r="C355" s="231" t="str">
        <f>IF(A355="","",-PMT('Model Inputs'!$B$53,'Model Inputs'!$B$52,'Model Inputs'!$B$50))</f>
        <v/>
      </c>
      <c r="D355" s="231" t="str">
        <f t="shared" si="11"/>
        <v/>
      </c>
      <c r="E355" s="233" t="str">
        <f>IF(A355="","",'Model Inputs'!$B$53*B355)</f>
        <v/>
      </c>
    </row>
    <row r="356" spans="1:5" ht="18" customHeight="1">
      <c r="A356" s="232" t="str">
        <f>IF(A355&gt;='Model Inputs'!$B$52,"",A355+1)</f>
        <v/>
      </c>
      <c r="B356" s="219" t="str">
        <f t="shared" si="10"/>
        <v/>
      </c>
      <c r="C356" s="231" t="str">
        <f>IF(A356="","",-PMT('Model Inputs'!$B$53,'Model Inputs'!$B$52,'Model Inputs'!$B$50))</f>
        <v/>
      </c>
      <c r="D356" s="231" t="str">
        <f t="shared" si="11"/>
        <v/>
      </c>
      <c r="E356" s="233" t="str">
        <f>IF(A356="","",'Model Inputs'!$B$53*B356)</f>
        <v/>
      </c>
    </row>
    <row r="357" spans="1:5" ht="18" customHeight="1">
      <c r="A357" s="232" t="str">
        <f>IF(A356&gt;='Model Inputs'!$B$52,"",A356+1)</f>
        <v/>
      </c>
      <c r="B357" s="219" t="str">
        <f t="shared" si="10"/>
        <v/>
      </c>
      <c r="C357" s="231" t="str">
        <f>IF(A357="","",-PMT('Model Inputs'!$B$53,'Model Inputs'!$B$52,'Model Inputs'!$B$50))</f>
        <v/>
      </c>
      <c r="D357" s="231" t="str">
        <f t="shared" si="11"/>
        <v/>
      </c>
      <c r="E357" s="233" t="str">
        <f>IF(A357="","",'Model Inputs'!$B$53*B357)</f>
        <v/>
      </c>
    </row>
    <row r="358" spans="1:5" ht="18" customHeight="1">
      <c r="A358" s="232" t="str">
        <f>IF(A357&gt;='Model Inputs'!$B$52,"",A357+1)</f>
        <v/>
      </c>
      <c r="B358" s="219" t="str">
        <f t="shared" si="10"/>
        <v/>
      </c>
      <c r="C358" s="231" t="str">
        <f>IF(A358="","",-PMT('Model Inputs'!$B$53,'Model Inputs'!$B$52,'Model Inputs'!$B$50))</f>
        <v/>
      </c>
      <c r="D358" s="231" t="str">
        <f t="shared" si="11"/>
        <v/>
      </c>
      <c r="E358" s="233" t="str">
        <f>IF(A358="","",'Model Inputs'!$B$53*B358)</f>
        <v/>
      </c>
    </row>
    <row r="359" spans="1:5" ht="18" customHeight="1">
      <c r="A359" s="232" t="str">
        <f>IF(A358&gt;='Model Inputs'!$B$52,"",A358+1)</f>
        <v/>
      </c>
      <c r="B359" s="219" t="str">
        <f t="shared" si="10"/>
        <v/>
      </c>
      <c r="C359" s="231" t="str">
        <f>IF(A359="","",-PMT('Model Inputs'!$B$53,'Model Inputs'!$B$52,'Model Inputs'!$B$50))</f>
        <v/>
      </c>
      <c r="D359" s="231" t="str">
        <f t="shared" si="11"/>
        <v/>
      </c>
      <c r="E359" s="233" t="str">
        <f>IF(A359="","",'Model Inputs'!$B$53*B359)</f>
        <v/>
      </c>
    </row>
    <row r="360" spans="1:5" ht="18" customHeight="1">
      <c r="A360" s="232" t="str">
        <f>IF(A359&gt;='Model Inputs'!$B$52,"",A359+1)</f>
        <v/>
      </c>
      <c r="B360" s="219" t="str">
        <f t="shared" si="10"/>
        <v/>
      </c>
      <c r="C360" s="231" t="str">
        <f>IF(A360="","",-PMT('Model Inputs'!$B$53,'Model Inputs'!$B$52,'Model Inputs'!$B$50))</f>
        <v/>
      </c>
      <c r="D360" s="231" t="str">
        <f t="shared" si="11"/>
        <v/>
      </c>
      <c r="E360" s="233" t="str">
        <f>IF(A360="","",'Model Inputs'!$B$53*B360)</f>
        <v/>
      </c>
    </row>
    <row r="361" spans="1:5" ht="18" customHeight="1">
      <c r="A361" s="232" t="str">
        <f>IF(A360&gt;='Model Inputs'!$B$52,"",A360+1)</f>
        <v/>
      </c>
      <c r="B361" s="219" t="str">
        <f t="shared" si="10"/>
        <v/>
      </c>
      <c r="C361" s="231" t="str">
        <f>IF(A361="","",-PMT('Model Inputs'!$B$53,'Model Inputs'!$B$52,'Model Inputs'!$B$50))</f>
        <v/>
      </c>
      <c r="D361" s="231" t="str">
        <f t="shared" si="11"/>
        <v/>
      </c>
      <c r="E361" s="233" t="str">
        <f>IF(A361="","",'Model Inputs'!$B$53*B361)</f>
        <v/>
      </c>
    </row>
    <row r="362" spans="1:5" ht="18" customHeight="1">
      <c r="A362" s="232" t="str">
        <f>IF(A361&gt;='Model Inputs'!$B$52,"",A361+1)</f>
        <v/>
      </c>
      <c r="B362" s="219" t="str">
        <f t="shared" si="10"/>
        <v/>
      </c>
      <c r="C362" s="231" t="str">
        <f>IF(A362="","",-PMT('Model Inputs'!$B$53,'Model Inputs'!$B$52,'Model Inputs'!$B$50))</f>
        <v/>
      </c>
      <c r="D362" s="231" t="str">
        <f t="shared" si="11"/>
        <v/>
      </c>
      <c r="E362" s="233" t="str">
        <f>IF(A362="","",'Model Inputs'!$B$53*B362)</f>
        <v/>
      </c>
    </row>
    <row r="363" spans="1:5" ht="18" customHeight="1">
      <c r="A363" s="232" t="str">
        <f>IF(A362&gt;='Model Inputs'!$B$52,"",A362+1)</f>
        <v/>
      </c>
      <c r="B363" s="219" t="str">
        <f t="shared" si="10"/>
        <v/>
      </c>
      <c r="C363" s="231" t="str">
        <f>IF(A363="","",-PMT('Model Inputs'!$B$53,'Model Inputs'!$B$52,'Model Inputs'!$B$50))</f>
        <v/>
      </c>
      <c r="D363" s="231" t="str">
        <f t="shared" si="11"/>
        <v/>
      </c>
      <c r="E363" s="233" t="str">
        <f>IF(A363="","",'Model Inputs'!$B$53*B363)</f>
        <v/>
      </c>
    </row>
    <row r="364" spans="1:5" ht="18" customHeight="1">
      <c r="A364" s="232" t="str">
        <f>IF(A363&gt;='Model Inputs'!$B$52,"",A363+1)</f>
        <v/>
      </c>
      <c r="B364" s="219" t="str">
        <f t="shared" si="10"/>
        <v/>
      </c>
      <c r="C364" s="231" t="str">
        <f>IF(A364="","",-PMT('Model Inputs'!$B$53,'Model Inputs'!$B$52,'Model Inputs'!$B$50))</f>
        <v/>
      </c>
      <c r="D364" s="231" t="str">
        <f t="shared" si="11"/>
        <v/>
      </c>
      <c r="E364" s="233" t="str">
        <f>IF(A364="","",'Model Inputs'!$B$53*B364)</f>
        <v/>
      </c>
    </row>
    <row r="365" spans="1:5" ht="18" customHeight="1">
      <c r="A365" s="232" t="str">
        <f>IF(A364&gt;='Model Inputs'!$B$52,"",A364+1)</f>
        <v/>
      </c>
      <c r="B365" s="219" t="str">
        <f t="shared" si="10"/>
        <v/>
      </c>
      <c r="C365" s="231" t="str">
        <f>IF(A365="","",-PMT('Model Inputs'!$B$53,'Model Inputs'!$B$52,'Model Inputs'!$B$50))</f>
        <v/>
      </c>
      <c r="D365" s="231" t="str">
        <f t="shared" si="11"/>
        <v/>
      </c>
      <c r="E365" s="233" t="str">
        <f>IF(A365="","",'Model Inputs'!$B$53*B365)</f>
        <v/>
      </c>
    </row>
    <row r="366" spans="1:5" ht="18" customHeight="1">
      <c r="A366" s="232" t="str">
        <f>IF(A365&gt;='Model Inputs'!$B$52,"",A365+1)</f>
        <v/>
      </c>
      <c r="B366" s="219" t="str">
        <f t="shared" si="10"/>
        <v/>
      </c>
      <c r="C366" s="231" t="str">
        <f>IF(A366="","",-PMT('Model Inputs'!$B$53,'Model Inputs'!$B$52,'Model Inputs'!$B$50))</f>
        <v/>
      </c>
      <c r="D366" s="231" t="str">
        <f t="shared" si="11"/>
        <v/>
      </c>
      <c r="E366" s="233" t="str">
        <f>IF(A366="","",'Model Inputs'!$B$53*B366)</f>
        <v/>
      </c>
    </row>
    <row r="367" spans="1:5" ht="18" customHeight="1">
      <c r="A367" s="232" t="str">
        <f>IF(A366&gt;='Model Inputs'!$B$52,"",A366+1)</f>
        <v/>
      </c>
      <c r="B367" s="219" t="str">
        <f t="shared" si="10"/>
        <v/>
      </c>
      <c r="C367" s="231" t="str">
        <f>IF(A367="","",-PMT('Model Inputs'!$B$53,'Model Inputs'!$B$52,'Model Inputs'!$B$50))</f>
        <v/>
      </c>
      <c r="D367" s="231" t="str">
        <f t="shared" si="11"/>
        <v/>
      </c>
      <c r="E367" s="233" t="str">
        <f>IF(A367="","",'Model Inputs'!$B$53*B367)</f>
        <v/>
      </c>
    </row>
    <row r="368" spans="1:5" ht="18" customHeight="1">
      <c r="A368" s="232" t="str">
        <f>IF(A367&gt;='Model Inputs'!$B$52,"",A367+1)</f>
        <v/>
      </c>
      <c r="B368" s="219" t="str">
        <f t="shared" si="10"/>
        <v/>
      </c>
      <c r="C368" s="231" t="str">
        <f>IF(A368="","",-PMT('Model Inputs'!$B$53,'Model Inputs'!$B$52,'Model Inputs'!$B$50))</f>
        <v/>
      </c>
      <c r="D368" s="231" t="str">
        <f t="shared" si="11"/>
        <v/>
      </c>
      <c r="E368" s="233" t="str">
        <f>IF(A368="","",'Model Inputs'!$B$53*B368)</f>
        <v/>
      </c>
    </row>
  </sheetData>
  <mergeCells count="1">
    <mergeCell ref="A3:C3"/>
  </mergeCells>
  <phoneticPr fontId="7" type="noConversion"/>
  <conditionalFormatting sqref="A9:F368">
    <cfRule type="expression" dxfId="1" priority="1" stopIfTrue="1">
      <formula>MOD($A9,12)=0</formula>
    </cfRule>
    <cfRule type="expression" dxfId="0" priority="2" stopIfTrue="1">
      <formula>MOD($A9,2)=0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31A7-CFA0-6343-AA4E-B64C60D221B0}">
  <dimension ref="A2:H47"/>
  <sheetViews>
    <sheetView zoomScale="117" zoomScaleNormal="106" workbookViewId="0">
      <selection activeCell="B16" sqref="B16:C27"/>
    </sheetView>
  </sheetViews>
  <sheetFormatPr baseColWidth="10" defaultColWidth="10.83203125" defaultRowHeight="16"/>
  <cols>
    <col min="1" max="1" width="3.1640625" style="106" customWidth="1"/>
    <col min="2" max="2" width="32.33203125" style="106" customWidth="1"/>
    <col min="3" max="3" width="18.33203125" style="106" bestFit="1" customWidth="1"/>
    <col min="4" max="4" width="15.83203125" style="106" bestFit="1" customWidth="1"/>
    <col min="5" max="5" width="17" style="106" customWidth="1"/>
    <col min="6" max="6" width="21.5" style="106" bestFit="1" customWidth="1"/>
    <col min="7" max="7" width="25.6640625" style="106" bestFit="1" customWidth="1"/>
    <col min="8" max="8" width="48.33203125" style="106" customWidth="1"/>
    <col min="9" max="9" width="13" style="106" customWidth="1"/>
    <col min="10" max="10" width="30.83203125" style="106" bestFit="1" customWidth="1"/>
    <col min="11" max="12" width="10.83203125" style="106"/>
    <col min="13" max="13" width="15" style="106" customWidth="1"/>
    <col min="14" max="16384" width="10.83203125" style="106"/>
  </cols>
  <sheetData>
    <row r="2" spans="1:6" ht="19">
      <c r="B2" s="242" t="s">
        <v>185</v>
      </c>
      <c r="C2" s="242"/>
      <c r="D2" s="242"/>
      <c r="E2" s="242"/>
    </row>
    <row r="3" spans="1:6">
      <c r="B3" s="116" t="s">
        <v>186</v>
      </c>
      <c r="C3" s="116" t="s">
        <v>187</v>
      </c>
      <c r="D3" s="116" t="s">
        <v>188</v>
      </c>
      <c r="E3" s="116" t="s">
        <v>189</v>
      </c>
    </row>
    <row r="4" spans="1:6">
      <c r="A4" s="130"/>
      <c r="B4" s="108" t="s">
        <v>190</v>
      </c>
      <c r="C4" s="107">
        <v>60</v>
      </c>
      <c r="D4" s="107">
        <v>30</v>
      </c>
      <c r="E4" s="139">
        <f>C4*D4</f>
        <v>1800</v>
      </c>
    </row>
    <row r="5" spans="1:6">
      <c r="A5" s="130"/>
      <c r="B5" s="108" t="s">
        <v>191</v>
      </c>
      <c r="C5" s="107"/>
      <c r="D5" s="107"/>
      <c r="E5" s="139">
        <v>1220</v>
      </c>
    </row>
    <row r="6" spans="1:6">
      <c r="A6" s="130"/>
      <c r="B6" s="108" t="s">
        <v>192</v>
      </c>
      <c r="C6" s="107"/>
      <c r="D6" s="107"/>
      <c r="E6" s="139">
        <v>1000</v>
      </c>
    </row>
    <row r="7" spans="1:6">
      <c r="A7" s="130"/>
      <c r="B7" s="108" t="s">
        <v>193</v>
      </c>
      <c r="C7" s="107"/>
      <c r="D7" s="107"/>
      <c r="E7" s="139">
        <v>2000</v>
      </c>
    </row>
    <row r="8" spans="1:6">
      <c r="A8" s="130"/>
      <c r="B8" s="108" t="s">
        <v>194</v>
      </c>
      <c r="C8" s="107"/>
      <c r="D8" s="107"/>
      <c r="E8" s="139">
        <v>1000</v>
      </c>
    </row>
    <row r="9" spans="1:6">
      <c r="A9" s="130"/>
      <c r="B9" s="108" t="s">
        <v>195</v>
      </c>
      <c r="C9" s="107"/>
      <c r="D9" s="107"/>
      <c r="E9" s="139">
        <v>1000</v>
      </c>
    </row>
    <row r="10" spans="1:6">
      <c r="A10" s="130"/>
      <c r="B10" s="108" t="s">
        <v>196</v>
      </c>
      <c r="C10" s="107">
        <v>40</v>
      </c>
      <c r="D10" s="107">
        <v>30</v>
      </c>
      <c r="E10" s="139">
        <f>D10*C10</f>
        <v>1200</v>
      </c>
    </row>
    <row r="11" spans="1:6">
      <c r="A11" s="130"/>
      <c r="B11" s="108" t="s">
        <v>197</v>
      </c>
      <c r="C11" s="108"/>
      <c r="D11" s="108"/>
      <c r="E11" s="139">
        <v>600</v>
      </c>
    </row>
    <row r="12" spans="1:6">
      <c r="A12" s="130"/>
      <c r="B12" s="108" t="s">
        <v>198</v>
      </c>
      <c r="C12" s="108"/>
      <c r="D12" s="108"/>
      <c r="E12" s="139">
        <v>3000</v>
      </c>
    </row>
    <row r="13" spans="1:6">
      <c r="B13" s="243" t="s">
        <v>199</v>
      </c>
      <c r="C13" s="243"/>
      <c r="D13" s="243"/>
      <c r="E13" s="140">
        <f>SUM(E4:E12)</f>
        <v>12820</v>
      </c>
      <c r="F13" s="130"/>
    </row>
    <row r="14" spans="1:6">
      <c r="B14" s="130"/>
      <c r="C14" s="130"/>
      <c r="D14" s="130"/>
      <c r="E14" s="130"/>
    </row>
    <row r="16" spans="1:6" ht="19">
      <c r="B16" s="242" t="s">
        <v>200</v>
      </c>
      <c r="C16" s="242"/>
    </row>
    <row r="17" spans="2:8">
      <c r="B17" s="116" t="s">
        <v>186</v>
      </c>
      <c r="C17" s="116" t="s">
        <v>189</v>
      </c>
    </row>
    <row r="18" spans="2:8">
      <c r="B18" s="117" t="s">
        <v>201</v>
      </c>
      <c r="C18" s="139">
        <v>800</v>
      </c>
    </row>
    <row r="19" spans="2:8">
      <c r="B19" s="117" t="s">
        <v>202</v>
      </c>
      <c r="C19" s="139">
        <v>120</v>
      </c>
    </row>
    <row r="20" spans="2:8">
      <c r="B20" s="117" t="s">
        <v>203</v>
      </c>
      <c r="C20" s="139">
        <v>100</v>
      </c>
    </row>
    <row r="21" spans="2:8">
      <c r="B21" s="117" t="s">
        <v>204</v>
      </c>
      <c r="C21" s="139">
        <v>600</v>
      </c>
    </row>
    <row r="22" spans="2:8">
      <c r="B22" s="117" t="s">
        <v>205</v>
      </c>
      <c r="C22" s="139">
        <v>800</v>
      </c>
    </row>
    <row r="23" spans="2:8">
      <c r="B23" s="117" t="s">
        <v>206</v>
      </c>
      <c r="C23" s="139">
        <v>400</v>
      </c>
    </row>
    <row r="24" spans="2:8">
      <c r="B24" s="117" t="s">
        <v>207</v>
      </c>
      <c r="C24" s="139">
        <v>800</v>
      </c>
    </row>
    <row r="25" spans="2:8">
      <c r="B25" s="117" t="s">
        <v>208</v>
      </c>
      <c r="C25" s="139">
        <v>600</v>
      </c>
    </row>
    <row r="26" spans="2:8">
      <c r="B26" s="117" t="s">
        <v>209</v>
      </c>
      <c r="C26" s="139">
        <v>1000</v>
      </c>
    </row>
    <row r="27" spans="2:8">
      <c r="B27" s="118" t="s">
        <v>210</v>
      </c>
      <c r="C27" s="140">
        <f>SUM(C18:C26)</f>
        <v>5220</v>
      </c>
    </row>
    <row r="29" spans="2:8" ht="19">
      <c r="D29" s="109"/>
    </row>
    <row r="30" spans="2:8" ht="21">
      <c r="B30" s="242" t="s">
        <v>211</v>
      </c>
      <c r="C30" s="242"/>
      <c r="D30" s="242"/>
      <c r="F30" s="110"/>
      <c r="G30" s="110"/>
      <c r="H30" s="110"/>
    </row>
    <row r="31" spans="2:8" ht="20">
      <c r="B31" s="111"/>
      <c r="C31" s="111" t="s">
        <v>13</v>
      </c>
      <c r="D31" s="111" t="s">
        <v>212</v>
      </c>
      <c r="F31" s="110"/>
      <c r="G31" s="110"/>
      <c r="H31" s="110"/>
    </row>
    <row r="32" spans="2:8">
      <c r="B32" s="112" t="s">
        <v>26</v>
      </c>
      <c r="C32" s="138">
        <v>3</v>
      </c>
      <c r="D32" s="137">
        <v>3100</v>
      </c>
    </row>
    <row r="33" spans="2:4">
      <c r="B33" s="112" t="s">
        <v>27</v>
      </c>
      <c r="C33" s="138">
        <v>1</v>
      </c>
      <c r="D33" s="137">
        <v>4100</v>
      </c>
    </row>
    <row r="34" spans="2:4">
      <c r="B34" s="114" t="s">
        <v>29</v>
      </c>
      <c r="C34" s="138">
        <v>3</v>
      </c>
      <c r="D34" s="113">
        <v>2600</v>
      </c>
    </row>
    <row r="35" spans="2:4">
      <c r="B35" s="114" t="s">
        <v>31</v>
      </c>
      <c r="C35" s="138">
        <v>1</v>
      </c>
      <c r="D35" s="113">
        <v>5100</v>
      </c>
    </row>
    <row r="36" spans="2:4">
      <c r="B36" s="243" t="s">
        <v>213</v>
      </c>
      <c r="C36" s="243"/>
      <c r="D36" s="119">
        <f>C32*D32+D33+C34*D34+D35</f>
        <v>26300</v>
      </c>
    </row>
    <row r="39" spans="2:4" ht="19">
      <c r="B39" s="244" t="s">
        <v>214</v>
      </c>
      <c r="C39" s="244"/>
    </row>
    <row r="40" spans="2:4">
      <c r="B40" s="111" t="s">
        <v>186</v>
      </c>
      <c r="C40" s="111" t="s">
        <v>189</v>
      </c>
    </row>
    <row r="41" spans="2:4">
      <c r="B41" s="112" t="str">
        <f>B2</f>
        <v>Premises renovation cost</v>
      </c>
      <c r="C41" s="113">
        <f>E13</f>
        <v>12820</v>
      </c>
    </row>
    <row r="42" spans="2:4">
      <c r="B42" s="112" t="str">
        <f>B30</f>
        <v>Machine's cost</v>
      </c>
      <c r="C42" s="113">
        <f>D36</f>
        <v>26300</v>
      </c>
    </row>
    <row r="43" spans="2:4">
      <c r="B43" s="112" t="s">
        <v>215</v>
      </c>
      <c r="C43" s="113">
        <f>C27</f>
        <v>5220</v>
      </c>
    </row>
    <row r="44" spans="2:4">
      <c r="B44" s="114" t="s">
        <v>216</v>
      </c>
      <c r="C44" s="113">
        <v>3000</v>
      </c>
    </row>
    <row r="45" spans="2:4">
      <c r="B45" s="120" t="s">
        <v>214</v>
      </c>
      <c r="C45" s="141">
        <f>SUM(C41:C44)</f>
        <v>47340</v>
      </c>
    </row>
    <row r="47" spans="2:4">
      <c r="C47" s="115"/>
    </row>
  </sheetData>
  <mergeCells count="6">
    <mergeCell ref="B2:E2"/>
    <mergeCell ref="B13:D13"/>
    <mergeCell ref="B16:C16"/>
    <mergeCell ref="B39:C39"/>
    <mergeCell ref="B30:D30"/>
    <mergeCell ref="B36:C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6298-1458-4DF5-B67F-DEA5EA986F99}">
  <dimension ref="A1:I46"/>
  <sheetViews>
    <sheetView tabSelected="1" workbookViewId="0">
      <selection activeCell="A37" sqref="A37"/>
    </sheetView>
  </sheetViews>
  <sheetFormatPr baseColWidth="10" defaultColWidth="10.83203125" defaultRowHeight="13"/>
  <cols>
    <col min="1" max="1" width="35.33203125" style="125" bestFit="1" customWidth="1"/>
    <col min="2" max="3" width="10.1640625" style="125" bestFit="1" customWidth="1"/>
    <col min="4" max="4" width="11.5" style="125" bestFit="1" customWidth="1"/>
    <col min="5" max="6" width="11.1640625" style="125" bestFit="1" customWidth="1"/>
    <col min="7" max="8" width="10.83203125" style="125"/>
    <col min="9" max="9" width="10.5" style="125" bestFit="1" customWidth="1"/>
    <col min="10" max="16384" width="10.83203125" style="125"/>
  </cols>
  <sheetData>
    <row r="1" spans="1:9" s="136" customFormat="1">
      <c r="A1" s="135" t="s">
        <v>217</v>
      </c>
    </row>
    <row r="3" spans="1:9">
      <c r="B3" s="148">
        <v>2023</v>
      </c>
      <c r="C3" s="148">
        <v>2024</v>
      </c>
      <c r="D3" s="148">
        <v>2025</v>
      </c>
      <c r="E3" s="148">
        <v>2026</v>
      </c>
      <c r="F3" s="148">
        <v>2027</v>
      </c>
    </row>
    <row r="4" spans="1:9">
      <c r="B4" s="148" t="s">
        <v>57</v>
      </c>
      <c r="C4" s="148" t="s">
        <v>58</v>
      </c>
      <c r="D4" s="148" t="s">
        <v>59</v>
      </c>
      <c r="E4" s="148" t="s">
        <v>60</v>
      </c>
      <c r="F4" s="148" t="s">
        <v>61</v>
      </c>
    </row>
    <row r="5" spans="1:9">
      <c r="A5" t="s">
        <v>218</v>
      </c>
      <c r="B5" s="131">
        <f>'Model Inputs'!D12</f>
        <v>75737.5</v>
      </c>
      <c r="C5" s="131">
        <f>'Model Inputs'!U12</f>
        <v>96004.125</v>
      </c>
      <c r="D5" s="131">
        <f>'Model Inputs'!AE12</f>
        <v>123732.26250000001</v>
      </c>
      <c r="E5" s="131">
        <f>'Model Inputs'!AO12</f>
        <v>163138.985625</v>
      </c>
      <c r="F5" s="131">
        <f>'Model Inputs'!AY12</f>
        <v>220783.04324999999</v>
      </c>
    </row>
    <row r="6" spans="1:9">
      <c r="A6" t="s">
        <v>219</v>
      </c>
      <c r="B6" s="131">
        <v>1.72</v>
      </c>
      <c r="C6" s="131">
        <v>1.75</v>
      </c>
      <c r="D6" s="131">
        <v>1.78</v>
      </c>
      <c r="E6" s="131">
        <v>1.8</v>
      </c>
      <c r="F6" s="131">
        <v>2</v>
      </c>
      <c r="I6" s="235" t="s">
        <v>220</v>
      </c>
    </row>
    <row r="7" spans="1:9">
      <c r="E7" s="131"/>
      <c r="F7" s="131"/>
      <c r="G7" s="131"/>
      <c r="H7" s="131"/>
      <c r="I7" s="131"/>
    </row>
    <row r="46" spans="1:1" ht="34">
      <c r="A46" s="236"/>
    </row>
  </sheetData>
  <hyperlinks>
    <hyperlink ref="I6" r:id="rId1" location="revenue" xr:uid="{D1E374F7-5E00-4BFC-8FA9-DF9C7B0DC713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39F7-3923-5C48-AD40-EB792C163B4D}">
  <dimension ref="A1:AS7"/>
  <sheetViews>
    <sheetView zoomScale="135" workbookViewId="0">
      <selection activeCell="A4" sqref="A4:F7"/>
    </sheetView>
  </sheetViews>
  <sheetFormatPr baseColWidth="10" defaultColWidth="10.83203125" defaultRowHeight="13"/>
  <cols>
    <col min="1" max="1" width="42.33203125" style="125" bestFit="1" customWidth="1"/>
    <col min="2" max="2" width="11.6640625" style="125" bestFit="1" customWidth="1"/>
    <col min="3" max="16384" width="10.83203125" style="125"/>
  </cols>
  <sheetData>
    <row r="1" spans="1:45" s="135" customFormat="1">
      <c r="A1" s="134" t="s">
        <v>221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</row>
    <row r="2" spans="1:45" s="133" customFormat="1">
      <c r="A2" s="132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</row>
    <row r="3" spans="1:45">
      <c r="A3" s="159"/>
      <c r="B3" s="148" t="s">
        <v>57</v>
      </c>
      <c r="C3" s="148" t="s">
        <v>58</v>
      </c>
      <c r="D3" s="148" t="s">
        <v>59</v>
      </c>
      <c r="E3" s="148" t="s">
        <v>60</v>
      </c>
      <c r="F3" s="148" t="s">
        <v>61</v>
      </c>
    </row>
    <row r="4" spans="1:45">
      <c r="A4" s="125" t="s">
        <v>222</v>
      </c>
      <c r="B4" s="129">
        <f>(('Balance Sheet'!B11+'Balance Sheet'!C11/2)/'Profit and Loss'!B57)*365</f>
        <v>2.0227251247462159</v>
      </c>
      <c r="C4" s="129">
        <f>(('Balance Sheet'!C11+'Balance Sheet'!D11/2)/'Profit and Loss'!C57)*365</f>
        <v>2.1012595986272991</v>
      </c>
      <c r="D4" s="129">
        <f>(('Balance Sheet'!D11+'Balance Sheet'!E11/2)/'Profit and Loss'!D57)*365</f>
        <v>2.3781964250569319</v>
      </c>
      <c r="E4" s="129">
        <f>(('Balance Sheet'!E11+'Balance Sheet'!F11/2)/'Profit and Loss'!E57)*365</f>
        <v>2.5787456589292228</v>
      </c>
      <c r="F4" s="129">
        <f>(('Balance Sheet'!F11+'Balance Sheet'!G11/2)/'Profit and Loss'!F57)*365</f>
        <v>2.6926384262671017</v>
      </c>
    </row>
    <row r="5" spans="1:45">
      <c r="A5" s="125" t="s">
        <v>223</v>
      </c>
      <c r="B5" s="129">
        <v>0</v>
      </c>
      <c r="C5" s="129">
        <v>0</v>
      </c>
      <c r="D5" s="129">
        <v>0</v>
      </c>
      <c r="E5" s="129">
        <v>0</v>
      </c>
      <c r="F5" s="129">
        <v>0</v>
      </c>
    </row>
    <row r="6" spans="1:45">
      <c r="A6" s="125" t="s">
        <v>224</v>
      </c>
      <c r="B6" s="129">
        <f>(('Balance Sheet'!B44+'Balance Sheet'!C44/2)/'Profit and Loss'!B57)*365</f>
        <v>1.1829360426003166</v>
      </c>
      <c r="C6" s="129">
        <f>(('Balance Sheet'!C44+'Balance Sheet'!D44/2)/'Profit and Loss'!C57)*365</f>
        <v>3.5981643108471908</v>
      </c>
      <c r="D6" s="129">
        <f>(('Balance Sheet'!D44+'Balance Sheet'!E44/2)/'Profit and Loss'!D57)*365</f>
        <v>3.9105756503931226</v>
      </c>
      <c r="E6" s="129">
        <f>(('Balance Sheet'!E44+'Balance Sheet'!F44/2)/'Profit and Loss'!E57)*365</f>
        <v>4.2563044024457843</v>
      </c>
      <c r="F6" s="129">
        <f>(('Balance Sheet'!F44+'Balance Sheet'!G44/2)/'Profit and Loss'!F57)*365</f>
        <v>4.4570348779523856</v>
      </c>
    </row>
    <row r="7" spans="1:45">
      <c r="A7" s="125" t="s">
        <v>221</v>
      </c>
      <c r="B7" s="129">
        <f>SUM(B4:B6)</f>
        <v>3.2056611673465323</v>
      </c>
      <c r="C7" s="129">
        <f>SUM(C4:C6)</f>
        <v>5.6994239094744898</v>
      </c>
      <c r="D7" s="129">
        <f>SUM(D4:D6)</f>
        <v>6.2887720754500549</v>
      </c>
      <c r="E7" s="129">
        <f>SUM(E4:E6)</f>
        <v>6.8350500613750071</v>
      </c>
      <c r="F7" s="129">
        <f>SUM(F4:F6)</f>
        <v>7.1496733042194869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1C5C-3BB8-2C4C-BF56-775E5B5A0F53}">
  <dimension ref="A1:H21"/>
  <sheetViews>
    <sheetView zoomScale="116" workbookViewId="0">
      <selection activeCell="I6" sqref="I6"/>
    </sheetView>
  </sheetViews>
  <sheetFormatPr baseColWidth="10" defaultColWidth="10.83203125" defaultRowHeight="13"/>
  <cols>
    <col min="1" max="1" width="21.83203125" style="125" bestFit="1" customWidth="1"/>
    <col min="2" max="7" width="10.83203125" style="125"/>
    <col min="8" max="8" width="11.83203125" style="125" bestFit="1" customWidth="1"/>
    <col min="9" max="13" width="13" style="125" bestFit="1" customWidth="1"/>
    <col min="14" max="16384" width="10.83203125" style="125"/>
  </cols>
  <sheetData>
    <row r="1" spans="1:8" s="127" customFormat="1">
      <c r="A1" s="127" t="s">
        <v>225</v>
      </c>
    </row>
    <row r="2" spans="1:8" s="133" customFormat="1">
      <c r="A2" s="125"/>
      <c r="B2" s="125"/>
      <c r="C2" s="125"/>
      <c r="D2" s="125"/>
      <c r="E2" s="125"/>
      <c r="F2" s="125"/>
    </row>
    <row r="3" spans="1:8">
      <c r="B3" s="148" t="s">
        <v>57</v>
      </c>
      <c r="C3" s="148" t="s">
        <v>58</v>
      </c>
      <c r="D3" s="148" t="s">
        <v>59</v>
      </c>
      <c r="E3" s="148" t="s">
        <v>60</v>
      </c>
      <c r="F3" s="148" t="s">
        <v>61</v>
      </c>
    </row>
    <row r="4" spans="1:8">
      <c r="A4" s="125" t="s">
        <v>103</v>
      </c>
      <c r="B4" s="131">
        <f>'Balance Sheet'!C16</f>
        <v>46846.916331289453</v>
      </c>
      <c r="C4" s="131">
        <f>'Balance Sheet'!D16</f>
        <v>86658.539563807106</v>
      </c>
      <c r="D4" s="131">
        <f>'Balance Sheet'!E16</f>
        <v>94859.259888135319</v>
      </c>
      <c r="E4" s="131">
        <f>'Balance Sheet'!F16</f>
        <v>105952.38099751154</v>
      </c>
      <c r="F4" s="131">
        <f>'Balance Sheet'!G16</f>
        <v>121242.23698309869</v>
      </c>
    </row>
    <row r="5" spans="1:8">
      <c r="A5" s="125" t="s">
        <v>226</v>
      </c>
      <c r="B5" s="131">
        <f>'Balance Sheet'!C50</f>
        <v>187.27200000000002</v>
      </c>
      <c r="C5" s="131">
        <f>'Balance Sheet'!D50</f>
        <v>209.08799999999999</v>
      </c>
      <c r="D5" s="131">
        <f>'Balance Sheet'!E50</f>
        <v>243.93599999999998</v>
      </c>
      <c r="E5" s="131">
        <f>'Balance Sheet'!F50</f>
        <v>278.78399999999999</v>
      </c>
      <c r="F5" s="131">
        <f>'Balance Sheet'!G50</f>
        <v>313.63200000000001</v>
      </c>
    </row>
    <row r="6" spans="1:8">
      <c r="A6" s="125" t="s">
        <v>227</v>
      </c>
      <c r="B6" s="131">
        <f>B4-B5</f>
        <v>46659.644331289455</v>
      </c>
      <c r="C6" s="131">
        <f>C4-C5</f>
        <v>86449.451563807103</v>
      </c>
      <c r="D6" s="131">
        <f>D4-D5</f>
        <v>94615.323888135317</v>
      </c>
      <c r="E6" s="131">
        <f>E4-E5</f>
        <v>105673.59699751154</v>
      </c>
      <c r="F6" s="131">
        <f>F4-F5</f>
        <v>120928.60498309869</v>
      </c>
    </row>
    <row r="8" spans="1:8">
      <c r="H8" s="126"/>
    </row>
    <row r="9" spans="1:8">
      <c r="H9" s="126"/>
    </row>
    <row r="10" spans="1:8">
      <c r="H10" s="126"/>
    </row>
    <row r="11" spans="1:8">
      <c r="H11" s="126"/>
    </row>
    <row r="12" spans="1:8">
      <c r="H12" s="126"/>
    </row>
    <row r="13" spans="1:8">
      <c r="H13" s="126"/>
    </row>
    <row r="14" spans="1:8">
      <c r="H14" s="126"/>
    </row>
    <row r="15" spans="1:8">
      <c r="H15" s="126"/>
    </row>
    <row r="16" spans="1:8">
      <c r="H16" s="126"/>
    </row>
    <row r="17" spans="8:8">
      <c r="H17" s="126"/>
    </row>
    <row r="18" spans="8:8">
      <c r="H18" s="126"/>
    </row>
    <row r="19" spans="8:8">
      <c r="H19" s="126"/>
    </row>
    <row r="20" spans="8:8">
      <c r="H20" s="126"/>
    </row>
    <row r="21" spans="8:8">
      <c r="H21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Model Inputs</vt:lpstr>
      <vt:lpstr>Profit and Loss</vt:lpstr>
      <vt:lpstr>Balance Sheet</vt:lpstr>
      <vt:lpstr>Cash Flow</vt:lpstr>
      <vt:lpstr>Loan Payment Calculator</vt:lpstr>
      <vt:lpstr>Startup total cost</vt:lpstr>
      <vt:lpstr>Revenue </vt:lpstr>
      <vt:lpstr>CCC</vt:lpstr>
      <vt:lpstr>WC</vt:lpstr>
      <vt:lpstr>PayB&amp;BEP</vt:lpstr>
      <vt:lpstr>Cap Struc</vt:lpstr>
      <vt:lpstr>Ratios</vt:lpstr>
      <vt:lpstr>Multiples</vt:lpstr>
      <vt:lpstr>Notes &amp; Assumptions</vt:lpstr>
      <vt:lpstr>EULA</vt:lpstr>
      <vt:lpstr>'Balance Sheet'!Print_Area</vt:lpstr>
      <vt:lpstr>'Cash Flow'!Print_Area</vt:lpstr>
      <vt:lpstr>'Model Inputs'!Print_Area</vt:lpstr>
      <vt:lpstr>'Notes &amp; Assumptions'!Print_Area</vt:lpstr>
      <vt:lpstr>'Profit and Loss'!Print_Area</vt:lpstr>
    </vt:vector>
  </TitlesOfParts>
  <Manager/>
  <Company>Spreadsheet123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5-Year Financial Plan</dc:title>
  <dc:subject/>
  <dc:creator>www.spreadsheet123.com</dc:creator>
  <cp:keywords/>
  <dc:description>© 2013 Spreadsheet123 LTD. All rights reserved</dc:description>
  <cp:lastModifiedBy>Microsoft Office User</cp:lastModifiedBy>
  <cp:revision/>
  <dcterms:created xsi:type="dcterms:W3CDTF">2009-06-20T14:39:05Z</dcterms:created>
  <dcterms:modified xsi:type="dcterms:W3CDTF">2023-06-05T20:17:42Z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1.0.0</vt:lpwstr>
  </property>
  <property fmtid="{D5CDD505-2E9C-101B-9397-08002B2CF9AE}" pid="3" name="Copyright">
    <vt:lpwstr>© 2013 Spreadsheet123 LTD</vt:lpwstr>
  </property>
</Properties>
</file>